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Scott County Supplemental Request\Exhibits\"/>
    </mc:Choice>
  </mc:AlternateContent>
  <bookViews>
    <workbookView xWindow="0" yWindow="0" windowWidth="24000" windowHeight="9600"/>
  </bookViews>
  <sheets>
    <sheet name="Exhibit SC 2-5" sheetId="75" r:id="rId1"/>
    <sheet name="Sewer Rate Design" sheetId="65" r:id="rId2"/>
    <sheet name="Sewer COSS Summary" sheetId="58" r:id="rId3"/>
    <sheet name="Revenue Requirements &gt;&gt;" sheetId="74" r:id="rId4"/>
    <sheet name="Revenue Requirements" sheetId="43" r:id="rId5"/>
    <sheet name="Rate Base" sheetId="44" r:id="rId6"/>
    <sheet name="WW Income" sheetId="73" r:id="rId7"/>
    <sheet name="Support Data &gt;&gt;" sheetId="28" r:id="rId8"/>
    <sheet name="SA Information" sheetId="66" r:id="rId9"/>
    <sheet name="Meters" sheetId="68" r:id="rId10"/>
    <sheet name="Current Rates" sheetId="67" r:id="rId11"/>
    <sheet name="Services" sheetId="69" r:id="rId12"/>
    <sheet name="Mains" sheetId="70" r:id="rId13"/>
  </sheets>
  <externalReferences>
    <externalReference r:id="rId14"/>
  </externalReferences>
  <definedNames>
    <definedName name="_xlnm._FilterDatabase" localSheetId="10" hidden="1">'Current Rates'!$B$6:$T$25</definedName>
    <definedName name="_xlnm._FilterDatabase" localSheetId="8" hidden="1">'SA Information'!$B$5:$I$24</definedName>
    <definedName name="_Order1">255</definedName>
    <definedName name="_Order2">255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1ActivityProjectedPR">#REF!</definedName>
    <definedName name="M1ActivityProjectedPY">#REF!</definedName>
    <definedName name="M1ActivityProjectedTY">#REF!</definedName>
    <definedName name="PBTIPY">#REF!</definedName>
    <definedName name="PTBIPR">#REF!</definedName>
    <definedName name="PTBITY">#REF!</definedName>
    <definedName name="StateTaxRatePR">#REF!</definedName>
    <definedName name="StateTaxRatePY">#REF!</definedName>
    <definedName name="StateTaxRateTY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65" l="1"/>
  <c r="B6" i="65"/>
  <c r="B47" i="58" l="1"/>
  <c r="K21" i="69"/>
  <c r="H30" i="67" l="1"/>
  <c r="F103" i="65" l="1"/>
  <c r="E103" i="65"/>
  <c r="C103" i="65"/>
  <c r="B103" i="65"/>
  <c r="F102" i="65"/>
  <c r="E102" i="65"/>
  <c r="C102" i="65"/>
  <c r="B102" i="65"/>
  <c r="F101" i="65"/>
  <c r="E101" i="65"/>
  <c r="C101" i="65"/>
  <c r="B101" i="65"/>
  <c r="F100" i="65"/>
  <c r="E100" i="65"/>
  <c r="C100" i="65"/>
  <c r="B100" i="65"/>
  <c r="F99" i="65"/>
  <c r="E99" i="65"/>
  <c r="C99" i="65"/>
  <c r="B99" i="65"/>
  <c r="F98" i="65"/>
  <c r="E98" i="65"/>
  <c r="C98" i="65"/>
  <c r="B98" i="65"/>
  <c r="F97" i="65"/>
  <c r="E97" i="65"/>
  <c r="C97" i="65"/>
  <c r="B97" i="65"/>
  <c r="F96" i="65"/>
  <c r="E96" i="65"/>
  <c r="C96" i="65"/>
  <c r="B96" i="65"/>
  <c r="F95" i="65"/>
  <c r="E95" i="65"/>
  <c r="C95" i="65"/>
  <c r="B95" i="65"/>
  <c r="F94" i="65"/>
  <c r="E94" i="65"/>
  <c r="C94" i="65"/>
  <c r="B94" i="65"/>
  <c r="F93" i="65"/>
  <c r="E93" i="65"/>
  <c r="C93" i="65"/>
  <c r="B93" i="65"/>
  <c r="F92" i="65"/>
  <c r="E92" i="65"/>
  <c r="C92" i="65"/>
  <c r="B92" i="65"/>
  <c r="F91" i="65"/>
  <c r="E91" i="65"/>
  <c r="C91" i="65"/>
  <c r="B91" i="65"/>
  <c r="F90" i="65"/>
  <c r="E90" i="65"/>
  <c r="C90" i="65"/>
  <c r="B90" i="65"/>
  <c r="F89" i="65"/>
  <c r="E89" i="65"/>
  <c r="C89" i="65"/>
  <c r="B89" i="65"/>
  <c r="F88" i="65"/>
  <c r="E88" i="65"/>
  <c r="C88" i="65"/>
  <c r="B88" i="65"/>
  <c r="I87" i="65"/>
  <c r="H87" i="65"/>
  <c r="F87" i="65"/>
  <c r="E87" i="65"/>
  <c r="C87" i="65"/>
  <c r="B87" i="65"/>
  <c r="F86" i="65"/>
  <c r="E86" i="65"/>
  <c r="C86" i="65"/>
  <c r="B86" i="65"/>
  <c r="F85" i="65"/>
  <c r="E85" i="65"/>
  <c r="C85" i="65"/>
  <c r="B85" i="65"/>
  <c r="F84" i="65"/>
  <c r="E84" i="65"/>
  <c r="C84" i="65"/>
  <c r="B84" i="65"/>
  <c r="F83" i="65"/>
  <c r="E83" i="65"/>
  <c r="C83" i="65"/>
  <c r="B83" i="65"/>
  <c r="F82" i="65"/>
  <c r="E82" i="65"/>
  <c r="C82" i="65"/>
  <c r="B82" i="65"/>
  <c r="F81" i="65"/>
  <c r="E81" i="65"/>
  <c r="C81" i="65"/>
  <c r="B81" i="65"/>
  <c r="H20" i="65"/>
  <c r="F20" i="65"/>
  <c r="H6" i="65"/>
  <c r="E10" i="44" l="1"/>
  <c r="E16" i="44" s="1"/>
  <c r="E12" i="44"/>
  <c r="E14" i="44"/>
  <c r="C16" i="44"/>
  <c r="D16" i="44"/>
  <c r="E19" i="44"/>
  <c r="E21" i="44" s="1"/>
  <c r="C21" i="44"/>
  <c r="D21" i="44"/>
  <c r="D29" i="44" s="1"/>
  <c r="E24" i="44"/>
  <c r="E25" i="44"/>
  <c r="C27" i="44"/>
  <c r="D27" i="44"/>
  <c r="E27" i="44"/>
  <c r="C29" i="44"/>
  <c r="F52" i="73"/>
  <c r="F48" i="73"/>
  <c r="F47" i="73"/>
  <c r="F46" i="73"/>
  <c r="F45" i="73"/>
  <c r="F44" i="73"/>
  <c r="F43" i="73"/>
  <c r="F42" i="73"/>
  <c r="F41" i="73"/>
  <c r="F40" i="73"/>
  <c r="F39" i="73"/>
  <c r="F38" i="73"/>
  <c r="F49" i="73" s="1"/>
  <c r="F37" i="73"/>
  <c r="F36" i="73"/>
  <c r="F35" i="73"/>
  <c r="F34" i="73"/>
  <c r="D49" i="73"/>
  <c r="E49" i="73"/>
  <c r="E55" i="73"/>
  <c r="D55" i="73"/>
  <c r="F54" i="73"/>
  <c r="F53" i="73"/>
  <c r="E31" i="73"/>
  <c r="D31" i="73"/>
  <c r="F30" i="73"/>
  <c r="F29" i="73"/>
  <c r="F28" i="73"/>
  <c r="F27" i="73"/>
  <c r="F26" i="73"/>
  <c r="F25" i="73"/>
  <c r="F24" i="73"/>
  <c r="F23" i="73"/>
  <c r="F22" i="73"/>
  <c r="F21" i="73"/>
  <c r="F20" i="73"/>
  <c r="F19" i="73"/>
  <c r="F18" i="73"/>
  <c r="F17" i="73"/>
  <c r="F16" i="73"/>
  <c r="F11" i="73"/>
  <c r="F10" i="73"/>
  <c r="F9" i="73"/>
  <c r="F8" i="73"/>
  <c r="A8" i="44"/>
  <c r="A9" i="44" s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E29" i="44" l="1"/>
  <c r="F55" i="73"/>
  <c r="D57" i="73"/>
  <c r="D59" i="73" s="1"/>
  <c r="E57" i="73"/>
  <c r="E59" i="73" s="1"/>
  <c r="F31" i="73"/>
  <c r="D5" i="43" l="1"/>
  <c r="C19" i="58"/>
  <c r="F57" i="73"/>
  <c r="E27" i="66"/>
  <c r="E32" i="65" l="1"/>
  <c r="G98" i="65"/>
  <c r="G96" i="65" l="1"/>
  <c r="G97" i="65"/>
  <c r="B35" i="65"/>
  <c r="R35" i="65" s="1"/>
  <c r="B19" i="65"/>
  <c r="R19" i="65" s="1"/>
  <c r="B36" i="65"/>
  <c r="R36" i="65" s="1"/>
  <c r="G95" i="65"/>
  <c r="D94" i="65"/>
  <c r="D87" i="65"/>
  <c r="G82" i="65"/>
  <c r="B23" i="65"/>
  <c r="R23" i="65" s="1"/>
  <c r="B32" i="65"/>
  <c r="J32" i="65" s="1"/>
  <c r="G90" i="65"/>
  <c r="B29" i="65"/>
  <c r="R29" i="65" s="1"/>
  <c r="G103" i="65"/>
  <c r="B21" i="65"/>
  <c r="R21" i="65" s="1"/>
  <c r="B24" i="65"/>
  <c r="R24" i="65" s="1"/>
  <c r="D83" i="65"/>
  <c r="B22" i="65"/>
  <c r="D93" i="65"/>
  <c r="G94" i="65"/>
  <c r="D99" i="65"/>
  <c r="B20" i="65"/>
  <c r="F6" i="65" s="1"/>
  <c r="G87" i="65"/>
  <c r="G100" i="65"/>
  <c r="G102" i="65"/>
  <c r="G86" i="65"/>
  <c r="D100" i="65"/>
  <c r="D84" i="65"/>
  <c r="G85" i="65"/>
  <c r="G99" i="65"/>
  <c r="G83" i="65"/>
  <c r="B28" i="65"/>
  <c r="R28" i="65" s="1"/>
  <c r="B16" i="65"/>
  <c r="G91" i="65"/>
  <c r="G92" i="65"/>
  <c r="D98" i="65"/>
  <c r="K98" i="65" s="1"/>
  <c r="B15" i="65"/>
  <c r="B30" i="65"/>
  <c r="D85" i="65"/>
  <c r="G101" i="65"/>
  <c r="G89" i="65"/>
  <c r="G88" i="65"/>
  <c r="D92" i="65"/>
  <c r="D91" i="65"/>
  <c r="G84" i="65"/>
  <c r="D95" i="65"/>
  <c r="D101" i="65"/>
  <c r="D103" i="65"/>
  <c r="G93" i="65"/>
  <c r="D86" i="65"/>
  <c r="D102" i="65"/>
  <c r="B27" i="65"/>
  <c r="R27" i="65" s="1"/>
  <c r="B34" i="65"/>
  <c r="B18" i="65"/>
  <c r="D88" i="65"/>
  <c r="D96" i="65"/>
  <c r="B33" i="65"/>
  <c r="R33" i="65" s="1"/>
  <c r="B25" i="65"/>
  <c r="R25" i="65" s="1"/>
  <c r="B17" i="65"/>
  <c r="R17" i="65" s="1"/>
  <c r="B26" i="65"/>
  <c r="R26" i="65" s="1"/>
  <c r="D89" i="65"/>
  <c r="D97" i="65"/>
  <c r="D82" i="65"/>
  <c r="D90" i="65"/>
  <c r="B31" i="65"/>
  <c r="R31" i="65" s="1"/>
  <c r="J66" i="65"/>
  <c r="J64" i="65"/>
  <c r="J68" i="65"/>
  <c r="J65" i="65"/>
  <c r="J67" i="65"/>
  <c r="J69" i="65"/>
  <c r="J70" i="65"/>
  <c r="J63" i="65"/>
  <c r="E36" i="65"/>
  <c r="E35" i="65"/>
  <c r="E34" i="65"/>
  <c r="E67" i="65" s="1"/>
  <c r="E33" i="65"/>
  <c r="E31" i="65"/>
  <c r="E30" i="65"/>
  <c r="E63" i="65" s="1"/>
  <c r="E29" i="65"/>
  <c r="E28" i="65"/>
  <c r="E27" i="65"/>
  <c r="E26" i="65"/>
  <c r="E25" i="65"/>
  <c r="E65" i="65" s="1"/>
  <c r="E24" i="65"/>
  <c r="E23" i="65"/>
  <c r="E22" i="65"/>
  <c r="E21" i="65"/>
  <c r="E69" i="65" s="1"/>
  <c r="E20" i="65"/>
  <c r="E70" i="65" s="1"/>
  <c r="E19" i="65"/>
  <c r="E66" i="65" s="1"/>
  <c r="E18" i="65"/>
  <c r="E17" i="65"/>
  <c r="E16" i="65"/>
  <c r="E64" i="65" s="1"/>
  <c r="E15" i="65"/>
  <c r="E14" i="65"/>
  <c r="J20" i="65" l="1"/>
  <c r="K97" i="65"/>
  <c r="J35" i="65"/>
  <c r="J36" i="65"/>
  <c r="K103" i="65"/>
  <c r="K82" i="65"/>
  <c r="K90" i="65"/>
  <c r="E71" i="65"/>
  <c r="R32" i="65"/>
  <c r="R16" i="65"/>
  <c r="J23" i="65"/>
  <c r="J29" i="65"/>
  <c r="K94" i="65"/>
  <c r="K95" i="65"/>
  <c r="J34" i="65"/>
  <c r="R34" i="65"/>
  <c r="J15" i="65"/>
  <c r="R15" i="65"/>
  <c r="R20" i="65"/>
  <c r="J30" i="65"/>
  <c r="R30" i="65"/>
  <c r="J22" i="65"/>
  <c r="R22" i="65"/>
  <c r="J18" i="65"/>
  <c r="R18" i="65"/>
  <c r="J31" i="65"/>
  <c r="J28" i="65"/>
  <c r="J24" i="65"/>
  <c r="K93" i="65"/>
  <c r="J16" i="65"/>
  <c r="J21" i="65"/>
  <c r="J26" i="65"/>
  <c r="J27" i="65"/>
  <c r="J17" i="65"/>
  <c r="K92" i="65"/>
  <c r="J25" i="65"/>
  <c r="J19" i="65"/>
  <c r="J33" i="65"/>
  <c r="K100" i="65"/>
  <c r="K84" i="65"/>
  <c r="K83" i="65"/>
  <c r="K91" i="65"/>
  <c r="K99" i="65"/>
  <c r="K85" i="65"/>
  <c r="K96" i="65"/>
  <c r="K102" i="65"/>
  <c r="K86" i="65"/>
  <c r="K88" i="65"/>
  <c r="K101" i="65"/>
  <c r="K89" i="65"/>
  <c r="E68" i="65"/>
  <c r="J87" i="65" l="1"/>
  <c r="J105" i="65" l="1"/>
  <c r="K87" i="65"/>
  <c r="B45" i="58" l="1"/>
  <c r="B63" i="65"/>
  <c r="A63" i="65" s="1"/>
  <c r="B64" i="65"/>
  <c r="A64" i="65" s="1"/>
  <c r="B67" i="65"/>
  <c r="A67" i="65" s="1"/>
  <c r="B66" i="65"/>
  <c r="A66" i="65" s="1"/>
  <c r="B68" i="65"/>
  <c r="A68" i="65" s="1"/>
  <c r="B69" i="65"/>
  <c r="A69" i="65" s="1"/>
  <c r="B65" i="65"/>
  <c r="A65" i="65" s="1"/>
  <c r="B70" i="65" l="1"/>
  <c r="A70" i="65" s="1"/>
  <c r="K106" i="65" l="1"/>
  <c r="H8" i="73"/>
  <c r="E27" i="67" l="1"/>
  <c r="H31" i="67" s="1"/>
  <c r="F27" i="67"/>
  <c r="F12" i="73" l="1"/>
  <c r="C5" i="58"/>
  <c r="C4" i="58" s="1"/>
  <c r="D26" i="43" l="1"/>
  <c r="F59" i="73"/>
  <c r="D7" i="43" s="1"/>
  <c r="B5" i="58"/>
  <c r="B54" i="58" s="1"/>
  <c r="C11" i="58" l="1"/>
  <c r="C9" i="58"/>
  <c r="C8" i="58"/>
  <c r="B19" i="58" l="1"/>
  <c r="K25" i="69" l="1"/>
  <c r="K24" i="69"/>
  <c r="K23" i="69"/>
  <c r="K22" i="69"/>
  <c r="K20" i="69"/>
  <c r="K19" i="69"/>
  <c r="K18" i="69"/>
  <c r="K17" i="69"/>
  <c r="K16" i="69"/>
  <c r="K15" i="69"/>
  <c r="K14" i="69"/>
  <c r="K13" i="69"/>
  <c r="K12" i="69"/>
  <c r="K11" i="69"/>
  <c r="K10" i="69"/>
  <c r="K9" i="69"/>
  <c r="K8" i="69"/>
  <c r="K7" i="69"/>
  <c r="K6" i="69"/>
  <c r="A29" i="43" l="1"/>
  <c r="A8" i="43"/>
  <c r="A10" i="43"/>
  <c r="A12" i="43"/>
  <c r="A14" i="43"/>
  <c r="A16" i="43"/>
  <c r="A18" i="43"/>
  <c r="A20" i="43"/>
  <c r="A23" i="43"/>
  <c r="A25" i="43"/>
  <c r="A27" i="43"/>
  <c r="A6" i="43"/>
  <c r="A7" i="43" s="1"/>
  <c r="A9" i="43" l="1"/>
  <c r="A11" i="43" s="1"/>
  <c r="A13" i="43" l="1"/>
  <c r="A15" i="43" s="1"/>
  <c r="A17" i="43" l="1"/>
  <c r="A19" i="43" s="1"/>
  <c r="A21" i="43" l="1"/>
  <c r="A22" i="43" s="1"/>
  <c r="A24" i="43" s="1"/>
  <c r="A26" i="43" s="1"/>
  <c r="A28" i="43" s="1"/>
  <c r="A30" i="43" s="1"/>
  <c r="B32" i="58" l="1"/>
  <c r="B31" i="58"/>
  <c r="B27" i="58"/>
  <c r="B21" i="58"/>
  <c r="C13" i="58"/>
  <c r="C15" i="58" s="1"/>
  <c r="C32" i="58" l="1"/>
  <c r="C27" i="58"/>
  <c r="C21" i="58"/>
  <c r="B4" i="58"/>
  <c r="B56" i="58" s="1"/>
  <c r="C31" i="58" l="1"/>
  <c r="B11" i="58" l="1"/>
  <c r="B9" i="58"/>
  <c r="B8" i="58" l="1"/>
  <c r="B10" i="58"/>
  <c r="B13" i="58" l="1"/>
  <c r="B15" i="58" s="1"/>
  <c r="B17" i="58" s="1"/>
  <c r="D9" i="43" l="1"/>
  <c r="D13" i="43" l="1"/>
  <c r="D19" i="43"/>
  <c r="C17" i="58"/>
  <c r="C29" i="58"/>
  <c r="C23" i="58"/>
  <c r="C25" i="58" s="1"/>
  <c r="B25" i="58" s="1"/>
  <c r="B29" i="58" l="1"/>
  <c r="B23" i="58"/>
  <c r="C34" i="58"/>
  <c r="C36" i="58" s="1"/>
  <c r="C38" i="58" s="1"/>
  <c r="C39" i="58" s="1"/>
  <c r="D17" i="43"/>
  <c r="B34" i="58" l="1"/>
  <c r="D24" i="43"/>
  <c r="B36" i="58" l="1"/>
  <c r="D28" i="43"/>
  <c r="D30" i="43" s="1"/>
  <c r="B38" i="58" l="1"/>
  <c r="B39" i="58" s="1"/>
  <c r="B53" i="58"/>
  <c r="B55" i="58" l="1"/>
  <c r="B57" i="58" s="1"/>
  <c r="B8" i="65" l="1"/>
  <c r="B105" i="65"/>
  <c r="D81" i="65"/>
  <c r="D105" i="65" s="1"/>
  <c r="G81" i="65" l="1"/>
  <c r="E105" i="65"/>
  <c r="B14" i="65"/>
  <c r="F5" i="65" s="1"/>
  <c r="G5" i="65" s="1"/>
  <c r="J14" i="65" l="1"/>
  <c r="J38" i="65" s="1"/>
  <c r="B38" i="65"/>
  <c r="C14" i="65" s="1"/>
  <c r="R14" i="65"/>
  <c r="R38" i="65" s="1"/>
  <c r="B71" i="65"/>
  <c r="K81" i="65"/>
  <c r="K105" i="65" s="1"/>
  <c r="K107" i="65" s="1"/>
  <c r="K108" i="65" s="1"/>
  <c r="G105" i="65"/>
  <c r="B44" i="58" s="1"/>
  <c r="A71" i="65" l="1"/>
  <c r="B73" i="65"/>
  <c r="C31" i="65"/>
  <c r="C32" i="65"/>
  <c r="C20" i="65"/>
  <c r="C33" i="65"/>
  <c r="C29" i="65"/>
  <c r="C15" i="65"/>
  <c r="C27" i="65"/>
  <c r="C16" i="65"/>
  <c r="C30" i="65"/>
  <c r="C26" i="65"/>
  <c r="C36" i="65"/>
  <c r="C35" i="65"/>
  <c r="C25" i="65"/>
  <c r="C22" i="65"/>
  <c r="C18" i="65"/>
  <c r="C24" i="65"/>
  <c r="C21" i="65"/>
  <c r="C34" i="65"/>
  <c r="C23" i="65"/>
  <c r="C19" i="65"/>
  <c r="C17" i="65"/>
  <c r="C28" i="65"/>
  <c r="B46" i="58"/>
  <c r="B48" i="58" s="1"/>
  <c r="D16" i="65"/>
  <c r="D30" i="65"/>
  <c r="D63" i="65" s="1"/>
  <c r="D18" i="65"/>
  <c r="I18" i="65" s="1"/>
  <c r="K18" i="65" s="1"/>
  <c r="L18" i="65" s="1"/>
  <c r="D24" i="65"/>
  <c r="I24" i="65" s="1"/>
  <c r="K24" i="65" s="1"/>
  <c r="L24" i="65" s="1"/>
  <c r="D23" i="65"/>
  <c r="I23" i="65" s="1"/>
  <c r="K23" i="65" s="1"/>
  <c r="L23" i="65" s="1"/>
  <c r="D19" i="65"/>
  <c r="D29" i="65"/>
  <c r="I29" i="65" s="1"/>
  <c r="K29" i="65" s="1"/>
  <c r="L29" i="65" s="1"/>
  <c r="D32" i="65"/>
  <c r="I32" i="65" s="1"/>
  <c r="K32" i="65" s="1"/>
  <c r="L32" i="65" s="1"/>
  <c r="D34" i="65"/>
  <c r="D33" i="65"/>
  <c r="I33" i="65" s="1"/>
  <c r="K33" i="65" s="1"/>
  <c r="L33" i="65" s="1"/>
  <c r="D26" i="65"/>
  <c r="I26" i="65" s="1"/>
  <c r="K26" i="65" s="1"/>
  <c r="L26" i="65" s="1"/>
  <c r="D14" i="65"/>
  <c r="D20" i="65"/>
  <c r="G6" i="65" s="1"/>
  <c r="D31" i="65"/>
  <c r="I31" i="65" s="1"/>
  <c r="K31" i="65" s="1"/>
  <c r="L31" i="65" s="1"/>
  <c r="D22" i="65"/>
  <c r="I22" i="65" s="1"/>
  <c r="K22" i="65" s="1"/>
  <c r="L22" i="65" s="1"/>
  <c r="D35" i="65"/>
  <c r="I35" i="65" s="1"/>
  <c r="K35" i="65" s="1"/>
  <c r="L35" i="65" s="1"/>
  <c r="D21" i="65"/>
  <c r="D15" i="65"/>
  <c r="I15" i="65" s="1"/>
  <c r="K15" i="65" s="1"/>
  <c r="L15" i="65" s="1"/>
  <c r="D25" i="65"/>
  <c r="D36" i="65"/>
  <c r="D28" i="65"/>
  <c r="I28" i="65" s="1"/>
  <c r="K28" i="65" s="1"/>
  <c r="L28" i="65" s="1"/>
  <c r="D27" i="65"/>
  <c r="I27" i="65" s="1"/>
  <c r="K27" i="65" s="1"/>
  <c r="L27" i="65" s="1"/>
  <c r="D17" i="65"/>
  <c r="I17" i="65" s="1"/>
  <c r="K17" i="65" s="1"/>
  <c r="L17" i="65" s="1"/>
  <c r="I6" i="65" l="1"/>
  <c r="C44" i="58"/>
  <c r="C45" i="58"/>
  <c r="C6" i="65" s="1"/>
  <c r="C38" i="65"/>
  <c r="D70" i="65"/>
  <c r="F70" i="65" s="1"/>
  <c r="G70" i="65" s="1"/>
  <c r="I25" i="65"/>
  <c r="K25" i="65" s="1"/>
  <c r="L25" i="65" s="1"/>
  <c r="D65" i="65"/>
  <c r="F65" i="65" s="1"/>
  <c r="G65" i="65" s="1"/>
  <c r="D71" i="65"/>
  <c r="F71" i="65" s="1"/>
  <c r="G71" i="65" s="1"/>
  <c r="I14" i="65"/>
  <c r="I30" i="65"/>
  <c r="K30" i="65" s="1"/>
  <c r="L30" i="65" s="1"/>
  <c r="F63" i="65"/>
  <c r="G63" i="65" s="1"/>
  <c r="I21" i="65"/>
  <c r="K21" i="65" s="1"/>
  <c r="L21" i="65" s="1"/>
  <c r="D69" i="65"/>
  <c r="F69" i="65" s="1"/>
  <c r="G69" i="65" s="1"/>
  <c r="I34" i="65"/>
  <c r="K34" i="65" s="1"/>
  <c r="L34" i="65" s="1"/>
  <c r="D67" i="65"/>
  <c r="F67" i="65" s="1"/>
  <c r="G67" i="65" s="1"/>
  <c r="I16" i="65"/>
  <c r="K16" i="65" s="1"/>
  <c r="L16" i="65" s="1"/>
  <c r="D64" i="65"/>
  <c r="F64" i="65" s="1"/>
  <c r="G64" i="65" s="1"/>
  <c r="D68" i="65"/>
  <c r="F68" i="65" s="1"/>
  <c r="G68" i="65" s="1"/>
  <c r="I36" i="65"/>
  <c r="K36" i="65" s="1"/>
  <c r="L36" i="65" s="1"/>
  <c r="B49" i="58"/>
  <c r="C71" i="65"/>
  <c r="C67" i="65"/>
  <c r="C65" i="65"/>
  <c r="C68" i="65"/>
  <c r="C70" i="65"/>
  <c r="C64" i="65"/>
  <c r="C69" i="65"/>
  <c r="C66" i="65"/>
  <c r="C63" i="65"/>
  <c r="D66" i="65"/>
  <c r="F66" i="65" s="1"/>
  <c r="G66" i="65" s="1"/>
  <c r="I19" i="65"/>
  <c r="K19" i="65" s="1"/>
  <c r="L19" i="65" s="1"/>
  <c r="G20" i="65" l="1"/>
  <c r="I20" i="65" s="1"/>
  <c r="K20" i="65" s="1"/>
  <c r="L20" i="65" s="1"/>
  <c r="C5" i="65"/>
  <c r="D5" i="65" s="1"/>
  <c r="E5" i="65" s="1"/>
  <c r="K14" i="65"/>
  <c r="C73" i="65"/>
  <c r="L6" i="65"/>
  <c r="L5" i="65" s="1"/>
  <c r="I38" i="65" l="1"/>
  <c r="C8" i="65"/>
  <c r="D6" i="65"/>
  <c r="L14" i="65"/>
  <c r="K38" i="65"/>
  <c r="L38" i="65" s="1"/>
  <c r="E6" i="65" l="1"/>
  <c r="D8" i="65"/>
  <c r="E8" i="65" s="1"/>
</calcChain>
</file>

<file path=xl/sharedStrings.xml><?xml version="1.0" encoding="utf-8"?>
<sst xmlns="http://schemas.openxmlformats.org/spreadsheetml/2006/main" count="847" uniqueCount="311">
  <si>
    <t>Description</t>
  </si>
  <si>
    <t>Total</t>
  </si>
  <si>
    <t>Rate Base</t>
  </si>
  <si>
    <t>Revenue</t>
  </si>
  <si>
    <t>Class Cost of Service Summary</t>
  </si>
  <si>
    <t>Service Type</t>
  </si>
  <si>
    <t>Residential</t>
  </si>
  <si>
    <t>Usage</t>
  </si>
  <si>
    <t>Proposed</t>
  </si>
  <si>
    <t>Current Billing Rates</t>
  </si>
  <si>
    <t>Service Area</t>
  </si>
  <si>
    <t>Original entity</t>
  </si>
  <si>
    <t>Connections</t>
  </si>
  <si>
    <t>Date of Acquisition</t>
  </si>
  <si>
    <t>Metered?</t>
  </si>
  <si>
    <t>Base Charge</t>
  </si>
  <si>
    <t>Included Gal</t>
  </si>
  <si>
    <t>Usage Charge</t>
  </si>
  <si>
    <t>Per Gal</t>
  </si>
  <si>
    <t>Comm Base</t>
  </si>
  <si>
    <t>Water</t>
  </si>
  <si>
    <t>Unmetered</t>
  </si>
  <si>
    <t>Meter Information</t>
  </si>
  <si>
    <t>Services Information</t>
  </si>
  <si>
    <t>Service Area Historical Information</t>
  </si>
  <si>
    <t>Acq Case Docket</t>
  </si>
  <si>
    <t>Rate Case Docket</t>
  </si>
  <si>
    <t>Rate Case eff date</t>
  </si>
  <si>
    <t>Sewer</t>
  </si>
  <si>
    <t>n/a</t>
  </si>
  <si>
    <t>Fox Run</t>
  </si>
  <si>
    <t>Overall Revenue Requirement</t>
  </si>
  <si>
    <t>Line Number</t>
  </si>
  <si>
    <t>Ref</t>
  </si>
  <si>
    <t>Total Original Cost Rate Base</t>
  </si>
  <si>
    <t>Operating Income at Present Rates</t>
  </si>
  <si>
    <t xml:space="preserve">Earned Rate of Return </t>
  </si>
  <si>
    <t>Requested Rate of Return</t>
  </si>
  <si>
    <t>Required Operating Income</t>
  </si>
  <si>
    <t xml:space="preserve">Operating Income Deficiency </t>
  </si>
  <si>
    <t>Gross Revenue Conversion Factor</t>
  </si>
  <si>
    <t xml:space="preserve">Revenue Deficiency </t>
  </si>
  <si>
    <t>Pro Forma Revenue at Present Rates</t>
  </si>
  <si>
    <t>Total Revenue Requirement</t>
  </si>
  <si>
    <t>Test Year</t>
  </si>
  <si>
    <t>Requested</t>
  </si>
  <si>
    <t>Adjusted</t>
  </si>
  <si>
    <t>Revenues</t>
  </si>
  <si>
    <t>Expenses</t>
  </si>
  <si>
    <t>G&amp;A - General &amp; Admin:</t>
  </si>
  <si>
    <t>923.400</t>
  </si>
  <si>
    <t>923.500</t>
  </si>
  <si>
    <t>408.160</t>
  </si>
  <si>
    <t>923.600</t>
  </si>
  <si>
    <t>903.100</t>
  </si>
  <si>
    <t>924.400</t>
  </si>
  <si>
    <t>928.100</t>
  </si>
  <si>
    <t>923.100</t>
  </si>
  <si>
    <t>903.280</t>
  </si>
  <si>
    <t>923.900</t>
  </si>
  <si>
    <t>904.000</t>
  </si>
  <si>
    <t>408.100</t>
  </si>
  <si>
    <t>Ops &amp; Maint - Operations &amp; Maintenance:</t>
  </si>
  <si>
    <t>722.000</t>
  </si>
  <si>
    <t>741.000</t>
  </si>
  <si>
    <t>732.000</t>
  </si>
  <si>
    <t>712.000</t>
  </si>
  <si>
    <t>752.000</t>
  </si>
  <si>
    <t>713.000</t>
  </si>
  <si>
    <t>711.000</t>
  </si>
  <si>
    <t>922.000</t>
  </si>
  <si>
    <t>Depr &amp; Amort - Depreciation &amp; Amortization:</t>
  </si>
  <si>
    <t>403.000</t>
  </si>
  <si>
    <t>403.100</t>
  </si>
  <si>
    <t>Total Depr &amp; Amort - Depreciation &amp; Amortization</t>
  </si>
  <si>
    <t>Net Income</t>
  </si>
  <si>
    <t>Depreciation &amp; Amortization</t>
  </si>
  <si>
    <t>Taxes</t>
  </si>
  <si>
    <t>Commercial</t>
  </si>
  <si>
    <t>Required Rate of Return</t>
  </si>
  <si>
    <t>Operating Expenses</t>
  </si>
  <si>
    <t>Total Operating Expenses</t>
  </si>
  <si>
    <t>Current ROR</t>
  </si>
  <si>
    <t>Required Net Income</t>
  </si>
  <si>
    <t>Revenue Increase</t>
  </si>
  <si>
    <t>Revenue Increase %</t>
  </si>
  <si>
    <t>Fixed Charge</t>
  </si>
  <si>
    <t>Bills</t>
  </si>
  <si>
    <t>Current</t>
  </si>
  <si>
    <t>Gross Income Conversion Factor</t>
  </si>
  <si>
    <t>Net Income Required for Equity</t>
  </si>
  <si>
    <t>Weighted Return on Equity</t>
  </si>
  <si>
    <t>521.000</t>
  </si>
  <si>
    <t>532.000</t>
  </si>
  <si>
    <t>536.000</t>
  </si>
  <si>
    <t>Interest</t>
  </si>
  <si>
    <t>For the Year Ending June 30, 2022</t>
  </si>
  <si>
    <t>Revenue Proof</t>
  </si>
  <si>
    <t>Difference</t>
  </si>
  <si>
    <t>General &amp; Admin</t>
  </si>
  <si>
    <t>Operations and Maintenance</t>
  </si>
  <si>
    <t>Increase</t>
  </si>
  <si>
    <t xml:space="preserve">Revenue </t>
  </si>
  <si>
    <t>Fixed Charges</t>
  </si>
  <si>
    <t xml:space="preserve">Current </t>
  </si>
  <si>
    <t>% Bills</t>
  </si>
  <si>
    <t>Rate Design</t>
  </si>
  <si>
    <t>Line #</t>
  </si>
  <si>
    <t>Percentage Change</t>
  </si>
  <si>
    <t>Residential/</t>
  </si>
  <si>
    <t>Bluegrass Water Utility Operating Company, LLC</t>
  </si>
  <si>
    <t>As of 06/30/2022</t>
  </si>
  <si>
    <t>Airview</t>
  </si>
  <si>
    <t>Airview Utilities</t>
  </si>
  <si>
    <t>2020-00290</t>
  </si>
  <si>
    <t>Arcadia Pines</t>
  </si>
  <si>
    <t>Brocklyn</t>
  </si>
  <si>
    <t>Brocklyn Utiliies</t>
  </si>
  <si>
    <t>Carriage Park</t>
  </si>
  <si>
    <t>Darlington Creek</t>
  </si>
  <si>
    <t>Darlington Creek HOA</t>
  </si>
  <si>
    <t>Delaplain</t>
  </si>
  <si>
    <t>Delaplain Disposal Co.</t>
  </si>
  <si>
    <t>Fox Run Utilities</t>
  </si>
  <si>
    <t>Golden Acres</t>
  </si>
  <si>
    <t>Marshall County Environmental</t>
  </si>
  <si>
    <t>Great Oaks</t>
  </si>
  <si>
    <t>Herrington Haven</t>
  </si>
  <si>
    <t>Longview/Homestead</t>
  </si>
  <si>
    <t>LH Treatment</t>
  </si>
  <si>
    <t>Kingswood</t>
  </si>
  <si>
    <t>Lake Columbia</t>
  </si>
  <si>
    <t>Marshall Ridge</t>
  </si>
  <si>
    <t>Persimmon Ridge</t>
  </si>
  <si>
    <t>River Bluffs</t>
  </si>
  <si>
    <t>Springcrest</t>
  </si>
  <si>
    <t>Timberland</t>
  </si>
  <si>
    <t>JoAnne Estates</t>
  </si>
  <si>
    <t>Woodland Acres</t>
  </si>
  <si>
    <t>Residential Multi-Family</t>
  </si>
  <si>
    <t>xx</t>
  </si>
  <si>
    <t>Commercial Metered</t>
  </si>
  <si>
    <t>Note</t>
  </si>
  <si>
    <t>Usage supplied by water company</t>
  </si>
  <si>
    <t>Residential Multi-family</t>
  </si>
  <si>
    <t>Sewer Mains Information</t>
  </si>
  <si>
    <t>Length</t>
  </si>
  <si>
    <t>Income Statement-Wastewater Only</t>
  </si>
  <si>
    <t>Account</t>
  </si>
  <si>
    <t>As Filed</t>
  </si>
  <si>
    <t>Adjustments</t>
  </si>
  <si>
    <t>522.000</t>
  </si>
  <si>
    <t>Total Sewer Revenue</t>
  </si>
  <si>
    <t>Misc General Expense</t>
  </si>
  <si>
    <t>Total G&amp;A - General &amp; Admin</t>
  </si>
  <si>
    <t>701.000</t>
  </si>
  <si>
    <t>702.000</t>
  </si>
  <si>
    <t>703.000</t>
  </si>
  <si>
    <t>704.000</t>
  </si>
  <si>
    <t>705.000</t>
  </si>
  <si>
    <t>713.001</t>
  </si>
  <si>
    <t>714.000</t>
  </si>
  <si>
    <t>715.000</t>
  </si>
  <si>
    <t>Total Ops &amp; Maint - Operations &amp; Maintenance</t>
  </si>
  <si>
    <t>Total Sewer Expenses</t>
  </si>
  <si>
    <t>Rate Case Expense</t>
  </si>
  <si>
    <t>Other Revenues</t>
  </si>
  <si>
    <t>Current Revenues</t>
  </si>
  <si>
    <t>Difference ($)</t>
  </si>
  <si>
    <t>Difference (%)</t>
  </si>
  <si>
    <t>Reported Revenues</t>
  </si>
  <si>
    <t>&lt;&lt; Customers with $85.97 charge</t>
  </si>
  <si>
    <t>Variable Charge</t>
  </si>
  <si>
    <t>Proposed Fixed Charge</t>
  </si>
  <si>
    <t>Current Fixed Charges</t>
  </si>
  <si>
    <t>Unmetered/ Metered</t>
  </si>
  <si>
    <t>Note:  Delaplain consists of Residential service that is Unmetered and Commercial Service that is Metered</t>
  </si>
  <si>
    <t>Practice</t>
  </si>
  <si>
    <t>Meter and Billing</t>
  </si>
  <si>
    <t>Service</t>
  </si>
  <si>
    <t>Type</t>
  </si>
  <si>
    <t>Increase (%)</t>
  </si>
  <si>
    <t>Number of Bills</t>
  </si>
  <si>
    <t>Percent of Bills</t>
  </si>
  <si>
    <t>Customer</t>
  </si>
  <si>
    <t>Equivalency</t>
  </si>
  <si>
    <t>Equivalent</t>
  </si>
  <si>
    <t>July</t>
  </si>
  <si>
    <t>Rate</t>
  </si>
  <si>
    <t xml:space="preserve">July </t>
  </si>
  <si>
    <t>Aug-Jun</t>
  </si>
  <si>
    <t>Difference %</t>
  </si>
  <si>
    <t>Usage Rate</t>
  </si>
  <si>
    <t>Usage Revenues</t>
  </si>
  <si>
    <t>Usage (000)</t>
  </si>
  <si>
    <t>Total Calculated Revenues</t>
  </si>
  <si>
    <t>Airview Residential</t>
  </si>
  <si>
    <t>Brocklyn Multifamily</t>
  </si>
  <si>
    <t>Brocklyn Residential</t>
  </si>
  <si>
    <t>Delaplain Com</t>
  </si>
  <si>
    <t>Fox Run Residential</t>
  </si>
  <si>
    <t>Golden Acres Residential</t>
  </si>
  <si>
    <t>Great Oaks Residential</t>
  </si>
  <si>
    <t>Kingswood Residential</t>
  </si>
  <si>
    <t>Lake Columbia Flat</t>
  </si>
  <si>
    <t>Longview Residential</t>
  </si>
  <si>
    <t>Persimmon Non-Residential</t>
  </si>
  <si>
    <t>Persimmon Residential</t>
  </si>
  <si>
    <t>A</t>
  </si>
  <si>
    <t>B</t>
  </si>
  <si>
    <t>C</t>
  </si>
  <si>
    <t>D</t>
  </si>
  <si>
    <t>E</t>
  </si>
  <si>
    <t>F</t>
  </si>
  <si>
    <t>G</t>
  </si>
  <si>
    <t>H</t>
  </si>
  <si>
    <t>Other Service Areas</t>
  </si>
  <si>
    <t>I</t>
  </si>
  <si>
    <t>Base Revenues</t>
  </si>
  <si>
    <t>Randview</t>
  </si>
  <si>
    <t>Total Charge</t>
  </si>
  <si>
    <t>Persimmon Non-Residential (1)</t>
  </si>
  <si>
    <t>Assignment</t>
  </si>
  <si>
    <t>Brocklyn Multifamily (2)</t>
  </si>
  <si>
    <t>Delaplain Commercial (1)</t>
  </si>
  <si>
    <t>(2) Multifamily Fixed Charge reflects 0.75 times the Residential Fixed Charge</t>
  </si>
  <si>
    <t>(1) Commercial Fixed Charge reflects 2.50 times the Residential Fixed Charge</t>
  </si>
  <si>
    <t>Bluegrass Water Utility Operating Company, Inc.</t>
  </si>
  <si>
    <t>KY PSC Case No. 2022-00432</t>
  </si>
  <si>
    <t>Rate Base Summary - Water</t>
  </si>
  <si>
    <t>For the Period Ending June 30, 2022</t>
  </si>
  <si>
    <t>Base Year Ended June 30, 2022</t>
  </si>
  <si>
    <t>Pro Forma Adjustments</t>
  </si>
  <si>
    <t>Pro Forma For the 12 Months Ended June 30, 2022</t>
  </si>
  <si>
    <t>(A)</t>
  </si>
  <si>
    <t>(B)</t>
  </si>
  <si>
    <t>(C)</t>
  </si>
  <si>
    <t>(D)</t>
  </si>
  <si>
    <t>(E)</t>
  </si>
  <si>
    <t>Utility Plant in Service</t>
  </si>
  <si>
    <t xml:space="preserve">Accumulated Provision for Depreciation </t>
  </si>
  <si>
    <t>Accumulated Amortization</t>
  </si>
  <si>
    <t>Utility Plant Acquisition Adjustments</t>
  </si>
  <si>
    <t>Net Utility Plant</t>
  </si>
  <si>
    <t xml:space="preserve">Less: </t>
  </si>
  <si>
    <t>Contributions in Aid of Construction, net</t>
  </si>
  <si>
    <t xml:space="preserve">Subtotal: </t>
  </si>
  <si>
    <t xml:space="preserve">Add: </t>
  </si>
  <si>
    <t>Cash Working Capital</t>
  </si>
  <si>
    <t>Revenue-Sewer</t>
  </si>
  <si>
    <t>Revenue-Sewer Other</t>
  </si>
  <si>
    <t>Property Tax</t>
  </si>
  <si>
    <t>409.000</t>
  </si>
  <si>
    <t>Income Taxes</t>
  </si>
  <si>
    <t>Billing Expense</t>
  </si>
  <si>
    <t>Bad Debt Expense</t>
  </si>
  <si>
    <t>Allocated Overhead</t>
  </si>
  <si>
    <t>OSS - Bank Fees</t>
  </si>
  <si>
    <t>OSS - Legal</t>
  </si>
  <si>
    <t>OSS - Accounting</t>
  </si>
  <si>
    <t>OSS - Management Consulting</t>
  </si>
  <si>
    <t>OSS - IT</t>
  </si>
  <si>
    <t>Property Insurance</t>
  </si>
  <si>
    <t>Direct Admin</t>
  </si>
  <si>
    <t>930.200</t>
  </si>
  <si>
    <t>Sewer - Misc Operations</t>
  </si>
  <si>
    <t>Sewer - Chemicals</t>
  </si>
  <si>
    <t>Sewer - Mowing &amp; Grounds Maintenance</t>
  </si>
  <si>
    <t>Sewer - Maintenance</t>
  </si>
  <si>
    <t>Sewer - Sludge Hauling</t>
  </si>
  <si>
    <t>408.101</t>
  </si>
  <si>
    <t>408.102</t>
  </si>
  <si>
    <t>408.103</t>
  </si>
  <si>
    <t>408.104</t>
  </si>
  <si>
    <t>408.105</t>
  </si>
  <si>
    <t>408.106</t>
  </si>
  <si>
    <t>408.107</t>
  </si>
  <si>
    <t>408.108</t>
  </si>
  <si>
    <t>408.109</t>
  </si>
  <si>
    <t>408.110</t>
  </si>
  <si>
    <t>408.111</t>
  </si>
  <si>
    <t>408.112</t>
  </si>
  <si>
    <t>408.113</t>
  </si>
  <si>
    <t>408.114</t>
  </si>
  <si>
    <t>Depreciation</t>
  </si>
  <si>
    <t>CIAC Amort</t>
  </si>
  <si>
    <t>405.000</t>
  </si>
  <si>
    <t>Rate Case Amort</t>
  </si>
  <si>
    <t>Gross Operating Income</t>
  </si>
  <si>
    <t>Sewer - Contract Operations Labor &amp; Expense</t>
  </si>
  <si>
    <t xml:space="preserve">Sewer - Electric Utilities </t>
  </si>
  <si>
    <t>Sewer - Maintenance of Collection Systems</t>
  </si>
  <si>
    <t>Sewer - Maintenance Services to Customers</t>
  </si>
  <si>
    <t>Sewer - Maintenance of Pumping System</t>
  </si>
  <si>
    <t>Sewer - Maintenance of Treatment &amp; Disposal Equipment</t>
  </si>
  <si>
    <t>Sewer - Maintenance of Other Plant Facilities</t>
  </si>
  <si>
    <t>Net Reported Revenues</t>
  </si>
  <si>
    <t>Revenue Requirement</t>
  </si>
  <si>
    <t>Requirement [1]</t>
  </si>
  <si>
    <t>Less: Other Revenues</t>
  </si>
  <si>
    <t>Deficiency</t>
  </si>
  <si>
    <t>Current Base Revenues</t>
  </si>
  <si>
    <t>Proposed Base Revenues</t>
  </si>
  <si>
    <t>[1] Revenue Requirements excludes other revenues</t>
  </si>
  <si>
    <t>Development of</t>
  </si>
  <si>
    <t>Rates</t>
  </si>
  <si>
    <t>Unmetered Service</t>
  </si>
  <si>
    <t>Metered Service</t>
  </si>
  <si>
    <t>Case No. 2022-00432</t>
  </si>
  <si>
    <t>Bluegrass Water's Response to SC 2-5</t>
  </si>
  <si>
    <t>Exhibit SC 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</si>
</sst>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m\ d\,\ yyyy;@"/>
    <numFmt numFmtId="167" formatCode="0.000"/>
    <numFmt numFmtId="168" formatCode="0.0%"/>
    <numFmt numFmtId="169" formatCode="0.0000%"/>
    <numFmt numFmtId="170" formatCode="_(* #,##0.0_);_(* \(#,##0.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FF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rgb="FF333399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4" fontId="2" fillId="0" borderId="0" xfId="0" applyNumberFormat="1" applyFont="1"/>
    <xf numFmtId="164" fontId="2" fillId="0" borderId="0" xfId="0" applyNumberFormat="1" applyFont="1"/>
    <xf numFmtId="0" fontId="6" fillId="0" borderId="0" xfId="0" applyFont="1"/>
    <xf numFmtId="164" fontId="5" fillId="0" borderId="2" xfId="0" applyNumberFormat="1" applyFont="1" applyBorder="1"/>
    <xf numFmtId="165" fontId="4" fillId="2" borderId="9" xfId="1" applyNumberFormat="1" applyFont="1" applyFill="1" applyBorder="1" applyAlignment="1">
      <alignment horizontal="left"/>
    </xf>
    <xf numFmtId="164" fontId="2" fillId="0" borderId="0" xfId="2" applyNumberFormat="1" applyFont="1"/>
    <xf numFmtId="165" fontId="2" fillId="0" borderId="0" xfId="1" applyNumberFormat="1" applyFont="1"/>
    <xf numFmtId="43" fontId="2" fillId="0" borderId="0" xfId="1" applyFont="1"/>
    <xf numFmtId="0" fontId="2" fillId="0" borderId="0" xfId="0" applyFont="1" applyAlignment="1">
      <alignment horizontal="right"/>
    </xf>
    <xf numFmtId="0" fontId="4" fillId="2" borderId="11" xfId="0" applyFont="1" applyFill="1" applyBorder="1" applyAlignment="1">
      <alignment horizontal="left"/>
    </xf>
    <xf numFmtId="165" fontId="4" fillId="2" borderId="5" xfId="1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5" fillId="0" borderId="0" xfId="0" applyNumberFormat="1" applyFont="1"/>
    <xf numFmtId="0" fontId="5" fillId="0" borderId="0" xfId="0" applyFont="1" applyAlignment="1">
      <alignment horizontal="center"/>
    </xf>
    <xf numFmtId="168" fontId="2" fillId="0" borderId="0" xfId="3" applyNumberFormat="1" applyFont="1"/>
    <xf numFmtId="164" fontId="5" fillId="0" borderId="2" xfId="2" applyNumberFormat="1" applyFont="1" applyBorder="1"/>
    <xf numFmtId="0" fontId="2" fillId="0" borderId="0" xfId="0" applyFont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4" fontId="2" fillId="0" borderId="0" xfId="2" applyNumberFormat="1" applyFont="1" applyAlignment="1">
      <alignment horizontal="right" vertical="center"/>
    </xf>
    <xf numFmtId="164" fontId="2" fillId="0" borderId="0" xfId="2" applyNumberFormat="1" applyFont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right" vertical="center"/>
    </xf>
    <xf numFmtId="0" fontId="4" fillId="5" borderId="6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right" vertical="center"/>
    </xf>
    <xf numFmtId="164" fontId="4" fillId="5" borderId="16" xfId="2" applyNumberFormat="1" applyFont="1" applyFill="1" applyBorder="1" applyAlignment="1">
      <alignment horizontal="left" vertical="center"/>
    </xf>
    <xf numFmtId="164" fontId="4" fillId="5" borderId="5" xfId="2" applyNumberFormat="1" applyFont="1" applyFill="1" applyBorder="1" applyAlignment="1">
      <alignment horizontal="left" vertical="center"/>
    </xf>
    <xf numFmtId="164" fontId="4" fillId="5" borderId="3" xfId="2" applyNumberFormat="1" applyFont="1" applyFill="1" applyBorder="1" applyAlignment="1">
      <alignment horizontal="right" vertical="center"/>
    </xf>
    <xf numFmtId="165" fontId="4" fillId="5" borderId="3" xfId="1" applyNumberFormat="1" applyFont="1" applyFill="1" applyBorder="1" applyAlignment="1">
      <alignment horizontal="right" vertical="center"/>
    </xf>
    <xf numFmtId="164" fontId="4" fillId="5" borderId="9" xfId="2" applyNumberFormat="1" applyFont="1" applyFill="1" applyBorder="1" applyAlignment="1">
      <alignment horizontal="left" vertical="center"/>
    </xf>
    <xf numFmtId="164" fontId="4" fillId="5" borderId="1" xfId="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3" fillId="0" borderId="0" xfId="0" quotePrefix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right" wrapText="1"/>
    </xf>
    <xf numFmtId="44" fontId="3" fillId="0" borderId="0" xfId="2" applyFont="1" applyAlignment="1">
      <alignment horizontal="right"/>
    </xf>
    <xf numFmtId="164" fontId="3" fillId="0" borderId="0" xfId="2" applyNumberFormat="1" applyFont="1" applyAlignment="1">
      <alignment horizontal="right"/>
    </xf>
    <xf numFmtId="164" fontId="5" fillId="0" borderId="0" xfId="2" applyNumberFormat="1" applyFont="1" applyAlignment="1">
      <alignment horizontal="right"/>
    </xf>
    <xf numFmtId="10" fontId="3" fillId="0" borderId="0" xfId="3" applyNumberFormat="1" applyFont="1" applyAlignment="1">
      <alignment horizontal="right"/>
    </xf>
    <xf numFmtId="0" fontId="2" fillId="0" borderId="0" xfId="2" applyNumberFormat="1" applyFont="1" applyAlignment="1">
      <alignment horizontal="right"/>
    </xf>
    <xf numFmtId="8" fontId="2" fillId="0" borderId="0" xfId="0" applyNumberFormat="1" applyFont="1" applyAlignment="1">
      <alignment horizontal="right"/>
    </xf>
    <xf numFmtId="44" fontId="2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right"/>
    </xf>
    <xf numFmtId="164" fontId="8" fillId="0" borderId="0" xfId="2" applyNumberFormat="1" applyFont="1" applyAlignment="1">
      <alignment horizontal="right"/>
    </xf>
    <xf numFmtId="164" fontId="3" fillId="0" borderId="15" xfId="2" applyNumberFormat="1" applyFont="1" applyBorder="1" applyAlignment="1">
      <alignment horizontal="right"/>
    </xf>
    <xf numFmtId="0" fontId="4" fillId="5" borderId="2" xfId="0" applyFont="1" applyFill="1" applyBorder="1" applyAlignment="1">
      <alignment horizontal="center"/>
    </xf>
    <xf numFmtId="0" fontId="4" fillId="5" borderId="11" xfId="0" applyFont="1" applyFill="1" applyBorder="1"/>
    <xf numFmtId="165" fontId="5" fillId="0" borderId="0" xfId="1" applyNumberFormat="1" applyFont="1" applyFill="1" applyBorder="1" applyAlignment="1"/>
    <xf numFmtId="0" fontId="11" fillId="0" borderId="0" xfId="0" applyFont="1" applyAlignment="1">
      <alignment horizontal="center"/>
    </xf>
    <xf numFmtId="0" fontId="5" fillId="0" borderId="0" xfId="0" applyFont="1"/>
    <xf numFmtId="164" fontId="5" fillId="0" borderId="0" xfId="2" applyNumberFormat="1" applyFont="1"/>
    <xf numFmtId="0" fontId="6" fillId="0" borderId="0" xfId="0" applyFont="1" applyAlignment="1">
      <alignment horizontal="left" indent="1"/>
    </xf>
    <xf numFmtId="164" fontId="6" fillId="0" borderId="0" xfId="2" applyNumberFormat="1" applyFont="1"/>
    <xf numFmtId="164" fontId="6" fillId="0" borderId="0" xfId="0" applyNumberFormat="1" applyFont="1"/>
    <xf numFmtId="10" fontId="6" fillId="0" borderId="0" xfId="3" applyNumberFormat="1" applyFont="1"/>
    <xf numFmtId="169" fontId="6" fillId="0" borderId="0" xfId="0" applyNumberFormat="1" applyFont="1"/>
    <xf numFmtId="10" fontId="6" fillId="0" borderId="0" xfId="0" applyNumberFormat="1" applyFont="1"/>
    <xf numFmtId="0" fontId="6" fillId="0" borderId="0" xfId="0" applyFont="1" applyAlignment="1">
      <alignment horizontal="right"/>
    </xf>
    <xf numFmtId="164" fontId="4" fillId="5" borderId="2" xfId="2" applyNumberFormat="1" applyFont="1" applyFill="1" applyBorder="1"/>
    <xf numFmtId="0" fontId="2" fillId="0" borderId="15" xfId="0" applyFont="1" applyBorder="1"/>
    <xf numFmtId="0" fontId="5" fillId="0" borderId="0" xfId="0" applyFont="1" applyAlignment="1">
      <alignment horizontal="centerContinuous"/>
    </xf>
    <xf numFmtId="164" fontId="6" fillId="0" borderId="0" xfId="2" applyNumberFormat="1" applyFont="1" applyFill="1" applyBorder="1"/>
    <xf numFmtId="164" fontId="5" fillId="0" borderId="0" xfId="2" applyNumberFormat="1" applyFont="1" applyFill="1" applyBorder="1"/>
    <xf numFmtId="164" fontId="2" fillId="0" borderId="15" xfId="0" applyNumberFormat="1" applyFont="1" applyBorder="1"/>
    <xf numFmtId="44" fontId="4" fillId="5" borderId="16" xfId="2" applyFont="1" applyFill="1" applyBorder="1" applyAlignment="1">
      <alignment horizontal="right" vertical="center"/>
    </xf>
    <xf numFmtId="10" fontId="2" fillId="0" borderId="1" xfId="3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68" fontId="2" fillId="0" borderId="0" xfId="3" applyNumberFormat="1" applyFont="1" applyAlignment="1">
      <alignment horizontal="right" vertical="center"/>
    </xf>
    <xf numFmtId="164" fontId="2" fillId="0" borderId="0" xfId="2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/>
    <xf numFmtId="0" fontId="4" fillId="5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3" fillId="3" borderId="0" xfId="0" applyFont="1" applyFill="1"/>
    <xf numFmtId="0" fontId="3" fillId="0" borderId="1" xfId="0" applyFont="1" applyBorder="1"/>
    <xf numFmtId="0" fontId="3" fillId="3" borderId="1" xfId="0" applyFont="1" applyFill="1" applyBorder="1"/>
    <xf numFmtId="165" fontId="2" fillId="4" borderId="0" xfId="1" applyNumberFormat="1" applyFont="1" applyFill="1" applyBorder="1"/>
    <xf numFmtId="43" fontId="2" fillId="0" borderId="0" xfId="1" applyFont="1" applyBorder="1"/>
    <xf numFmtId="165" fontId="2" fillId="0" borderId="0" xfId="1" applyNumberFormat="1" applyFont="1" applyBorder="1"/>
    <xf numFmtId="0" fontId="2" fillId="4" borderId="0" xfId="0" applyFont="1" applyFill="1"/>
    <xf numFmtId="0" fontId="2" fillId="0" borderId="7" xfId="0" applyFont="1" applyBorder="1"/>
    <xf numFmtId="0" fontId="2" fillId="0" borderId="5" xfId="0" applyFont="1" applyBorder="1"/>
    <xf numFmtId="0" fontId="2" fillId="0" borderId="3" xfId="0" applyFont="1" applyBorder="1"/>
    <xf numFmtId="14" fontId="2" fillId="0" borderId="3" xfId="0" applyNumberFormat="1" applyFont="1" applyBorder="1"/>
    <xf numFmtId="0" fontId="4" fillId="2" borderId="6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14" fontId="2" fillId="0" borderId="3" xfId="0" applyNumberFormat="1" applyFont="1" applyBorder="1" applyAlignment="1">
      <alignment horizontal="center"/>
    </xf>
    <xf numFmtId="43" fontId="2" fillId="0" borderId="0" xfId="0" applyNumberFormat="1" applyFont="1"/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165" fontId="2" fillId="0" borderId="0" xfId="1" applyNumberFormat="1" applyFont="1" applyFill="1"/>
    <xf numFmtId="168" fontId="2" fillId="0" borderId="0" xfId="3" applyNumberFormat="1" applyFont="1" applyFill="1"/>
    <xf numFmtId="44" fontId="2" fillId="4" borderId="0" xfId="0" applyNumberFormat="1" applyFont="1" applyFill="1"/>
    <xf numFmtId="0" fontId="2" fillId="0" borderId="11" xfId="0" applyFont="1" applyBorder="1"/>
    <xf numFmtId="0" fontId="2" fillId="0" borderId="2" xfId="0" applyFont="1" applyBorder="1"/>
    <xf numFmtId="0" fontId="2" fillId="0" borderId="12" xfId="0" applyFont="1" applyBorder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44" fontId="2" fillId="4" borderId="3" xfId="2" applyFont="1" applyFill="1" applyBorder="1"/>
    <xf numFmtId="44" fontId="2" fillId="0" borderId="3" xfId="2" applyFont="1" applyBorder="1"/>
    <xf numFmtId="44" fontId="2" fillId="4" borderId="0" xfId="2" applyFont="1" applyFill="1" applyBorder="1"/>
    <xf numFmtId="44" fontId="2" fillId="0" borderId="0" xfId="2" applyFont="1" applyBorder="1"/>
    <xf numFmtId="44" fontId="2" fillId="4" borderId="8" xfId="2" applyFont="1" applyFill="1" applyBorder="1"/>
    <xf numFmtId="37" fontId="2" fillId="0" borderId="3" xfId="1" applyNumberFormat="1" applyFont="1" applyBorder="1" applyAlignment="1">
      <alignment horizontal="center"/>
    </xf>
    <xf numFmtId="37" fontId="2" fillId="0" borderId="0" xfId="1" applyNumberFormat="1" applyFont="1" applyBorder="1" applyAlignment="1">
      <alignment horizontal="center"/>
    </xf>
    <xf numFmtId="37" fontId="2" fillId="0" borderId="2" xfId="1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2" fillId="4" borderId="7" xfId="0" applyFont="1" applyFill="1" applyBorder="1"/>
    <xf numFmtId="37" fontId="2" fillId="4" borderId="0" xfId="1" applyNumberFormat="1" applyFont="1" applyFill="1" applyBorder="1" applyAlignment="1">
      <alignment horizontal="center"/>
    </xf>
    <xf numFmtId="14" fontId="2" fillId="4" borderId="0" xfId="0" applyNumberFormat="1" applyFont="1" applyFill="1"/>
    <xf numFmtId="14" fontId="2" fillId="4" borderId="0" xfId="0" applyNumberFormat="1" applyFont="1" applyFill="1" applyAlignment="1">
      <alignment horizontal="center"/>
    </xf>
    <xf numFmtId="0" fontId="2" fillId="4" borderId="1" xfId="0" applyFont="1" applyFill="1" applyBorder="1"/>
    <xf numFmtId="44" fontId="2" fillId="0" borderId="3" xfId="2" applyFont="1" applyFill="1" applyBorder="1"/>
    <xf numFmtId="44" fontId="2" fillId="0" borderId="0" xfId="2" applyFont="1" applyFill="1" applyBorder="1"/>
    <xf numFmtId="44" fontId="2" fillId="0" borderId="6" xfId="2" applyFont="1" applyFill="1" applyBorder="1"/>
    <xf numFmtId="44" fontId="2" fillId="0" borderId="8" xfId="2" applyFont="1" applyFill="1" applyBorder="1"/>
    <xf numFmtId="0" fontId="4" fillId="5" borderId="2" xfId="0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3" fontId="2" fillId="4" borderId="0" xfId="1" applyNumberFormat="1" applyFont="1" applyFill="1" applyBorder="1" applyAlignment="1">
      <alignment horizontal="center"/>
    </xf>
    <xf numFmtId="168" fontId="2" fillId="4" borderId="0" xfId="3" applyNumberFormat="1" applyFont="1" applyFill="1" applyBorder="1" applyAlignment="1">
      <alignment horizontal="center"/>
    </xf>
    <xf numFmtId="168" fontId="2" fillId="0" borderId="15" xfId="3" applyNumberFormat="1" applyFont="1" applyBorder="1"/>
    <xf numFmtId="170" fontId="2" fillId="0" borderId="0" xfId="1" applyNumberFormat="1" applyFont="1" applyFill="1"/>
    <xf numFmtId="0" fontId="2" fillId="6" borderId="0" xfId="0" applyFont="1" applyFill="1"/>
    <xf numFmtId="165" fontId="2" fillId="6" borderId="0" xfId="1" applyNumberFormat="1" applyFont="1" applyFill="1"/>
    <xf numFmtId="44" fontId="2" fillId="6" borderId="0" xfId="0" applyNumberFormat="1" applyFont="1" applyFill="1"/>
    <xf numFmtId="0" fontId="2" fillId="6" borderId="7" xfId="0" applyFont="1" applyFill="1" applyBorder="1"/>
    <xf numFmtId="37" fontId="2" fillId="6" borderId="0" xfId="1" applyNumberFormat="1" applyFont="1" applyFill="1" applyBorder="1" applyAlignment="1">
      <alignment horizontal="center"/>
    </xf>
    <xf numFmtId="14" fontId="2" fillId="6" borderId="0" xfId="0" applyNumberFormat="1" applyFont="1" applyFill="1"/>
    <xf numFmtId="14" fontId="2" fillId="6" borderId="0" xfId="0" applyNumberFormat="1" applyFont="1" applyFill="1" applyAlignment="1">
      <alignment horizontal="center"/>
    </xf>
    <xf numFmtId="44" fontId="2" fillId="6" borderId="0" xfId="2" applyFont="1" applyFill="1" applyBorder="1"/>
    <xf numFmtId="44" fontId="2" fillId="6" borderId="8" xfId="2" applyFont="1" applyFill="1" applyBorder="1"/>
    <xf numFmtId="0" fontId="3" fillId="0" borderId="0" xfId="0" applyFont="1" applyAlignment="1">
      <alignment horizontal="center"/>
    </xf>
    <xf numFmtId="169" fontId="3" fillId="0" borderId="0" xfId="3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quotePrefix="1" applyFont="1"/>
    <xf numFmtId="167" fontId="2" fillId="0" borderId="0" xfId="0" quotePrefix="1" applyNumberFormat="1" applyFont="1"/>
    <xf numFmtId="8" fontId="2" fillId="0" borderId="0" xfId="0" applyNumberFormat="1" applyFont="1"/>
    <xf numFmtId="167" fontId="2" fillId="0" borderId="0" xfId="0" applyNumberFormat="1" applyFont="1"/>
    <xf numFmtId="8" fontId="3" fillId="0" borderId="0" xfId="0" applyNumberFormat="1" applyFont="1" applyAlignment="1">
      <alignment horizontal="center"/>
    </xf>
    <xf numFmtId="0" fontId="12" fillId="0" borderId="0" xfId="0" applyFont="1"/>
    <xf numFmtId="167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167" fontId="3" fillId="0" borderId="0" xfId="0" applyNumberFormat="1" applyFont="1"/>
    <xf numFmtId="6" fontId="2" fillId="0" borderId="0" xfId="0" applyNumberFormat="1" applyFont="1"/>
    <xf numFmtId="6" fontId="2" fillId="0" borderId="3" xfId="0" applyNumberFormat="1" applyFont="1" applyBorder="1"/>
    <xf numFmtId="0" fontId="2" fillId="0" borderId="0" xfId="0" applyFont="1" applyAlignment="1">
      <alignment horizontal="left"/>
    </xf>
    <xf numFmtId="6" fontId="3" fillId="0" borderId="2" xfId="0" applyNumberFormat="1" applyFont="1" applyBorder="1"/>
    <xf numFmtId="6" fontId="3" fillId="0" borderId="0" xfId="0" applyNumberFormat="1" applyFont="1"/>
    <xf numFmtId="0" fontId="3" fillId="0" borderId="2" xfId="0" applyFont="1" applyBorder="1"/>
    <xf numFmtId="165" fontId="3" fillId="0" borderId="2" xfId="0" applyNumberFormat="1" applyFont="1" applyBorder="1"/>
    <xf numFmtId="164" fontId="3" fillId="0" borderId="2" xfId="2" applyNumberFormat="1" applyFont="1" applyBorder="1"/>
    <xf numFmtId="0" fontId="4" fillId="5" borderId="6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/>
    </xf>
    <xf numFmtId="164" fontId="3" fillId="0" borderId="0" xfId="0" applyNumberFormat="1" applyFont="1"/>
    <xf numFmtId="10" fontId="3" fillId="0" borderId="0" xfId="3" applyNumberFormat="1" applyFont="1"/>
    <xf numFmtId="165" fontId="3" fillId="0" borderId="2" xfId="1" applyNumberFormat="1" applyFont="1" applyBorder="1"/>
    <xf numFmtId="168" fontId="2" fillId="0" borderId="0" xfId="3" applyNumberFormat="1" applyFont="1" applyFill="1" applyBorder="1" applyAlignment="1">
      <alignment horizontal="right"/>
    </xf>
    <xf numFmtId="3" fontId="2" fillId="4" borderId="1" xfId="1" applyNumberFormat="1" applyFont="1" applyFill="1" applyBorder="1" applyAlignment="1">
      <alignment horizontal="center"/>
    </xf>
    <xf numFmtId="168" fontId="2" fillId="4" borderId="1" xfId="3" applyNumberFormat="1" applyFont="1" applyFill="1" applyBorder="1" applyAlignment="1">
      <alignment horizontal="center"/>
    </xf>
    <xf numFmtId="44" fontId="2" fillId="4" borderId="1" xfId="0" applyNumberFormat="1" applyFont="1" applyFill="1" applyBorder="1"/>
    <xf numFmtId="4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8" fontId="2" fillId="4" borderId="0" xfId="3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168" fontId="2" fillId="0" borderId="0" xfId="3" applyNumberFormat="1" applyFont="1" applyFill="1" applyBorder="1" applyAlignment="1">
      <alignment horizontal="center"/>
    </xf>
    <xf numFmtId="0" fontId="2" fillId="4" borderId="3" xfId="0" applyFont="1" applyFill="1" applyBorder="1"/>
    <xf numFmtId="3" fontId="2" fillId="4" borderId="3" xfId="1" applyNumberFormat="1" applyFont="1" applyFill="1" applyBorder="1" applyAlignment="1">
      <alignment horizontal="center"/>
    </xf>
    <xf numFmtId="168" fontId="2" fillId="4" borderId="3" xfId="3" applyNumberFormat="1" applyFont="1" applyFill="1" applyBorder="1" applyAlignment="1">
      <alignment horizontal="center"/>
    </xf>
    <xf numFmtId="44" fontId="2" fillId="4" borderId="3" xfId="0" applyNumberFormat="1" applyFont="1" applyFill="1" applyBorder="1"/>
    <xf numFmtId="168" fontId="2" fillId="4" borderId="3" xfId="3" applyNumberFormat="1" applyFont="1" applyFill="1" applyBorder="1" applyAlignment="1">
      <alignment horizontal="right"/>
    </xf>
    <xf numFmtId="168" fontId="2" fillId="4" borderId="1" xfId="3" applyNumberFormat="1" applyFont="1" applyFill="1" applyBorder="1" applyAlignment="1">
      <alignment horizontal="right"/>
    </xf>
    <xf numFmtId="164" fontId="2" fillId="0" borderId="0" xfId="2" applyNumberFormat="1" applyFont="1" applyFill="1"/>
    <xf numFmtId="164" fontId="2" fillId="6" borderId="0" xfId="2" applyNumberFormat="1" applyFont="1" applyFill="1"/>
    <xf numFmtId="165" fontId="6" fillId="6" borderId="0" xfId="1" applyNumberFormat="1" applyFont="1" applyFill="1"/>
    <xf numFmtId="170" fontId="6" fillId="6" borderId="0" xfId="1" applyNumberFormat="1" applyFont="1" applyFill="1"/>
    <xf numFmtId="165" fontId="4" fillId="5" borderId="2" xfId="0" applyNumberFormat="1" applyFont="1" applyFill="1" applyBorder="1"/>
    <xf numFmtId="168" fontId="4" fillId="5" borderId="2" xfId="0" applyNumberFormat="1" applyFont="1" applyFill="1" applyBorder="1"/>
    <xf numFmtId="0" fontId="4" fillId="5" borderId="2" xfId="0" applyFont="1" applyFill="1" applyBorder="1"/>
    <xf numFmtId="168" fontId="4" fillId="5" borderId="12" xfId="3" applyNumberFormat="1" applyFont="1" applyFill="1" applyBorder="1"/>
    <xf numFmtId="164" fontId="4" fillId="5" borderId="2" xfId="0" applyNumberFormat="1" applyFont="1" applyFill="1" applyBorder="1"/>
    <xf numFmtId="168" fontId="2" fillId="0" borderId="0" xfId="3" applyNumberFormat="1" applyFont="1" applyFill="1" applyBorder="1" applyAlignment="1">
      <alignment horizontal="right" vertical="center"/>
    </xf>
    <xf numFmtId="168" fontId="2" fillId="7" borderId="13" xfId="3" applyNumberFormat="1" applyFont="1" applyFill="1" applyBorder="1"/>
    <xf numFmtId="168" fontId="2" fillId="7" borderId="14" xfId="3" applyNumberFormat="1" applyFont="1" applyFill="1" applyBorder="1"/>
    <xf numFmtId="168" fontId="6" fillId="4" borderId="0" xfId="3" applyNumberFormat="1" applyFont="1" applyFill="1" applyBorder="1"/>
    <xf numFmtId="168" fontId="2" fillId="4" borderId="0" xfId="3" applyNumberFormat="1" applyFont="1" applyFill="1" applyBorder="1" applyAlignment="1">
      <alignment horizontal="right" vertical="center"/>
    </xf>
    <xf numFmtId="0" fontId="6" fillId="4" borderId="0" xfId="0" applyFont="1" applyFill="1"/>
    <xf numFmtId="165" fontId="6" fillId="4" borderId="0" xfId="1" applyNumberFormat="1" applyFont="1" applyFill="1" applyBorder="1"/>
    <xf numFmtId="44" fontId="6" fillId="4" borderId="0" xfId="0" applyNumberFormat="1" applyFont="1" applyFill="1"/>
    <xf numFmtId="164" fontId="2" fillId="4" borderId="0" xfId="0" applyNumberFormat="1" applyFont="1" applyFill="1"/>
    <xf numFmtId="0" fontId="3" fillId="8" borderId="5" xfId="0" applyFont="1" applyFill="1" applyBorder="1"/>
    <xf numFmtId="0" fontId="2" fillId="8" borderId="3" xfId="0" applyFont="1" applyFill="1" applyBorder="1"/>
    <xf numFmtId="43" fontId="3" fillId="8" borderId="6" xfId="1" applyFont="1" applyFill="1" applyBorder="1"/>
    <xf numFmtId="0" fontId="3" fillId="8" borderId="9" xfId="0" applyFont="1" applyFill="1" applyBorder="1"/>
    <xf numFmtId="0" fontId="2" fillId="8" borderId="1" xfId="0" applyFont="1" applyFill="1" applyBorder="1"/>
    <xf numFmtId="43" fontId="3" fillId="8" borderId="10" xfId="1" applyFont="1" applyFill="1" applyBorder="1"/>
    <xf numFmtId="44" fontId="5" fillId="0" borderId="0" xfId="0" applyNumberFormat="1" applyFont="1" applyAlignment="1">
      <alignment horizontal="right" vertical="center"/>
    </xf>
    <xf numFmtId="10" fontId="2" fillId="0" borderId="0" xfId="3" applyNumberFormat="1" applyFont="1"/>
    <xf numFmtId="165" fontId="2" fillId="0" borderId="0" xfId="0" applyNumberFormat="1" applyFont="1"/>
    <xf numFmtId="2" fontId="8" fillId="0" borderId="0" xfId="2" applyNumberFormat="1" applyFont="1" applyAlignment="1">
      <alignment horizontal="right"/>
    </xf>
    <xf numFmtId="2" fontId="8" fillId="0" borderId="0" xfId="2" applyNumberFormat="1" applyFont="1" applyFill="1" applyAlignment="1">
      <alignment horizontal="right"/>
    </xf>
    <xf numFmtId="168" fontId="8" fillId="0" borderId="0" xfId="3" applyNumberFormat="1" applyFont="1" applyFill="1" applyAlignment="1">
      <alignment horizontal="right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4" fontId="15" fillId="0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4" fontId="15" fillId="0" borderId="0" xfId="2" applyFont="1" applyAlignment="1">
      <alignment horizontal="center" vertical="center"/>
    </xf>
    <xf numFmtId="6" fontId="16" fillId="0" borderId="0" xfId="1" applyNumberFormat="1" applyFont="1" applyAlignment="1">
      <alignment vertical="center"/>
    </xf>
    <xf numFmtId="6" fontId="16" fillId="0" borderId="0" xfId="1" applyNumberFormat="1" applyFont="1" applyBorder="1" applyAlignment="1">
      <alignment vertical="center"/>
    </xf>
    <xf numFmtId="6" fontId="16" fillId="0" borderId="2" xfId="1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6" fontId="16" fillId="0" borderId="3" xfId="1" applyNumberFormat="1" applyFont="1" applyBorder="1" applyAlignment="1">
      <alignment vertical="center"/>
    </xf>
    <xf numFmtId="6" fontId="15" fillId="0" borderId="15" xfId="1" applyNumberFormat="1" applyFont="1" applyBorder="1" applyAlignment="1">
      <alignment vertical="center"/>
    </xf>
    <xf numFmtId="165" fontId="16" fillId="0" borderId="0" xfId="1" applyNumberFormat="1" applyFont="1" applyBorder="1" applyAlignment="1">
      <alignment vertical="center"/>
    </xf>
    <xf numFmtId="43" fontId="16" fillId="0" borderId="0" xfId="1" applyFont="1" applyBorder="1" applyAlignment="1">
      <alignment vertical="center"/>
    </xf>
    <xf numFmtId="6" fontId="16" fillId="0" borderId="0" xfId="0" applyNumberFormat="1" applyFont="1" applyAlignment="1">
      <alignment vertical="center"/>
    </xf>
    <xf numFmtId="168" fontId="3" fillId="0" borderId="0" xfId="3" applyNumberFormat="1" applyFont="1" applyAlignment="1">
      <alignment horizontal="right"/>
    </xf>
    <xf numFmtId="164" fontId="18" fillId="0" borderId="0" xfId="2" applyNumberFormat="1" applyFont="1" applyAlignment="1">
      <alignment horizontal="right"/>
    </xf>
    <xf numFmtId="164" fontId="3" fillId="6" borderId="17" xfId="0" applyNumberFormat="1" applyFont="1" applyFill="1" applyBorder="1"/>
    <xf numFmtId="44" fontId="4" fillId="5" borderId="13" xfId="2" applyFont="1" applyFill="1" applyBorder="1" applyAlignment="1">
      <alignment horizontal="right" vertical="center"/>
    </xf>
    <xf numFmtId="164" fontId="6" fillId="0" borderId="0" xfId="3" applyNumberFormat="1" applyFont="1"/>
    <xf numFmtId="0" fontId="4" fillId="5" borderId="11" xfId="0" applyFont="1" applyFill="1" applyBorder="1" applyAlignment="1">
      <alignment horizontal="centerContinuous"/>
    </xf>
    <xf numFmtId="0" fontId="4" fillId="5" borderId="2" xfId="0" applyFont="1" applyFill="1" applyBorder="1" applyAlignment="1">
      <alignment horizontal="centerContinuous"/>
    </xf>
    <xf numFmtId="164" fontId="5" fillId="0" borderId="15" xfId="0" applyNumberFormat="1" applyFont="1" applyBorder="1"/>
    <xf numFmtId="164" fontId="3" fillId="0" borderId="0" xfId="2" applyNumberFormat="1" applyFont="1" applyBorder="1"/>
    <xf numFmtId="0" fontId="2" fillId="0" borderId="0" xfId="0" applyFont="1" applyAlignment="1">
      <alignment horizontal="left" vertical="center"/>
    </xf>
    <xf numFmtId="164" fontId="3" fillId="0" borderId="3" xfId="0" applyNumberFormat="1" applyFont="1" applyBorder="1"/>
    <xf numFmtId="44" fontId="4" fillId="5" borderId="14" xfId="2" applyFont="1" applyFill="1" applyBorder="1"/>
    <xf numFmtId="0" fontId="4" fillId="2" borderId="12" xfId="0" applyFont="1" applyFill="1" applyBorder="1" applyAlignment="1">
      <alignment horizontal="right"/>
    </xf>
    <xf numFmtId="44" fontId="2" fillId="0" borderId="0" xfId="3" applyNumberFormat="1" applyFont="1"/>
    <xf numFmtId="168" fontId="6" fillId="4" borderId="5" xfId="3" applyNumberFormat="1" applyFont="1" applyFill="1" applyBorder="1"/>
    <xf numFmtId="168" fontId="6" fillId="4" borderId="6" xfId="3" applyNumberFormat="1" applyFont="1" applyFill="1" applyBorder="1"/>
    <xf numFmtId="168" fontId="14" fillId="4" borderId="9" xfId="3" applyNumberFormat="1" applyFont="1" applyFill="1" applyBorder="1"/>
    <xf numFmtId="168" fontId="14" fillId="4" borderId="10" xfId="3" applyNumberFormat="1" applyFont="1" applyFill="1" applyBorder="1"/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7">
    <cellStyle name="Comma" xfId="1" builtinId="3"/>
    <cellStyle name="Comma 2" xfId="6"/>
    <cellStyle name="Currency" xfId="2" builtinId="4"/>
    <cellStyle name="Currency 2" xfId="5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colors>
    <mruColors>
      <color rgb="FF0000FF"/>
      <color rgb="FFD9D9D9"/>
      <color rgb="FF333399"/>
      <color rgb="FF00FF00"/>
      <color rgb="FFBFBFBF"/>
      <color rgb="FFF2F2F2"/>
      <color rgb="FF5F6062"/>
      <color rgb="FF3333FF"/>
      <color rgb="FFFFFF00"/>
      <color rgb="FFEAAD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0971894479648"/>
          <c:y val="0.14124362509548891"/>
          <c:w val="0.86773754469885989"/>
          <c:h val="0.67697888783156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'Sewer Rate Design'!$D$61</c:f>
              <c:strCache>
                <c:ptCount val="1"/>
                <c:pt idx="0">
                  <c:v>Proposed Fixed Charge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'Sewer Rate Design'!$A$63:$A$71</c:f>
              <c:strCache>
                <c:ptCount val="9"/>
                <c:pt idx="0">
                  <c:v>Persimmon Non-Residential (1) (12)</c:v>
                </c:pt>
                <c:pt idx="1">
                  <c:v>Brocklyn Multifamily (2) (1,119)</c:v>
                </c:pt>
                <c:pt idx="2">
                  <c:v>Herrington Haven (288)</c:v>
                </c:pt>
                <c:pt idx="3">
                  <c:v>Darlington Creek (1,400)</c:v>
                </c:pt>
                <c:pt idx="4">
                  <c:v>Springcrest (504)</c:v>
                </c:pt>
                <c:pt idx="5">
                  <c:v>Woodland Acres (1,091)</c:v>
                </c:pt>
                <c:pt idx="6">
                  <c:v>Delaplain (3,654)</c:v>
                </c:pt>
                <c:pt idx="7">
                  <c:v>Delaplain Commercial (1) (408)</c:v>
                </c:pt>
                <c:pt idx="8">
                  <c:v>Other Service Areas (21,065)</c:v>
                </c:pt>
              </c:strCache>
            </c:strRef>
          </c:cat>
          <c:val>
            <c:numRef>
              <c:f>'Sewer Rate Design'!$D$63:$D$71</c:f>
              <c:numCache>
                <c:formatCode>_("$"* #,##0.00_);_("$"* \(#,##0.00\);_("$"* "-"??_);_(@_)</c:formatCode>
                <c:ptCount val="9"/>
                <c:pt idx="0">
                  <c:v>262.02499999999998</c:v>
                </c:pt>
                <c:pt idx="1">
                  <c:v>78.607500000000002</c:v>
                </c:pt>
                <c:pt idx="2">
                  <c:v>104.81</c:v>
                </c:pt>
                <c:pt idx="3">
                  <c:v>104.81</c:v>
                </c:pt>
                <c:pt idx="4">
                  <c:v>104.81</c:v>
                </c:pt>
                <c:pt idx="5">
                  <c:v>104.81</c:v>
                </c:pt>
                <c:pt idx="6">
                  <c:v>104.81</c:v>
                </c:pt>
                <c:pt idx="7">
                  <c:v>262.02499999999998</c:v>
                </c:pt>
                <c:pt idx="8">
                  <c:v>104.81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4-46DC-88EB-D5FC535B1D4A}"/>
            </c:ext>
          </c:extLst>
        </c:ser>
        <c:ser>
          <c:idx val="1"/>
          <c:order val="1"/>
          <c:tx>
            <c:strRef>
              <c:f>'Sewer Rate Design'!$E$61</c:f>
              <c:strCache>
                <c:ptCount val="1"/>
                <c:pt idx="0">
                  <c:v>Current Fixed Charges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'Sewer Rate Design'!$A$63:$A$71</c:f>
              <c:strCache>
                <c:ptCount val="9"/>
                <c:pt idx="0">
                  <c:v>Persimmon Non-Residential (1) (12)</c:v>
                </c:pt>
                <c:pt idx="1">
                  <c:v>Brocklyn Multifamily (2) (1,119)</c:v>
                </c:pt>
                <c:pt idx="2">
                  <c:v>Herrington Haven (288)</c:v>
                </c:pt>
                <c:pt idx="3">
                  <c:v>Darlington Creek (1,400)</c:v>
                </c:pt>
                <c:pt idx="4">
                  <c:v>Springcrest (504)</c:v>
                </c:pt>
                <c:pt idx="5">
                  <c:v>Woodland Acres (1,091)</c:v>
                </c:pt>
                <c:pt idx="6">
                  <c:v>Delaplain (3,654)</c:v>
                </c:pt>
                <c:pt idx="7">
                  <c:v>Delaplain Commercial (1) (408)</c:v>
                </c:pt>
                <c:pt idx="8">
                  <c:v>Other Service Areas (21,065)</c:v>
                </c:pt>
              </c:strCache>
            </c:strRef>
          </c:cat>
          <c:val>
            <c:numRef>
              <c:f>'Sewer Rate Design'!$E$63:$E$71</c:f>
              <c:numCache>
                <c:formatCode>_("$"* #,##0.00_);_("$"* \(#,##0.00\);_("$"* "-"??_);_(@_)</c:formatCode>
                <c:ptCount val="9"/>
                <c:pt idx="0">
                  <c:v>214.92500000000001</c:v>
                </c:pt>
                <c:pt idx="1">
                  <c:v>64.48</c:v>
                </c:pt>
                <c:pt idx="2">
                  <c:v>49.66</c:v>
                </c:pt>
                <c:pt idx="3">
                  <c:v>45</c:v>
                </c:pt>
                <c:pt idx="4">
                  <c:v>27.43</c:v>
                </c:pt>
                <c:pt idx="5">
                  <c:v>19.47</c:v>
                </c:pt>
                <c:pt idx="6">
                  <c:v>12.5</c:v>
                </c:pt>
                <c:pt idx="7">
                  <c:v>0</c:v>
                </c:pt>
                <c:pt idx="8">
                  <c:v>85.97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4-4D7F-882F-72F0F5C66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7"/>
        <c:axId val="1332875536"/>
        <c:axId val="1332876368"/>
      </c:barChart>
      <c:catAx>
        <c:axId val="1332875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Service Area (Number of Bills)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876368"/>
        <c:crosses val="autoZero"/>
        <c:auto val="1"/>
        <c:lblAlgn val="ctr"/>
        <c:lblOffset val="100"/>
        <c:noMultiLvlLbl val="0"/>
      </c:catAx>
      <c:valAx>
        <c:axId val="1332876368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87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160057</xdr:colOff>
      <xdr:row>41</xdr:row>
      <xdr:rowOff>133724</xdr:rowOff>
    </xdr:from>
    <xdr:to>
      <xdr:col>7</xdr:col>
      <xdr:colOff>807555</xdr:colOff>
      <xdr:row>59</xdr:row>
      <xdr:rowOff>96372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E8723C-C61F-F06B-195C-7EED652957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276185</xdr:colOff>
      <xdr:row>1</xdr:row>
      <xdr:rowOff>19050</xdr:rowOff>
    </xdr:from>
    <xdr:to>
      <xdr:col>20</xdr:col>
      <xdr:colOff>333375</xdr:colOff>
      <xdr:row>40</xdr:row>
      <xdr:rowOff>102870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0BD008-787A-AB70-E1D7-B2453BB54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35" y="180975"/>
          <a:ext cx="5924590" cy="6417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lyons\Box%20Sync\439-006%20CSWR%20Rate%20Design%20Support\439-006%20CSWR%20Rate%20Design%20Support\Current%20Study%20(KY)\KY%20Billing%20Determinants_v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Summary"/>
      <sheetName val="Billing Data"/>
      <sheetName val="Rate Sheet"/>
    </sheetNames>
    <sheetDataSet>
      <sheetData sheetId="0">
        <row r="3">
          <cell r="F3">
            <v>85.97</v>
          </cell>
          <cell r="G3">
            <v>2178.0058159823202</v>
          </cell>
        </row>
        <row r="4">
          <cell r="F4">
            <v>85.97</v>
          </cell>
          <cell r="G4">
            <v>284.92299639409106</v>
          </cell>
        </row>
        <row r="5">
          <cell r="F5">
            <v>64.48</v>
          </cell>
          <cell r="G5">
            <v>1037</v>
          </cell>
        </row>
        <row r="6">
          <cell r="F6">
            <v>85.97</v>
          </cell>
          <cell r="G6">
            <v>810.91392346167277</v>
          </cell>
        </row>
        <row r="7">
          <cell r="F7">
            <v>85.97</v>
          </cell>
          <cell r="G7">
            <v>416.16668605327447</v>
          </cell>
        </row>
        <row r="8">
          <cell r="F8">
            <v>45</v>
          </cell>
          <cell r="G8">
            <v>1283.2366666666667</v>
          </cell>
        </row>
        <row r="9">
          <cell r="D9">
            <v>8.89</v>
          </cell>
          <cell r="G9">
            <v>374</v>
          </cell>
          <cell r="H9">
            <v>49776.577195725527</v>
          </cell>
        </row>
        <row r="10">
          <cell r="F10">
            <v>12.5</v>
          </cell>
          <cell r="G10">
            <v>3352.0624000000003</v>
          </cell>
        </row>
        <row r="11">
          <cell r="F11">
            <v>85.97</v>
          </cell>
          <cell r="G11">
            <v>385.00000000000006</v>
          </cell>
        </row>
        <row r="12">
          <cell r="F12">
            <v>85.97</v>
          </cell>
          <cell r="G12">
            <v>319.00000000000006</v>
          </cell>
        </row>
        <row r="13">
          <cell r="F13">
            <v>85.97</v>
          </cell>
          <cell r="G13">
            <v>1766.3161567988834</v>
          </cell>
        </row>
        <row r="14">
          <cell r="F14">
            <v>49.66</v>
          </cell>
          <cell r="G14">
            <v>263.99999999999994</v>
          </cell>
        </row>
        <row r="15">
          <cell r="F15">
            <v>85.97</v>
          </cell>
          <cell r="G15">
            <v>1440.3666395254158</v>
          </cell>
        </row>
        <row r="16">
          <cell r="F16">
            <v>85.97</v>
          </cell>
          <cell r="G16">
            <v>363</v>
          </cell>
        </row>
        <row r="17">
          <cell r="F17">
            <v>85.97</v>
          </cell>
          <cell r="G17">
            <v>3631.0664185180876</v>
          </cell>
        </row>
        <row r="18">
          <cell r="F18">
            <v>85.97</v>
          </cell>
          <cell r="G18">
            <v>438.52634639990697</v>
          </cell>
        </row>
        <row r="19">
          <cell r="F19">
            <v>214.92500000000001</v>
          </cell>
          <cell r="G19">
            <v>11.000255903222053</v>
          </cell>
        </row>
        <row r="20">
          <cell r="F20">
            <v>85.97</v>
          </cell>
          <cell r="G20">
            <v>3936.7844596952418</v>
          </cell>
        </row>
        <row r="21">
          <cell r="F21">
            <v>85.97</v>
          </cell>
          <cell r="G21">
            <v>605.86204489938359</v>
          </cell>
        </row>
        <row r="22">
          <cell r="F22">
            <v>85.97</v>
          </cell>
          <cell r="G22">
            <v>1985.0616494125861</v>
          </cell>
        </row>
        <row r="23">
          <cell r="F23">
            <v>27.43</v>
          </cell>
          <cell r="G23">
            <v>462</v>
          </cell>
        </row>
        <row r="24">
          <cell r="F24">
            <v>85.97</v>
          </cell>
          <cell r="G24">
            <v>758.25741537745728</v>
          </cell>
        </row>
        <row r="25">
          <cell r="F25">
            <v>19.47</v>
          </cell>
          <cell r="G25">
            <v>1000.1725731895224</v>
          </cell>
        </row>
        <row r="29">
          <cell r="F29">
            <v>41.36</v>
          </cell>
          <cell r="G29">
            <v>195.19995164410059</v>
          </cell>
        </row>
        <row r="30">
          <cell r="F30">
            <v>25</v>
          </cell>
          <cell r="G30">
            <v>25.066800000000001</v>
          </cell>
        </row>
        <row r="31">
          <cell r="F31">
            <v>30.4</v>
          </cell>
          <cell r="G31">
            <v>82</v>
          </cell>
        </row>
        <row r="32">
          <cell r="F32">
            <v>40</v>
          </cell>
          <cell r="G32">
            <v>73.066749999999999</v>
          </cell>
        </row>
        <row r="33">
          <cell r="F33">
            <v>16</v>
          </cell>
          <cell r="G33">
            <v>38</v>
          </cell>
        </row>
        <row r="34">
          <cell r="F34">
            <v>15</v>
          </cell>
          <cell r="G34">
            <v>117</v>
          </cell>
        </row>
        <row r="35">
          <cell r="G35">
            <v>34</v>
          </cell>
        </row>
        <row r="36">
          <cell r="F36">
            <v>12.5</v>
          </cell>
          <cell r="G36">
            <v>302.16719999999998</v>
          </cell>
        </row>
        <row r="37">
          <cell r="F37">
            <v>55.85</v>
          </cell>
          <cell r="G37">
            <v>35</v>
          </cell>
        </row>
        <row r="38">
          <cell r="F38">
            <v>39.57</v>
          </cell>
          <cell r="G38">
            <v>29</v>
          </cell>
        </row>
        <row r="39">
          <cell r="F39">
            <v>28.84</v>
          </cell>
          <cell r="G39">
            <v>161</v>
          </cell>
        </row>
        <row r="40">
          <cell r="F40">
            <v>49.66</v>
          </cell>
          <cell r="G40">
            <v>24</v>
          </cell>
        </row>
        <row r="41">
          <cell r="F41">
            <v>38.840000000000003</v>
          </cell>
          <cell r="G41">
            <v>130.06642636457261</v>
          </cell>
        </row>
        <row r="42">
          <cell r="F42">
            <v>50.32</v>
          </cell>
          <cell r="G42">
            <v>33</v>
          </cell>
        </row>
        <row r="43">
          <cell r="F43">
            <v>30</v>
          </cell>
          <cell r="G43">
            <v>329.1</v>
          </cell>
        </row>
        <row r="44">
          <cell r="F44">
            <v>15</v>
          </cell>
          <cell r="G44">
            <v>40</v>
          </cell>
        </row>
        <row r="45">
          <cell r="F45">
            <v>35</v>
          </cell>
          <cell r="G45">
            <v>1</v>
          </cell>
        </row>
        <row r="46">
          <cell r="F46">
            <v>35</v>
          </cell>
          <cell r="G46">
            <v>355.26628571428569</v>
          </cell>
        </row>
        <row r="47">
          <cell r="F47">
            <v>25</v>
          </cell>
          <cell r="G47">
            <v>55</v>
          </cell>
        </row>
        <row r="48">
          <cell r="F48">
            <v>58.16</v>
          </cell>
          <cell r="G48">
            <v>179.1334250343879</v>
          </cell>
        </row>
        <row r="49">
          <cell r="F49">
            <v>27.43</v>
          </cell>
          <cell r="G49">
            <v>42</v>
          </cell>
        </row>
        <row r="50">
          <cell r="F50">
            <v>34.71</v>
          </cell>
          <cell r="G50">
            <v>68.066551426101995</v>
          </cell>
        </row>
        <row r="51">
          <cell r="F51">
            <v>19.47</v>
          </cell>
          <cell r="G51">
            <v>91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5F6062"/>
      </a:dk2>
      <a:lt2>
        <a:srgbClr val="BEBFC0"/>
      </a:lt2>
      <a:accent1>
        <a:srgbClr val="5F6062"/>
      </a:accent1>
      <a:accent2>
        <a:srgbClr val="26BCD7"/>
      </a:accent2>
      <a:accent3>
        <a:srgbClr val="EE9834"/>
      </a:accent3>
      <a:accent4>
        <a:srgbClr val="62BB46"/>
      </a:accent4>
      <a:accent5>
        <a:srgbClr val="C33A32"/>
      </a:accent5>
      <a:accent6>
        <a:srgbClr val="FDBA1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G6"/>
  <sheetViews>
    <sheetView tabSelected="1" workbookViewId="0">
      <selection activeCell="G12" sqref="G12"/>
    </sheetView>
  </sheetViews>
  <sheetFormatPr defaultRowHeight="15" x14ac:dyDescent="0.25"/>
  <sheetData>
    <row r="4" spans="4:7" x14ac:dyDescent="0.25">
      <c r="D4" s="256" t="s">
        <v>308</v>
      </c>
      <c r="E4" s="256"/>
      <c r="F4" s="256"/>
      <c r="G4" s="256"/>
    </row>
    <row r="5" spans="4:7" x14ac:dyDescent="0.25">
      <c r="D5" s="256" t="s">
        <v>309</v>
      </c>
      <c r="E5" s="256"/>
      <c r="F5" s="256"/>
      <c r="G5" s="256"/>
    </row>
    <row r="6" spans="4:7" x14ac:dyDescent="0.25">
      <c r="D6" s="256" t="s">
        <v>310</v>
      </c>
      <c r="E6" s="256"/>
      <c r="F6" s="256"/>
      <c r="G6" s="25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defaultColWidth="20.5703125" defaultRowHeight="12.75" x14ac:dyDescent="0.2"/>
  <cols>
    <col min="1" max="16384" width="20.5703125" style="1"/>
  </cols>
  <sheetData>
    <row r="1" spans="1:8" x14ac:dyDescent="0.2">
      <c r="A1" s="3" t="s">
        <v>110</v>
      </c>
    </row>
    <row r="2" spans="1:8" x14ac:dyDescent="0.2">
      <c r="A2" s="1" t="s">
        <v>22</v>
      </c>
    </row>
    <row r="3" spans="1:8" x14ac:dyDescent="0.2">
      <c r="A3" s="1" t="s">
        <v>111</v>
      </c>
    </row>
    <row r="5" spans="1:8" x14ac:dyDescent="0.2">
      <c r="B5" s="84" t="s">
        <v>10</v>
      </c>
      <c r="C5" s="84" t="s">
        <v>11</v>
      </c>
      <c r="D5" s="84" t="s">
        <v>5</v>
      </c>
      <c r="E5" s="84" t="s">
        <v>12</v>
      </c>
      <c r="F5" s="84" t="s">
        <v>13</v>
      </c>
      <c r="G5" s="84" t="s">
        <v>14</v>
      </c>
      <c r="H5" s="84" t="s">
        <v>142</v>
      </c>
    </row>
    <row r="6" spans="1:8" x14ac:dyDescent="0.2">
      <c r="B6" s="1" t="s">
        <v>112</v>
      </c>
      <c r="C6" s="1" t="s">
        <v>113</v>
      </c>
      <c r="D6" s="1" t="s">
        <v>28</v>
      </c>
      <c r="E6" s="1">
        <v>210</v>
      </c>
      <c r="F6" s="106">
        <v>43732</v>
      </c>
      <c r="G6" s="106" t="s">
        <v>21</v>
      </c>
      <c r="H6" s="10"/>
    </row>
    <row r="7" spans="1:8" x14ac:dyDescent="0.2">
      <c r="B7" s="1" t="s">
        <v>115</v>
      </c>
      <c r="C7" s="1" t="s">
        <v>115</v>
      </c>
      <c r="D7" s="1" t="s">
        <v>28</v>
      </c>
      <c r="E7" s="1">
        <v>25</v>
      </c>
      <c r="F7" s="106">
        <v>44154</v>
      </c>
      <c r="G7" s="106" t="s">
        <v>21</v>
      </c>
      <c r="H7" s="10"/>
    </row>
    <row r="8" spans="1:8" x14ac:dyDescent="0.2">
      <c r="B8" s="1" t="s">
        <v>116</v>
      </c>
      <c r="C8" s="1" t="s">
        <v>117</v>
      </c>
      <c r="D8" s="1" t="s">
        <v>28</v>
      </c>
      <c r="E8" s="1">
        <v>170</v>
      </c>
      <c r="F8" s="106">
        <v>43725</v>
      </c>
      <c r="G8" s="106" t="s">
        <v>21</v>
      </c>
      <c r="H8" s="10"/>
    </row>
    <row r="9" spans="1:8" x14ac:dyDescent="0.2">
      <c r="B9" s="1" t="s">
        <v>118</v>
      </c>
      <c r="C9" s="1" t="s">
        <v>118</v>
      </c>
      <c r="D9" s="1" t="s">
        <v>28</v>
      </c>
      <c r="E9" s="1">
        <v>38</v>
      </c>
      <c r="F9" s="106">
        <v>44154</v>
      </c>
      <c r="G9" s="106" t="s">
        <v>21</v>
      </c>
      <c r="H9" s="10"/>
    </row>
    <row r="10" spans="1:8" x14ac:dyDescent="0.2">
      <c r="B10" s="1" t="s">
        <v>119</v>
      </c>
      <c r="C10" s="1" t="s">
        <v>120</v>
      </c>
      <c r="D10" s="1" t="s">
        <v>28</v>
      </c>
      <c r="E10" s="1">
        <v>117</v>
      </c>
      <c r="F10" s="106">
        <v>44651</v>
      </c>
      <c r="G10" s="106" t="s">
        <v>21</v>
      </c>
      <c r="H10" s="10"/>
    </row>
    <row r="11" spans="1:8" x14ac:dyDescent="0.2">
      <c r="B11" s="1" t="s">
        <v>121</v>
      </c>
      <c r="C11" s="1" t="s">
        <v>122</v>
      </c>
      <c r="D11" s="1" t="s">
        <v>28</v>
      </c>
      <c r="E11" s="1">
        <v>337</v>
      </c>
      <c r="F11" s="106">
        <v>44250</v>
      </c>
      <c r="G11" s="106" t="s">
        <v>141</v>
      </c>
      <c r="H11" s="10" t="s">
        <v>143</v>
      </c>
    </row>
    <row r="12" spans="1:8" x14ac:dyDescent="0.2">
      <c r="B12" s="1" t="s">
        <v>30</v>
      </c>
      <c r="C12" s="1" t="s">
        <v>123</v>
      </c>
      <c r="D12" s="1" t="s">
        <v>28</v>
      </c>
      <c r="E12" s="1">
        <v>39</v>
      </c>
      <c r="F12" s="106">
        <v>43738</v>
      </c>
      <c r="G12" s="106" t="s">
        <v>21</v>
      </c>
      <c r="H12" s="10"/>
    </row>
    <row r="13" spans="1:8" x14ac:dyDescent="0.2">
      <c r="B13" s="1" t="s">
        <v>124</v>
      </c>
      <c r="C13" s="1" t="s">
        <v>125</v>
      </c>
      <c r="D13" s="1" t="s">
        <v>28</v>
      </c>
      <c r="E13" s="1">
        <v>29</v>
      </c>
      <c r="F13" s="106">
        <v>43738</v>
      </c>
      <c r="G13" s="106" t="s">
        <v>21</v>
      </c>
      <c r="H13" s="10"/>
    </row>
    <row r="14" spans="1:8" x14ac:dyDescent="0.2">
      <c r="B14" s="1" t="s">
        <v>126</v>
      </c>
      <c r="C14" s="1" t="s">
        <v>125</v>
      </c>
      <c r="D14" s="1" t="s">
        <v>28</v>
      </c>
      <c r="E14" s="1">
        <v>161</v>
      </c>
      <c r="F14" s="106">
        <v>43738</v>
      </c>
      <c r="G14" s="106" t="s">
        <v>21</v>
      </c>
      <c r="H14" s="10"/>
    </row>
    <row r="15" spans="1:8" x14ac:dyDescent="0.2">
      <c r="B15" s="1" t="s">
        <v>127</v>
      </c>
      <c r="C15" s="1" t="s">
        <v>127</v>
      </c>
      <c r="D15" s="1" t="s">
        <v>28</v>
      </c>
      <c r="E15" s="1">
        <v>24</v>
      </c>
      <c r="F15" s="106">
        <v>44250</v>
      </c>
      <c r="G15" s="106" t="s">
        <v>21</v>
      </c>
      <c r="H15" s="10"/>
    </row>
    <row r="16" spans="1:8" x14ac:dyDescent="0.2">
      <c r="B16" s="1" t="s">
        <v>128</v>
      </c>
      <c r="C16" s="1" t="s">
        <v>129</v>
      </c>
      <c r="D16" s="1" t="s">
        <v>28</v>
      </c>
      <c r="E16" s="1">
        <v>345</v>
      </c>
      <c r="F16" s="106">
        <v>43733</v>
      </c>
      <c r="G16" s="106" t="s">
        <v>21</v>
      </c>
      <c r="H16" s="10"/>
    </row>
    <row r="17" spans="2:8" x14ac:dyDescent="0.2">
      <c r="B17" s="1" t="s">
        <v>130</v>
      </c>
      <c r="C17" s="1" t="s">
        <v>130</v>
      </c>
      <c r="D17" s="1" t="s">
        <v>28</v>
      </c>
      <c r="E17" s="1">
        <v>131</v>
      </c>
      <c r="F17" s="106">
        <v>43724</v>
      </c>
      <c r="G17" s="106" t="s">
        <v>21</v>
      </c>
      <c r="H17" s="10"/>
    </row>
    <row r="18" spans="2:8" x14ac:dyDescent="0.2">
      <c r="B18" s="1" t="s">
        <v>131</v>
      </c>
      <c r="C18" s="1" t="s">
        <v>131</v>
      </c>
      <c r="D18" s="1" t="s">
        <v>28</v>
      </c>
      <c r="E18" s="1">
        <v>32</v>
      </c>
      <c r="F18" s="106">
        <v>43732</v>
      </c>
      <c r="G18" s="106" t="s">
        <v>21</v>
      </c>
      <c r="H18" s="10"/>
    </row>
    <row r="19" spans="2:8" x14ac:dyDescent="0.2">
      <c r="B19" s="1" t="s">
        <v>132</v>
      </c>
      <c r="C19" s="1" t="s">
        <v>132</v>
      </c>
      <c r="D19" s="1" t="s">
        <v>28</v>
      </c>
      <c r="E19" s="1">
        <v>38</v>
      </c>
      <c r="F19" s="106">
        <v>44001</v>
      </c>
      <c r="G19" s="106" t="s">
        <v>21</v>
      </c>
      <c r="H19" s="10"/>
    </row>
    <row r="20" spans="2:8" x14ac:dyDescent="0.2">
      <c r="B20" s="1" t="s">
        <v>133</v>
      </c>
      <c r="C20" s="1" t="s">
        <v>133</v>
      </c>
      <c r="D20" s="1" t="s">
        <v>28</v>
      </c>
      <c r="E20" s="1">
        <v>355</v>
      </c>
      <c r="F20" s="106">
        <v>43724</v>
      </c>
      <c r="G20" s="106" t="s">
        <v>21</v>
      </c>
      <c r="H20" s="10"/>
    </row>
    <row r="21" spans="2:8" x14ac:dyDescent="0.2">
      <c r="B21" s="1" t="s">
        <v>219</v>
      </c>
      <c r="C21" s="1" t="s">
        <v>219</v>
      </c>
      <c r="D21" s="1" t="s">
        <v>28</v>
      </c>
      <c r="E21" s="1">
        <v>56</v>
      </c>
      <c r="F21" s="106">
        <v>44154</v>
      </c>
      <c r="G21" s="106" t="s">
        <v>21</v>
      </c>
      <c r="H21" s="10"/>
    </row>
    <row r="22" spans="2:8" x14ac:dyDescent="0.2">
      <c r="B22" s="1" t="s">
        <v>134</v>
      </c>
      <c r="C22" s="1" t="s">
        <v>134</v>
      </c>
      <c r="D22" s="1" t="s">
        <v>28</v>
      </c>
      <c r="E22" s="1">
        <v>179</v>
      </c>
      <c r="F22" s="106">
        <v>43952</v>
      </c>
      <c r="G22" s="106" t="s">
        <v>21</v>
      </c>
      <c r="H22" s="11"/>
    </row>
    <row r="23" spans="2:8" x14ac:dyDescent="0.2">
      <c r="B23" s="1" t="s">
        <v>135</v>
      </c>
      <c r="C23" s="1" t="s">
        <v>135</v>
      </c>
      <c r="D23" s="1" t="s">
        <v>28</v>
      </c>
      <c r="E23" s="1">
        <v>42</v>
      </c>
      <c r="F23" s="106">
        <v>44250</v>
      </c>
      <c r="G23" s="106" t="s">
        <v>21</v>
      </c>
    </row>
    <row r="24" spans="2:8" x14ac:dyDescent="0.2">
      <c r="B24" s="1" t="s">
        <v>136</v>
      </c>
      <c r="C24" s="1" t="s">
        <v>137</v>
      </c>
      <c r="D24" s="1" t="s">
        <v>28</v>
      </c>
      <c r="E24" s="1">
        <v>69</v>
      </c>
      <c r="F24" s="106">
        <v>43951</v>
      </c>
      <c r="G24" s="106" t="s">
        <v>21</v>
      </c>
    </row>
    <row r="25" spans="2:8" x14ac:dyDescent="0.2">
      <c r="B25" s="1" t="s">
        <v>138</v>
      </c>
      <c r="C25" s="1" t="s">
        <v>138</v>
      </c>
      <c r="D25" s="1" t="s">
        <v>28</v>
      </c>
      <c r="E25" s="1">
        <v>91</v>
      </c>
      <c r="F25" s="106">
        <v>44264</v>
      </c>
      <c r="G25" s="106" t="s">
        <v>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showGridLines="0" workbookViewId="0"/>
  </sheetViews>
  <sheetFormatPr defaultColWidth="8.85546875" defaultRowHeight="12.75" x14ac:dyDescent="0.2"/>
  <cols>
    <col min="1" max="1" width="8.85546875" style="1"/>
    <col min="2" max="2" width="20.28515625" style="1" bestFit="1" customWidth="1"/>
    <col min="3" max="3" width="26.28515625" style="1" hidden="1" customWidth="1"/>
    <col min="4" max="5" width="11.5703125" style="1" bestFit="1" customWidth="1"/>
    <col min="6" max="6" width="17.5703125" style="1" hidden="1" customWidth="1"/>
    <col min="7" max="7" width="19" style="1" customWidth="1"/>
    <col min="8" max="8" width="12.5703125" style="1" customWidth="1"/>
    <col min="9" max="10" width="11.5703125" style="1" hidden="1" customWidth="1"/>
    <col min="11" max="11" width="12.85546875" style="1" hidden="1" customWidth="1"/>
    <col min="12" max="12" width="10.5703125" style="1" hidden="1" customWidth="1"/>
    <col min="13" max="13" width="13.140625" style="1" hidden="1" customWidth="1"/>
    <col min="14" max="14" width="11.5703125" style="1" hidden="1" customWidth="1"/>
    <col min="15" max="15" width="12.5703125" style="1" customWidth="1"/>
    <col min="16" max="16" width="7.140625" style="1" customWidth="1"/>
    <col min="17" max="17" width="14.5703125" style="1" customWidth="1"/>
    <col min="18" max="18" width="11.5703125" style="1" customWidth="1"/>
    <col min="19" max="19" width="12.5703125" style="1" customWidth="1"/>
    <col min="20" max="20" width="7.140625" style="1" customWidth="1"/>
    <col min="21" max="25" width="8.85546875" style="1" customWidth="1"/>
    <col min="26" max="16384" width="8.85546875" style="1"/>
  </cols>
  <sheetData>
    <row r="1" spans="1:20" x14ac:dyDescent="0.2">
      <c r="A1" s="3" t="s">
        <v>110</v>
      </c>
    </row>
    <row r="2" spans="1:20" x14ac:dyDescent="0.2">
      <c r="A2" s="1" t="s">
        <v>9</v>
      </c>
    </row>
    <row r="3" spans="1:20" x14ac:dyDescent="0.2">
      <c r="A3" s="1" t="s">
        <v>111</v>
      </c>
    </row>
    <row r="5" spans="1:20" x14ac:dyDescent="0.2">
      <c r="B5" s="25"/>
      <c r="C5" s="79"/>
      <c r="D5" s="79" t="s">
        <v>179</v>
      </c>
      <c r="E5" s="79"/>
      <c r="F5" s="79"/>
      <c r="G5" s="80" t="s">
        <v>178</v>
      </c>
      <c r="H5" s="255" t="s">
        <v>6</v>
      </c>
      <c r="I5" s="255"/>
      <c r="J5" s="255"/>
      <c r="K5" s="255"/>
      <c r="L5" s="79"/>
      <c r="M5" s="78" t="s">
        <v>78</v>
      </c>
      <c r="N5" s="78"/>
      <c r="O5" s="94" t="s">
        <v>78</v>
      </c>
      <c r="P5" s="3"/>
      <c r="Q5" s="83" t="s">
        <v>139</v>
      </c>
      <c r="R5" s="83"/>
      <c r="S5" s="83"/>
      <c r="T5" s="83"/>
    </row>
    <row r="6" spans="1:20" x14ac:dyDescent="0.2">
      <c r="B6" s="117" t="s">
        <v>10</v>
      </c>
      <c r="C6" s="81" t="s">
        <v>11</v>
      </c>
      <c r="D6" s="116" t="s">
        <v>180</v>
      </c>
      <c r="E6" s="81" t="s">
        <v>12</v>
      </c>
      <c r="F6" s="81" t="s">
        <v>13</v>
      </c>
      <c r="G6" s="81" t="s">
        <v>177</v>
      </c>
      <c r="H6" s="82" t="s">
        <v>103</v>
      </c>
      <c r="I6" s="82" t="s">
        <v>140</v>
      </c>
      <c r="J6" s="82" t="s">
        <v>16</v>
      </c>
      <c r="K6" s="82" t="s">
        <v>17</v>
      </c>
      <c r="L6" s="81" t="s">
        <v>18</v>
      </c>
      <c r="M6" s="84" t="s">
        <v>19</v>
      </c>
      <c r="N6" s="84" t="s">
        <v>16</v>
      </c>
      <c r="O6" s="95" t="s">
        <v>17</v>
      </c>
      <c r="P6" s="84" t="s">
        <v>18</v>
      </c>
      <c r="Q6" s="85" t="s">
        <v>15</v>
      </c>
      <c r="R6" s="85" t="s">
        <v>16</v>
      </c>
      <c r="S6" s="85" t="s">
        <v>17</v>
      </c>
      <c r="T6" s="85" t="s">
        <v>18</v>
      </c>
    </row>
    <row r="7" spans="1:20" x14ac:dyDescent="0.2">
      <c r="B7" s="91" t="s">
        <v>112</v>
      </c>
      <c r="C7" s="92" t="s">
        <v>113</v>
      </c>
      <c r="D7" s="92" t="s">
        <v>28</v>
      </c>
      <c r="E7" s="113">
        <v>210</v>
      </c>
      <c r="F7" s="93">
        <v>43732</v>
      </c>
      <c r="G7" s="96" t="s">
        <v>21</v>
      </c>
      <c r="H7" s="123">
        <v>85.97</v>
      </c>
      <c r="I7" s="108"/>
      <c r="J7" s="108"/>
      <c r="K7" s="108"/>
      <c r="L7" s="108"/>
      <c r="M7" s="109"/>
      <c r="N7" s="109"/>
      <c r="O7" s="125"/>
      <c r="P7" s="88"/>
      <c r="Q7" s="89"/>
      <c r="R7" s="89"/>
      <c r="S7" s="89"/>
      <c r="T7" s="86"/>
    </row>
    <row r="8" spans="1:20" x14ac:dyDescent="0.2">
      <c r="B8" s="118" t="s">
        <v>115</v>
      </c>
      <c r="C8" s="89" t="s">
        <v>115</v>
      </c>
      <c r="D8" s="89" t="s">
        <v>28</v>
      </c>
      <c r="E8" s="119">
        <v>25</v>
      </c>
      <c r="F8" s="120">
        <v>44154</v>
      </c>
      <c r="G8" s="121" t="s">
        <v>21</v>
      </c>
      <c r="H8" s="110">
        <v>85.97</v>
      </c>
      <c r="I8" s="110"/>
      <c r="J8" s="110"/>
      <c r="K8" s="110"/>
      <c r="L8" s="110"/>
      <c r="M8" s="111"/>
      <c r="N8" s="111"/>
      <c r="O8" s="112"/>
      <c r="P8" s="88"/>
      <c r="Q8" s="89"/>
      <c r="R8" s="89"/>
      <c r="S8" s="89"/>
      <c r="T8" s="86"/>
    </row>
    <row r="9" spans="1:20" x14ac:dyDescent="0.2">
      <c r="B9" s="90" t="s">
        <v>116</v>
      </c>
      <c r="C9" s="1" t="s">
        <v>117</v>
      </c>
      <c r="D9" s="1" t="s">
        <v>28</v>
      </c>
      <c r="E9" s="114">
        <v>170</v>
      </c>
      <c r="F9" s="106">
        <v>43725</v>
      </c>
      <c r="G9" s="107" t="s">
        <v>21</v>
      </c>
      <c r="H9" s="124">
        <v>85.97</v>
      </c>
      <c r="I9" s="110"/>
      <c r="J9" s="110"/>
      <c r="K9" s="110"/>
      <c r="L9" s="110"/>
      <c r="M9" s="111"/>
      <c r="N9" s="111"/>
      <c r="O9" s="126"/>
      <c r="P9" s="88"/>
      <c r="Q9" s="89">
        <v>64.48</v>
      </c>
      <c r="R9" s="89"/>
      <c r="S9" s="89"/>
      <c r="T9" s="86"/>
    </row>
    <row r="10" spans="1:20" x14ac:dyDescent="0.2">
      <c r="B10" s="118" t="s">
        <v>118</v>
      </c>
      <c r="C10" s="89" t="s">
        <v>118</v>
      </c>
      <c r="D10" s="89" t="s">
        <v>28</v>
      </c>
      <c r="E10" s="119">
        <v>38</v>
      </c>
      <c r="F10" s="120">
        <v>44154</v>
      </c>
      <c r="G10" s="121" t="s">
        <v>21</v>
      </c>
      <c r="H10" s="110">
        <v>85.97</v>
      </c>
      <c r="I10" s="110"/>
      <c r="J10" s="110"/>
      <c r="K10" s="110"/>
      <c r="L10" s="110"/>
      <c r="M10" s="111"/>
      <c r="N10" s="111"/>
      <c r="O10" s="112"/>
      <c r="P10" s="88"/>
      <c r="Q10" s="89"/>
      <c r="R10" s="89"/>
      <c r="S10" s="89"/>
      <c r="T10" s="86"/>
    </row>
    <row r="11" spans="1:20" x14ac:dyDescent="0.2">
      <c r="B11" s="90" t="s">
        <v>119</v>
      </c>
      <c r="C11" s="1" t="s">
        <v>120</v>
      </c>
      <c r="D11" s="1" t="s">
        <v>28</v>
      </c>
      <c r="E11" s="114">
        <v>117</v>
      </c>
      <c r="F11" s="106">
        <v>44651</v>
      </c>
      <c r="G11" s="107" t="s">
        <v>21</v>
      </c>
      <c r="H11" s="124">
        <v>45</v>
      </c>
      <c r="I11" s="110"/>
      <c r="J11" s="110"/>
      <c r="K11" s="110"/>
      <c r="L11" s="110"/>
      <c r="M11" s="111"/>
      <c r="N11" s="111"/>
      <c r="O11" s="126"/>
      <c r="P11" s="88"/>
      <c r="Q11" s="89"/>
      <c r="R11" s="89"/>
      <c r="S11" s="89"/>
      <c r="T11" s="86"/>
    </row>
    <row r="12" spans="1:20" x14ac:dyDescent="0.2">
      <c r="B12" s="118" t="s">
        <v>121</v>
      </c>
      <c r="C12" s="89" t="s">
        <v>122</v>
      </c>
      <c r="D12" s="89" t="s">
        <v>28</v>
      </c>
      <c r="E12" s="119">
        <v>337</v>
      </c>
      <c r="F12" s="120">
        <v>44250</v>
      </c>
      <c r="G12" s="121" t="s">
        <v>175</v>
      </c>
      <c r="H12" s="110">
        <v>12.5</v>
      </c>
      <c r="I12" s="110"/>
      <c r="J12" s="110"/>
      <c r="K12" s="110"/>
      <c r="L12" s="110"/>
      <c r="M12" s="111">
        <v>0</v>
      </c>
      <c r="N12" s="111">
        <v>0</v>
      </c>
      <c r="O12" s="112">
        <v>8.89</v>
      </c>
      <c r="P12" s="88">
        <v>1000</v>
      </c>
      <c r="Q12" s="89"/>
      <c r="R12" s="89"/>
      <c r="S12" s="89"/>
      <c r="T12" s="86"/>
    </row>
    <row r="13" spans="1:20" x14ac:dyDescent="0.2">
      <c r="B13" s="90" t="s">
        <v>30</v>
      </c>
      <c r="C13" s="1" t="s">
        <v>123</v>
      </c>
      <c r="D13" s="1" t="s">
        <v>28</v>
      </c>
      <c r="E13" s="114">
        <v>39</v>
      </c>
      <c r="F13" s="106">
        <v>43738</v>
      </c>
      <c r="G13" s="107" t="s">
        <v>21</v>
      </c>
      <c r="H13" s="124">
        <v>85.97</v>
      </c>
      <c r="I13" s="110"/>
      <c r="J13" s="110"/>
      <c r="K13" s="110"/>
      <c r="L13" s="110"/>
      <c r="M13" s="111"/>
      <c r="N13" s="111"/>
      <c r="O13" s="126"/>
      <c r="P13" s="88"/>
      <c r="Q13" s="89"/>
      <c r="R13" s="89"/>
      <c r="S13" s="89"/>
      <c r="T13" s="86"/>
    </row>
    <row r="14" spans="1:20" x14ac:dyDescent="0.2">
      <c r="B14" s="118" t="s">
        <v>124</v>
      </c>
      <c r="C14" s="89" t="s">
        <v>125</v>
      </c>
      <c r="D14" s="89" t="s">
        <v>28</v>
      </c>
      <c r="E14" s="119">
        <v>29</v>
      </c>
      <c r="F14" s="120">
        <v>43738</v>
      </c>
      <c r="G14" s="121" t="s">
        <v>21</v>
      </c>
      <c r="H14" s="110">
        <v>85.97</v>
      </c>
      <c r="I14" s="110"/>
      <c r="J14" s="110"/>
      <c r="K14" s="110"/>
      <c r="L14" s="110"/>
      <c r="M14" s="111"/>
      <c r="N14" s="111"/>
      <c r="O14" s="112"/>
      <c r="P14" s="88"/>
      <c r="Q14" s="89"/>
      <c r="R14" s="89"/>
      <c r="S14" s="89"/>
      <c r="T14" s="86"/>
    </row>
    <row r="15" spans="1:20" x14ac:dyDescent="0.2">
      <c r="B15" s="90" t="s">
        <v>126</v>
      </c>
      <c r="C15" s="1" t="s">
        <v>125</v>
      </c>
      <c r="D15" s="1" t="s">
        <v>28</v>
      </c>
      <c r="E15" s="114">
        <v>161</v>
      </c>
      <c r="F15" s="106">
        <v>43738</v>
      </c>
      <c r="G15" s="107" t="s">
        <v>21</v>
      </c>
      <c r="H15" s="124">
        <v>85.97</v>
      </c>
      <c r="I15" s="110"/>
      <c r="J15" s="110"/>
      <c r="K15" s="110"/>
      <c r="L15" s="110"/>
      <c r="M15" s="111"/>
      <c r="N15" s="111"/>
      <c r="O15" s="126"/>
      <c r="P15" s="88"/>
      <c r="Q15" s="89"/>
      <c r="R15" s="89"/>
      <c r="S15" s="89"/>
      <c r="T15" s="86"/>
    </row>
    <row r="16" spans="1:20" x14ac:dyDescent="0.2">
      <c r="B16" s="118" t="s">
        <v>127</v>
      </c>
      <c r="C16" s="89" t="s">
        <v>127</v>
      </c>
      <c r="D16" s="89" t="s">
        <v>28</v>
      </c>
      <c r="E16" s="119">
        <v>24</v>
      </c>
      <c r="F16" s="120">
        <v>44250</v>
      </c>
      <c r="G16" s="121" t="s">
        <v>21</v>
      </c>
      <c r="H16" s="110">
        <v>49.66</v>
      </c>
      <c r="I16" s="110"/>
      <c r="J16" s="110"/>
      <c r="K16" s="110"/>
      <c r="L16" s="110"/>
      <c r="M16" s="111"/>
      <c r="N16" s="111"/>
      <c r="O16" s="112"/>
      <c r="P16" s="88"/>
      <c r="Q16" s="89"/>
      <c r="R16" s="89"/>
      <c r="S16" s="89"/>
      <c r="T16" s="86"/>
    </row>
    <row r="17" spans="2:20" x14ac:dyDescent="0.2">
      <c r="B17" s="90" t="s">
        <v>128</v>
      </c>
      <c r="C17" s="1" t="s">
        <v>129</v>
      </c>
      <c r="D17" s="1" t="s">
        <v>28</v>
      </c>
      <c r="E17" s="114">
        <v>345</v>
      </c>
      <c r="F17" s="106">
        <v>43733</v>
      </c>
      <c r="G17" s="107" t="s">
        <v>21</v>
      </c>
      <c r="H17" s="124">
        <v>85.97</v>
      </c>
      <c r="I17" s="110"/>
      <c r="J17" s="110"/>
      <c r="K17" s="110"/>
      <c r="L17" s="110"/>
      <c r="M17" s="111"/>
      <c r="N17" s="111"/>
      <c r="O17" s="126"/>
      <c r="P17" s="88"/>
      <c r="Q17" s="89"/>
      <c r="R17" s="89"/>
      <c r="S17" s="89"/>
      <c r="T17" s="86"/>
    </row>
    <row r="18" spans="2:20" x14ac:dyDescent="0.2">
      <c r="B18" s="118" t="s">
        <v>130</v>
      </c>
      <c r="C18" s="89" t="s">
        <v>130</v>
      </c>
      <c r="D18" s="89" t="s">
        <v>28</v>
      </c>
      <c r="E18" s="119">
        <v>131</v>
      </c>
      <c r="F18" s="120">
        <v>43724</v>
      </c>
      <c r="G18" s="121" t="s">
        <v>21</v>
      </c>
      <c r="H18" s="110">
        <v>85.97</v>
      </c>
      <c r="I18" s="110"/>
      <c r="J18" s="110"/>
      <c r="K18" s="110"/>
      <c r="L18" s="110"/>
      <c r="M18" s="111"/>
      <c r="N18" s="111"/>
      <c r="O18" s="112"/>
      <c r="P18" s="88"/>
      <c r="Q18" s="89"/>
      <c r="R18" s="89"/>
      <c r="S18" s="89"/>
      <c r="T18" s="86"/>
    </row>
    <row r="19" spans="2:20" x14ac:dyDescent="0.2">
      <c r="B19" s="90" t="s">
        <v>131</v>
      </c>
      <c r="C19" s="1" t="s">
        <v>131</v>
      </c>
      <c r="D19" s="1" t="s">
        <v>28</v>
      </c>
      <c r="E19" s="114">
        <v>32</v>
      </c>
      <c r="F19" s="106">
        <v>43732</v>
      </c>
      <c r="G19" s="107" t="s">
        <v>21</v>
      </c>
      <c r="H19" s="124">
        <v>85.97</v>
      </c>
      <c r="I19" s="110"/>
      <c r="J19" s="110"/>
      <c r="K19" s="110"/>
      <c r="L19" s="110"/>
      <c r="M19" s="111"/>
      <c r="N19" s="111"/>
      <c r="O19" s="126"/>
      <c r="P19" s="88"/>
      <c r="Q19" s="89"/>
      <c r="R19" s="89"/>
      <c r="S19" s="89"/>
      <c r="T19" s="86"/>
    </row>
    <row r="20" spans="2:20" x14ac:dyDescent="0.2">
      <c r="B20" s="118" t="s">
        <v>132</v>
      </c>
      <c r="C20" s="89" t="s">
        <v>132</v>
      </c>
      <c r="D20" s="89" t="s">
        <v>28</v>
      </c>
      <c r="E20" s="119">
        <v>38</v>
      </c>
      <c r="F20" s="120">
        <v>44001</v>
      </c>
      <c r="G20" s="121" t="s">
        <v>21</v>
      </c>
      <c r="H20" s="110">
        <v>85.97</v>
      </c>
      <c r="I20" s="110"/>
      <c r="J20" s="110"/>
      <c r="K20" s="110"/>
      <c r="L20" s="110"/>
      <c r="M20" s="111"/>
      <c r="N20" s="111"/>
      <c r="O20" s="112"/>
      <c r="P20" s="88"/>
      <c r="Q20" s="89"/>
      <c r="R20" s="89"/>
      <c r="S20" s="89"/>
      <c r="T20" s="86"/>
    </row>
    <row r="21" spans="2:20" x14ac:dyDescent="0.2">
      <c r="B21" s="90" t="s">
        <v>133</v>
      </c>
      <c r="C21" s="1" t="s">
        <v>133</v>
      </c>
      <c r="D21" s="1" t="s">
        <v>28</v>
      </c>
      <c r="E21" s="114">
        <v>355</v>
      </c>
      <c r="F21" s="106">
        <v>43724</v>
      </c>
      <c r="G21" s="107" t="s">
        <v>21</v>
      </c>
      <c r="H21" s="124">
        <v>85.97</v>
      </c>
      <c r="I21" s="110"/>
      <c r="J21" s="110"/>
      <c r="K21" s="110"/>
      <c r="L21" s="110"/>
      <c r="M21" s="111"/>
      <c r="N21" s="111"/>
      <c r="O21" s="126"/>
      <c r="P21" s="88"/>
      <c r="Q21" s="89"/>
      <c r="R21" s="89"/>
      <c r="S21" s="89"/>
      <c r="T21" s="86"/>
    </row>
    <row r="22" spans="2:20" x14ac:dyDescent="0.2">
      <c r="B22" s="138" t="s">
        <v>219</v>
      </c>
      <c r="C22" s="135"/>
      <c r="D22" s="135" t="s">
        <v>28</v>
      </c>
      <c r="E22" s="139">
        <v>56</v>
      </c>
      <c r="F22" s="140"/>
      <c r="G22" s="141" t="s">
        <v>21</v>
      </c>
      <c r="H22" s="142">
        <v>85.97</v>
      </c>
      <c r="I22" s="142"/>
      <c r="J22" s="142"/>
      <c r="K22" s="142"/>
      <c r="L22" s="142"/>
      <c r="M22" s="142"/>
      <c r="N22" s="142"/>
      <c r="O22" s="143"/>
      <c r="P22" s="88"/>
      <c r="Q22" s="89"/>
      <c r="R22" s="89"/>
      <c r="S22" s="89"/>
      <c r="T22" s="86"/>
    </row>
    <row r="23" spans="2:20" x14ac:dyDescent="0.2">
      <c r="B23" s="90" t="s">
        <v>134</v>
      </c>
      <c r="C23" s="1" t="s">
        <v>134</v>
      </c>
      <c r="D23" s="1" t="s">
        <v>28</v>
      </c>
      <c r="E23" s="114">
        <v>179</v>
      </c>
      <c r="F23" s="106">
        <v>43952</v>
      </c>
      <c r="G23" s="107" t="s">
        <v>21</v>
      </c>
      <c r="H23" s="124">
        <v>85.97</v>
      </c>
      <c r="I23" s="110"/>
      <c r="J23" s="110"/>
      <c r="K23" s="110"/>
      <c r="L23" s="110"/>
      <c r="M23" s="111"/>
      <c r="N23" s="111"/>
      <c r="O23" s="126"/>
      <c r="P23" s="88"/>
      <c r="Q23" s="89"/>
      <c r="R23" s="89"/>
      <c r="S23" s="89"/>
      <c r="T23" s="86"/>
    </row>
    <row r="24" spans="2:20" x14ac:dyDescent="0.2">
      <c r="B24" s="138" t="s">
        <v>135</v>
      </c>
      <c r="C24" s="135" t="s">
        <v>135</v>
      </c>
      <c r="D24" s="135" t="s">
        <v>28</v>
      </c>
      <c r="E24" s="139">
        <v>42</v>
      </c>
      <c r="F24" s="140">
        <v>44250</v>
      </c>
      <c r="G24" s="141" t="s">
        <v>21</v>
      </c>
      <c r="H24" s="142">
        <v>27.43</v>
      </c>
      <c r="I24" s="142"/>
      <c r="J24" s="142"/>
      <c r="K24" s="142"/>
      <c r="L24" s="142"/>
      <c r="M24" s="142"/>
      <c r="N24" s="142"/>
      <c r="O24" s="143"/>
      <c r="P24" s="88"/>
      <c r="Q24" s="89"/>
      <c r="R24" s="89"/>
      <c r="S24" s="89"/>
      <c r="T24" s="86"/>
    </row>
    <row r="25" spans="2:20" x14ac:dyDescent="0.2">
      <c r="B25" s="90" t="s">
        <v>136</v>
      </c>
      <c r="C25" s="1" t="s">
        <v>137</v>
      </c>
      <c r="D25" s="1" t="s">
        <v>28</v>
      </c>
      <c r="E25" s="114">
        <v>69</v>
      </c>
      <c r="F25" s="106">
        <v>43951</v>
      </c>
      <c r="G25" s="107" t="s">
        <v>21</v>
      </c>
      <c r="H25" s="124">
        <v>85.97</v>
      </c>
      <c r="I25" s="110"/>
      <c r="J25" s="110"/>
      <c r="K25" s="110"/>
      <c r="L25" s="110"/>
      <c r="M25" s="111"/>
      <c r="N25" s="111"/>
      <c r="O25" s="126"/>
      <c r="P25" s="88"/>
      <c r="Q25" s="89"/>
      <c r="R25" s="89"/>
      <c r="S25" s="89"/>
      <c r="T25" s="86"/>
    </row>
    <row r="26" spans="2:20" x14ac:dyDescent="0.2">
      <c r="B26" s="138" t="s">
        <v>138</v>
      </c>
      <c r="C26" s="135" t="s">
        <v>138</v>
      </c>
      <c r="D26" s="135" t="s">
        <v>28</v>
      </c>
      <c r="E26" s="139">
        <v>91</v>
      </c>
      <c r="F26" s="140">
        <v>44264</v>
      </c>
      <c r="G26" s="141" t="s">
        <v>21</v>
      </c>
      <c r="H26" s="142">
        <v>19.47</v>
      </c>
      <c r="I26" s="142"/>
      <c r="J26" s="142"/>
      <c r="K26" s="142"/>
      <c r="L26" s="142"/>
      <c r="M26" s="142"/>
      <c r="N26" s="142"/>
      <c r="O26" s="143"/>
    </row>
    <row r="27" spans="2:20" x14ac:dyDescent="0.2">
      <c r="B27" s="103" t="s">
        <v>1</v>
      </c>
      <c r="C27" s="104"/>
      <c r="D27" s="104"/>
      <c r="E27" s="115">
        <f>SUM(E7:E26)</f>
        <v>2488</v>
      </c>
      <c r="F27" s="104">
        <f>SUM(F7:F26)</f>
        <v>835461</v>
      </c>
      <c r="G27" s="104"/>
      <c r="H27" s="104"/>
      <c r="I27" s="104"/>
      <c r="J27" s="104"/>
      <c r="K27" s="104"/>
      <c r="L27" s="104"/>
      <c r="M27" s="104"/>
      <c r="N27" s="104"/>
      <c r="O27" s="105"/>
    </row>
    <row r="28" spans="2:20" x14ac:dyDescent="0.2">
      <c r="B28" s="1" t="s">
        <v>176</v>
      </c>
      <c r="E28" s="97"/>
      <c r="H28" s="87"/>
      <c r="I28" s="87"/>
      <c r="J28" s="87"/>
      <c r="K28" s="87"/>
      <c r="L28" s="87"/>
      <c r="M28" s="87"/>
      <c r="N28" s="87"/>
      <c r="O28" s="87"/>
    </row>
    <row r="30" spans="2:20" x14ac:dyDescent="0.2">
      <c r="H30" s="10">
        <f>SUMIF($H$7:$H$26,85.97,$E$7:$E$26)</f>
        <v>1877</v>
      </c>
      <c r="O30" s="1" t="s">
        <v>171</v>
      </c>
    </row>
    <row r="31" spans="2:20" x14ac:dyDescent="0.2">
      <c r="H31" s="19">
        <f>H30/E27</f>
        <v>0.75442122186495175</v>
      </c>
    </row>
  </sheetData>
  <mergeCells count="1">
    <mergeCell ref="H5:K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defaultColWidth="20.5703125" defaultRowHeight="12.75" x14ac:dyDescent="0.2"/>
  <cols>
    <col min="1" max="16384" width="20.5703125" style="1"/>
  </cols>
  <sheetData>
    <row r="1" spans="1:11" x14ac:dyDescent="0.2">
      <c r="A1" s="3" t="s">
        <v>110</v>
      </c>
    </row>
    <row r="2" spans="1:11" x14ac:dyDescent="0.2">
      <c r="A2" s="1" t="s">
        <v>23</v>
      </c>
    </row>
    <row r="3" spans="1:11" x14ac:dyDescent="0.2">
      <c r="A3" s="1" t="s">
        <v>111</v>
      </c>
    </row>
    <row r="5" spans="1:11" x14ac:dyDescent="0.2">
      <c r="B5" s="84" t="s">
        <v>10</v>
      </c>
      <c r="C5" s="84" t="s">
        <v>11</v>
      </c>
      <c r="D5" s="84" t="s">
        <v>5</v>
      </c>
      <c r="E5" s="84" t="s">
        <v>12</v>
      </c>
      <c r="F5" s="84" t="s">
        <v>13</v>
      </c>
      <c r="G5" s="84" t="s">
        <v>14</v>
      </c>
      <c r="H5" s="84" t="s">
        <v>6</v>
      </c>
      <c r="I5" s="84" t="s">
        <v>144</v>
      </c>
      <c r="J5" s="84" t="s">
        <v>78</v>
      </c>
      <c r="K5" s="84" t="s">
        <v>1</v>
      </c>
    </row>
    <row r="6" spans="1:11" x14ac:dyDescent="0.2">
      <c r="B6" s="1" t="s">
        <v>112</v>
      </c>
      <c r="C6" s="1" t="s">
        <v>113</v>
      </c>
      <c r="D6" s="1" t="s">
        <v>28</v>
      </c>
      <c r="E6" s="1">
        <v>210</v>
      </c>
      <c r="F6" s="106">
        <v>43732</v>
      </c>
      <c r="G6" s="106" t="s">
        <v>21</v>
      </c>
      <c r="H6" s="1">
        <v>210</v>
      </c>
      <c r="I6" s="10"/>
      <c r="J6" s="10"/>
      <c r="K6" s="10">
        <f>SUM(H6:J6)</f>
        <v>210</v>
      </c>
    </row>
    <row r="7" spans="1:11" x14ac:dyDescent="0.2">
      <c r="B7" s="1" t="s">
        <v>115</v>
      </c>
      <c r="C7" s="1" t="s">
        <v>115</v>
      </c>
      <c r="D7" s="1" t="s">
        <v>28</v>
      </c>
      <c r="E7" s="1">
        <v>25</v>
      </c>
      <c r="F7" s="106">
        <v>44154</v>
      </c>
      <c r="G7" s="106" t="s">
        <v>21</v>
      </c>
      <c r="H7" s="1">
        <v>25</v>
      </c>
      <c r="I7" s="10"/>
      <c r="J7" s="10"/>
      <c r="K7" s="10">
        <f t="shared" ref="K7:K25" si="0">SUM(H7:J7)</f>
        <v>25</v>
      </c>
    </row>
    <row r="8" spans="1:11" x14ac:dyDescent="0.2">
      <c r="B8" s="1" t="s">
        <v>116</v>
      </c>
      <c r="C8" s="1" t="s">
        <v>117</v>
      </c>
      <c r="D8" s="1" t="s">
        <v>28</v>
      </c>
      <c r="E8" s="1">
        <v>170</v>
      </c>
      <c r="F8" s="106">
        <v>43725</v>
      </c>
      <c r="G8" s="106" t="s">
        <v>21</v>
      </c>
      <c r="H8" s="1">
        <v>72</v>
      </c>
      <c r="I8" s="10">
        <v>20</v>
      </c>
      <c r="J8" s="10"/>
      <c r="K8" s="10">
        <f t="shared" si="0"/>
        <v>92</v>
      </c>
    </row>
    <row r="9" spans="1:11" x14ac:dyDescent="0.2">
      <c r="B9" s="1" t="s">
        <v>118</v>
      </c>
      <c r="C9" s="1" t="s">
        <v>118</v>
      </c>
      <c r="D9" s="1" t="s">
        <v>28</v>
      </c>
      <c r="E9" s="1">
        <v>38</v>
      </c>
      <c r="F9" s="106">
        <v>44154</v>
      </c>
      <c r="G9" s="106" t="s">
        <v>21</v>
      </c>
      <c r="H9" s="1">
        <v>38</v>
      </c>
      <c r="I9" s="10"/>
      <c r="J9" s="10"/>
      <c r="K9" s="10">
        <f t="shared" si="0"/>
        <v>38</v>
      </c>
    </row>
    <row r="10" spans="1:11" x14ac:dyDescent="0.2">
      <c r="B10" s="1" t="s">
        <v>119</v>
      </c>
      <c r="C10" s="1" t="s">
        <v>120</v>
      </c>
      <c r="D10" s="1" t="s">
        <v>28</v>
      </c>
      <c r="E10" s="1">
        <v>117</v>
      </c>
      <c r="F10" s="106">
        <v>44651</v>
      </c>
      <c r="G10" s="106" t="s">
        <v>21</v>
      </c>
      <c r="H10" s="1">
        <v>117</v>
      </c>
      <c r="I10" s="10"/>
      <c r="J10" s="10"/>
      <c r="K10" s="10">
        <f t="shared" si="0"/>
        <v>117</v>
      </c>
    </row>
    <row r="11" spans="1:11" x14ac:dyDescent="0.2">
      <c r="B11" s="1" t="s">
        <v>121</v>
      </c>
      <c r="C11" s="1" t="s">
        <v>122</v>
      </c>
      <c r="D11" s="1" t="s">
        <v>28</v>
      </c>
      <c r="E11" s="1">
        <v>337</v>
      </c>
      <c r="F11" s="106">
        <v>44250</v>
      </c>
      <c r="G11" s="106" t="s">
        <v>141</v>
      </c>
      <c r="H11" s="1">
        <v>302</v>
      </c>
      <c r="I11" s="10"/>
      <c r="J11" s="10">
        <v>35</v>
      </c>
      <c r="K11" s="10">
        <f t="shared" si="0"/>
        <v>337</v>
      </c>
    </row>
    <row r="12" spans="1:11" x14ac:dyDescent="0.2">
      <c r="B12" s="1" t="s">
        <v>30</v>
      </c>
      <c r="C12" s="1" t="s">
        <v>123</v>
      </c>
      <c r="D12" s="1" t="s">
        <v>28</v>
      </c>
      <c r="E12" s="1">
        <v>39</v>
      </c>
      <c r="F12" s="106">
        <v>43738</v>
      </c>
      <c r="G12" s="106" t="s">
        <v>21</v>
      </c>
      <c r="H12" s="1">
        <v>39</v>
      </c>
      <c r="I12" s="10"/>
      <c r="J12" s="10"/>
      <c r="K12" s="10">
        <f t="shared" si="0"/>
        <v>39</v>
      </c>
    </row>
    <row r="13" spans="1:11" x14ac:dyDescent="0.2">
      <c r="B13" s="1" t="s">
        <v>124</v>
      </c>
      <c r="C13" s="1" t="s">
        <v>125</v>
      </c>
      <c r="D13" s="1" t="s">
        <v>28</v>
      </c>
      <c r="E13" s="1">
        <v>29</v>
      </c>
      <c r="F13" s="106">
        <v>43738</v>
      </c>
      <c r="G13" s="106" t="s">
        <v>21</v>
      </c>
      <c r="H13" s="1">
        <v>29</v>
      </c>
      <c r="I13" s="10"/>
      <c r="J13" s="10"/>
      <c r="K13" s="10">
        <f t="shared" si="0"/>
        <v>29</v>
      </c>
    </row>
    <row r="14" spans="1:11" x14ac:dyDescent="0.2">
      <c r="B14" s="1" t="s">
        <v>126</v>
      </c>
      <c r="C14" s="1" t="s">
        <v>125</v>
      </c>
      <c r="D14" s="1" t="s">
        <v>28</v>
      </c>
      <c r="E14" s="1">
        <v>161</v>
      </c>
      <c r="F14" s="106">
        <v>43738</v>
      </c>
      <c r="G14" s="106" t="s">
        <v>21</v>
      </c>
      <c r="H14" s="1">
        <v>161</v>
      </c>
      <c r="I14" s="10"/>
      <c r="J14" s="10"/>
      <c r="K14" s="10">
        <f t="shared" si="0"/>
        <v>161</v>
      </c>
    </row>
    <row r="15" spans="1:11" x14ac:dyDescent="0.2">
      <c r="B15" s="1" t="s">
        <v>127</v>
      </c>
      <c r="C15" s="1" t="s">
        <v>127</v>
      </c>
      <c r="D15" s="1" t="s">
        <v>28</v>
      </c>
      <c r="E15" s="1">
        <v>24</v>
      </c>
      <c r="F15" s="106">
        <v>44250</v>
      </c>
      <c r="G15" s="106" t="s">
        <v>21</v>
      </c>
      <c r="H15" s="1">
        <v>24</v>
      </c>
      <c r="I15" s="10"/>
      <c r="J15" s="10"/>
      <c r="K15" s="10">
        <f t="shared" si="0"/>
        <v>24</v>
      </c>
    </row>
    <row r="16" spans="1:11" x14ac:dyDescent="0.2">
      <c r="B16" s="1" t="s">
        <v>128</v>
      </c>
      <c r="C16" s="1" t="s">
        <v>129</v>
      </c>
      <c r="D16" s="1" t="s">
        <v>28</v>
      </c>
      <c r="E16" s="1">
        <v>345</v>
      </c>
      <c r="F16" s="106">
        <v>43733</v>
      </c>
      <c r="G16" s="106" t="s">
        <v>21</v>
      </c>
      <c r="H16" s="1">
        <v>345</v>
      </c>
      <c r="I16" s="10"/>
      <c r="J16" s="10"/>
      <c r="K16" s="10">
        <f t="shared" si="0"/>
        <v>345</v>
      </c>
    </row>
    <row r="17" spans="2:11" x14ac:dyDescent="0.2">
      <c r="B17" s="1" t="s">
        <v>130</v>
      </c>
      <c r="C17" s="1" t="s">
        <v>130</v>
      </c>
      <c r="D17" s="1" t="s">
        <v>28</v>
      </c>
      <c r="E17" s="1">
        <v>131</v>
      </c>
      <c r="F17" s="106">
        <v>43724</v>
      </c>
      <c r="G17" s="106" t="s">
        <v>21</v>
      </c>
      <c r="H17" s="1">
        <v>131</v>
      </c>
      <c r="I17" s="10"/>
      <c r="J17" s="10"/>
      <c r="K17" s="10">
        <f t="shared" si="0"/>
        <v>131</v>
      </c>
    </row>
    <row r="18" spans="2:11" x14ac:dyDescent="0.2">
      <c r="B18" s="1" t="s">
        <v>131</v>
      </c>
      <c r="C18" s="1" t="s">
        <v>131</v>
      </c>
      <c r="D18" s="1" t="s">
        <v>28</v>
      </c>
      <c r="E18" s="1">
        <v>32</v>
      </c>
      <c r="F18" s="106">
        <v>43732</v>
      </c>
      <c r="G18" s="106" t="s">
        <v>21</v>
      </c>
      <c r="H18" s="1">
        <v>32</v>
      </c>
      <c r="I18" s="10"/>
      <c r="J18" s="10"/>
      <c r="K18" s="10">
        <f t="shared" si="0"/>
        <v>32</v>
      </c>
    </row>
    <row r="19" spans="2:11" x14ac:dyDescent="0.2">
      <c r="B19" s="1" t="s">
        <v>132</v>
      </c>
      <c r="C19" s="1" t="s">
        <v>132</v>
      </c>
      <c r="D19" s="1" t="s">
        <v>28</v>
      </c>
      <c r="E19" s="1">
        <v>38</v>
      </c>
      <c r="F19" s="106">
        <v>44001</v>
      </c>
      <c r="G19" s="106" t="s">
        <v>21</v>
      </c>
      <c r="H19" s="1">
        <v>38</v>
      </c>
      <c r="I19" s="10"/>
      <c r="J19" s="10"/>
      <c r="K19" s="10">
        <f t="shared" si="0"/>
        <v>38</v>
      </c>
    </row>
    <row r="20" spans="2:11" x14ac:dyDescent="0.2">
      <c r="B20" s="1" t="s">
        <v>133</v>
      </c>
      <c r="C20" s="1" t="s">
        <v>133</v>
      </c>
      <c r="D20" s="1" t="s">
        <v>28</v>
      </c>
      <c r="E20" s="1">
        <v>355</v>
      </c>
      <c r="F20" s="106">
        <v>43724</v>
      </c>
      <c r="G20" s="106" t="s">
        <v>21</v>
      </c>
      <c r="H20" s="1">
        <v>354</v>
      </c>
      <c r="I20" s="10"/>
      <c r="J20" s="10">
        <v>1</v>
      </c>
      <c r="K20" s="10">
        <f t="shared" si="0"/>
        <v>355</v>
      </c>
    </row>
    <row r="21" spans="2:11" x14ac:dyDescent="0.2">
      <c r="B21" s="1" t="s">
        <v>219</v>
      </c>
      <c r="C21" s="1" t="s">
        <v>219</v>
      </c>
      <c r="D21" s="1" t="s">
        <v>28</v>
      </c>
      <c r="E21" s="1">
        <v>56</v>
      </c>
      <c r="F21" s="106">
        <v>44154</v>
      </c>
      <c r="G21" s="106" t="s">
        <v>21</v>
      </c>
      <c r="H21" s="1">
        <v>56</v>
      </c>
      <c r="I21" s="10"/>
      <c r="J21" s="10"/>
      <c r="K21" s="10">
        <f t="shared" si="0"/>
        <v>56</v>
      </c>
    </row>
    <row r="22" spans="2:11" x14ac:dyDescent="0.2">
      <c r="B22" s="1" t="s">
        <v>134</v>
      </c>
      <c r="C22" s="1" t="s">
        <v>134</v>
      </c>
      <c r="D22" s="1" t="s">
        <v>28</v>
      </c>
      <c r="E22" s="1">
        <v>179</v>
      </c>
      <c r="F22" s="106">
        <v>43952</v>
      </c>
      <c r="G22" s="106" t="s">
        <v>21</v>
      </c>
      <c r="H22" s="1">
        <v>179</v>
      </c>
      <c r="I22" s="10"/>
      <c r="J22" s="10"/>
      <c r="K22" s="10">
        <f t="shared" si="0"/>
        <v>179</v>
      </c>
    </row>
    <row r="23" spans="2:11" x14ac:dyDescent="0.2">
      <c r="B23" s="1" t="s">
        <v>135</v>
      </c>
      <c r="C23" s="1" t="s">
        <v>135</v>
      </c>
      <c r="D23" s="1" t="s">
        <v>28</v>
      </c>
      <c r="E23" s="1">
        <v>42</v>
      </c>
      <c r="F23" s="106">
        <v>44250</v>
      </c>
      <c r="G23" s="106" t="s">
        <v>21</v>
      </c>
      <c r="H23" s="1">
        <v>42</v>
      </c>
      <c r="I23" s="11"/>
      <c r="J23" s="11"/>
      <c r="K23" s="10">
        <f>SUM(H23:J23)</f>
        <v>42</v>
      </c>
    </row>
    <row r="24" spans="2:11" x14ac:dyDescent="0.2">
      <c r="B24" s="1" t="s">
        <v>136</v>
      </c>
      <c r="C24" s="1" t="s">
        <v>137</v>
      </c>
      <c r="D24" s="1" t="s">
        <v>28</v>
      </c>
      <c r="E24" s="1">
        <v>69</v>
      </c>
      <c r="F24" s="106">
        <v>43951</v>
      </c>
      <c r="G24" s="106" t="s">
        <v>21</v>
      </c>
      <c r="H24" s="1">
        <v>69</v>
      </c>
      <c r="I24" s="11"/>
      <c r="J24" s="11"/>
      <c r="K24" s="10">
        <f t="shared" si="0"/>
        <v>69</v>
      </c>
    </row>
    <row r="25" spans="2:11" x14ac:dyDescent="0.2">
      <c r="B25" s="1" t="s">
        <v>138</v>
      </c>
      <c r="C25" s="1" t="s">
        <v>138</v>
      </c>
      <c r="D25" s="1" t="s">
        <v>28</v>
      </c>
      <c r="E25" s="1">
        <v>91</v>
      </c>
      <c r="F25" s="106">
        <v>44264</v>
      </c>
      <c r="G25" s="106" t="s">
        <v>21</v>
      </c>
      <c r="H25" s="1">
        <v>91</v>
      </c>
      <c r="K25" s="10">
        <f t="shared" si="0"/>
        <v>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/>
  </sheetViews>
  <sheetFormatPr defaultColWidth="20.5703125" defaultRowHeight="12.75" x14ac:dyDescent="0.2"/>
  <cols>
    <col min="1" max="16384" width="20.5703125" style="1"/>
  </cols>
  <sheetData>
    <row r="1" spans="1:7" x14ac:dyDescent="0.2">
      <c r="A1" s="3" t="s">
        <v>110</v>
      </c>
    </row>
    <row r="2" spans="1:7" x14ac:dyDescent="0.2">
      <c r="A2" s="1" t="s">
        <v>145</v>
      </c>
    </row>
    <row r="3" spans="1:7" x14ac:dyDescent="0.2">
      <c r="A3" s="1" t="s">
        <v>111</v>
      </c>
    </row>
    <row r="5" spans="1:7" x14ac:dyDescent="0.2">
      <c r="B5" s="84" t="s">
        <v>10</v>
      </c>
      <c r="C5" s="84" t="s">
        <v>11</v>
      </c>
      <c r="D5" s="84" t="s">
        <v>5</v>
      </c>
      <c r="E5" s="84" t="s">
        <v>12</v>
      </c>
      <c r="F5" s="84" t="s">
        <v>13</v>
      </c>
      <c r="G5" s="84" t="s">
        <v>146</v>
      </c>
    </row>
    <row r="6" spans="1:7" x14ac:dyDescent="0.2">
      <c r="B6" s="1" t="s">
        <v>112</v>
      </c>
      <c r="C6" s="1" t="s">
        <v>113</v>
      </c>
      <c r="D6" s="1" t="s">
        <v>28</v>
      </c>
      <c r="E6" s="1">
        <v>210</v>
      </c>
      <c r="F6" s="106">
        <v>43732</v>
      </c>
      <c r="G6" s="100">
        <v>8230</v>
      </c>
    </row>
    <row r="7" spans="1:7" x14ac:dyDescent="0.2">
      <c r="B7" s="1" t="s">
        <v>115</v>
      </c>
      <c r="C7" s="1" t="s">
        <v>115</v>
      </c>
      <c r="D7" s="1" t="s">
        <v>28</v>
      </c>
      <c r="E7" s="1">
        <v>25</v>
      </c>
      <c r="F7" s="106">
        <v>44154</v>
      </c>
      <c r="G7" s="100"/>
    </row>
    <row r="8" spans="1:7" x14ac:dyDescent="0.2">
      <c r="B8" s="1" t="s">
        <v>116</v>
      </c>
      <c r="C8" s="1" t="s">
        <v>117</v>
      </c>
      <c r="D8" s="1" t="s">
        <v>28</v>
      </c>
      <c r="E8" s="1">
        <v>170</v>
      </c>
      <c r="F8" s="106">
        <v>43725</v>
      </c>
      <c r="G8" s="100">
        <v>5275</v>
      </c>
    </row>
    <row r="9" spans="1:7" x14ac:dyDescent="0.2">
      <c r="B9" s="1" t="s">
        <v>118</v>
      </c>
      <c r="C9" s="1" t="s">
        <v>118</v>
      </c>
      <c r="D9" s="1" t="s">
        <v>28</v>
      </c>
      <c r="E9" s="1">
        <v>38</v>
      </c>
      <c r="F9" s="106">
        <v>44154</v>
      </c>
      <c r="G9" s="100"/>
    </row>
    <row r="10" spans="1:7" x14ac:dyDescent="0.2">
      <c r="B10" s="1" t="s">
        <v>119</v>
      </c>
      <c r="C10" s="1" t="s">
        <v>120</v>
      </c>
      <c r="D10" s="1" t="s">
        <v>28</v>
      </c>
      <c r="E10" s="1">
        <v>117</v>
      </c>
      <c r="F10" s="106">
        <v>44651</v>
      </c>
      <c r="G10" s="100"/>
    </row>
    <row r="11" spans="1:7" x14ac:dyDescent="0.2">
      <c r="B11" s="1" t="s">
        <v>121</v>
      </c>
      <c r="C11" s="1" t="s">
        <v>122</v>
      </c>
      <c r="D11" s="1" t="s">
        <v>28</v>
      </c>
      <c r="E11" s="1">
        <v>337</v>
      </c>
      <c r="F11" s="106">
        <v>44250</v>
      </c>
      <c r="G11" s="100">
        <v>25238</v>
      </c>
    </row>
    <row r="12" spans="1:7" x14ac:dyDescent="0.2">
      <c r="B12" s="1" t="s">
        <v>30</v>
      </c>
      <c r="C12" s="1" t="s">
        <v>123</v>
      </c>
      <c r="D12" s="1" t="s">
        <v>28</v>
      </c>
      <c r="E12" s="1">
        <v>39</v>
      </c>
      <c r="F12" s="106">
        <v>43738</v>
      </c>
      <c r="G12" s="100">
        <v>7115</v>
      </c>
    </row>
    <row r="13" spans="1:7" x14ac:dyDescent="0.2">
      <c r="B13" s="1" t="s">
        <v>124</v>
      </c>
      <c r="C13" s="1" t="s">
        <v>125</v>
      </c>
      <c r="D13" s="1" t="s">
        <v>28</v>
      </c>
      <c r="E13" s="1">
        <v>29</v>
      </c>
      <c r="F13" s="106">
        <v>43738</v>
      </c>
      <c r="G13" s="100">
        <v>3340</v>
      </c>
    </row>
    <row r="14" spans="1:7" x14ac:dyDescent="0.2">
      <c r="B14" s="1" t="s">
        <v>126</v>
      </c>
      <c r="C14" s="1" t="s">
        <v>125</v>
      </c>
      <c r="D14" s="1" t="s">
        <v>28</v>
      </c>
      <c r="E14" s="1">
        <v>161</v>
      </c>
      <c r="F14" s="106">
        <v>43738</v>
      </c>
      <c r="G14" s="100">
        <v>13100</v>
      </c>
    </row>
    <row r="15" spans="1:7" x14ac:dyDescent="0.2">
      <c r="B15" s="1" t="s">
        <v>127</v>
      </c>
      <c r="C15" s="1" t="s">
        <v>127</v>
      </c>
      <c r="D15" s="1" t="s">
        <v>28</v>
      </c>
      <c r="E15" s="1">
        <v>24</v>
      </c>
      <c r="F15" s="106">
        <v>44250</v>
      </c>
      <c r="G15" s="100"/>
    </row>
    <row r="16" spans="1:7" x14ac:dyDescent="0.2">
      <c r="B16" s="1" t="s">
        <v>128</v>
      </c>
      <c r="C16" s="1" t="s">
        <v>129</v>
      </c>
      <c r="D16" s="1" t="s">
        <v>28</v>
      </c>
      <c r="E16" s="1">
        <v>345</v>
      </c>
      <c r="F16" s="106">
        <v>43733</v>
      </c>
      <c r="G16" s="100">
        <v>20165</v>
      </c>
    </row>
    <row r="17" spans="2:7" x14ac:dyDescent="0.2">
      <c r="B17" s="1" t="s">
        <v>130</v>
      </c>
      <c r="C17" s="1" t="s">
        <v>130</v>
      </c>
      <c r="D17" s="1" t="s">
        <v>28</v>
      </c>
      <c r="E17" s="1">
        <v>131</v>
      </c>
      <c r="F17" s="106">
        <v>43724</v>
      </c>
      <c r="G17" s="100">
        <v>14930</v>
      </c>
    </row>
    <row r="18" spans="2:7" x14ac:dyDescent="0.2">
      <c r="B18" s="1" t="s">
        <v>131</v>
      </c>
      <c r="C18" s="1" t="s">
        <v>131</v>
      </c>
      <c r="D18" s="1" t="s">
        <v>28</v>
      </c>
      <c r="E18" s="1">
        <v>32</v>
      </c>
      <c r="F18" s="106">
        <v>43732</v>
      </c>
      <c r="G18" s="100">
        <v>2565</v>
      </c>
    </row>
    <row r="19" spans="2:7" x14ac:dyDescent="0.2">
      <c r="B19" s="1" t="s">
        <v>132</v>
      </c>
      <c r="C19" s="1" t="s">
        <v>132</v>
      </c>
      <c r="D19" s="1" t="s">
        <v>28</v>
      </c>
      <c r="E19" s="1">
        <v>38</v>
      </c>
      <c r="F19" s="106">
        <v>44001</v>
      </c>
      <c r="G19" s="100"/>
    </row>
    <row r="20" spans="2:7" x14ac:dyDescent="0.2">
      <c r="B20" s="1" t="s">
        <v>133</v>
      </c>
      <c r="C20" s="1" t="s">
        <v>133</v>
      </c>
      <c r="D20" s="1" t="s">
        <v>28</v>
      </c>
      <c r="E20" s="1">
        <v>355</v>
      </c>
      <c r="F20" s="106">
        <v>43724</v>
      </c>
      <c r="G20" s="100">
        <v>33920</v>
      </c>
    </row>
    <row r="21" spans="2:7" x14ac:dyDescent="0.2">
      <c r="B21" s="1" t="s">
        <v>219</v>
      </c>
      <c r="C21" s="1" t="s">
        <v>219</v>
      </c>
      <c r="D21" s="1" t="s">
        <v>28</v>
      </c>
      <c r="E21" s="1">
        <v>56</v>
      </c>
      <c r="F21" s="106">
        <v>44154</v>
      </c>
      <c r="G21" s="100"/>
    </row>
    <row r="22" spans="2:7" x14ac:dyDescent="0.2">
      <c r="B22" s="1" t="s">
        <v>134</v>
      </c>
      <c r="C22" s="1" t="s">
        <v>134</v>
      </c>
      <c r="D22" s="1" t="s">
        <v>28</v>
      </c>
      <c r="E22" s="1">
        <v>179</v>
      </c>
      <c r="F22" s="106">
        <v>43952</v>
      </c>
      <c r="G22" s="100">
        <v>12025</v>
      </c>
    </row>
    <row r="23" spans="2:7" x14ac:dyDescent="0.2">
      <c r="B23" s="1" t="s">
        <v>135</v>
      </c>
      <c r="C23" s="1" t="s">
        <v>135</v>
      </c>
      <c r="D23" s="1" t="s">
        <v>28</v>
      </c>
      <c r="E23" s="1">
        <v>42</v>
      </c>
      <c r="F23" s="106">
        <v>44250</v>
      </c>
    </row>
    <row r="24" spans="2:7" x14ac:dyDescent="0.2">
      <c r="B24" s="1" t="s">
        <v>136</v>
      </c>
      <c r="C24" s="1" t="s">
        <v>137</v>
      </c>
      <c r="D24" s="1" t="s">
        <v>28</v>
      </c>
      <c r="E24" s="1">
        <v>69</v>
      </c>
      <c r="F24" s="106">
        <v>43951</v>
      </c>
    </row>
    <row r="25" spans="2:7" x14ac:dyDescent="0.2">
      <c r="B25" s="1" t="s">
        <v>138</v>
      </c>
      <c r="C25" s="1" t="s">
        <v>138</v>
      </c>
      <c r="D25" s="1" t="s">
        <v>28</v>
      </c>
      <c r="E25" s="1">
        <v>91</v>
      </c>
      <c r="F25" s="106">
        <v>44264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W109"/>
  <sheetViews>
    <sheetView showGridLines="0" zoomScaleNormal="100" workbookViewId="0"/>
  </sheetViews>
  <sheetFormatPr defaultColWidth="12.5703125" defaultRowHeight="12.75" x14ac:dyDescent="0.2"/>
  <cols>
    <col min="1" max="1" width="40.5703125" style="1" customWidth="1"/>
    <col min="2" max="2" width="15.140625" style="1" customWidth="1"/>
    <col min="3" max="16384" width="12.5703125" style="1"/>
  </cols>
  <sheetData>
    <row r="1" spans="1:23" x14ac:dyDescent="0.2">
      <c r="A1" s="31" t="s">
        <v>110</v>
      </c>
      <c r="B1" s="26" t="s">
        <v>3</v>
      </c>
      <c r="C1" s="32" t="s">
        <v>88</v>
      </c>
      <c r="D1" s="26" t="s">
        <v>102</v>
      </c>
      <c r="E1" s="26" t="s">
        <v>102</v>
      </c>
      <c r="F1" s="26" t="s">
        <v>46</v>
      </c>
      <c r="G1" s="33" t="s">
        <v>8</v>
      </c>
      <c r="H1" s="26" t="s">
        <v>20</v>
      </c>
      <c r="I1" s="27" t="s">
        <v>8</v>
      </c>
      <c r="K1" s="26" t="s">
        <v>8</v>
      </c>
      <c r="L1" s="26" t="s">
        <v>88</v>
      </c>
    </row>
    <row r="2" spans="1:23" x14ac:dyDescent="0.2">
      <c r="A2" s="34" t="s">
        <v>106</v>
      </c>
      <c r="B2" s="28" t="s">
        <v>298</v>
      </c>
      <c r="C2" s="35" t="s">
        <v>47</v>
      </c>
      <c r="D2" s="28" t="s">
        <v>101</v>
      </c>
      <c r="E2" s="28" t="s">
        <v>101</v>
      </c>
      <c r="F2" s="28" t="s">
        <v>87</v>
      </c>
      <c r="G2" s="28" t="s">
        <v>86</v>
      </c>
      <c r="H2" s="28" t="s">
        <v>7</v>
      </c>
      <c r="I2" s="29" t="s">
        <v>172</v>
      </c>
      <c r="K2" s="28" t="s">
        <v>222</v>
      </c>
      <c r="L2" s="28" t="s">
        <v>222</v>
      </c>
    </row>
    <row r="4" spans="1:23" s="21" customFormat="1" x14ac:dyDescent="0.25">
      <c r="A4" s="30" t="s">
        <v>28</v>
      </c>
      <c r="B4" s="22"/>
      <c r="C4" s="22"/>
    </row>
    <row r="5" spans="1:23" s="21" customFormat="1" x14ac:dyDescent="0.2">
      <c r="A5" s="24" t="s">
        <v>306</v>
      </c>
      <c r="B5" s="23">
        <f>B8*K5</f>
        <v>3026213.8337030727</v>
      </c>
      <c r="C5" s="23">
        <f>'Sewer COSS Summary'!C44*'Sewer COSS Summary'!$B$47</f>
        <v>1973500.7721606935</v>
      </c>
      <c r="D5" s="23">
        <f>+B5-C5</f>
        <v>1052713.0615423792</v>
      </c>
      <c r="E5" s="75">
        <f>+D5/C5</f>
        <v>0.53342419541585129</v>
      </c>
      <c r="F5" s="22">
        <f>SUM(B14:B15,B17:B19,B21:B29,B31:B36)+B30*$D$40+B16*$D$41</f>
        <v>28872.106222316019</v>
      </c>
      <c r="G5" s="237">
        <f>ROUND(B5/F5,2)</f>
        <v>104.81</v>
      </c>
      <c r="K5" s="248">
        <v>0.81511467612416866</v>
      </c>
      <c r="L5" s="249">
        <f>1-L6</f>
        <v>0.81511467612416866</v>
      </c>
    </row>
    <row r="6" spans="1:23" x14ac:dyDescent="0.2">
      <c r="A6" s="24" t="s">
        <v>307</v>
      </c>
      <c r="B6" s="5">
        <f>B8*K6</f>
        <v>686409.58278670884</v>
      </c>
      <c r="C6" s="23">
        <f>'Sewer COSS Summary'!C45*'Sewer COSS Summary'!$B$47</f>
        <v>447631.89783930633</v>
      </c>
      <c r="D6" s="23">
        <f>+B6-C6</f>
        <v>238777.68494740251</v>
      </c>
      <c r="E6" s="75">
        <f>+D6/C6</f>
        <v>0.53342419541585129</v>
      </c>
      <c r="F6" s="10">
        <f>+B20</f>
        <v>408</v>
      </c>
      <c r="G6" s="245">
        <f>ROUND(+D20,2)</f>
        <v>262.02999999999997</v>
      </c>
      <c r="H6" s="100">
        <f>'[1]BD Summary'!$H$9*1000</f>
        <v>49776577.19572553</v>
      </c>
      <c r="I6" s="72">
        <f>(B6-(F6*G6))/(H6/1000)</f>
        <v>11.642048839719587</v>
      </c>
      <c r="J6" s="4"/>
      <c r="K6" s="250">
        <v>0.18488532387583137</v>
      </c>
      <c r="L6" s="251">
        <f>'Sewer COSS Summary'!C45</f>
        <v>0.18488532387583137</v>
      </c>
      <c r="M6" s="4"/>
    </row>
    <row r="7" spans="1:23" x14ac:dyDescent="0.2">
      <c r="B7" s="5"/>
      <c r="C7" s="5"/>
      <c r="D7" s="5"/>
      <c r="E7" s="19"/>
      <c r="F7" s="5"/>
      <c r="G7" s="5"/>
    </row>
    <row r="8" spans="1:23" ht="13.5" thickBot="1" x14ac:dyDescent="0.25">
      <c r="A8" s="67" t="s">
        <v>1</v>
      </c>
      <c r="B8" s="236">
        <f>'Sewer COSS Summary'!B55</f>
        <v>3712623.4164897813</v>
      </c>
      <c r="C8" s="71">
        <f>SUM(C5:C6)</f>
        <v>2421132.67</v>
      </c>
      <c r="D8" s="71">
        <f>SUM(D5:D6)</f>
        <v>1291490.7464897817</v>
      </c>
      <c r="E8" s="133">
        <f>+D8/C8</f>
        <v>0.53342419541585129</v>
      </c>
      <c r="F8" s="71"/>
      <c r="G8" s="71"/>
      <c r="H8" s="67"/>
      <c r="I8" s="67"/>
      <c r="L8" s="4"/>
    </row>
    <row r="9" spans="1:23" ht="13.5" thickTop="1" x14ac:dyDescent="0.2">
      <c r="A9" s="1" t="s">
        <v>303</v>
      </c>
      <c r="B9" s="4"/>
      <c r="G9" s="4"/>
      <c r="H9" s="212"/>
      <c r="I9" s="4"/>
      <c r="J9" s="4"/>
      <c r="K9" s="19"/>
      <c r="M9" s="4"/>
    </row>
    <row r="10" spans="1:23" x14ac:dyDescent="0.2">
      <c r="B10" s="4"/>
      <c r="E10" s="4"/>
      <c r="F10" s="4"/>
      <c r="G10" s="247"/>
      <c r="H10" s="212"/>
      <c r="M10" s="19"/>
    </row>
    <row r="11" spans="1:23" s="21" customFormat="1" x14ac:dyDescent="0.25">
      <c r="A11" s="25" t="s">
        <v>304</v>
      </c>
      <c r="B11" s="26"/>
      <c r="C11" s="26"/>
      <c r="D11" s="26" t="s">
        <v>8</v>
      </c>
      <c r="E11" s="26" t="s">
        <v>104</v>
      </c>
      <c r="F11" s="26"/>
      <c r="G11" s="26" t="s">
        <v>8</v>
      </c>
      <c r="H11" s="26" t="s">
        <v>104</v>
      </c>
      <c r="I11" s="26" t="s">
        <v>8</v>
      </c>
      <c r="J11" s="26" t="s">
        <v>104</v>
      </c>
      <c r="K11" s="26"/>
      <c r="L11" s="27"/>
      <c r="O11" s="74"/>
      <c r="P11" s="74"/>
      <c r="Q11" s="26" t="s">
        <v>184</v>
      </c>
      <c r="R11" s="26" t="s">
        <v>186</v>
      </c>
    </row>
    <row r="12" spans="1:23" s="21" customFormat="1" x14ac:dyDescent="0.25">
      <c r="A12" s="117" t="s">
        <v>305</v>
      </c>
      <c r="B12" s="28" t="s">
        <v>87</v>
      </c>
      <c r="C12" s="28" t="s">
        <v>105</v>
      </c>
      <c r="D12" s="28" t="s">
        <v>103</v>
      </c>
      <c r="E12" s="28" t="s">
        <v>103</v>
      </c>
      <c r="F12" s="28" t="s">
        <v>7</v>
      </c>
      <c r="G12" s="28" t="s">
        <v>17</v>
      </c>
      <c r="H12" s="28" t="s">
        <v>17</v>
      </c>
      <c r="I12" s="28" t="s">
        <v>220</v>
      </c>
      <c r="J12" s="28" t="s">
        <v>220</v>
      </c>
      <c r="K12" s="28" t="s">
        <v>98</v>
      </c>
      <c r="L12" s="29" t="s">
        <v>169</v>
      </c>
      <c r="O12" s="74"/>
      <c r="P12" s="74"/>
      <c r="Q12" s="28" t="s">
        <v>185</v>
      </c>
      <c r="R12" s="28" t="s">
        <v>87</v>
      </c>
    </row>
    <row r="13" spans="1:23" x14ac:dyDescent="0.2">
      <c r="W13" s="21"/>
    </row>
    <row r="14" spans="1:23" x14ac:dyDescent="0.2">
      <c r="A14" s="1" t="s">
        <v>196</v>
      </c>
      <c r="B14" s="100">
        <f>SUM(B81,E81)</f>
        <v>2373.2057676264208</v>
      </c>
      <c r="C14" s="101">
        <f t="shared" ref="C14:C36" si="0">+B14/$B$38</f>
        <v>8.0333672352997279E-2</v>
      </c>
      <c r="D14" s="4">
        <f>$G$5*Q14</f>
        <v>104.81</v>
      </c>
      <c r="E14" s="4">
        <f t="shared" ref="E14:E36" si="1">F81</f>
        <v>85.97</v>
      </c>
      <c r="F14" s="10">
        <v>0</v>
      </c>
      <c r="G14" s="10">
        <v>0</v>
      </c>
      <c r="H14" s="10">
        <v>0</v>
      </c>
      <c r="I14" s="5">
        <f t="shared" ref="I14:I36" si="2">SUM(B14*D14,F14*G14)</f>
        <v>248735.69650492517</v>
      </c>
      <c r="J14" s="5">
        <f>SUM(B14*E14,F14*H14)</f>
        <v>204024.49984284339</v>
      </c>
      <c r="K14" s="5">
        <f>+I14-J14</f>
        <v>44711.196662081784</v>
      </c>
      <c r="L14" s="196">
        <f>+K14/J14</f>
        <v>0.21914621379551014</v>
      </c>
      <c r="M14" s="4"/>
      <c r="P14" s="175" t="s">
        <v>208</v>
      </c>
      <c r="Q14" s="134">
        <v>1</v>
      </c>
      <c r="R14" s="100">
        <f t="shared" ref="R14:R36" si="3">B14*Q14</f>
        <v>2373.2057676264208</v>
      </c>
      <c r="W14" s="21"/>
    </row>
    <row r="15" spans="1:23" x14ac:dyDescent="0.2">
      <c r="A15" s="201" t="s">
        <v>115</v>
      </c>
      <c r="B15" s="202">
        <f t="shared" ref="B15:B36" si="4">SUM(B82,E82)</f>
        <v>309.98979639409106</v>
      </c>
      <c r="C15" s="199">
        <f t="shared" si="0"/>
        <v>1.0493240441262616E-2</v>
      </c>
      <c r="D15" s="102">
        <f t="shared" ref="D15:D19" si="5">$G$5*Q15</f>
        <v>104.81</v>
      </c>
      <c r="E15" s="203">
        <f t="shared" si="1"/>
        <v>85.97</v>
      </c>
      <c r="F15" s="86">
        <v>0</v>
      </c>
      <c r="G15" s="86">
        <v>0</v>
      </c>
      <c r="H15" s="86">
        <v>0</v>
      </c>
      <c r="I15" s="204">
        <f t="shared" si="2"/>
        <v>32490.030560064686</v>
      </c>
      <c r="J15" s="204">
        <f t="shared" ref="J15:J36" si="6">SUM(B15*E15,F15*H15)</f>
        <v>26649.822796000008</v>
      </c>
      <c r="K15" s="204">
        <f t="shared" ref="K15:K36" si="7">+I15-J15</f>
        <v>5840.2077640646785</v>
      </c>
      <c r="L15" s="200">
        <f t="shared" ref="L15:L36" si="8">+K15/J15</f>
        <v>0.21914621379551016</v>
      </c>
      <c r="P15" s="175" t="s">
        <v>208</v>
      </c>
      <c r="Q15" s="190">
        <v>1</v>
      </c>
      <c r="R15" s="189">
        <f t="shared" si="3"/>
        <v>309.98979639409106</v>
      </c>
      <c r="W15" s="21"/>
    </row>
    <row r="16" spans="1:23" x14ac:dyDescent="0.2">
      <c r="A16" s="1" t="s">
        <v>223</v>
      </c>
      <c r="B16" s="100">
        <f t="shared" si="4"/>
        <v>1119</v>
      </c>
      <c r="C16" s="101">
        <f t="shared" si="0"/>
        <v>3.7878459840804908E-2</v>
      </c>
      <c r="D16" s="4">
        <f>+G5*D41</f>
        <v>78.607500000000002</v>
      </c>
      <c r="E16" s="4">
        <f t="shared" si="1"/>
        <v>64.48</v>
      </c>
      <c r="F16" s="10">
        <v>0</v>
      </c>
      <c r="G16" s="10">
        <v>0</v>
      </c>
      <c r="H16" s="10">
        <v>0</v>
      </c>
      <c r="I16" s="5">
        <f t="shared" si="2"/>
        <v>87961.792499999996</v>
      </c>
      <c r="J16" s="5">
        <f t="shared" si="6"/>
        <v>72153.12000000001</v>
      </c>
      <c r="K16" s="5">
        <f t="shared" si="7"/>
        <v>15808.672499999986</v>
      </c>
      <c r="L16" s="196">
        <f t="shared" si="8"/>
        <v>0.21909894540942906</v>
      </c>
      <c r="P16" s="175" t="s">
        <v>209</v>
      </c>
      <c r="Q16" s="134">
        <v>1</v>
      </c>
      <c r="R16" s="100">
        <f t="shared" si="3"/>
        <v>1119</v>
      </c>
      <c r="W16" s="21"/>
    </row>
    <row r="17" spans="1:23" x14ac:dyDescent="0.2">
      <c r="A17" s="201" t="s">
        <v>198</v>
      </c>
      <c r="B17" s="202">
        <f t="shared" si="4"/>
        <v>883.98067346167272</v>
      </c>
      <c r="C17" s="199">
        <f t="shared" si="0"/>
        <v>2.992299056279325E-2</v>
      </c>
      <c r="D17" s="102">
        <f t="shared" si="5"/>
        <v>104.81</v>
      </c>
      <c r="E17" s="203">
        <f t="shared" si="1"/>
        <v>85.97</v>
      </c>
      <c r="F17" s="86">
        <v>0</v>
      </c>
      <c r="G17" s="86">
        <v>0</v>
      </c>
      <c r="H17" s="86">
        <v>0</v>
      </c>
      <c r="I17" s="204">
        <f t="shared" si="2"/>
        <v>92650.014385517919</v>
      </c>
      <c r="J17" s="204">
        <f t="shared" si="6"/>
        <v>75995.818497500004</v>
      </c>
      <c r="K17" s="204">
        <f t="shared" si="7"/>
        <v>16654.195888017915</v>
      </c>
      <c r="L17" s="200">
        <f t="shared" si="8"/>
        <v>0.21914621379551008</v>
      </c>
      <c r="P17" s="175" t="s">
        <v>208</v>
      </c>
      <c r="Q17" s="190">
        <v>1</v>
      </c>
      <c r="R17" s="189">
        <f t="shared" si="3"/>
        <v>883.98067346167272</v>
      </c>
      <c r="W17" s="21"/>
    </row>
    <row r="18" spans="1:23" x14ac:dyDescent="0.2">
      <c r="A18" s="1" t="s">
        <v>118</v>
      </c>
      <c r="B18" s="100">
        <f t="shared" si="4"/>
        <v>454.16668605327447</v>
      </c>
      <c r="C18" s="101">
        <f t="shared" si="0"/>
        <v>1.5373668077480257E-2</v>
      </c>
      <c r="D18" s="4">
        <f t="shared" si="5"/>
        <v>104.81</v>
      </c>
      <c r="E18" s="4">
        <f t="shared" si="1"/>
        <v>85.97</v>
      </c>
      <c r="F18" s="10">
        <v>0</v>
      </c>
      <c r="G18" s="10">
        <v>0</v>
      </c>
      <c r="H18" s="10">
        <v>0</v>
      </c>
      <c r="I18" s="5">
        <f t="shared" si="2"/>
        <v>47601.2103652437</v>
      </c>
      <c r="J18" s="5">
        <f t="shared" si="6"/>
        <v>39044.710000000006</v>
      </c>
      <c r="K18" s="5">
        <f t="shared" si="7"/>
        <v>8556.5003652436935</v>
      </c>
      <c r="L18" s="196">
        <f t="shared" si="8"/>
        <v>0.21914621379551014</v>
      </c>
      <c r="P18" s="175" t="s">
        <v>208</v>
      </c>
      <c r="Q18" s="134">
        <v>1</v>
      </c>
      <c r="R18" s="100">
        <f t="shared" si="3"/>
        <v>454.16668605327447</v>
      </c>
      <c r="W18" s="21"/>
    </row>
    <row r="19" spans="1:23" x14ac:dyDescent="0.2">
      <c r="A19" s="201" t="s">
        <v>119</v>
      </c>
      <c r="B19" s="202">
        <f t="shared" si="4"/>
        <v>1400.2366666666667</v>
      </c>
      <c r="C19" s="199">
        <f t="shared" si="0"/>
        <v>4.739839887931712E-2</v>
      </c>
      <c r="D19" s="102">
        <f t="shared" si="5"/>
        <v>104.81</v>
      </c>
      <c r="E19" s="203">
        <f t="shared" si="1"/>
        <v>45</v>
      </c>
      <c r="F19" s="86">
        <v>0</v>
      </c>
      <c r="G19" s="86">
        <v>0</v>
      </c>
      <c r="H19" s="86">
        <v>0</v>
      </c>
      <c r="I19" s="204">
        <f t="shared" si="2"/>
        <v>146758.80503333334</v>
      </c>
      <c r="J19" s="204">
        <f t="shared" si="6"/>
        <v>63010.65</v>
      </c>
      <c r="K19" s="204">
        <f t="shared" si="7"/>
        <v>83748.155033333343</v>
      </c>
      <c r="L19" s="200">
        <f t="shared" si="8"/>
        <v>1.3291111111111111</v>
      </c>
      <c r="P19" s="175" t="s">
        <v>210</v>
      </c>
      <c r="Q19" s="190">
        <v>1</v>
      </c>
      <c r="R19" s="189">
        <f t="shared" si="3"/>
        <v>1400.2366666666667</v>
      </c>
      <c r="W19" s="21"/>
    </row>
    <row r="20" spans="1:23" x14ac:dyDescent="0.2">
      <c r="A20" s="1" t="s">
        <v>224</v>
      </c>
      <c r="B20" s="100">
        <f t="shared" si="4"/>
        <v>408</v>
      </c>
      <c r="C20" s="101">
        <f t="shared" si="0"/>
        <v>1.3810912971446293E-2</v>
      </c>
      <c r="D20" s="4">
        <f>$G$5*$D$40</f>
        <v>262.02499999999998</v>
      </c>
      <c r="E20" s="4">
        <f t="shared" si="1"/>
        <v>0</v>
      </c>
      <c r="F20" s="100">
        <f>'[1]BD Summary'!$H$9</f>
        <v>49776.577195725527</v>
      </c>
      <c r="G20" s="4">
        <f>$I$6</f>
        <v>11.642048839719587</v>
      </c>
      <c r="H20" s="4">
        <f>'[1]BD Summary'!$D$9</f>
        <v>8.89</v>
      </c>
      <c r="I20" s="5">
        <f t="shared" si="2"/>
        <v>686407.5427867088</v>
      </c>
      <c r="J20" s="5">
        <f>SUM(B20*E20,F20*H20)</f>
        <v>442513.77126999997</v>
      </c>
      <c r="K20" s="5">
        <f t="shared" si="7"/>
        <v>243893.77151670883</v>
      </c>
      <c r="L20" s="196">
        <f t="shared" si="8"/>
        <v>0.55115521222478958</v>
      </c>
      <c r="M20" s="4"/>
      <c r="P20" s="175" t="s">
        <v>212</v>
      </c>
      <c r="Q20" s="134">
        <v>2.5</v>
      </c>
      <c r="R20" s="100">
        <f t="shared" si="3"/>
        <v>1020</v>
      </c>
      <c r="W20" s="21"/>
    </row>
    <row r="21" spans="1:23" x14ac:dyDescent="0.2">
      <c r="A21" s="201" t="s">
        <v>121</v>
      </c>
      <c r="B21" s="202">
        <f t="shared" si="4"/>
        <v>3654.2296000000001</v>
      </c>
      <c r="C21" s="199">
        <f t="shared" si="0"/>
        <v>0.12369668378255637</v>
      </c>
      <c r="D21" s="102">
        <f t="shared" ref="D21:D29" si="9">$G$5*Q21</f>
        <v>104.81</v>
      </c>
      <c r="E21" s="203">
        <f t="shared" si="1"/>
        <v>12.5</v>
      </c>
      <c r="F21" s="86">
        <v>0</v>
      </c>
      <c r="G21" s="86">
        <v>0</v>
      </c>
      <c r="H21" s="86">
        <v>0</v>
      </c>
      <c r="I21" s="204">
        <f t="shared" si="2"/>
        <v>382999.80437600001</v>
      </c>
      <c r="J21" s="204">
        <f t="shared" si="6"/>
        <v>45677.87</v>
      </c>
      <c r="K21" s="204">
        <f t="shared" si="7"/>
        <v>337321.93437600002</v>
      </c>
      <c r="L21" s="200">
        <f t="shared" si="8"/>
        <v>7.3848000000000003</v>
      </c>
      <c r="M21" s="4"/>
      <c r="P21" s="175" t="s">
        <v>211</v>
      </c>
      <c r="Q21" s="190">
        <v>1</v>
      </c>
      <c r="R21" s="189">
        <f t="shared" si="3"/>
        <v>3654.2296000000001</v>
      </c>
      <c r="W21" s="21"/>
    </row>
    <row r="22" spans="1:23" x14ac:dyDescent="0.2">
      <c r="A22" s="1" t="s">
        <v>200</v>
      </c>
      <c r="B22" s="100">
        <f t="shared" si="4"/>
        <v>420.00000000000006</v>
      </c>
      <c r="C22" s="101">
        <f t="shared" si="0"/>
        <v>1.4217116294135891E-2</v>
      </c>
      <c r="D22" s="4">
        <f t="shared" si="9"/>
        <v>104.81</v>
      </c>
      <c r="E22" s="4">
        <f t="shared" si="1"/>
        <v>85.97</v>
      </c>
      <c r="F22" s="10">
        <v>0</v>
      </c>
      <c r="G22" s="10">
        <v>0</v>
      </c>
      <c r="H22" s="10">
        <v>0</v>
      </c>
      <c r="I22" s="5">
        <f t="shared" si="2"/>
        <v>44020.200000000004</v>
      </c>
      <c r="J22" s="5">
        <f t="shared" si="6"/>
        <v>36107.4</v>
      </c>
      <c r="K22" s="5">
        <f t="shared" si="7"/>
        <v>7912.8000000000029</v>
      </c>
      <c r="L22" s="196">
        <f t="shared" si="8"/>
        <v>0.21914621379551014</v>
      </c>
      <c r="P22" s="175" t="s">
        <v>208</v>
      </c>
      <c r="Q22" s="134">
        <v>1</v>
      </c>
      <c r="R22" s="100">
        <f t="shared" si="3"/>
        <v>420.00000000000006</v>
      </c>
      <c r="W22" s="21"/>
    </row>
    <row r="23" spans="1:23" x14ac:dyDescent="0.2">
      <c r="A23" s="201" t="s">
        <v>201</v>
      </c>
      <c r="B23" s="202">
        <f t="shared" si="4"/>
        <v>348.00000000000006</v>
      </c>
      <c r="C23" s="199">
        <f t="shared" si="0"/>
        <v>1.1779896357998311E-2</v>
      </c>
      <c r="D23" s="102">
        <f t="shared" si="9"/>
        <v>104.81</v>
      </c>
      <c r="E23" s="203">
        <f t="shared" si="1"/>
        <v>85.97</v>
      </c>
      <c r="F23" s="86">
        <v>0</v>
      </c>
      <c r="G23" s="86">
        <v>0</v>
      </c>
      <c r="H23" s="86">
        <v>0</v>
      </c>
      <c r="I23" s="204">
        <f t="shared" si="2"/>
        <v>36473.880000000005</v>
      </c>
      <c r="J23" s="204">
        <f t="shared" si="6"/>
        <v>29917.560000000005</v>
      </c>
      <c r="K23" s="204">
        <f t="shared" si="7"/>
        <v>6556.32</v>
      </c>
      <c r="L23" s="200">
        <f t="shared" si="8"/>
        <v>0.21914621379551003</v>
      </c>
      <c r="P23" s="175" t="s">
        <v>208</v>
      </c>
      <c r="Q23" s="190">
        <v>1</v>
      </c>
      <c r="R23" s="189">
        <f t="shared" si="3"/>
        <v>348.00000000000006</v>
      </c>
      <c r="W23" s="21"/>
    </row>
    <row r="24" spans="1:23" x14ac:dyDescent="0.2">
      <c r="A24" s="1" t="s">
        <v>202</v>
      </c>
      <c r="B24" s="100">
        <f t="shared" si="4"/>
        <v>1927.3161567988834</v>
      </c>
      <c r="C24" s="101">
        <f t="shared" si="0"/>
        <v>6.5240185563754202E-2</v>
      </c>
      <c r="D24" s="4">
        <f t="shared" si="9"/>
        <v>104.81</v>
      </c>
      <c r="E24" s="4">
        <f t="shared" si="1"/>
        <v>85.97</v>
      </c>
      <c r="F24" s="10">
        <v>0</v>
      </c>
      <c r="G24" s="10">
        <v>0</v>
      </c>
      <c r="H24" s="10">
        <v>0</v>
      </c>
      <c r="I24" s="5">
        <f t="shared" si="2"/>
        <v>202002.00639409097</v>
      </c>
      <c r="J24" s="5">
        <f t="shared" si="6"/>
        <v>165691.37</v>
      </c>
      <c r="K24" s="5">
        <f t="shared" si="7"/>
        <v>36310.63639409098</v>
      </c>
      <c r="L24" s="196">
        <f t="shared" si="8"/>
        <v>0.21914621379551016</v>
      </c>
      <c r="P24" s="175" t="s">
        <v>208</v>
      </c>
      <c r="Q24" s="134">
        <v>1</v>
      </c>
      <c r="R24" s="100">
        <f t="shared" si="3"/>
        <v>1927.3161567988834</v>
      </c>
      <c r="W24" s="21"/>
    </row>
    <row r="25" spans="1:23" x14ac:dyDescent="0.2">
      <c r="A25" s="201" t="s">
        <v>127</v>
      </c>
      <c r="B25" s="202">
        <f t="shared" si="4"/>
        <v>287.99999999999994</v>
      </c>
      <c r="C25" s="199">
        <f t="shared" si="0"/>
        <v>9.7488797445503227E-3</v>
      </c>
      <c r="D25" s="102">
        <f t="shared" si="9"/>
        <v>104.81</v>
      </c>
      <c r="E25" s="203">
        <f t="shared" si="1"/>
        <v>49.66</v>
      </c>
      <c r="F25" s="86">
        <v>0</v>
      </c>
      <c r="G25" s="86">
        <v>0</v>
      </c>
      <c r="H25" s="86">
        <v>0</v>
      </c>
      <c r="I25" s="204">
        <f t="shared" si="2"/>
        <v>30185.279999999995</v>
      </c>
      <c r="J25" s="204">
        <f t="shared" si="6"/>
        <v>14302.079999999996</v>
      </c>
      <c r="K25" s="204">
        <f t="shared" si="7"/>
        <v>15883.199999999999</v>
      </c>
      <c r="L25" s="200">
        <f t="shared" si="8"/>
        <v>1.1105517519130086</v>
      </c>
      <c r="P25" s="175" t="s">
        <v>213</v>
      </c>
      <c r="Q25" s="190">
        <v>1</v>
      </c>
      <c r="R25" s="189">
        <f t="shared" si="3"/>
        <v>287.99999999999994</v>
      </c>
      <c r="W25" s="21"/>
    </row>
    <row r="26" spans="1:23" x14ac:dyDescent="0.2">
      <c r="A26" s="1" t="s">
        <v>203</v>
      </c>
      <c r="B26" s="100">
        <f t="shared" si="4"/>
        <v>1570.4330658899885</v>
      </c>
      <c r="C26" s="101">
        <f t="shared" si="0"/>
        <v>5.3159594118843662E-2</v>
      </c>
      <c r="D26" s="4">
        <f t="shared" si="9"/>
        <v>104.81</v>
      </c>
      <c r="E26" s="4">
        <f t="shared" si="1"/>
        <v>85.97</v>
      </c>
      <c r="F26" s="10">
        <v>0</v>
      </c>
      <c r="G26" s="10">
        <v>0</v>
      </c>
      <c r="H26" s="10">
        <v>0</v>
      </c>
      <c r="I26" s="5">
        <f t="shared" si="2"/>
        <v>164597.0896359297</v>
      </c>
      <c r="J26" s="5">
        <f t="shared" si="6"/>
        <v>135010.1306745623</v>
      </c>
      <c r="K26" s="5">
        <f t="shared" si="7"/>
        <v>29586.958961367403</v>
      </c>
      <c r="L26" s="196">
        <f t="shared" si="8"/>
        <v>0.21914621379551022</v>
      </c>
      <c r="P26" s="175" t="s">
        <v>208</v>
      </c>
      <c r="Q26" s="134">
        <v>1</v>
      </c>
      <c r="R26" s="100">
        <f t="shared" si="3"/>
        <v>1570.4330658899885</v>
      </c>
      <c r="W26" s="21"/>
    </row>
    <row r="27" spans="1:23" x14ac:dyDescent="0.2">
      <c r="A27" s="201" t="s">
        <v>204</v>
      </c>
      <c r="B27" s="202">
        <f t="shared" si="4"/>
        <v>396</v>
      </c>
      <c r="C27" s="199">
        <f t="shared" si="0"/>
        <v>1.3404709648756697E-2</v>
      </c>
      <c r="D27" s="102">
        <f t="shared" si="9"/>
        <v>104.81</v>
      </c>
      <c r="E27" s="203">
        <f t="shared" si="1"/>
        <v>85.97</v>
      </c>
      <c r="F27" s="86">
        <v>0</v>
      </c>
      <c r="G27" s="86">
        <v>0</v>
      </c>
      <c r="H27" s="86">
        <v>0</v>
      </c>
      <c r="I27" s="204">
        <f t="shared" si="2"/>
        <v>41504.76</v>
      </c>
      <c r="J27" s="204">
        <f t="shared" si="6"/>
        <v>34044.120000000003</v>
      </c>
      <c r="K27" s="204">
        <f t="shared" si="7"/>
        <v>7460.6399999999994</v>
      </c>
      <c r="L27" s="200">
        <f t="shared" si="8"/>
        <v>0.21914621379551003</v>
      </c>
      <c r="P27" s="175" t="s">
        <v>208</v>
      </c>
      <c r="Q27" s="190">
        <v>1</v>
      </c>
      <c r="R27" s="189">
        <f t="shared" si="3"/>
        <v>396</v>
      </c>
      <c r="W27" s="21"/>
    </row>
    <row r="28" spans="1:23" x14ac:dyDescent="0.2">
      <c r="A28" s="1" t="s">
        <v>205</v>
      </c>
      <c r="B28" s="100">
        <f t="shared" si="4"/>
        <v>3960.1664185180875</v>
      </c>
      <c r="C28" s="101">
        <f t="shared" si="0"/>
        <v>0.13405272980048399</v>
      </c>
      <c r="D28" s="4">
        <f t="shared" si="9"/>
        <v>104.81</v>
      </c>
      <c r="E28" s="4">
        <f t="shared" si="1"/>
        <v>85.97</v>
      </c>
      <c r="F28" s="10">
        <v>0</v>
      </c>
      <c r="G28" s="10">
        <v>0</v>
      </c>
      <c r="H28" s="10">
        <v>0</v>
      </c>
      <c r="I28" s="5">
        <f t="shared" si="2"/>
        <v>415065.04232488078</v>
      </c>
      <c r="J28" s="5">
        <f t="shared" si="6"/>
        <v>340455.50699999998</v>
      </c>
      <c r="K28" s="5">
        <f t="shared" si="7"/>
        <v>74609.535324880795</v>
      </c>
      <c r="L28" s="196">
        <f t="shared" si="8"/>
        <v>0.21914621379551014</v>
      </c>
      <c r="P28" s="175" t="s">
        <v>208</v>
      </c>
      <c r="Q28" s="134">
        <v>1</v>
      </c>
      <c r="R28" s="100">
        <f t="shared" si="3"/>
        <v>3960.1664185180875</v>
      </c>
      <c r="W28" s="21"/>
    </row>
    <row r="29" spans="1:23" x14ac:dyDescent="0.2">
      <c r="A29" s="201" t="s">
        <v>132</v>
      </c>
      <c r="B29" s="202">
        <f t="shared" si="4"/>
        <v>478.52634639990697</v>
      </c>
      <c r="C29" s="199">
        <f t="shared" si="0"/>
        <v>1.61982493251796E-2</v>
      </c>
      <c r="D29" s="102">
        <f t="shared" si="9"/>
        <v>104.81</v>
      </c>
      <c r="E29" s="203">
        <f t="shared" si="1"/>
        <v>85.97</v>
      </c>
      <c r="F29" s="86">
        <v>0</v>
      </c>
      <c r="G29" s="86">
        <v>0</v>
      </c>
      <c r="H29" s="86">
        <v>0</v>
      </c>
      <c r="I29" s="204">
        <f t="shared" si="2"/>
        <v>50154.34636617425</v>
      </c>
      <c r="J29" s="204">
        <f t="shared" si="6"/>
        <v>41138.910000000003</v>
      </c>
      <c r="K29" s="204">
        <f t="shared" si="7"/>
        <v>9015.4363661742464</v>
      </c>
      <c r="L29" s="200">
        <f t="shared" si="8"/>
        <v>0.21914621379551003</v>
      </c>
      <c r="P29" s="175" t="s">
        <v>208</v>
      </c>
      <c r="Q29" s="190">
        <v>1</v>
      </c>
      <c r="R29" s="189">
        <f t="shared" si="3"/>
        <v>478.52634639990697</v>
      </c>
      <c r="W29" s="21"/>
    </row>
    <row r="30" spans="1:23" x14ac:dyDescent="0.2">
      <c r="A30" s="1" t="s">
        <v>221</v>
      </c>
      <c r="B30" s="100">
        <f t="shared" si="4"/>
        <v>12.000255903222053</v>
      </c>
      <c r="C30" s="101">
        <f t="shared" si="0"/>
        <v>4.0621198508452059E-4</v>
      </c>
      <c r="D30" s="4">
        <f>$G$5*$D$40</f>
        <v>262.02499999999998</v>
      </c>
      <c r="E30" s="4">
        <f t="shared" si="1"/>
        <v>214.92500000000001</v>
      </c>
      <c r="F30" s="10">
        <v>0</v>
      </c>
      <c r="G30" s="10">
        <v>0</v>
      </c>
      <c r="H30" s="10">
        <v>0</v>
      </c>
      <c r="I30" s="5">
        <f t="shared" si="2"/>
        <v>3144.367053041758</v>
      </c>
      <c r="J30" s="5">
        <f t="shared" si="6"/>
        <v>2579.1549999999997</v>
      </c>
      <c r="K30" s="5">
        <f t="shared" si="7"/>
        <v>565.21205304175828</v>
      </c>
      <c r="L30" s="196">
        <f t="shared" si="8"/>
        <v>0.21914621379550989</v>
      </c>
      <c r="P30" s="175" t="s">
        <v>217</v>
      </c>
      <c r="Q30" s="134">
        <v>2.5</v>
      </c>
      <c r="R30" s="100">
        <f t="shared" si="3"/>
        <v>30.000639758055133</v>
      </c>
      <c r="W30" s="21"/>
    </row>
    <row r="31" spans="1:23" x14ac:dyDescent="0.2">
      <c r="A31" s="201" t="s">
        <v>207</v>
      </c>
      <c r="B31" s="202">
        <f t="shared" si="4"/>
        <v>4292.0507454095277</v>
      </c>
      <c r="C31" s="199">
        <f t="shared" si="0"/>
        <v>0.14528710616147592</v>
      </c>
      <c r="D31" s="102">
        <f t="shared" ref="D31:D36" si="10">$G$5*Q31</f>
        <v>104.81</v>
      </c>
      <c r="E31" s="203">
        <f t="shared" si="1"/>
        <v>85.97</v>
      </c>
      <c r="F31" s="86">
        <v>0</v>
      </c>
      <c r="G31" s="86">
        <v>0</v>
      </c>
      <c r="H31" s="86">
        <v>0</v>
      </c>
      <c r="I31" s="204">
        <f t="shared" si="2"/>
        <v>449849.83862637263</v>
      </c>
      <c r="J31" s="204">
        <f t="shared" si="6"/>
        <v>368987.60258285707</v>
      </c>
      <c r="K31" s="204">
        <f t="shared" si="7"/>
        <v>80862.236043515557</v>
      </c>
      <c r="L31" s="200">
        <f t="shared" si="8"/>
        <v>0.21914621379551022</v>
      </c>
      <c r="P31" s="175" t="s">
        <v>208</v>
      </c>
      <c r="Q31" s="190">
        <v>1</v>
      </c>
      <c r="R31" s="189">
        <f t="shared" si="3"/>
        <v>4292.0507454095277</v>
      </c>
      <c r="W31" s="21"/>
    </row>
    <row r="32" spans="1:23" x14ac:dyDescent="0.2">
      <c r="A32" s="1" t="s">
        <v>219</v>
      </c>
      <c r="B32" s="100">
        <f t="shared" si="4"/>
        <v>660.86204489938359</v>
      </c>
      <c r="C32" s="101">
        <f t="shared" si="0"/>
        <v>2.2370363206464263E-2</v>
      </c>
      <c r="D32" s="4">
        <f t="shared" si="10"/>
        <v>104.81</v>
      </c>
      <c r="E32" s="4">
        <f t="shared" si="1"/>
        <v>85.97</v>
      </c>
      <c r="F32" s="10">
        <v>0</v>
      </c>
      <c r="G32" s="10">
        <v>0</v>
      </c>
      <c r="H32" s="10">
        <v>0</v>
      </c>
      <c r="I32" s="5">
        <f t="shared" si="2"/>
        <v>69264.950925904399</v>
      </c>
      <c r="J32" s="5">
        <f t="shared" si="6"/>
        <v>56814.310000000005</v>
      </c>
      <c r="K32" s="5">
        <f t="shared" si="7"/>
        <v>12450.640925904394</v>
      </c>
      <c r="L32" s="196">
        <f t="shared" si="8"/>
        <v>0.21914621379551019</v>
      </c>
      <c r="P32" s="175" t="s">
        <v>208</v>
      </c>
      <c r="Q32" s="134">
        <v>1</v>
      </c>
      <c r="R32" s="100">
        <f t="shared" si="3"/>
        <v>660.86204489938359</v>
      </c>
      <c r="W32" s="21"/>
    </row>
    <row r="33" spans="1:23" x14ac:dyDescent="0.2">
      <c r="A33" s="201" t="s">
        <v>134</v>
      </c>
      <c r="B33" s="202">
        <f t="shared" si="4"/>
        <v>2164.1950744469741</v>
      </c>
      <c r="C33" s="199">
        <f t="shared" si="0"/>
        <v>7.325860251573503E-2</v>
      </c>
      <c r="D33" s="102">
        <f t="shared" si="10"/>
        <v>104.81</v>
      </c>
      <c r="E33" s="203">
        <f t="shared" si="1"/>
        <v>85.97</v>
      </c>
      <c r="F33" s="86">
        <v>0</v>
      </c>
      <c r="G33" s="86">
        <v>0</v>
      </c>
      <c r="H33" s="86">
        <v>0</v>
      </c>
      <c r="I33" s="204">
        <f t="shared" si="2"/>
        <v>226829.28575278737</v>
      </c>
      <c r="J33" s="204">
        <f t="shared" si="6"/>
        <v>186055.85055020635</v>
      </c>
      <c r="K33" s="204">
        <f t="shared" si="7"/>
        <v>40773.435202581022</v>
      </c>
      <c r="L33" s="200">
        <f t="shared" si="8"/>
        <v>0.21914621379551025</v>
      </c>
      <c r="P33" s="175" t="s">
        <v>208</v>
      </c>
      <c r="Q33" s="190">
        <v>1</v>
      </c>
      <c r="R33" s="189">
        <f t="shared" si="3"/>
        <v>2164.1950744469741</v>
      </c>
      <c r="W33" s="21"/>
    </row>
    <row r="34" spans="1:23" x14ac:dyDescent="0.2">
      <c r="A34" s="1" t="s">
        <v>135</v>
      </c>
      <c r="B34" s="100">
        <f t="shared" si="4"/>
        <v>504</v>
      </c>
      <c r="C34" s="101">
        <f t="shared" si="0"/>
        <v>1.7060539552963067E-2</v>
      </c>
      <c r="D34" s="4">
        <f t="shared" si="10"/>
        <v>104.81</v>
      </c>
      <c r="E34" s="4">
        <f t="shared" si="1"/>
        <v>27.43</v>
      </c>
      <c r="F34" s="10">
        <v>0</v>
      </c>
      <c r="G34" s="10">
        <v>0</v>
      </c>
      <c r="H34" s="10">
        <v>0</v>
      </c>
      <c r="I34" s="5">
        <f t="shared" si="2"/>
        <v>52824.24</v>
      </c>
      <c r="J34" s="5">
        <f t="shared" si="6"/>
        <v>13824.72</v>
      </c>
      <c r="K34" s="5">
        <f t="shared" si="7"/>
        <v>38999.519999999997</v>
      </c>
      <c r="L34" s="196">
        <f t="shared" si="8"/>
        <v>2.8209989063069631</v>
      </c>
      <c r="P34" s="175" t="s">
        <v>214</v>
      </c>
      <c r="Q34" s="134">
        <v>1</v>
      </c>
      <c r="R34" s="100">
        <f t="shared" si="3"/>
        <v>504</v>
      </c>
      <c r="W34" s="21"/>
    </row>
    <row r="35" spans="1:23" x14ac:dyDescent="0.2">
      <c r="A35" s="201" t="s">
        <v>136</v>
      </c>
      <c r="B35" s="202">
        <f t="shared" si="4"/>
        <v>826.3239668035593</v>
      </c>
      <c r="C35" s="199">
        <f t="shared" si="0"/>
        <v>2.7971295077804492E-2</v>
      </c>
      <c r="D35" s="102">
        <f t="shared" si="10"/>
        <v>104.81</v>
      </c>
      <c r="E35" s="203">
        <f t="shared" si="1"/>
        <v>85.97</v>
      </c>
      <c r="F35" s="86">
        <v>0</v>
      </c>
      <c r="G35" s="86">
        <v>0</v>
      </c>
      <c r="H35" s="86">
        <v>0</v>
      </c>
      <c r="I35" s="204">
        <f t="shared" si="2"/>
        <v>86607.014960681059</v>
      </c>
      <c r="J35" s="204">
        <f t="shared" si="6"/>
        <v>71039.071426101989</v>
      </c>
      <c r="K35" s="204">
        <f t="shared" si="7"/>
        <v>15567.94353457907</v>
      </c>
      <c r="L35" s="200">
        <f t="shared" si="8"/>
        <v>0.21914621379551025</v>
      </c>
      <c r="P35" s="175" t="s">
        <v>208</v>
      </c>
      <c r="Q35" s="190">
        <v>1</v>
      </c>
      <c r="R35" s="189">
        <f t="shared" si="3"/>
        <v>826.3239668035593</v>
      </c>
      <c r="W35" s="21"/>
    </row>
    <row r="36" spans="1:23" x14ac:dyDescent="0.2">
      <c r="A36" s="1" t="s">
        <v>138</v>
      </c>
      <c r="B36" s="100">
        <f t="shared" si="4"/>
        <v>1091.1725731895224</v>
      </c>
      <c r="C36" s="101">
        <f t="shared" si="0"/>
        <v>3.6936493738111774E-2</v>
      </c>
      <c r="D36" s="4">
        <f t="shared" si="10"/>
        <v>104.81</v>
      </c>
      <c r="E36" s="4">
        <f t="shared" si="1"/>
        <v>19.47</v>
      </c>
      <c r="F36" s="10">
        <v>0</v>
      </c>
      <c r="G36" s="10">
        <v>0</v>
      </c>
      <c r="H36" s="10">
        <v>0</v>
      </c>
      <c r="I36" s="5">
        <f t="shared" si="2"/>
        <v>114365.79739599384</v>
      </c>
      <c r="J36" s="5">
        <f t="shared" si="6"/>
        <v>21245.13</v>
      </c>
      <c r="K36" s="5">
        <f t="shared" si="7"/>
        <v>93120.667395993834</v>
      </c>
      <c r="L36" s="196">
        <f t="shared" si="8"/>
        <v>4.3831535695942474</v>
      </c>
      <c r="P36" s="175" t="s">
        <v>215</v>
      </c>
      <c r="Q36" s="134">
        <v>1</v>
      </c>
      <c r="R36" s="100">
        <f t="shared" si="3"/>
        <v>1091.1725731895224</v>
      </c>
      <c r="W36" s="21"/>
    </row>
    <row r="37" spans="1:23" x14ac:dyDescent="0.2">
      <c r="U37" s="21"/>
    </row>
    <row r="38" spans="1:23" x14ac:dyDescent="0.2">
      <c r="A38" s="54" t="s">
        <v>1</v>
      </c>
      <c r="B38" s="191">
        <f>SUM(B14:B36)</f>
        <v>29541.855838461186</v>
      </c>
      <c r="C38" s="192">
        <f>SUM(C14:C36)</f>
        <v>0.99999999999999978</v>
      </c>
      <c r="D38" s="191"/>
      <c r="E38" s="193"/>
      <c r="F38" s="193"/>
      <c r="G38" s="193"/>
      <c r="H38" s="193"/>
      <c r="I38" s="195">
        <f>SUM(I14:I36)</f>
        <v>3712492.9959476502</v>
      </c>
      <c r="J38" s="195">
        <f>SUM(J14:J36)</f>
        <v>2486283.1796400715</v>
      </c>
      <c r="K38" s="195">
        <f>SUM(K14:K36)</f>
        <v>1226209.8163075794</v>
      </c>
      <c r="L38" s="194">
        <f>+K38/$J$38</f>
        <v>0.4931899255679687</v>
      </c>
      <c r="P38" s="9"/>
      <c r="Q38" s="162"/>
      <c r="R38" s="163">
        <f>SUM(R14:R36)</f>
        <v>30171.856222316015</v>
      </c>
      <c r="U38" s="21"/>
    </row>
    <row r="39" spans="1:23" x14ac:dyDescent="0.2">
      <c r="B39" s="97"/>
      <c r="F39" s="213"/>
      <c r="P39" s="9"/>
      <c r="U39" s="21"/>
    </row>
    <row r="40" spans="1:23" x14ac:dyDescent="0.2">
      <c r="A40" s="205" t="s">
        <v>226</v>
      </c>
      <c r="B40" s="206"/>
      <c r="C40" s="206"/>
      <c r="D40" s="207">
        <v>2.5</v>
      </c>
      <c r="F40" s="97"/>
      <c r="G40" s="97"/>
      <c r="I40" s="74"/>
      <c r="J40" s="74"/>
      <c r="R40" s="1" t="s">
        <v>171</v>
      </c>
      <c r="U40" s="21"/>
    </row>
    <row r="41" spans="1:23" x14ac:dyDescent="0.2">
      <c r="A41" s="208" t="s">
        <v>225</v>
      </c>
      <c r="B41" s="209"/>
      <c r="C41" s="209"/>
      <c r="D41" s="210">
        <v>0.75</v>
      </c>
      <c r="H41" s="74"/>
      <c r="I41" s="74"/>
      <c r="J41" s="74"/>
      <c r="U41" s="21"/>
    </row>
    <row r="42" spans="1:23" x14ac:dyDescent="0.2">
      <c r="U42" s="21"/>
    </row>
    <row r="43" spans="1:23" x14ac:dyDescent="0.2">
      <c r="K43" s="10"/>
    </row>
    <row r="44" spans="1:23" x14ac:dyDescent="0.2">
      <c r="J44" s="211"/>
      <c r="K44" s="19"/>
    </row>
    <row r="45" spans="1:23" x14ac:dyDescent="0.2">
      <c r="J45" s="212"/>
    </row>
    <row r="59" spans="1:10" x14ac:dyDescent="0.2">
      <c r="B59" s="4"/>
      <c r="C59" s="4"/>
    </row>
    <row r="61" spans="1:10" ht="25.5" x14ac:dyDescent="0.2">
      <c r="A61" s="98" t="s">
        <v>10</v>
      </c>
      <c r="B61" s="53" t="s">
        <v>182</v>
      </c>
      <c r="C61" s="53" t="s">
        <v>183</v>
      </c>
      <c r="D61" s="127" t="s">
        <v>173</v>
      </c>
      <c r="E61" s="127" t="s">
        <v>174</v>
      </c>
      <c r="F61" s="53" t="s">
        <v>101</v>
      </c>
      <c r="G61" s="99" t="s">
        <v>181</v>
      </c>
    </row>
    <row r="63" spans="1:10" x14ac:dyDescent="0.2">
      <c r="A63" s="181" t="str">
        <f>J63&amp;" ("&amp;TEXT(B63,"#,###")&amp;")"</f>
        <v>Persimmon Non-Residential (1) (12)</v>
      </c>
      <c r="B63" s="182">
        <f t="shared" ref="B63:B71" si="11">SUMIF($P$14:$P$36,$I63,$B$14:$B$36)</f>
        <v>12.000255903222053</v>
      </c>
      <c r="C63" s="183">
        <f t="shared" ref="C63:C71" si="12">+B63/$B$73</f>
        <v>4.0621198508452065E-4</v>
      </c>
      <c r="D63" s="184">
        <f>INDEX($D$14:$D$36,MATCH($I63,$P$14:$P$36,0))</f>
        <v>262.02499999999998</v>
      </c>
      <c r="E63" s="184">
        <f t="shared" ref="E63:E71" si="13">INDEX($E$14:$E$36,MATCH($I63,$P$14:$P$36,0))</f>
        <v>214.92500000000001</v>
      </c>
      <c r="F63" s="184">
        <f t="shared" ref="F63:F71" si="14">+D63-E63</f>
        <v>47.099999999999966</v>
      </c>
      <c r="G63" s="185">
        <f t="shared" ref="G63:G71" si="15">IFERROR(+F63/E63,"N/A")</f>
        <v>0.21914621379550989</v>
      </c>
      <c r="I63" s="176" t="s">
        <v>217</v>
      </c>
      <c r="J63" s="177" t="str">
        <f t="shared" ref="J63:J70" si="16">INDEX($A$14:$A$36,MATCH($I63,$P$14:$P$36,0))</f>
        <v>Persimmon Non-Residential (1)</v>
      </c>
    </row>
    <row r="64" spans="1:10" x14ac:dyDescent="0.2">
      <c r="A64" s="1" t="str">
        <f t="shared" ref="A64:A71" si="17">J64&amp;" ("&amp;TEXT(B64,"#,###")&amp;")"</f>
        <v>Brocklyn Multifamily (2) (1,119)</v>
      </c>
      <c r="B64" s="179">
        <f t="shared" si="11"/>
        <v>1119</v>
      </c>
      <c r="C64" s="180">
        <f t="shared" si="12"/>
        <v>3.7878459840804908E-2</v>
      </c>
      <c r="D64" s="4">
        <f t="shared" ref="D64:D71" si="18">INDEX($D$14:$D$36,MATCH($I64,$P$14:$P$36,0))</f>
        <v>78.607500000000002</v>
      </c>
      <c r="E64" s="4">
        <f t="shared" si="13"/>
        <v>64.48</v>
      </c>
      <c r="F64" s="4">
        <f t="shared" si="14"/>
        <v>14.127499999999998</v>
      </c>
      <c r="G64" s="171">
        <f t="shared" si="15"/>
        <v>0.21909894540942923</v>
      </c>
      <c r="I64" s="176" t="s">
        <v>209</v>
      </c>
      <c r="J64" s="177" t="str">
        <f t="shared" si="16"/>
        <v>Brocklyn Multifamily (2)</v>
      </c>
    </row>
    <row r="65" spans="1:11" x14ac:dyDescent="0.2">
      <c r="A65" s="89" t="str">
        <f t="shared" si="17"/>
        <v>Herrington Haven (288)</v>
      </c>
      <c r="B65" s="131">
        <f t="shared" si="11"/>
        <v>287.99999999999994</v>
      </c>
      <c r="C65" s="132">
        <f t="shared" si="12"/>
        <v>9.7488797445503244E-3</v>
      </c>
      <c r="D65" s="102">
        <f t="shared" si="18"/>
        <v>104.81</v>
      </c>
      <c r="E65" s="102">
        <f t="shared" si="13"/>
        <v>49.66</v>
      </c>
      <c r="F65" s="102">
        <f t="shared" si="14"/>
        <v>55.150000000000006</v>
      </c>
      <c r="G65" s="178">
        <f t="shared" si="15"/>
        <v>1.1105517519130086</v>
      </c>
      <c r="I65" s="176" t="s">
        <v>213</v>
      </c>
      <c r="J65" s="177" t="str">
        <f t="shared" si="16"/>
        <v>Herrington Haven</v>
      </c>
    </row>
    <row r="66" spans="1:11" x14ac:dyDescent="0.2">
      <c r="A66" s="1" t="str">
        <f>J66&amp;" ("&amp;TEXT(B66,"#,###")&amp;")"</f>
        <v>Darlington Creek (1,400)</v>
      </c>
      <c r="B66" s="179">
        <f t="shared" si="11"/>
        <v>1400.2366666666667</v>
      </c>
      <c r="C66" s="180">
        <f t="shared" si="12"/>
        <v>4.7398398879317127E-2</v>
      </c>
      <c r="D66" s="4">
        <f t="shared" si="18"/>
        <v>104.81</v>
      </c>
      <c r="E66" s="4">
        <f t="shared" si="13"/>
        <v>45</v>
      </c>
      <c r="F66" s="4">
        <f>+D66-E66</f>
        <v>59.81</v>
      </c>
      <c r="G66" s="171">
        <f t="shared" si="15"/>
        <v>1.3291111111111111</v>
      </c>
      <c r="I66" s="176" t="s">
        <v>210</v>
      </c>
      <c r="J66" s="177" t="str">
        <f t="shared" si="16"/>
        <v>Darlington Creek</v>
      </c>
    </row>
    <row r="67" spans="1:11" x14ac:dyDescent="0.2">
      <c r="A67" s="89" t="str">
        <f t="shared" si="17"/>
        <v>Springcrest (504)</v>
      </c>
      <c r="B67" s="131">
        <f t="shared" si="11"/>
        <v>504</v>
      </c>
      <c r="C67" s="132">
        <f t="shared" si="12"/>
        <v>1.7060539552963071E-2</v>
      </c>
      <c r="D67" s="102">
        <f t="shared" si="18"/>
        <v>104.81</v>
      </c>
      <c r="E67" s="102">
        <f t="shared" si="13"/>
        <v>27.43</v>
      </c>
      <c r="F67" s="102">
        <f t="shared" si="14"/>
        <v>77.38</v>
      </c>
      <c r="G67" s="178">
        <f t="shared" si="15"/>
        <v>2.8209989063069631</v>
      </c>
      <c r="I67" s="176" t="s">
        <v>214</v>
      </c>
      <c r="J67" s="177" t="str">
        <f t="shared" si="16"/>
        <v>Springcrest</v>
      </c>
    </row>
    <row r="68" spans="1:11" x14ac:dyDescent="0.2">
      <c r="A68" s="1" t="str">
        <f>J68&amp;" ("&amp;TEXT(B68,"#,###")&amp;")"</f>
        <v>Woodland Acres (1,091)</v>
      </c>
      <c r="B68" s="179">
        <f t="shared" si="11"/>
        <v>1091.1725731895224</v>
      </c>
      <c r="C68" s="180">
        <f t="shared" si="12"/>
        <v>3.6936493738111781E-2</v>
      </c>
      <c r="D68" s="4">
        <f t="shared" si="18"/>
        <v>104.81</v>
      </c>
      <c r="E68" s="4">
        <f t="shared" si="13"/>
        <v>19.47</v>
      </c>
      <c r="F68" s="4">
        <f>+D68-E68</f>
        <v>85.34</v>
      </c>
      <c r="G68" s="171">
        <f t="shared" si="15"/>
        <v>4.3831535695942483</v>
      </c>
      <c r="I68" s="176" t="s">
        <v>215</v>
      </c>
      <c r="J68" s="177" t="str">
        <f t="shared" si="16"/>
        <v>Woodland Acres</v>
      </c>
    </row>
    <row r="69" spans="1:11" x14ac:dyDescent="0.2">
      <c r="A69" s="89" t="str">
        <f t="shared" si="17"/>
        <v>Delaplain (3,654)</v>
      </c>
      <c r="B69" s="131">
        <f t="shared" si="11"/>
        <v>3654.2296000000001</v>
      </c>
      <c r="C69" s="132">
        <f t="shared" si="12"/>
        <v>0.12369668378255638</v>
      </c>
      <c r="D69" s="102">
        <f t="shared" si="18"/>
        <v>104.81</v>
      </c>
      <c r="E69" s="102">
        <f t="shared" si="13"/>
        <v>12.5</v>
      </c>
      <c r="F69" s="102">
        <f t="shared" si="14"/>
        <v>92.31</v>
      </c>
      <c r="G69" s="178">
        <f t="shared" si="15"/>
        <v>7.3848000000000003</v>
      </c>
      <c r="I69" s="176" t="s">
        <v>211</v>
      </c>
      <c r="J69" s="177" t="str">
        <f t="shared" si="16"/>
        <v>Delaplain</v>
      </c>
    </row>
    <row r="70" spans="1:11" x14ac:dyDescent="0.2">
      <c r="A70" s="1" t="str">
        <f t="shared" si="17"/>
        <v>Delaplain Commercial (1) (408)</v>
      </c>
      <c r="B70" s="179">
        <f t="shared" si="11"/>
        <v>408</v>
      </c>
      <c r="C70" s="180">
        <f t="shared" si="12"/>
        <v>1.3810912971446295E-2</v>
      </c>
      <c r="D70" s="4">
        <f t="shared" si="18"/>
        <v>262.02499999999998</v>
      </c>
      <c r="E70" s="4">
        <f t="shared" si="13"/>
        <v>0</v>
      </c>
      <c r="F70" s="4">
        <f t="shared" si="14"/>
        <v>262.02499999999998</v>
      </c>
      <c r="G70" s="171" t="str">
        <f t="shared" si="15"/>
        <v>N/A</v>
      </c>
      <c r="I70" s="176" t="s">
        <v>212</v>
      </c>
      <c r="J70" s="177" t="str">
        <f t="shared" si="16"/>
        <v>Delaplain Commercial (1)</v>
      </c>
    </row>
    <row r="71" spans="1:11" x14ac:dyDescent="0.2">
      <c r="A71" s="122" t="str">
        <f t="shared" si="17"/>
        <v>Other Service Areas (21,065)</v>
      </c>
      <c r="B71" s="172">
        <f t="shared" si="11"/>
        <v>21065.21674270177</v>
      </c>
      <c r="C71" s="173">
        <f t="shared" si="12"/>
        <v>0.7130634195051655</v>
      </c>
      <c r="D71" s="174">
        <f t="shared" si="18"/>
        <v>104.81</v>
      </c>
      <c r="E71" s="174">
        <f t="shared" si="13"/>
        <v>85.97</v>
      </c>
      <c r="F71" s="174">
        <f t="shared" si="14"/>
        <v>18.840000000000003</v>
      </c>
      <c r="G71" s="186">
        <f t="shared" si="15"/>
        <v>0.21914621379551011</v>
      </c>
      <c r="I71" s="176" t="s">
        <v>208</v>
      </c>
      <c r="J71" s="177" t="s">
        <v>216</v>
      </c>
    </row>
    <row r="72" spans="1:11" x14ac:dyDescent="0.2">
      <c r="B72" s="128"/>
      <c r="C72" s="2"/>
    </row>
    <row r="73" spans="1:11" x14ac:dyDescent="0.2">
      <c r="A73" s="103"/>
      <c r="B73" s="129">
        <f>SUM(B63:B71)</f>
        <v>29541.855838461182</v>
      </c>
      <c r="C73" s="130">
        <f>SUM(C63:C71)</f>
        <v>1</v>
      </c>
      <c r="D73" s="104"/>
      <c r="E73" s="104"/>
      <c r="F73" s="104"/>
      <c r="G73" s="105"/>
    </row>
    <row r="76" spans="1:11" x14ac:dyDescent="0.2">
      <c r="A76" s="13" t="s">
        <v>97</v>
      </c>
      <c r="B76" s="167"/>
      <c r="C76" s="167"/>
      <c r="D76" s="167"/>
      <c r="E76" s="167"/>
      <c r="F76" s="167"/>
      <c r="G76" s="167"/>
      <c r="H76" s="167"/>
      <c r="I76" s="167"/>
      <c r="J76" s="167"/>
      <c r="K76" s="167"/>
    </row>
    <row r="78" spans="1:11" x14ac:dyDescent="0.2">
      <c r="A78" s="25" t="s">
        <v>6</v>
      </c>
      <c r="B78" s="80" t="s">
        <v>187</v>
      </c>
      <c r="C78" s="80" t="s">
        <v>187</v>
      </c>
      <c r="D78" s="80" t="s">
        <v>189</v>
      </c>
      <c r="E78" s="80" t="s">
        <v>190</v>
      </c>
      <c r="F78" s="80" t="s">
        <v>190</v>
      </c>
      <c r="G78" s="80" t="s">
        <v>190</v>
      </c>
      <c r="H78" s="80"/>
      <c r="I78" s="80"/>
      <c r="J78" s="80"/>
      <c r="K78" s="165" t="s">
        <v>1</v>
      </c>
    </row>
    <row r="79" spans="1:11" x14ac:dyDescent="0.2">
      <c r="A79" s="117" t="s">
        <v>103</v>
      </c>
      <c r="B79" s="81" t="s">
        <v>87</v>
      </c>
      <c r="C79" s="81" t="s">
        <v>188</v>
      </c>
      <c r="D79" s="81" t="s">
        <v>47</v>
      </c>
      <c r="E79" s="81" t="s">
        <v>87</v>
      </c>
      <c r="F79" s="81" t="s">
        <v>188</v>
      </c>
      <c r="G79" s="81" t="s">
        <v>47</v>
      </c>
      <c r="H79" s="81" t="s">
        <v>194</v>
      </c>
      <c r="I79" s="81" t="s">
        <v>192</v>
      </c>
      <c r="J79" s="81" t="s">
        <v>193</v>
      </c>
      <c r="K79" s="166" t="s">
        <v>47</v>
      </c>
    </row>
    <row r="81" spans="1:11" x14ac:dyDescent="0.2">
      <c r="A81" s="1" t="s">
        <v>196</v>
      </c>
      <c r="B81" s="10">
        <f>'[1]BD Summary'!$G29</f>
        <v>195.19995164410059</v>
      </c>
      <c r="C81" s="4">
        <f>'[1]BD Summary'!$F29</f>
        <v>41.36</v>
      </c>
      <c r="D81" s="9">
        <f>B81*C81</f>
        <v>8073.47</v>
      </c>
      <c r="E81" s="10">
        <f>'[1]BD Summary'!$G3</f>
        <v>2178.0058159823202</v>
      </c>
      <c r="F81" s="4">
        <f>'[1]BD Summary'!$F3</f>
        <v>85.97</v>
      </c>
      <c r="G81" s="9">
        <f>E81*F81</f>
        <v>187243.16000000006</v>
      </c>
      <c r="H81" s="187"/>
      <c r="I81" s="187"/>
      <c r="J81" s="187"/>
      <c r="K81" s="9">
        <f t="shared" ref="K81:K103" si="19">SUM(G81,D81,J81)</f>
        <v>195316.63000000006</v>
      </c>
    </row>
    <row r="82" spans="1:11" x14ac:dyDescent="0.2">
      <c r="A82" s="135" t="s">
        <v>115</v>
      </c>
      <c r="B82" s="136">
        <f>'[1]BD Summary'!$G30</f>
        <v>25.066800000000001</v>
      </c>
      <c r="C82" s="137">
        <f>'[1]BD Summary'!$F30</f>
        <v>25</v>
      </c>
      <c r="D82" s="188">
        <f t="shared" ref="D82:D103" si="20">B82*C82</f>
        <v>626.67000000000007</v>
      </c>
      <c r="E82" s="136">
        <f>'[1]BD Summary'!$G4</f>
        <v>284.92299639409106</v>
      </c>
      <c r="F82" s="137">
        <f>'[1]BD Summary'!$F4</f>
        <v>85.97</v>
      </c>
      <c r="G82" s="188">
        <f t="shared" ref="G82:G103" si="21">E82*F82</f>
        <v>24494.830000000009</v>
      </c>
      <c r="H82" s="136"/>
      <c r="I82" s="136"/>
      <c r="J82" s="136"/>
      <c r="K82" s="188">
        <f t="shared" si="19"/>
        <v>25121.500000000007</v>
      </c>
    </row>
    <row r="83" spans="1:11" x14ac:dyDescent="0.2">
      <c r="A83" s="1" t="s">
        <v>197</v>
      </c>
      <c r="B83" s="10">
        <f>'[1]BD Summary'!$G31</f>
        <v>82</v>
      </c>
      <c r="C83" s="4">
        <f>'[1]BD Summary'!$F31</f>
        <v>30.4</v>
      </c>
      <c r="D83" s="9">
        <f t="shared" si="20"/>
        <v>2492.7999999999997</v>
      </c>
      <c r="E83" s="10">
        <f>'[1]BD Summary'!$G5</f>
        <v>1037</v>
      </c>
      <c r="F83" s="4">
        <f>'[1]BD Summary'!$F5</f>
        <v>64.48</v>
      </c>
      <c r="G83" s="9">
        <f t="shared" si="21"/>
        <v>66865.760000000009</v>
      </c>
      <c r="H83" s="100"/>
      <c r="I83" s="100"/>
      <c r="J83" s="100"/>
      <c r="K83" s="9">
        <f t="shared" si="19"/>
        <v>69358.560000000012</v>
      </c>
    </row>
    <row r="84" spans="1:11" x14ac:dyDescent="0.2">
      <c r="A84" s="135" t="s">
        <v>198</v>
      </c>
      <c r="B84" s="136">
        <f>'[1]BD Summary'!$G32</f>
        <v>73.066749999999999</v>
      </c>
      <c r="C84" s="137">
        <f>'[1]BD Summary'!$F32</f>
        <v>40</v>
      </c>
      <c r="D84" s="188">
        <f t="shared" si="20"/>
        <v>2922.67</v>
      </c>
      <c r="E84" s="136">
        <f>'[1]BD Summary'!$G6</f>
        <v>810.91392346167277</v>
      </c>
      <c r="F84" s="137">
        <f>'[1]BD Summary'!$F6</f>
        <v>85.97</v>
      </c>
      <c r="G84" s="188">
        <f t="shared" si="21"/>
        <v>69714.27</v>
      </c>
      <c r="H84" s="136"/>
      <c r="I84" s="136"/>
      <c r="J84" s="136"/>
      <c r="K84" s="188">
        <f t="shared" si="19"/>
        <v>72636.94</v>
      </c>
    </row>
    <row r="85" spans="1:11" x14ac:dyDescent="0.2">
      <c r="A85" s="1" t="s">
        <v>118</v>
      </c>
      <c r="B85" s="10">
        <f>'[1]BD Summary'!$G33</f>
        <v>38</v>
      </c>
      <c r="C85" s="4">
        <f>'[1]BD Summary'!$F33</f>
        <v>16</v>
      </c>
      <c r="D85" s="9">
        <f t="shared" si="20"/>
        <v>608</v>
      </c>
      <c r="E85" s="10">
        <f>'[1]BD Summary'!$G7</f>
        <v>416.16668605327447</v>
      </c>
      <c r="F85" s="4">
        <f>'[1]BD Summary'!$F7</f>
        <v>85.97</v>
      </c>
      <c r="G85" s="9">
        <f t="shared" si="21"/>
        <v>35777.850000000006</v>
      </c>
      <c r="H85" s="100"/>
      <c r="I85" s="100"/>
      <c r="J85" s="100"/>
      <c r="K85" s="9">
        <f t="shared" si="19"/>
        <v>36385.850000000006</v>
      </c>
    </row>
    <row r="86" spans="1:11" x14ac:dyDescent="0.2">
      <c r="A86" s="135" t="s">
        <v>119</v>
      </c>
      <c r="B86" s="136">
        <f>'[1]BD Summary'!$G34</f>
        <v>117</v>
      </c>
      <c r="C86" s="137">
        <f>'[1]BD Summary'!$F34</f>
        <v>15</v>
      </c>
      <c r="D86" s="188">
        <f t="shared" si="20"/>
        <v>1755</v>
      </c>
      <c r="E86" s="136">
        <f>'[1]BD Summary'!$G8</f>
        <v>1283.2366666666667</v>
      </c>
      <c r="F86" s="137">
        <f>'[1]BD Summary'!$F8</f>
        <v>45</v>
      </c>
      <c r="G86" s="188">
        <f t="shared" si="21"/>
        <v>57745.65</v>
      </c>
      <c r="H86" s="136"/>
      <c r="I86" s="136"/>
      <c r="J86" s="136"/>
      <c r="K86" s="188">
        <f t="shared" si="19"/>
        <v>59500.65</v>
      </c>
    </row>
    <row r="87" spans="1:11" x14ac:dyDescent="0.2">
      <c r="A87" s="1" t="s">
        <v>199</v>
      </c>
      <c r="B87" s="10">
        <f>'[1]BD Summary'!$G35</f>
        <v>34</v>
      </c>
      <c r="C87" s="4">
        <f>'[1]BD Summary'!$F35</f>
        <v>0</v>
      </c>
      <c r="D87" s="9">
        <f t="shared" si="20"/>
        <v>0</v>
      </c>
      <c r="E87" s="10">
        <f>'[1]BD Summary'!$G9</f>
        <v>374</v>
      </c>
      <c r="F87" s="4">
        <f>'[1]BD Summary'!$F9</f>
        <v>0</v>
      </c>
      <c r="G87" s="9">
        <f t="shared" si="21"/>
        <v>0</v>
      </c>
      <c r="H87" s="100">
        <f>'[1]BD Summary'!$H$9</f>
        <v>49776.577195725527</v>
      </c>
      <c r="I87" s="4">
        <f>'[1]BD Summary'!$D$9</f>
        <v>8.89</v>
      </c>
      <c r="J87" s="187">
        <f>I87*H87</f>
        <v>442513.77126999997</v>
      </c>
      <c r="K87" s="9">
        <f t="shared" si="19"/>
        <v>442513.77126999997</v>
      </c>
    </row>
    <row r="88" spans="1:11" x14ac:dyDescent="0.2">
      <c r="A88" s="135" t="s">
        <v>121</v>
      </c>
      <c r="B88" s="136">
        <f>'[1]BD Summary'!$G36</f>
        <v>302.16719999999998</v>
      </c>
      <c r="C88" s="137">
        <f>'[1]BD Summary'!$F36</f>
        <v>12.5</v>
      </c>
      <c r="D88" s="188">
        <f t="shared" si="20"/>
        <v>3777.0899999999997</v>
      </c>
      <c r="E88" s="136">
        <f>'[1]BD Summary'!$G10</f>
        <v>3352.0624000000003</v>
      </c>
      <c r="F88" s="137">
        <f>'[1]BD Summary'!$F10</f>
        <v>12.5</v>
      </c>
      <c r="G88" s="188">
        <f t="shared" si="21"/>
        <v>41900.780000000006</v>
      </c>
      <c r="H88" s="136"/>
      <c r="I88" s="136"/>
      <c r="J88" s="136"/>
      <c r="K88" s="188">
        <f t="shared" si="19"/>
        <v>45677.87</v>
      </c>
    </row>
    <row r="89" spans="1:11" x14ac:dyDescent="0.2">
      <c r="A89" s="1" t="s">
        <v>200</v>
      </c>
      <c r="B89" s="10">
        <f>'[1]BD Summary'!$G37</f>
        <v>35</v>
      </c>
      <c r="C89" s="4">
        <f>'[1]BD Summary'!$F37</f>
        <v>55.85</v>
      </c>
      <c r="D89" s="9">
        <f t="shared" si="20"/>
        <v>1954.75</v>
      </c>
      <c r="E89" s="10">
        <f>'[1]BD Summary'!$G11</f>
        <v>385.00000000000006</v>
      </c>
      <c r="F89" s="4">
        <f>'[1]BD Summary'!$F11</f>
        <v>85.97</v>
      </c>
      <c r="G89" s="9">
        <f t="shared" si="21"/>
        <v>33098.450000000004</v>
      </c>
      <c r="H89" s="100"/>
      <c r="I89" s="100"/>
      <c r="J89" s="100"/>
      <c r="K89" s="9">
        <f t="shared" si="19"/>
        <v>35053.200000000004</v>
      </c>
    </row>
    <row r="90" spans="1:11" x14ac:dyDescent="0.2">
      <c r="A90" s="135" t="s">
        <v>201</v>
      </c>
      <c r="B90" s="136">
        <f>'[1]BD Summary'!$G38</f>
        <v>29</v>
      </c>
      <c r="C90" s="137">
        <f>'[1]BD Summary'!$F38</f>
        <v>39.57</v>
      </c>
      <c r="D90" s="188">
        <f t="shared" si="20"/>
        <v>1147.53</v>
      </c>
      <c r="E90" s="136">
        <f>'[1]BD Summary'!$G12</f>
        <v>319.00000000000006</v>
      </c>
      <c r="F90" s="137">
        <f>'[1]BD Summary'!$F12</f>
        <v>85.97</v>
      </c>
      <c r="G90" s="188">
        <f t="shared" si="21"/>
        <v>27424.430000000004</v>
      </c>
      <c r="H90" s="136"/>
      <c r="I90" s="136"/>
      <c r="J90" s="136"/>
      <c r="K90" s="188">
        <f t="shared" si="19"/>
        <v>28571.960000000003</v>
      </c>
    </row>
    <row r="91" spans="1:11" x14ac:dyDescent="0.2">
      <c r="A91" s="1" t="s">
        <v>202</v>
      </c>
      <c r="B91" s="10">
        <f>'[1]BD Summary'!$G39</f>
        <v>161</v>
      </c>
      <c r="C91" s="4">
        <f>'[1]BD Summary'!$F39</f>
        <v>28.84</v>
      </c>
      <c r="D91" s="9">
        <f t="shared" si="20"/>
        <v>4643.24</v>
      </c>
      <c r="E91" s="10">
        <f>'[1]BD Summary'!$G13</f>
        <v>1766.3161567988834</v>
      </c>
      <c r="F91" s="4">
        <f>'[1]BD Summary'!$F13</f>
        <v>85.97</v>
      </c>
      <c r="G91" s="9">
        <f t="shared" si="21"/>
        <v>151850.20000000001</v>
      </c>
      <c r="H91" s="100"/>
      <c r="I91" s="100"/>
      <c r="J91" s="100"/>
      <c r="K91" s="9">
        <f t="shared" si="19"/>
        <v>156493.44</v>
      </c>
    </row>
    <row r="92" spans="1:11" x14ac:dyDescent="0.2">
      <c r="A92" s="135" t="s">
        <v>127</v>
      </c>
      <c r="B92" s="136">
        <f>'[1]BD Summary'!$G40</f>
        <v>24</v>
      </c>
      <c r="C92" s="137">
        <f>'[1]BD Summary'!$F40</f>
        <v>49.66</v>
      </c>
      <c r="D92" s="188">
        <f t="shared" si="20"/>
        <v>1191.8399999999999</v>
      </c>
      <c r="E92" s="136">
        <f>'[1]BD Summary'!$G14</f>
        <v>263.99999999999994</v>
      </c>
      <c r="F92" s="137">
        <f>'[1]BD Summary'!$F14</f>
        <v>49.66</v>
      </c>
      <c r="G92" s="188">
        <f t="shared" si="21"/>
        <v>13110.239999999996</v>
      </c>
      <c r="H92" s="136"/>
      <c r="I92" s="136"/>
      <c r="J92" s="136"/>
      <c r="K92" s="188">
        <f t="shared" si="19"/>
        <v>14302.079999999996</v>
      </c>
    </row>
    <row r="93" spans="1:11" x14ac:dyDescent="0.2">
      <c r="A93" s="1" t="s">
        <v>203</v>
      </c>
      <c r="B93" s="10">
        <f>'[1]BD Summary'!$G41</f>
        <v>130.06642636457261</v>
      </c>
      <c r="C93" s="4">
        <f>'[1]BD Summary'!$F41</f>
        <v>38.840000000000003</v>
      </c>
      <c r="D93" s="9">
        <f t="shared" si="20"/>
        <v>5051.7800000000007</v>
      </c>
      <c r="E93" s="10">
        <f>'[1]BD Summary'!$G15</f>
        <v>1440.3666395254158</v>
      </c>
      <c r="F93" s="4">
        <f>'[1]BD Summary'!$F15</f>
        <v>85.97</v>
      </c>
      <c r="G93" s="9">
        <f t="shared" si="21"/>
        <v>123828.31999999999</v>
      </c>
      <c r="H93" s="100"/>
      <c r="I93" s="100"/>
      <c r="J93" s="100"/>
      <c r="K93" s="9">
        <f t="shared" si="19"/>
        <v>128880.09999999999</v>
      </c>
    </row>
    <row r="94" spans="1:11" x14ac:dyDescent="0.2">
      <c r="A94" s="135" t="s">
        <v>204</v>
      </c>
      <c r="B94" s="136">
        <f>'[1]BD Summary'!$G42</f>
        <v>33</v>
      </c>
      <c r="C94" s="137">
        <f>'[1]BD Summary'!$F42</f>
        <v>50.32</v>
      </c>
      <c r="D94" s="188">
        <f t="shared" si="20"/>
        <v>1660.56</v>
      </c>
      <c r="E94" s="136">
        <f>'[1]BD Summary'!$G16</f>
        <v>363</v>
      </c>
      <c r="F94" s="137">
        <f>'[1]BD Summary'!$F16</f>
        <v>85.97</v>
      </c>
      <c r="G94" s="188">
        <f t="shared" si="21"/>
        <v>31207.11</v>
      </c>
      <c r="H94" s="136"/>
      <c r="I94" s="136"/>
      <c r="J94" s="136"/>
      <c r="K94" s="188">
        <f t="shared" si="19"/>
        <v>32867.67</v>
      </c>
    </row>
    <row r="95" spans="1:11" x14ac:dyDescent="0.2">
      <c r="A95" s="1" t="s">
        <v>205</v>
      </c>
      <c r="B95" s="10">
        <f>'[1]BD Summary'!$G43</f>
        <v>329.1</v>
      </c>
      <c r="C95" s="4">
        <f>'[1]BD Summary'!$F43</f>
        <v>30</v>
      </c>
      <c r="D95" s="9">
        <f t="shared" si="20"/>
        <v>9873</v>
      </c>
      <c r="E95" s="10">
        <f>'[1]BD Summary'!$G17</f>
        <v>3631.0664185180876</v>
      </c>
      <c r="F95" s="4">
        <f>'[1]BD Summary'!$F17</f>
        <v>85.97</v>
      </c>
      <c r="G95" s="9">
        <f t="shared" si="21"/>
        <v>312162.77999999997</v>
      </c>
      <c r="H95" s="100"/>
      <c r="I95" s="100"/>
      <c r="J95" s="100"/>
      <c r="K95" s="9">
        <f t="shared" si="19"/>
        <v>322035.77999999997</v>
      </c>
    </row>
    <row r="96" spans="1:11" x14ac:dyDescent="0.2">
      <c r="A96" s="135" t="s">
        <v>132</v>
      </c>
      <c r="B96" s="136">
        <f>'[1]BD Summary'!$G44</f>
        <v>40</v>
      </c>
      <c r="C96" s="137">
        <f>'[1]BD Summary'!$F44</f>
        <v>15</v>
      </c>
      <c r="D96" s="188">
        <f t="shared" si="20"/>
        <v>600</v>
      </c>
      <c r="E96" s="136">
        <f>'[1]BD Summary'!$G18</f>
        <v>438.52634639990697</v>
      </c>
      <c r="F96" s="137">
        <f>'[1]BD Summary'!$F18</f>
        <v>85.97</v>
      </c>
      <c r="G96" s="188">
        <f>E96*F96</f>
        <v>37700.11</v>
      </c>
      <c r="H96" s="136"/>
      <c r="I96" s="136"/>
      <c r="J96" s="136"/>
      <c r="K96" s="188">
        <f t="shared" si="19"/>
        <v>38300.11</v>
      </c>
    </row>
    <row r="97" spans="1:11" x14ac:dyDescent="0.2">
      <c r="A97" s="1" t="s">
        <v>206</v>
      </c>
      <c r="B97" s="10">
        <f>'[1]BD Summary'!$G45</f>
        <v>1</v>
      </c>
      <c r="C97" s="4">
        <f>'[1]BD Summary'!$F45</f>
        <v>35</v>
      </c>
      <c r="D97" s="9">
        <f t="shared" si="20"/>
        <v>35</v>
      </c>
      <c r="E97" s="10">
        <f>'[1]BD Summary'!$G19</f>
        <v>11.000255903222053</v>
      </c>
      <c r="F97" s="4">
        <f>'[1]BD Summary'!$F19</f>
        <v>214.92500000000001</v>
      </c>
      <c r="G97" s="9">
        <f t="shared" si="21"/>
        <v>2364.23</v>
      </c>
      <c r="H97" s="100"/>
      <c r="I97" s="100"/>
      <c r="J97" s="100"/>
      <c r="K97" s="9">
        <f t="shared" si="19"/>
        <v>2399.23</v>
      </c>
    </row>
    <row r="98" spans="1:11" x14ac:dyDescent="0.2">
      <c r="A98" s="135" t="s">
        <v>207</v>
      </c>
      <c r="B98" s="136">
        <f>'[1]BD Summary'!$G46</f>
        <v>355.26628571428569</v>
      </c>
      <c r="C98" s="137">
        <f>'[1]BD Summary'!$F46</f>
        <v>35</v>
      </c>
      <c r="D98" s="188">
        <f t="shared" si="20"/>
        <v>12434.32</v>
      </c>
      <c r="E98" s="136">
        <f>'[1]BD Summary'!$G20</f>
        <v>3936.7844596952418</v>
      </c>
      <c r="F98" s="137">
        <f>'[1]BD Summary'!$F20</f>
        <v>85.97</v>
      </c>
      <c r="G98" s="188">
        <f t="shared" si="21"/>
        <v>338445.35999999993</v>
      </c>
      <c r="H98" s="136"/>
      <c r="I98" s="136"/>
      <c r="J98" s="136"/>
      <c r="K98" s="188">
        <f t="shared" si="19"/>
        <v>350879.67999999993</v>
      </c>
    </row>
    <row r="99" spans="1:11" x14ac:dyDescent="0.2">
      <c r="A99" s="1" t="s">
        <v>219</v>
      </c>
      <c r="B99" s="10">
        <f>'[1]BD Summary'!$G47</f>
        <v>55</v>
      </c>
      <c r="C99" s="4">
        <f>'[1]BD Summary'!$F47</f>
        <v>25</v>
      </c>
      <c r="D99" s="9">
        <f t="shared" si="20"/>
        <v>1375</v>
      </c>
      <c r="E99" s="10">
        <f>'[1]BD Summary'!$G21</f>
        <v>605.86204489938359</v>
      </c>
      <c r="F99" s="4">
        <f>'[1]BD Summary'!$F21</f>
        <v>85.97</v>
      </c>
      <c r="G99" s="9">
        <f t="shared" si="21"/>
        <v>52085.960000000006</v>
      </c>
      <c r="H99" s="100"/>
      <c r="I99" s="100"/>
      <c r="J99" s="100"/>
      <c r="K99" s="9">
        <f t="shared" si="19"/>
        <v>53460.960000000006</v>
      </c>
    </row>
    <row r="100" spans="1:11" x14ac:dyDescent="0.2">
      <c r="A100" s="135" t="s">
        <v>134</v>
      </c>
      <c r="B100" s="136">
        <f>'[1]BD Summary'!$G48</f>
        <v>179.1334250343879</v>
      </c>
      <c r="C100" s="137">
        <f>'[1]BD Summary'!$F48</f>
        <v>58.16</v>
      </c>
      <c r="D100" s="188">
        <f t="shared" si="20"/>
        <v>10418.4</v>
      </c>
      <c r="E100" s="136">
        <f>'[1]BD Summary'!$G22</f>
        <v>1985.0616494125861</v>
      </c>
      <c r="F100" s="137">
        <f>'[1]BD Summary'!$F22</f>
        <v>85.97</v>
      </c>
      <c r="G100" s="188">
        <f t="shared" si="21"/>
        <v>170655.75000000003</v>
      </c>
      <c r="H100" s="136"/>
      <c r="I100" s="136"/>
      <c r="J100" s="136"/>
      <c r="K100" s="188">
        <f t="shared" si="19"/>
        <v>181074.15000000002</v>
      </c>
    </row>
    <row r="101" spans="1:11" x14ac:dyDescent="0.2">
      <c r="A101" s="1" t="s">
        <v>135</v>
      </c>
      <c r="B101" s="10">
        <f>'[1]BD Summary'!$G49</f>
        <v>42</v>
      </c>
      <c r="C101" s="4">
        <f>'[1]BD Summary'!$F49</f>
        <v>27.43</v>
      </c>
      <c r="D101" s="9">
        <f t="shared" si="20"/>
        <v>1152.06</v>
      </c>
      <c r="E101" s="10">
        <f>'[1]BD Summary'!$G23</f>
        <v>462</v>
      </c>
      <c r="F101" s="4">
        <f>'[1]BD Summary'!$F23</f>
        <v>27.43</v>
      </c>
      <c r="G101" s="9">
        <f t="shared" si="21"/>
        <v>12672.66</v>
      </c>
      <c r="H101" s="100"/>
      <c r="I101" s="100"/>
      <c r="J101" s="100"/>
      <c r="K101" s="9">
        <f t="shared" si="19"/>
        <v>13824.72</v>
      </c>
    </row>
    <row r="102" spans="1:11" x14ac:dyDescent="0.2">
      <c r="A102" s="135" t="s">
        <v>136</v>
      </c>
      <c r="B102" s="136">
        <f>'[1]BD Summary'!$G50</f>
        <v>68.066551426101995</v>
      </c>
      <c r="C102" s="137">
        <f>'[1]BD Summary'!$F50</f>
        <v>34.71</v>
      </c>
      <c r="D102" s="188">
        <f t="shared" si="20"/>
        <v>2362.59</v>
      </c>
      <c r="E102" s="136">
        <f>'[1]BD Summary'!$G24</f>
        <v>758.25741537745728</v>
      </c>
      <c r="F102" s="137">
        <f>'[1]BD Summary'!$F24</f>
        <v>85.97</v>
      </c>
      <c r="G102" s="188">
        <f t="shared" si="21"/>
        <v>65187.39</v>
      </c>
      <c r="H102" s="136"/>
      <c r="I102" s="136"/>
      <c r="J102" s="136"/>
      <c r="K102" s="188">
        <f t="shared" si="19"/>
        <v>67549.98</v>
      </c>
    </row>
    <row r="103" spans="1:11" x14ac:dyDescent="0.2">
      <c r="A103" s="1" t="s">
        <v>138</v>
      </c>
      <c r="B103" s="10">
        <f>'[1]BD Summary'!$G51</f>
        <v>91</v>
      </c>
      <c r="C103" s="4">
        <f>'[1]BD Summary'!$F51</f>
        <v>19.47</v>
      </c>
      <c r="D103" s="9">
        <f t="shared" si="20"/>
        <v>1771.77</v>
      </c>
      <c r="E103" s="10">
        <f>'[1]BD Summary'!$G25</f>
        <v>1000.1725731895224</v>
      </c>
      <c r="F103" s="4">
        <f>'[1]BD Summary'!$F25</f>
        <v>19.47</v>
      </c>
      <c r="G103" s="9">
        <f t="shared" si="21"/>
        <v>19473.36</v>
      </c>
      <c r="H103" s="100"/>
      <c r="I103" s="100"/>
      <c r="J103" s="100"/>
      <c r="K103" s="9">
        <f t="shared" si="19"/>
        <v>21245.13</v>
      </c>
    </row>
    <row r="104" spans="1:11" x14ac:dyDescent="0.2">
      <c r="B104" s="10"/>
      <c r="E104" s="10"/>
    </row>
    <row r="105" spans="1:11" x14ac:dyDescent="0.2">
      <c r="A105" s="162" t="s">
        <v>195</v>
      </c>
      <c r="B105" s="170">
        <f>SUM(B81:B103)</f>
        <v>2439.1333901834487</v>
      </c>
      <c r="C105" s="162"/>
      <c r="D105" s="164">
        <f>SUM(D81:D103)</f>
        <v>75927.539999999994</v>
      </c>
      <c r="E105" s="170">
        <f>SUM(E81:E103)</f>
        <v>27102.722448277731</v>
      </c>
      <c r="F105" s="162"/>
      <c r="G105" s="164">
        <f>SUM(G81:G103)</f>
        <v>1875008.65</v>
      </c>
      <c r="H105" s="164"/>
      <c r="I105" s="164"/>
      <c r="J105" s="164">
        <f>SUM(J81:J103)</f>
        <v>442513.77126999997</v>
      </c>
      <c r="K105" s="164">
        <f>SUM(K81:K103)</f>
        <v>2393449.9612700003</v>
      </c>
    </row>
    <row r="106" spans="1:11" x14ac:dyDescent="0.2">
      <c r="A106" s="3" t="s">
        <v>170</v>
      </c>
      <c r="K106" s="161">
        <f>SUM('WW Income'!F8:F9)</f>
        <v>2421132.67</v>
      </c>
    </row>
    <row r="107" spans="1:11" x14ac:dyDescent="0.2">
      <c r="A107" s="3" t="s">
        <v>98</v>
      </c>
      <c r="K107" s="168">
        <f>K105-K106</f>
        <v>-27682.708729999606</v>
      </c>
    </row>
    <row r="108" spans="1:11" x14ac:dyDescent="0.2">
      <c r="A108" s="3" t="s">
        <v>191</v>
      </c>
      <c r="K108" s="169">
        <f>K107/K105</f>
        <v>-1.1566027774949073E-2</v>
      </c>
    </row>
    <row r="109" spans="1:11" x14ac:dyDescent="0.2">
      <c r="I109" s="5"/>
    </row>
  </sheetData>
  <pageMargins left="0.7" right="0.7" top="0.75" bottom="0.75" header="0.3" footer="0.3"/>
  <pageSetup orientation="portrait" r:id="rId1"/>
  <ignoredErrors>
    <ignoredError sqref="K106" formulaRange="1"/>
    <ignoredError sqref="D30 D2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58"/>
  <sheetViews>
    <sheetView showGridLines="0" zoomScaleNormal="100" workbookViewId="0"/>
  </sheetViews>
  <sheetFormatPr defaultColWidth="8.85546875" defaultRowHeight="12.75" x14ac:dyDescent="0.2"/>
  <cols>
    <col min="1" max="1" width="32.42578125" style="6" customWidth="1"/>
    <col min="2" max="3" width="18.5703125" style="6" customWidth="1"/>
    <col min="4" max="4" width="8.85546875" style="6"/>
    <col min="5" max="8" width="18.5703125" style="6" customWidth="1"/>
    <col min="9" max="9" width="8.85546875" style="6"/>
    <col min="10" max="10" width="11" style="6" bestFit="1" customWidth="1"/>
    <col min="11" max="16384" width="8.85546875" style="6"/>
  </cols>
  <sheetData>
    <row r="1" spans="1:8" x14ac:dyDescent="0.2">
      <c r="A1" s="14" t="s">
        <v>110</v>
      </c>
      <c r="B1" s="16"/>
      <c r="C1" s="16" t="s">
        <v>109</v>
      </c>
      <c r="E1" s="68"/>
      <c r="F1" s="68"/>
      <c r="G1" s="68"/>
      <c r="H1" s="68"/>
    </row>
    <row r="2" spans="1:8" x14ac:dyDescent="0.2">
      <c r="A2" s="8" t="s">
        <v>4</v>
      </c>
      <c r="B2" s="15" t="s">
        <v>1</v>
      </c>
      <c r="C2" s="15" t="s">
        <v>78</v>
      </c>
      <c r="E2" s="18"/>
      <c r="F2" s="18"/>
      <c r="G2" s="18"/>
      <c r="H2" s="18"/>
    </row>
    <row r="3" spans="1:8" x14ac:dyDescent="0.2">
      <c r="A3" s="55"/>
      <c r="B3" s="56"/>
      <c r="C3" s="56"/>
      <c r="E3" s="56"/>
      <c r="F3" s="56"/>
      <c r="G3" s="56"/>
      <c r="H3" s="56"/>
    </row>
    <row r="4" spans="1:8" x14ac:dyDescent="0.2">
      <c r="A4" s="57" t="s">
        <v>218</v>
      </c>
      <c r="B4" s="58">
        <f>SUM(C4:C4)</f>
        <v>2421132.67</v>
      </c>
      <c r="C4" s="58">
        <f>'WW Income'!F12-C5</f>
        <v>2421132.67</v>
      </c>
      <c r="E4" s="62"/>
    </row>
    <row r="5" spans="1:8" x14ac:dyDescent="0.2">
      <c r="A5" s="57" t="s">
        <v>166</v>
      </c>
      <c r="B5" s="58">
        <f>SUM(C5:C5)</f>
        <v>14461.539999999997</v>
      </c>
      <c r="C5" s="58">
        <f>SUM('WW Income'!F10:F11)</f>
        <v>14461.539999999997</v>
      </c>
      <c r="E5" s="238"/>
    </row>
    <row r="6" spans="1:8" x14ac:dyDescent="0.2">
      <c r="A6" s="57"/>
      <c r="B6" s="58"/>
      <c r="C6" s="58"/>
      <c r="E6" s="62"/>
    </row>
    <row r="7" spans="1:8" x14ac:dyDescent="0.2">
      <c r="A7" s="57" t="s">
        <v>80</v>
      </c>
    </row>
    <row r="8" spans="1:8" x14ac:dyDescent="0.2">
      <c r="A8" s="59" t="s">
        <v>99</v>
      </c>
      <c r="B8" s="60">
        <f>SUM(C8:C8)</f>
        <v>-873588.81658989517</v>
      </c>
      <c r="C8" s="60">
        <f>'WW Income'!F31</f>
        <v>-873588.81658989517</v>
      </c>
      <c r="E8" s="69"/>
      <c r="F8" s="69"/>
      <c r="G8" s="69"/>
      <c r="H8" s="69"/>
    </row>
    <row r="9" spans="1:8" x14ac:dyDescent="0.2">
      <c r="A9" s="59" t="s">
        <v>100</v>
      </c>
      <c r="B9" s="60">
        <f>SUM(C9:C9)</f>
        <v>-1832282.8673388006</v>
      </c>
      <c r="C9" s="60">
        <f>'WW Income'!F49</f>
        <v>-1832282.8673388006</v>
      </c>
      <c r="E9" s="69"/>
      <c r="F9" s="69"/>
      <c r="G9" s="69"/>
      <c r="H9" s="69"/>
    </row>
    <row r="10" spans="1:8" x14ac:dyDescent="0.2">
      <c r="A10" s="59" t="s">
        <v>95</v>
      </c>
      <c r="B10" s="60">
        <f>SUM(C10:C10)</f>
        <v>0</v>
      </c>
      <c r="C10" s="60">
        <v>0</v>
      </c>
      <c r="E10" s="69"/>
      <c r="F10" s="69"/>
      <c r="G10" s="69"/>
      <c r="H10" s="69"/>
    </row>
    <row r="11" spans="1:8" x14ac:dyDescent="0.2">
      <c r="A11" s="59" t="s">
        <v>76</v>
      </c>
      <c r="B11" s="60">
        <f>SUM(C11:C11)</f>
        <v>-233107.78822353331</v>
      </c>
      <c r="C11" s="60">
        <f>'WW Income'!F55</f>
        <v>-233107.78822353331</v>
      </c>
      <c r="E11" s="69"/>
      <c r="F11" s="69"/>
      <c r="G11" s="69"/>
      <c r="H11" s="69"/>
    </row>
    <row r="12" spans="1:8" x14ac:dyDescent="0.2">
      <c r="B12" s="60"/>
      <c r="C12" s="60"/>
      <c r="E12" s="69"/>
      <c r="F12" s="69"/>
      <c r="G12" s="69"/>
      <c r="H12" s="69"/>
    </row>
    <row r="13" spans="1:8" x14ac:dyDescent="0.2">
      <c r="A13" s="57" t="s">
        <v>81</v>
      </c>
      <c r="B13" s="20">
        <f>ABS(SUM(B8:B11))</f>
        <v>2938979.4721522289</v>
      </c>
      <c r="C13" s="20">
        <f>ABS(SUM(C8:C11))</f>
        <v>2938979.4721522289</v>
      </c>
      <c r="E13" s="70"/>
      <c r="F13" s="70"/>
      <c r="G13" s="70"/>
      <c r="H13" s="70"/>
    </row>
    <row r="15" spans="1:8" x14ac:dyDescent="0.2">
      <c r="A15" s="57" t="s">
        <v>75</v>
      </c>
      <c r="B15" s="61">
        <f>B4+B5-B13</f>
        <v>-503385.26215222897</v>
      </c>
      <c r="C15" s="61">
        <f>C4+C5-C13</f>
        <v>-503385.26215222897</v>
      </c>
      <c r="E15" s="61"/>
      <c r="F15" s="61"/>
      <c r="G15" s="61"/>
      <c r="H15" s="61"/>
    </row>
    <row r="16" spans="1:8" x14ac:dyDescent="0.2">
      <c r="A16" s="57"/>
      <c r="B16" s="61"/>
      <c r="C16" s="61"/>
      <c r="E16" s="61"/>
      <c r="F16" s="61"/>
      <c r="G16" s="61"/>
      <c r="H16" s="61"/>
    </row>
    <row r="17" spans="1:8" x14ac:dyDescent="0.2">
      <c r="A17" s="6" t="s">
        <v>82</v>
      </c>
      <c r="B17" s="62">
        <f>B15/B19</f>
        <v>-7.8800864925896469E-2</v>
      </c>
      <c r="C17" s="62">
        <f>C15/C19</f>
        <v>-7.8800864925896469E-2</v>
      </c>
      <c r="E17" s="61"/>
      <c r="F17" s="61"/>
      <c r="G17" s="61"/>
      <c r="H17" s="61"/>
    </row>
    <row r="19" spans="1:8" x14ac:dyDescent="0.2">
      <c r="A19" s="57" t="s">
        <v>2</v>
      </c>
      <c r="B19" s="7">
        <f>SUM(C19:C19)</f>
        <v>6388067.7277540974</v>
      </c>
      <c r="C19" s="7">
        <f>'Rate Base'!E29</f>
        <v>6388067.7277540974</v>
      </c>
      <c r="E19" s="17"/>
      <c r="F19" s="17"/>
      <c r="G19" s="17"/>
      <c r="H19" s="17"/>
    </row>
    <row r="21" spans="1:8" x14ac:dyDescent="0.2">
      <c r="A21" s="6" t="s">
        <v>79</v>
      </c>
      <c r="B21" s="63">
        <f>'Revenue Requirements'!D11</f>
        <v>9.7662600000000002E-2</v>
      </c>
      <c r="C21" s="63">
        <f>B21</f>
        <v>9.7662600000000002E-2</v>
      </c>
      <c r="E21" s="64"/>
      <c r="F21" s="64"/>
      <c r="G21" s="64"/>
      <c r="H21" s="64"/>
    </row>
    <row r="23" spans="1:8" x14ac:dyDescent="0.2">
      <c r="A23" s="57" t="s">
        <v>83</v>
      </c>
      <c r="B23" s="20">
        <f>B21*B19</f>
        <v>623875.3032685573</v>
      </c>
      <c r="C23" s="20">
        <f>C21*C19</f>
        <v>623875.3032685573</v>
      </c>
      <c r="E23" s="70"/>
      <c r="F23" s="70"/>
      <c r="G23" s="70"/>
      <c r="H23" s="70"/>
    </row>
    <row r="25" spans="1:8" x14ac:dyDescent="0.2">
      <c r="A25" s="57" t="s">
        <v>39</v>
      </c>
      <c r="B25" s="61">
        <f>SUM(C25:C25)</f>
        <v>1127260.5654207864</v>
      </c>
      <c r="C25" s="61">
        <f>C23-C15</f>
        <v>1127260.5654207864</v>
      </c>
    </row>
    <row r="27" spans="1:8" x14ac:dyDescent="0.2">
      <c r="A27" s="6" t="s">
        <v>91</v>
      </c>
      <c r="B27" s="63">
        <f>'Revenue Requirements'!D15</f>
        <v>7.1251400000000006E-2</v>
      </c>
      <c r="C27" s="63">
        <f>B27</f>
        <v>7.1251400000000006E-2</v>
      </c>
    </row>
    <row r="29" spans="1:8" x14ac:dyDescent="0.2">
      <c r="A29" s="6" t="s">
        <v>90</v>
      </c>
      <c r="B29" s="60">
        <f>B27*B19</f>
        <v>455158.76889729832</v>
      </c>
      <c r="C29" s="60">
        <f t="shared" ref="C29" si="0">C27*C19</f>
        <v>455158.76889729832</v>
      </c>
    </row>
    <row r="31" spans="1:8" x14ac:dyDescent="0.2">
      <c r="A31" s="6" t="s">
        <v>40</v>
      </c>
      <c r="B31" s="64">
        <f>'Revenue Requirements'!D21</f>
        <v>1.0101010101010099</v>
      </c>
      <c r="C31" s="64">
        <f>B31</f>
        <v>1.0101010101010099</v>
      </c>
    </row>
    <row r="32" spans="1:8" x14ac:dyDescent="0.2">
      <c r="A32" s="6" t="s">
        <v>89</v>
      </c>
      <c r="B32" s="64">
        <f>'Revenue Requirements'!D22</f>
        <v>1.3459040774163999</v>
      </c>
      <c r="C32" s="64">
        <f>B32</f>
        <v>1.3459040774163999</v>
      </c>
    </row>
    <row r="34" spans="1:8" x14ac:dyDescent="0.2">
      <c r="A34" s="6" t="s">
        <v>41</v>
      </c>
      <c r="B34" s="60">
        <f>SUM(C34:C34)</f>
        <v>1291490.7464897814</v>
      </c>
      <c r="C34" s="60">
        <f>(C29*C32)+((C25-C29)*C31)</f>
        <v>1291490.7464897814</v>
      </c>
      <c r="D34" s="60"/>
      <c r="E34" s="69"/>
      <c r="F34" s="69"/>
      <c r="G34" s="69"/>
      <c r="H34" s="69"/>
    </row>
    <row r="36" spans="1:8" x14ac:dyDescent="0.2">
      <c r="A36" s="54" t="s">
        <v>43</v>
      </c>
      <c r="B36" s="66">
        <f>B34+B4+B5</f>
        <v>3727084.9564897814</v>
      </c>
      <c r="C36" s="66">
        <f>C34+C4+C5</f>
        <v>3727084.9564897814</v>
      </c>
      <c r="E36" s="70"/>
      <c r="F36" s="70"/>
      <c r="G36" s="70"/>
      <c r="H36" s="70"/>
    </row>
    <row r="38" spans="1:8" x14ac:dyDescent="0.2">
      <c r="A38" s="6" t="s">
        <v>84</v>
      </c>
      <c r="B38" s="61">
        <f>B36-B4-B5</f>
        <v>1291490.7464897814</v>
      </c>
      <c r="C38" s="61">
        <f>C36-C4-C5</f>
        <v>1291490.7464897814</v>
      </c>
    </row>
    <row r="39" spans="1:8" x14ac:dyDescent="0.2">
      <c r="A39" s="6" t="s">
        <v>85</v>
      </c>
      <c r="B39" s="62">
        <f>B38/(B4+B5)</f>
        <v>0.53025694558938097</v>
      </c>
      <c r="C39" s="62">
        <f>C38/(C4+C5)</f>
        <v>0.53025694558938097</v>
      </c>
    </row>
    <row r="42" spans="1:8" x14ac:dyDescent="0.2">
      <c r="A42" s="13" t="s">
        <v>97</v>
      </c>
      <c r="B42" s="246"/>
      <c r="C42" s="1"/>
    </row>
    <row r="43" spans="1:8" x14ac:dyDescent="0.2">
      <c r="A43" s="3" t="s">
        <v>167</v>
      </c>
      <c r="B43" s="1"/>
      <c r="C43" s="1"/>
      <c r="D43" s="65"/>
    </row>
    <row r="44" spans="1:8" x14ac:dyDescent="0.2">
      <c r="A44" s="1" t="s">
        <v>86</v>
      </c>
      <c r="B44" s="9">
        <f>SUM('Sewer Rate Design'!G105,'Sewer Rate Design'!D105)</f>
        <v>1950936.19</v>
      </c>
      <c r="C44" s="197">
        <f>B44/$B$46</f>
        <v>0.81511467612416866</v>
      </c>
      <c r="D44" s="65"/>
    </row>
    <row r="45" spans="1:8" x14ac:dyDescent="0.2">
      <c r="A45" s="1" t="s">
        <v>172</v>
      </c>
      <c r="B45" s="9">
        <f>'Sewer Rate Design'!J105</f>
        <v>442513.77126999997</v>
      </c>
      <c r="C45" s="198">
        <f>B45/$B$46</f>
        <v>0.18488532387583137</v>
      </c>
    </row>
    <row r="46" spans="1:8" x14ac:dyDescent="0.2">
      <c r="A46" s="78" t="s">
        <v>195</v>
      </c>
      <c r="B46" s="244">
        <f>SUM(B44:B45)</f>
        <v>2393449.9612699999</v>
      </c>
      <c r="C46" s="1"/>
    </row>
    <row r="47" spans="1:8" x14ac:dyDescent="0.2">
      <c r="A47" s="3" t="s">
        <v>296</v>
      </c>
      <c r="B47" s="242">
        <f>SUM('WW Income'!F8:F9)</f>
        <v>2421132.67</v>
      </c>
      <c r="C47" s="1"/>
    </row>
    <row r="48" spans="1:8" x14ac:dyDescent="0.2">
      <c r="A48" s="243" t="s">
        <v>168</v>
      </c>
      <c r="B48" s="76">
        <f>B46-B47</f>
        <v>-27682.708730000071</v>
      </c>
      <c r="C48" s="212"/>
    </row>
    <row r="49" spans="1:3" x14ac:dyDescent="0.2">
      <c r="A49" s="77" t="s">
        <v>169</v>
      </c>
      <c r="B49" s="73">
        <f>B48/B46</f>
        <v>-1.1566027774949269E-2</v>
      </c>
      <c r="C49" s="1"/>
    </row>
    <row r="52" spans="1:3" x14ac:dyDescent="0.2">
      <c r="A52" s="239" t="s">
        <v>297</v>
      </c>
      <c r="B52" s="240"/>
    </row>
    <row r="53" spans="1:3" x14ac:dyDescent="0.2">
      <c r="A53" s="6" t="s">
        <v>297</v>
      </c>
      <c r="B53" s="61">
        <f>B36</f>
        <v>3727084.9564897814</v>
      </c>
    </row>
    <row r="54" spans="1:3" x14ac:dyDescent="0.2">
      <c r="A54" s="1" t="s">
        <v>299</v>
      </c>
      <c r="B54" s="61">
        <f>-B5</f>
        <v>-14461.539999999997</v>
      </c>
    </row>
    <row r="55" spans="1:3" x14ac:dyDescent="0.2">
      <c r="A55" s="57" t="s">
        <v>302</v>
      </c>
      <c r="B55" s="7">
        <f>SUM(B53:B54)</f>
        <v>3712623.4164897813</v>
      </c>
    </row>
    <row r="56" spans="1:3" x14ac:dyDescent="0.2">
      <c r="A56" s="6" t="s">
        <v>301</v>
      </c>
      <c r="B56" s="61">
        <f>B4</f>
        <v>2421132.67</v>
      </c>
    </row>
    <row r="57" spans="1:3" ht="13.5" thickBot="1" x14ac:dyDescent="0.25">
      <c r="A57" s="57" t="s">
        <v>300</v>
      </c>
      <c r="B57" s="241">
        <f>B55-B56</f>
        <v>1291490.7464897814</v>
      </c>
    </row>
    <row r="58" spans="1:3" ht="13.5" thickTop="1" x14ac:dyDescent="0.2"/>
  </sheetData>
  <pageMargins left="0.7" right="0.7" top="0.75" bottom="0.75" header="0.3" footer="0.3"/>
  <pageSetup orientation="portrait" r:id="rId1"/>
  <ignoredErrors>
    <ignoredError sqref="C13" formula="1"/>
    <ignoredError sqref="C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"/>
  <sheetViews>
    <sheetView showGridLines="0"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96"/>
  <sheetViews>
    <sheetView workbookViewId="0"/>
  </sheetViews>
  <sheetFormatPr defaultColWidth="16.5703125" defaultRowHeight="12.75" x14ac:dyDescent="0.2"/>
  <cols>
    <col min="1" max="1" width="4.5703125" style="2" customWidth="1"/>
    <col min="2" max="2" width="32.5703125" style="1" customWidth="1"/>
    <col min="3" max="3" width="16.5703125" style="1"/>
    <col min="4" max="4" width="16.5703125" style="12"/>
    <col min="5" max="16384" width="16.5703125" style="1"/>
  </cols>
  <sheetData>
    <row r="1" spans="1:6" x14ac:dyDescent="0.2">
      <c r="A1" s="146" t="s">
        <v>110</v>
      </c>
      <c r="B1" s="146"/>
      <c r="C1" s="146"/>
      <c r="D1" s="146"/>
      <c r="E1" s="3"/>
    </row>
    <row r="2" spans="1:6" x14ac:dyDescent="0.2">
      <c r="A2" s="146" t="s">
        <v>31</v>
      </c>
      <c r="B2" s="146"/>
      <c r="C2" s="146"/>
      <c r="D2" s="146"/>
    </row>
    <row r="3" spans="1:6" ht="39.75" customHeight="1" x14ac:dyDescent="0.2">
      <c r="A3" s="36" t="s">
        <v>107</v>
      </c>
      <c r="B3" s="36" t="s">
        <v>0</v>
      </c>
      <c r="C3" s="36" t="s">
        <v>33</v>
      </c>
      <c r="D3" s="42" t="s">
        <v>28</v>
      </c>
    </row>
    <row r="4" spans="1:6" x14ac:dyDescent="0.2">
      <c r="C4" s="37"/>
      <c r="D4" s="43"/>
      <c r="E4" s="38"/>
      <c r="F4" s="38"/>
    </row>
    <row r="5" spans="1:6" x14ac:dyDescent="0.2">
      <c r="A5" s="2">
        <v>1</v>
      </c>
      <c r="B5" s="3" t="s">
        <v>34</v>
      </c>
      <c r="C5" s="3"/>
      <c r="D5" s="45">
        <f>'Rate Base'!E29</f>
        <v>6388067.7277540974</v>
      </c>
      <c r="E5" s="38"/>
      <c r="F5" s="38"/>
    </row>
    <row r="6" spans="1:6" x14ac:dyDescent="0.2">
      <c r="A6" s="39" t="str">
        <f>IF(B6="","",MAX(A$4:$A5)+1)</f>
        <v/>
      </c>
      <c r="B6" s="3"/>
      <c r="D6" s="44"/>
      <c r="E6" s="38"/>
      <c r="F6" s="38"/>
    </row>
    <row r="7" spans="1:6" x14ac:dyDescent="0.2">
      <c r="A7" s="39">
        <f>IF(B7="","",MAX(A$4:$A6)+1)</f>
        <v>2</v>
      </c>
      <c r="B7" s="3" t="s">
        <v>35</v>
      </c>
      <c r="C7" s="3"/>
      <c r="D7" s="235">
        <f>'WW Income'!F59</f>
        <v>-503385.26215222897</v>
      </c>
      <c r="E7" s="38"/>
      <c r="F7" s="38"/>
    </row>
    <row r="8" spans="1:6" x14ac:dyDescent="0.2">
      <c r="A8" s="39" t="str">
        <f>IF(B8="","",MAX(A$4:$A7)+1)</f>
        <v/>
      </c>
      <c r="B8" s="3"/>
      <c r="C8" s="3"/>
      <c r="D8" s="43"/>
      <c r="E8" s="38"/>
      <c r="F8" s="38"/>
    </row>
    <row r="9" spans="1:6" x14ac:dyDescent="0.2">
      <c r="A9" s="39">
        <f>IF(B9="","",MAX(A$4:$A8)+1)</f>
        <v>3</v>
      </c>
      <c r="B9" s="3" t="s">
        <v>36</v>
      </c>
      <c r="C9" s="3"/>
      <c r="D9" s="234">
        <f>IFERROR(D7/D5,0)</f>
        <v>-7.8800864925896469E-2</v>
      </c>
      <c r="E9" s="38"/>
      <c r="F9" s="38"/>
    </row>
    <row r="10" spans="1:6" x14ac:dyDescent="0.2">
      <c r="A10" s="39" t="str">
        <f>IF(B10="","",MAX(A$4:$A9)+1)</f>
        <v/>
      </c>
      <c r="B10" s="3"/>
      <c r="C10" s="3"/>
      <c r="D10" s="43"/>
      <c r="E10" s="38"/>
      <c r="F10" s="38"/>
    </row>
    <row r="11" spans="1:6" x14ac:dyDescent="0.2">
      <c r="A11" s="39">
        <f>IF(B11="","",MAX(A$4:$A10)+1)</f>
        <v>4</v>
      </c>
      <c r="B11" s="3" t="s">
        <v>37</v>
      </c>
      <c r="D11" s="216">
        <v>9.7662600000000002E-2</v>
      </c>
      <c r="E11" s="38"/>
      <c r="F11" s="38"/>
    </row>
    <row r="12" spans="1:6" x14ac:dyDescent="0.2">
      <c r="A12" s="39" t="str">
        <f>IF(B12="","",MAX(A$4:$A11)+1)</f>
        <v/>
      </c>
      <c r="B12" s="3"/>
      <c r="C12" s="3"/>
      <c r="D12" s="43"/>
      <c r="E12" s="38"/>
      <c r="F12" s="38"/>
    </row>
    <row r="13" spans="1:6" x14ac:dyDescent="0.2">
      <c r="A13" s="39">
        <f>IF(B13="","",MAX(A$4:$A12)+1)</f>
        <v>5</v>
      </c>
      <c r="B13" s="3" t="s">
        <v>38</v>
      </c>
      <c r="C13" s="3"/>
      <c r="D13" s="44">
        <f>D5*D11</f>
        <v>623875.3032685573</v>
      </c>
      <c r="E13" s="38"/>
      <c r="F13" s="38"/>
    </row>
    <row r="14" spans="1:6" x14ac:dyDescent="0.2">
      <c r="A14" s="39" t="str">
        <f>IF(B14="","",MAX(A$4:$A13)+1)</f>
        <v/>
      </c>
      <c r="B14" s="3"/>
      <c r="C14" s="3"/>
      <c r="D14" s="145"/>
      <c r="E14" s="38"/>
      <c r="F14" s="38"/>
    </row>
    <row r="15" spans="1:6" x14ac:dyDescent="0.2">
      <c r="A15" s="39">
        <f>IF(B15="","",MAX(A$4:$A14)+1)</f>
        <v>6</v>
      </c>
      <c r="B15" s="3" t="s">
        <v>91</v>
      </c>
      <c r="C15" s="3"/>
      <c r="D15" s="145">
        <v>7.1251400000000006E-2</v>
      </c>
      <c r="E15" s="38"/>
      <c r="F15" s="38"/>
    </row>
    <row r="16" spans="1:6" x14ac:dyDescent="0.2">
      <c r="A16" s="39" t="str">
        <f>IF(B16="","",MAX(A$4:$A15)+1)</f>
        <v/>
      </c>
      <c r="B16" s="3"/>
      <c r="C16" s="3"/>
      <c r="D16" s="43"/>
      <c r="E16" s="38"/>
      <c r="F16" s="38"/>
    </row>
    <row r="17" spans="1:6" x14ac:dyDescent="0.2">
      <c r="A17" s="39">
        <f>IF(B17="","",MAX(A$4:$A16)+1)</f>
        <v>7</v>
      </c>
      <c r="B17" s="3" t="s">
        <v>39</v>
      </c>
      <c r="C17" s="3"/>
      <c r="D17" s="44">
        <f>D13-D7</f>
        <v>1127260.5654207864</v>
      </c>
      <c r="E17" s="38"/>
      <c r="F17" s="38"/>
    </row>
    <row r="18" spans="1:6" x14ac:dyDescent="0.2">
      <c r="A18" s="39" t="str">
        <f>IF(B18="","",MAX(A$4:$A17)+1)</f>
        <v/>
      </c>
      <c r="B18" s="3"/>
      <c r="C18" s="3"/>
      <c r="D18" s="44"/>
      <c r="E18" s="38"/>
      <c r="F18" s="38"/>
    </row>
    <row r="19" spans="1:6" x14ac:dyDescent="0.2">
      <c r="A19" s="39">
        <f>IF(B19="","",MAX(A$4:$A18)+1)</f>
        <v>8</v>
      </c>
      <c r="B19" s="3" t="s">
        <v>90</v>
      </c>
      <c r="C19" s="3"/>
      <c r="D19" s="44">
        <f>D5*D15</f>
        <v>455158.76889729832</v>
      </c>
      <c r="E19" s="38"/>
      <c r="F19" s="38"/>
    </row>
    <row r="20" spans="1:6" x14ac:dyDescent="0.2">
      <c r="A20" s="39" t="str">
        <f>IF(B20="","",MAX(A$4:$A19)+1)</f>
        <v/>
      </c>
      <c r="B20" s="3"/>
      <c r="D20" s="43"/>
      <c r="E20" s="38"/>
      <c r="F20" s="38"/>
    </row>
    <row r="21" spans="1:6" x14ac:dyDescent="0.2">
      <c r="A21" s="39">
        <f>IF(B21="","",MAX(A$4:$A20)+1)</f>
        <v>9</v>
      </c>
      <c r="B21" s="3" t="s">
        <v>40</v>
      </c>
      <c r="C21" s="3"/>
      <c r="D21" s="214">
        <v>1.0101010101010099</v>
      </c>
      <c r="E21" s="38"/>
      <c r="F21" s="38"/>
    </row>
    <row r="22" spans="1:6" x14ac:dyDescent="0.2">
      <c r="A22" s="39">
        <f>IF(B22="","",MAX(A$4:$A21)+1)</f>
        <v>10</v>
      </c>
      <c r="B22" s="3" t="s">
        <v>89</v>
      </c>
      <c r="C22" s="3"/>
      <c r="D22" s="215">
        <v>1.3459040774163999</v>
      </c>
      <c r="E22" s="38"/>
      <c r="F22" s="38"/>
    </row>
    <row r="23" spans="1:6" x14ac:dyDescent="0.2">
      <c r="A23" s="39" t="str">
        <f>IF(B23="","",MAX(A$4:$A22)+1)</f>
        <v/>
      </c>
      <c r="B23" s="3"/>
      <c r="D23" s="43"/>
      <c r="E23" s="38"/>
      <c r="F23" s="38"/>
    </row>
    <row r="24" spans="1:6" x14ac:dyDescent="0.2">
      <c r="A24" s="39">
        <f>IF(B24="","",MAX(A$4:$A23)+1)</f>
        <v>11</v>
      </c>
      <c r="B24" s="3" t="s">
        <v>41</v>
      </c>
      <c r="D24" s="44">
        <f>(D19*D22)+((D17-D19)*D21)</f>
        <v>1291490.7464897814</v>
      </c>
      <c r="E24" s="38"/>
      <c r="F24" s="38"/>
    </row>
    <row r="25" spans="1:6" x14ac:dyDescent="0.2">
      <c r="A25" s="39" t="str">
        <f>IF(B25="","",MAX(A$4:$A24)+1)</f>
        <v/>
      </c>
      <c r="B25" s="3"/>
      <c r="D25" s="44"/>
      <c r="E25" s="38"/>
      <c r="F25" s="38"/>
    </row>
    <row r="26" spans="1:6" x14ac:dyDescent="0.2">
      <c r="A26" s="39">
        <f>IF(B26="","",MAX(A$4:$A25)+1)</f>
        <v>12</v>
      </c>
      <c r="B26" s="3" t="s">
        <v>42</v>
      </c>
      <c r="C26" s="3"/>
      <c r="D26" s="51">
        <f>'WW Income'!F12</f>
        <v>2435594.21</v>
      </c>
      <c r="E26" s="38"/>
      <c r="F26" s="38"/>
    </row>
    <row r="27" spans="1:6" x14ac:dyDescent="0.2">
      <c r="A27" s="39" t="str">
        <f>IF(B27="","",MAX(A$4:$A26)+1)</f>
        <v/>
      </c>
      <c r="B27" s="3"/>
      <c r="C27" s="3"/>
      <c r="D27" s="44"/>
      <c r="E27" s="38"/>
      <c r="F27" s="38"/>
    </row>
    <row r="28" spans="1:6" ht="13.5" thickBot="1" x14ac:dyDescent="0.25">
      <c r="A28" s="39">
        <f>IF(B28="","",MAX(A$4:$A27)+1)</f>
        <v>13</v>
      </c>
      <c r="B28" s="3" t="s">
        <v>43</v>
      </c>
      <c r="C28" s="3"/>
      <c r="D28" s="52">
        <f t="shared" ref="D28" si="0">D24+D26</f>
        <v>3727084.9564897814</v>
      </c>
      <c r="E28" s="38"/>
      <c r="F28" s="38"/>
    </row>
    <row r="29" spans="1:6" ht="13.5" thickTop="1" x14ac:dyDescent="0.2">
      <c r="A29" s="39" t="str">
        <f>IF(B29="","",MAX(A$4:$A28)+1)</f>
        <v/>
      </c>
      <c r="B29" s="3"/>
      <c r="C29" s="3"/>
      <c r="D29" s="43"/>
      <c r="E29" s="38"/>
      <c r="F29" s="38"/>
    </row>
    <row r="30" spans="1:6" x14ac:dyDescent="0.2">
      <c r="A30" s="39">
        <f>IF(B30="","",MAX(A$4:$A29)+1)</f>
        <v>14</v>
      </c>
      <c r="B30" s="40" t="s">
        <v>108</v>
      </c>
      <c r="D30" s="46">
        <f t="shared" ref="D30" si="1">D28/D26-1</f>
        <v>0.53025694558938108</v>
      </c>
      <c r="E30" s="38"/>
      <c r="F30" s="38"/>
    </row>
    <row r="31" spans="1:6" x14ac:dyDescent="0.2">
      <c r="D31" s="47"/>
    </row>
    <row r="32" spans="1:6" x14ac:dyDescent="0.2">
      <c r="D32" s="48"/>
    </row>
    <row r="33" spans="2:4" x14ac:dyDescent="0.2">
      <c r="D33" s="49"/>
    </row>
    <row r="34" spans="2:4" x14ac:dyDescent="0.2">
      <c r="D34" s="48"/>
    </row>
    <row r="35" spans="2:4" x14ac:dyDescent="0.2">
      <c r="D35" s="48"/>
    </row>
    <row r="36" spans="2:4" x14ac:dyDescent="0.2">
      <c r="D36" s="48"/>
    </row>
    <row r="37" spans="2:4" x14ac:dyDescent="0.2">
      <c r="D37" s="48"/>
    </row>
    <row r="38" spans="2:4" x14ac:dyDescent="0.2">
      <c r="D38" s="48"/>
    </row>
    <row r="39" spans="2:4" x14ac:dyDescent="0.2">
      <c r="D39" s="48"/>
    </row>
    <row r="40" spans="2:4" x14ac:dyDescent="0.2">
      <c r="D40" s="48"/>
    </row>
    <row r="41" spans="2:4" x14ac:dyDescent="0.2">
      <c r="D41" s="48"/>
    </row>
    <row r="42" spans="2:4" x14ac:dyDescent="0.2">
      <c r="D42" s="48"/>
    </row>
    <row r="43" spans="2:4" x14ac:dyDescent="0.2">
      <c r="D43" s="48"/>
    </row>
    <row r="44" spans="2:4" x14ac:dyDescent="0.2">
      <c r="D44" s="48"/>
    </row>
    <row r="45" spans="2:4" x14ac:dyDescent="0.2">
      <c r="D45" s="48"/>
    </row>
    <row r="46" spans="2:4" x14ac:dyDescent="0.2">
      <c r="D46" s="48"/>
    </row>
    <row r="47" spans="2:4" x14ac:dyDescent="0.2">
      <c r="B47" s="41"/>
      <c r="D47" s="48"/>
    </row>
    <row r="49" spans="2:4" x14ac:dyDescent="0.2">
      <c r="B49" s="40"/>
    </row>
    <row r="50" spans="2:4" x14ac:dyDescent="0.2">
      <c r="D50" s="48"/>
    </row>
    <row r="51" spans="2:4" x14ac:dyDescent="0.2">
      <c r="D51" s="48"/>
    </row>
    <row r="52" spans="2:4" x14ac:dyDescent="0.2">
      <c r="B52" s="41"/>
      <c r="D52" s="48"/>
    </row>
    <row r="54" spans="2:4" x14ac:dyDescent="0.2">
      <c r="D54" s="48"/>
    </row>
    <row r="56" spans="2:4" x14ac:dyDescent="0.2">
      <c r="B56" s="3"/>
      <c r="D56" s="50"/>
    </row>
    <row r="57" spans="2:4" x14ac:dyDescent="0.2">
      <c r="D57" s="48"/>
    </row>
    <row r="58" spans="2:4" x14ac:dyDescent="0.2">
      <c r="D58" s="48"/>
    </row>
    <row r="59" spans="2:4" x14ac:dyDescent="0.2">
      <c r="D59" s="48"/>
    </row>
    <row r="60" spans="2:4" x14ac:dyDescent="0.2">
      <c r="D60" s="48"/>
    </row>
    <row r="61" spans="2:4" x14ac:dyDescent="0.2">
      <c r="D61" s="48"/>
    </row>
    <row r="62" spans="2:4" x14ac:dyDescent="0.2">
      <c r="D62" s="48"/>
    </row>
    <row r="63" spans="2:4" x14ac:dyDescent="0.2">
      <c r="D63" s="48"/>
    </row>
    <row r="64" spans="2:4" x14ac:dyDescent="0.2">
      <c r="D64" s="48"/>
    </row>
    <row r="65" spans="4:4" x14ac:dyDescent="0.2">
      <c r="D65" s="48"/>
    </row>
    <row r="66" spans="4:4" x14ac:dyDescent="0.2">
      <c r="D66" s="48"/>
    </row>
    <row r="67" spans="4:4" x14ac:dyDescent="0.2">
      <c r="D67" s="48"/>
    </row>
    <row r="68" spans="4:4" x14ac:dyDescent="0.2">
      <c r="D68" s="48"/>
    </row>
    <row r="69" spans="4:4" x14ac:dyDescent="0.2">
      <c r="D69" s="48"/>
    </row>
    <row r="70" spans="4:4" x14ac:dyDescent="0.2">
      <c r="D70" s="48"/>
    </row>
    <row r="71" spans="4:4" x14ac:dyDescent="0.2">
      <c r="D71" s="48"/>
    </row>
    <row r="72" spans="4:4" x14ac:dyDescent="0.2">
      <c r="D72" s="48"/>
    </row>
    <row r="73" spans="4:4" x14ac:dyDescent="0.2">
      <c r="D73" s="48"/>
    </row>
    <row r="74" spans="4:4" x14ac:dyDescent="0.2">
      <c r="D74" s="48"/>
    </row>
    <row r="75" spans="4:4" x14ac:dyDescent="0.2">
      <c r="D75" s="48"/>
    </row>
    <row r="76" spans="4:4" x14ac:dyDescent="0.2">
      <c r="D76" s="48"/>
    </row>
    <row r="77" spans="4:4" x14ac:dyDescent="0.2">
      <c r="D77" s="48"/>
    </row>
    <row r="78" spans="4:4" x14ac:dyDescent="0.2">
      <c r="D78" s="48"/>
    </row>
    <row r="79" spans="4:4" x14ac:dyDescent="0.2">
      <c r="D79" s="48"/>
    </row>
    <row r="80" spans="4:4" x14ac:dyDescent="0.2">
      <c r="D80" s="48"/>
    </row>
    <row r="81" spans="4:4" x14ac:dyDescent="0.2">
      <c r="D81" s="48"/>
    </row>
    <row r="82" spans="4:4" x14ac:dyDescent="0.2">
      <c r="D82" s="48"/>
    </row>
    <row r="83" spans="4:4" x14ac:dyDescent="0.2">
      <c r="D83" s="48"/>
    </row>
    <row r="84" spans="4:4" x14ac:dyDescent="0.2">
      <c r="D84" s="48"/>
    </row>
    <row r="85" spans="4:4" x14ac:dyDescent="0.2">
      <c r="D85" s="48"/>
    </row>
    <row r="86" spans="4:4" x14ac:dyDescent="0.2">
      <c r="D86" s="48"/>
    </row>
    <row r="87" spans="4:4" x14ac:dyDescent="0.2">
      <c r="D87" s="48"/>
    </row>
    <row r="88" spans="4:4" x14ac:dyDescent="0.2">
      <c r="D88" s="48"/>
    </row>
    <row r="89" spans="4:4" x14ac:dyDescent="0.2">
      <c r="D89" s="48"/>
    </row>
    <row r="90" spans="4:4" x14ac:dyDescent="0.2">
      <c r="D90" s="48"/>
    </row>
    <row r="91" spans="4:4" x14ac:dyDescent="0.2">
      <c r="D91" s="48"/>
    </row>
    <row r="92" spans="4:4" x14ac:dyDescent="0.2">
      <c r="D92" s="48"/>
    </row>
    <row r="93" spans="4:4" x14ac:dyDescent="0.2">
      <c r="D93" s="48"/>
    </row>
    <row r="94" spans="4:4" x14ac:dyDescent="0.2">
      <c r="D94" s="48"/>
    </row>
    <row r="95" spans="4:4" x14ac:dyDescent="0.2">
      <c r="D95" s="48"/>
    </row>
    <row r="96" spans="4:4" x14ac:dyDescent="0.2">
      <c r="D96" s="4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32"/>
  <sheetViews>
    <sheetView workbookViewId="0">
      <selection sqref="A1:E1"/>
    </sheetView>
  </sheetViews>
  <sheetFormatPr defaultColWidth="16.5703125" defaultRowHeight="12.75" x14ac:dyDescent="0.2"/>
  <cols>
    <col min="1" max="1" width="8" style="39" customWidth="1"/>
    <col min="2" max="2" width="30.85546875" style="6" customWidth="1"/>
    <col min="3" max="16384" width="16.5703125" style="6"/>
  </cols>
  <sheetData>
    <row r="1" spans="1:5" customFormat="1" ht="15" x14ac:dyDescent="0.25">
      <c r="A1" s="252" t="s">
        <v>227</v>
      </c>
      <c r="B1" s="252"/>
      <c r="C1" s="252"/>
      <c r="D1" s="252"/>
      <c r="E1" s="252"/>
    </row>
    <row r="2" spans="1:5" customFormat="1" ht="15" x14ac:dyDescent="0.25">
      <c r="A2" s="252" t="s">
        <v>228</v>
      </c>
      <c r="B2" s="252"/>
      <c r="C2" s="252"/>
      <c r="D2" s="252"/>
      <c r="E2" s="252"/>
    </row>
    <row r="3" spans="1:5" customFormat="1" ht="15" x14ac:dyDescent="0.25">
      <c r="A3" s="252" t="s">
        <v>229</v>
      </c>
      <c r="B3" s="252"/>
      <c r="C3" s="252"/>
      <c r="D3" s="252"/>
      <c r="E3" s="252"/>
    </row>
    <row r="4" spans="1:5" customFormat="1" ht="15" x14ac:dyDescent="0.25">
      <c r="A4" s="252" t="s">
        <v>230</v>
      </c>
      <c r="B4" s="252"/>
      <c r="C4" s="252"/>
      <c r="D4" s="252"/>
      <c r="E4" s="252"/>
    </row>
    <row r="5" spans="1:5" customFormat="1" ht="38.25" x14ac:dyDescent="0.25">
      <c r="A5" s="217" t="s">
        <v>32</v>
      </c>
      <c r="B5" s="218" t="s">
        <v>0</v>
      </c>
      <c r="C5" s="217" t="s">
        <v>231</v>
      </c>
      <c r="D5" s="217" t="s">
        <v>232</v>
      </c>
      <c r="E5" s="217" t="s">
        <v>233</v>
      </c>
    </row>
    <row r="6" spans="1:5" customFormat="1" ht="15" x14ac:dyDescent="0.25">
      <c r="A6" s="219" t="s">
        <v>234</v>
      </c>
      <c r="B6" s="219" t="s">
        <v>235</v>
      </c>
      <c r="C6" s="220" t="s">
        <v>236</v>
      </c>
      <c r="D6" s="220" t="s">
        <v>237</v>
      </c>
      <c r="E6" s="221" t="s">
        <v>238</v>
      </c>
    </row>
    <row r="7" spans="1:5" customFormat="1" ht="15" x14ac:dyDescent="0.25">
      <c r="A7" s="222">
        <v>1</v>
      </c>
      <c r="B7" s="223"/>
      <c r="C7" s="224"/>
      <c r="D7" s="224"/>
      <c r="E7" s="224"/>
    </row>
    <row r="8" spans="1:5" customFormat="1" ht="15" x14ac:dyDescent="0.25">
      <c r="A8" s="222">
        <f>A7+1</f>
        <v>2</v>
      </c>
      <c r="B8" s="223" t="s">
        <v>239</v>
      </c>
      <c r="C8" s="225">
        <v>8470922.4600000009</v>
      </c>
      <c r="D8" s="225">
        <v>549512</v>
      </c>
      <c r="E8" s="225">
        <v>9020434.459999999</v>
      </c>
    </row>
    <row r="9" spans="1:5" customFormat="1" ht="15" x14ac:dyDescent="0.25">
      <c r="A9" s="222">
        <f t="shared" ref="A9:A32" si="0">A8+1</f>
        <v>3</v>
      </c>
      <c r="B9" s="223"/>
      <c r="C9" s="225"/>
      <c r="D9" s="225"/>
      <c r="E9" s="225"/>
    </row>
    <row r="10" spans="1:5" customFormat="1" ht="15" x14ac:dyDescent="0.25">
      <c r="A10" s="222">
        <f t="shared" si="0"/>
        <v>4</v>
      </c>
      <c r="B10" s="223" t="s">
        <v>240</v>
      </c>
      <c r="C10" s="225">
        <v>-3134953.6100000003</v>
      </c>
      <c r="D10" s="225">
        <v>201430</v>
      </c>
      <c r="E10" s="225">
        <f>SUM(C10:D10)</f>
        <v>-2933523.6100000003</v>
      </c>
    </row>
    <row r="11" spans="1:5" customFormat="1" ht="15" x14ac:dyDescent="0.25">
      <c r="A11" s="222">
        <f t="shared" si="0"/>
        <v>5</v>
      </c>
      <c r="B11" s="223"/>
      <c r="C11" s="225"/>
      <c r="D11" s="225"/>
      <c r="E11" s="225"/>
    </row>
    <row r="12" spans="1:5" customFormat="1" ht="15" x14ac:dyDescent="0.25">
      <c r="A12" s="222">
        <f t="shared" si="0"/>
        <v>6</v>
      </c>
      <c r="B12" s="223" t="s">
        <v>241</v>
      </c>
      <c r="C12" s="225">
        <v>0</v>
      </c>
      <c r="D12" s="225">
        <v>0</v>
      </c>
      <c r="E12" s="225">
        <f>C12+D12</f>
        <v>0</v>
      </c>
    </row>
    <row r="13" spans="1:5" customFormat="1" ht="15" x14ac:dyDescent="0.25">
      <c r="A13" s="222">
        <f t="shared" si="0"/>
        <v>7</v>
      </c>
      <c r="B13" s="223"/>
      <c r="C13" s="225"/>
      <c r="D13" s="225"/>
      <c r="E13" s="225"/>
    </row>
    <row r="14" spans="1:5" customFormat="1" ht="15" x14ac:dyDescent="0.25">
      <c r="A14" s="222">
        <f t="shared" si="0"/>
        <v>8</v>
      </c>
      <c r="B14" s="223" t="s">
        <v>242</v>
      </c>
      <c r="C14" s="226">
        <v>0</v>
      </c>
      <c r="D14" s="226">
        <v>0</v>
      </c>
      <c r="E14" s="226">
        <f>C14+D14</f>
        <v>0</v>
      </c>
    </row>
    <row r="15" spans="1:5" customFormat="1" ht="15" x14ac:dyDescent="0.25">
      <c r="A15" s="222">
        <f t="shared" si="0"/>
        <v>9</v>
      </c>
      <c r="B15" s="223"/>
      <c r="C15" s="226"/>
      <c r="D15" s="226"/>
      <c r="E15" s="226"/>
    </row>
    <row r="16" spans="1:5" customFormat="1" ht="15" x14ac:dyDescent="0.25">
      <c r="A16" s="222">
        <f t="shared" si="0"/>
        <v>10</v>
      </c>
      <c r="B16" s="223" t="s">
        <v>243</v>
      </c>
      <c r="C16" s="227">
        <f>SUM(C8:C14)</f>
        <v>5335968.8500000006</v>
      </c>
      <c r="D16" s="227">
        <f>SUM(D8:D14)</f>
        <v>750942</v>
      </c>
      <c r="E16" s="227">
        <f>SUM(E8:E14)</f>
        <v>6086910.8499999987</v>
      </c>
    </row>
    <row r="17" spans="1:5" customFormat="1" ht="15" x14ac:dyDescent="0.25">
      <c r="A17" s="222">
        <f t="shared" si="0"/>
        <v>11</v>
      </c>
      <c r="B17" s="223"/>
      <c r="C17" s="226"/>
      <c r="D17" s="226"/>
      <c r="E17" s="226"/>
    </row>
    <row r="18" spans="1:5" customFormat="1" ht="15" x14ac:dyDescent="0.25">
      <c r="A18" s="222">
        <f t="shared" si="0"/>
        <v>12</v>
      </c>
      <c r="B18" s="228" t="s">
        <v>244</v>
      </c>
      <c r="C18" s="226"/>
      <c r="D18" s="226"/>
      <c r="E18" s="226"/>
    </row>
    <row r="19" spans="1:5" customFormat="1" ht="15" x14ac:dyDescent="0.25">
      <c r="A19" s="222">
        <f t="shared" si="0"/>
        <v>13</v>
      </c>
      <c r="B19" s="223" t="s">
        <v>245</v>
      </c>
      <c r="C19" s="226">
        <v>-104299</v>
      </c>
      <c r="D19" s="226">
        <v>0</v>
      </c>
      <c r="E19" s="226">
        <f>C19+D19</f>
        <v>-104299</v>
      </c>
    </row>
    <row r="20" spans="1:5" customFormat="1" ht="15" x14ac:dyDescent="0.25">
      <c r="A20" s="222">
        <f t="shared" si="0"/>
        <v>14</v>
      </c>
      <c r="B20" s="223"/>
      <c r="C20" s="226"/>
      <c r="D20" s="226"/>
      <c r="E20" s="226"/>
    </row>
    <row r="21" spans="1:5" customFormat="1" ht="15" x14ac:dyDescent="0.25">
      <c r="A21" s="222">
        <f t="shared" si="0"/>
        <v>15</v>
      </c>
      <c r="B21" s="223" t="s">
        <v>246</v>
      </c>
      <c r="C21" s="229">
        <f>SUM(C19:C19)</f>
        <v>-104299</v>
      </c>
      <c r="D21" s="229">
        <f>SUM(D19:D19)</f>
        <v>0</v>
      </c>
      <c r="E21" s="229">
        <f>SUM(E19:E19)</f>
        <v>-104299</v>
      </c>
    </row>
    <row r="22" spans="1:5" customFormat="1" ht="15" x14ac:dyDescent="0.25">
      <c r="A22" s="222">
        <f t="shared" si="0"/>
        <v>16</v>
      </c>
      <c r="B22" s="223"/>
      <c r="C22" s="226"/>
      <c r="D22" s="226"/>
      <c r="E22" s="226"/>
    </row>
    <row r="23" spans="1:5" customFormat="1" ht="15" x14ac:dyDescent="0.25">
      <c r="A23" s="222">
        <f t="shared" si="0"/>
        <v>17</v>
      </c>
      <c r="B23" s="228" t="s">
        <v>247</v>
      </c>
      <c r="C23" s="226"/>
      <c r="D23" s="226"/>
      <c r="E23" s="226"/>
    </row>
    <row r="24" spans="1:5" customFormat="1" ht="15" x14ac:dyDescent="0.25">
      <c r="A24" s="222">
        <f t="shared" si="0"/>
        <v>18</v>
      </c>
      <c r="B24" s="223" t="s">
        <v>248</v>
      </c>
      <c r="C24" s="226">
        <v>0</v>
      </c>
      <c r="D24" s="226">
        <v>225897.88775409872</v>
      </c>
      <c r="E24" s="226">
        <f>C24+D24</f>
        <v>225897.88775409872</v>
      </c>
    </row>
    <row r="25" spans="1:5" customFormat="1" ht="15" x14ac:dyDescent="0.25">
      <c r="A25" s="222">
        <f t="shared" si="0"/>
        <v>19</v>
      </c>
      <c r="B25" s="223" t="s">
        <v>165</v>
      </c>
      <c r="C25" s="226">
        <v>0</v>
      </c>
      <c r="D25" s="226">
        <v>179557.99</v>
      </c>
      <c r="E25" s="226">
        <f>C25+D25</f>
        <v>179557.99</v>
      </c>
    </row>
    <row r="26" spans="1:5" customFormat="1" ht="15" x14ac:dyDescent="0.25">
      <c r="A26" s="222">
        <f t="shared" si="0"/>
        <v>20</v>
      </c>
      <c r="B26" s="223"/>
      <c r="C26" s="226"/>
      <c r="D26" s="226"/>
      <c r="E26" s="226"/>
    </row>
    <row r="27" spans="1:5" customFormat="1" ht="15" x14ac:dyDescent="0.25">
      <c r="A27" s="222">
        <f t="shared" si="0"/>
        <v>21</v>
      </c>
      <c r="B27" s="223" t="s">
        <v>246</v>
      </c>
      <c r="C27" s="229">
        <f>SUM(C24:C25)</f>
        <v>0</v>
      </c>
      <c r="D27" s="229">
        <f>SUM(D24:D25)</f>
        <v>405455.87775409874</v>
      </c>
      <c r="E27" s="229">
        <f>SUM(E24:E25)</f>
        <v>405455.87775409874</v>
      </c>
    </row>
    <row r="28" spans="1:5" customFormat="1" ht="15" x14ac:dyDescent="0.25">
      <c r="A28" s="222">
        <f t="shared" si="0"/>
        <v>22</v>
      </c>
      <c r="B28" s="223"/>
      <c r="C28" s="226"/>
      <c r="D28" s="226"/>
      <c r="E28" s="226"/>
    </row>
    <row r="29" spans="1:5" customFormat="1" ht="15.75" thickBot="1" x14ac:dyDescent="0.3">
      <c r="A29" s="222">
        <f t="shared" si="0"/>
        <v>23</v>
      </c>
      <c r="B29" s="228" t="s">
        <v>34</v>
      </c>
      <c r="C29" s="230">
        <f>C16+C21+C27</f>
        <v>5231669.8500000006</v>
      </c>
      <c r="D29" s="230">
        <f>D16+D21+D27</f>
        <v>1156397.8777540987</v>
      </c>
      <c r="E29" s="230">
        <f>E16+E21+E27</f>
        <v>6388067.7277540974</v>
      </c>
    </row>
    <row r="30" spans="1:5" customFormat="1" ht="15.75" thickTop="1" x14ac:dyDescent="0.25">
      <c r="A30" s="222">
        <f t="shared" si="0"/>
        <v>24</v>
      </c>
      <c r="B30" s="223"/>
      <c r="C30" s="226"/>
      <c r="D30" s="226"/>
      <c r="E30" s="226"/>
    </row>
    <row r="31" spans="1:5" customFormat="1" ht="15" x14ac:dyDescent="0.25">
      <c r="A31" s="222">
        <f t="shared" si="0"/>
        <v>25</v>
      </c>
      <c r="B31" s="223"/>
      <c r="C31" s="231"/>
      <c r="D31" s="231"/>
      <c r="E31" s="231"/>
    </row>
    <row r="32" spans="1:5" customFormat="1" ht="15" x14ac:dyDescent="0.25">
      <c r="A32" s="222">
        <f t="shared" si="0"/>
        <v>26</v>
      </c>
      <c r="B32" s="223"/>
      <c r="C32" s="232"/>
      <c r="D32" s="232"/>
      <c r="E32" s="232"/>
    </row>
  </sheetData>
  <mergeCells count="4">
    <mergeCell ref="A4:E4"/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60"/>
  <sheetViews>
    <sheetView zoomScaleNormal="100" workbookViewId="0">
      <selection sqref="A1:F1"/>
    </sheetView>
  </sheetViews>
  <sheetFormatPr defaultColWidth="20.5703125" defaultRowHeight="12.75" x14ac:dyDescent="0.2"/>
  <cols>
    <col min="1" max="1" width="20.5703125" style="1"/>
    <col min="2" max="2" width="50.5703125" style="1" customWidth="1"/>
    <col min="3" max="16384" width="20.5703125" style="1"/>
  </cols>
  <sheetData>
    <row r="1" spans="1:8" x14ac:dyDescent="0.2">
      <c r="A1" s="253" t="s">
        <v>110</v>
      </c>
      <c r="B1" s="253"/>
      <c r="C1" s="253"/>
      <c r="D1" s="253"/>
      <c r="E1" s="253"/>
      <c r="F1" s="253"/>
    </row>
    <row r="2" spans="1:8" x14ac:dyDescent="0.2">
      <c r="A2" s="253" t="s">
        <v>147</v>
      </c>
      <c r="B2" s="253"/>
      <c r="C2" s="253"/>
      <c r="D2" s="253"/>
      <c r="E2" s="253"/>
      <c r="F2" s="253"/>
    </row>
    <row r="3" spans="1:8" ht="13.5" thickBot="1" x14ac:dyDescent="0.25">
      <c r="A3" s="254" t="s">
        <v>96</v>
      </c>
      <c r="B3" s="254"/>
      <c r="C3" s="254"/>
      <c r="D3" s="254"/>
      <c r="E3" s="254"/>
      <c r="F3" s="254"/>
    </row>
    <row r="4" spans="1:8" x14ac:dyDescent="0.2">
      <c r="B4" s="147"/>
      <c r="C4" s="148"/>
      <c r="E4" s="149"/>
      <c r="F4" s="149"/>
    </row>
    <row r="5" spans="1:8" x14ac:dyDescent="0.2">
      <c r="C5" s="150"/>
      <c r="D5" s="144" t="s">
        <v>44</v>
      </c>
      <c r="E5" s="151" t="s">
        <v>45</v>
      </c>
      <c r="F5" s="151" t="s">
        <v>44</v>
      </c>
    </row>
    <row r="6" spans="1:8" x14ac:dyDescent="0.2">
      <c r="A6" s="152"/>
      <c r="B6" s="152"/>
      <c r="C6" s="153" t="s">
        <v>148</v>
      </c>
      <c r="D6" s="154" t="s">
        <v>149</v>
      </c>
      <c r="E6" s="155" t="s">
        <v>150</v>
      </c>
      <c r="F6" s="155" t="s">
        <v>46</v>
      </c>
    </row>
    <row r="7" spans="1:8" x14ac:dyDescent="0.2">
      <c r="A7" s="3" t="s">
        <v>47</v>
      </c>
      <c r="C7" s="156"/>
      <c r="E7" s="149"/>
      <c r="F7" s="149"/>
    </row>
    <row r="8" spans="1:8" x14ac:dyDescent="0.2">
      <c r="A8" s="1" t="s">
        <v>92</v>
      </c>
      <c r="B8" s="223" t="s">
        <v>249</v>
      </c>
      <c r="C8" s="1" t="s">
        <v>92</v>
      </c>
      <c r="D8" s="233">
        <v>1923536.5299999996</v>
      </c>
      <c r="E8" s="233">
        <v>76736.349999999991</v>
      </c>
      <c r="F8" s="233">
        <f t="shared" ref="F8:F11" si="0">SUM(D8:E8)</f>
        <v>2000272.8799999997</v>
      </c>
      <c r="H8" s="157">
        <f>SUM(F8:F9)</f>
        <v>2421132.67</v>
      </c>
    </row>
    <row r="9" spans="1:8" x14ac:dyDescent="0.2">
      <c r="A9" s="1" t="s">
        <v>151</v>
      </c>
      <c r="B9" s="223" t="s">
        <v>249</v>
      </c>
      <c r="C9" s="1" t="s">
        <v>151</v>
      </c>
      <c r="D9" s="233">
        <v>420859.79000000004</v>
      </c>
      <c r="E9" s="233">
        <v>0</v>
      </c>
      <c r="F9" s="233">
        <f t="shared" si="0"/>
        <v>420859.79000000004</v>
      </c>
    </row>
    <row r="10" spans="1:8" x14ac:dyDescent="0.2">
      <c r="A10" s="1" t="s">
        <v>93</v>
      </c>
      <c r="B10" s="223" t="s">
        <v>250</v>
      </c>
      <c r="C10" s="1" t="s">
        <v>93</v>
      </c>
      <c r="D10" s="233">
        <v>14244.349999999997</v>
      </c>
      <c r="E10" s="233">
        <v>0</v>
      </c>
      <c r="F10" s="233">
        <f t="shared" si="0"/>
        <v>14244.349999999997</v>
      </c>
    </row>
    <row r="11" spans="1:8" x14ac:dyDescent="0.2">
      <c r="A11" s="1" t="s">
        <v>94</v>
      </c>
      <c r="B11" s="223" t="s">
        <v>250</v>
      </c>
      <c r="C11" s="1" t="s">
        <v>94</v>
      </c>
      <c r="D11" s="233">
        <v>217.19</v>
      </c>
      <c r="E11" s="233">
        <v>0</v>
      </c>
      <c r="F11" s="233">
        <f t="shared" si="0"/>
        <v>217.19</v>
      </c>
    </row>
    <row r="12" spans="1:8" x14ac:dyDescent="0.2">
      <c r="A12" s="1" t="s">
        <v>152</v>
      </c>
      <c r="C12" s="150"/>
      <c r="D12" s="158">
        <v>2358857.8600000003</v>
      </c>
      <c r="E12" s="158">
        <v>0</v>
      </c>
      <c r="F12" s="158">
        <f>SUM(F8:F11)</f>
        <v>2435594.21</v>
      </c>
    </row>
    <row r="13" spans="1:8" x14ac:dyDescent="0.2">
      <c r="C13" s="150"/>
      <c r="D13" s="157"/>
      <c r="E13" s="157"/>
      <c r="F13" s="157"/>
    </row>
    <row r="14" spans="1:8" x14ac:dyDescent="0.2">
      <c r="A14" s="3" t="s">
        <v>48</v>
      </c>
      <c r="C14" s="156"/>
      <c r="D14" s="157"/>
      <c r="E14" s="157"/>
      <c r="F14" s="157"/>
    </row>
    <row r="15" spans="1:8" x14ac:dyDescent="0.2">
      <c r="B15" s="40" t="s">
        <v>49</v>
      </c>
      <c r="C15" s="150"/>
      <c r="D15" s="157"/>
      <c r="E15" s="157"/>
      <c r="F15" s="157"/>
    </row>
    <row r="16" spans="1:8" x14ac:dyDescent="0.2">
      <c r="A16" s="159" t="s">
        <v>61</v>
      </c>
      <c r="B16" s="223" t="s">
        <v>77</v>
      </c>
      <c r="C16" s="159" t="s">
        <v>61</v>
      </c>
      <c r="D16" s="233">
        <v>-22046.063070598939</v>
      </c>
      <c r="E16" s="233">
        <v>19399.167984163643</v>
      </c>
      <c r="F16" s="233">
        <f>SUM(D16:E16)</f>
        <v>-2646.8950864352955</v>
      </c>
    </row>
    <row r="17" spans="1:6" x14ac:dyDescent="0.2">
      <c r="A17" s="159" t="s">
        <v>52</v>
      </c>
      <c r="B17" s="223" t="s">
        <v>251</v>
      </c>
      <c r="C17" s="159" t="s">
        <v>270</v>
      </c>
      <c r="D17" s="233">
        <v>-11791.79125</v>
      </c>
      <c r="E17" s="233">
        <v>-15944.871425272187</v>
      </c>
      <c r="F17" s="233">
        <f t="shared" ref="F17:F30" si="1">SUM(D17:E17)</f>
        <v>-27736.662675272186</v>
      </c>
    </row>
    <row r="18" spans="1:6" x14ac:dyDescent="0.2">
      <c r="A18" s="159" t="s">
        <v>252</v>
      </c>
      <c r="B18" s="223" t="s">
        <v>253</v>
      </c>
      <c r="C18" s="159" t="s">
        <v>271</v>
      </c>
      <c r="D18" s="233">
        <v>-157.37847222222223</v>
      </c>
      <c r="E18" s="233">
        <v>0</v>
      </c>
      <c r="F18" s="233">
        <f t="shared" si="1"/>
        <v>-157.37847222222223</v>
      </c>
    </row>
    <row r="19" spans="1:6" x14ac:dyDescent="0.2">
      <c r="A19" s="159" t="s">
        <v>54</v>
      </c>
      <c r="B19" s="223" t="s">
        <v>254</v>
      </c>
      <c r="C19" s="159" t="s">
        <v>272</v>
      </c>
      <c r="D19" s="233">
        <v>-75761.593936555408</v>
      </c>
      <c r="E19" s="233">
        <v>-3166.8911250412407</v>
      </c>
      <c r="F19" s="233">
        <f t="shared" si="1"/>
        <v>-78928.485061596642</v>
      </c>
    </row>
    <row r="20" spans="1:6" x14ac:dyDescent="0.2">
      <c r="A20" s="159" t="s">
        <v>58</v>
      </c>
      <c r="B20" s="223" t="s">
        <v>254</v>
      </c>
      <c r="C20" s="159" t="s">
        <v>273</v>
      </c>
      <c r="D20" s="233">
        <v>-10624.618665074868</v>
      </c>
      <c r="E20" s="233">
        <v>-582.31953810623554</v>
      </c>
      <c r="F20" s="233">
        <f t="shared" si="1"/>
        <v>-11206.938203181104</v>
      </c>
    </row>
    <row r="21" spans="1:6" x14ac:dyDescent="0.2">
      <c r="A21" s="159" t="s">
        <v>60</v>
      </c>
      <c r="B21" s="223" t="s">
        <v>255</v>
      </c>
      <c r="C21" s="159" t="s">
        <v>274</v>
      </c>
      <c r="D21" s="233">
        <v>-32026.842624632656</v>
      </c>
      <c r="E21" s="233">
        <v>-1354.7418805674697</v>
      </c>
      <c r="F21" s="233">
        <f t="shared" si="1"/>
        <v>-33381.584505200124</v>
      </c>
    </row>
    <row r="22" spans="1:6" x14ac:dyDescent="0.2">
      <c r="A22" s="159" t="s">
        <v>70</v>
      </c>
      <c r="B22" s="223" t="s">
        <v>256</v>
      </c>
      <c r="C22" s="159" t="s">
        <v>275</v>
      </c>
      <c r="D22" s="233">
        <v>-445726.22483565984</v>
      </c>
      <c r="E22" s="233">
        <v>34200.769999999997</v>
      </c>
      <c r="F22" s="233">
        <f t="shared" si="1"/>
        <v>-411525.45483565982</v>
      </c>
    </row>
    <row r="23" spans="1:6" x14ac:dyDescent="0.2">
      <c r="A23" s="159" t="s">
        <v>57</v>
      </c>
      <c r="B23" s="223" t="s">
        <v>257</v>
      </c>
      <c r="C23" s="159" t="s">
        <v>276</v>
      </c>
      <c r="D23" s="233">
        <v>-323.95840837531489</v>
      </c>
      <c r="E23" s="233">
        <v>-23.656311448366875</v>
      </c>
      <c r="F23" s="233">
        <f t="shared" si="1"/>
        <v>-347.61471982368175</v>
      </c>
    </row>
    <row r="24" spans="1:6" x14ac:dyDescent="0.2">
      <c r="A24" s="159" t="s">
        <v>50</v>
      </c>
      <c r="B24" s="223" t="s">
        <v>258</v>
      </c>
      <c r="C24" s="159" t="s">
        <v>277</v>
      </c>
      <c r="D24" s="233">
        <v>-51679.213978187094</v>
      </c>
      <c r="E24" s="233">
        <v>-990.90469152095022</v>
      </c>
      <c r="F24" s="233">
        <f t="shared" si="1"/>
        <v>-52670.118669708041</v>
      </c>
    </row>
    <row r="25" spans="1:6" x14ac:dyDescent="0.2">
      <c r="A25" s="159" t="s">
        <v>51</v>
      </c>
      <c r="B25" s="223" t="s">
        <v>259</v>
      </c>
      <c r="C25" s="159" t="s">
        <v>278</v>
      </c>
      <c r="D25" s="233">
        <v>-10583.524787118669</v>
      </c>
      <c r="E25" s="233">
        <v>-456.18805674694818</v>
      </c>
      <c r="F25" s="233">
        <f t="shared" si="1"/>
        <v>-11039.712843865618</v>
      </c>
    </row>
    <row r="26" spans="1:6" x14ac:dyDescent="0.2">
      <c r="A26" s="159" t="s">
        <v>53</v>
      </c>
      <c r="B26" s="223" t="s">
        <v>260</v>
      </c>
      <c r="C26" s="159" t="s">
        <v>279</v>
      </c>
      <c r="D26" s="233">
        <v>-13635.604138853905</v>
      </c>
      <c r="E26" s="233">
        <v>-489.37112504124053</v>
      </c>
      <c r="F26" s="233">
        <f t="shared" si="1"/>
        <v>-14124.975263895145</v>
      </c>
    </row>
    <row r="27" spans="1:6" x14ac:dyDescent="0.2">
      <c r="A27" s="159" t="s">
        <v>59</v>
      </c>
      <c r="B27" s="223" t="s">
        <v>261</v>
      </c>
      <c r="C27" s="159" t="s">
        <v>280</v>
      </c>
      <c r="D27" s="233">
        <v>-30121.671338336128</v>
      </c>
      <c r="E27" s="233">
        <v>10458.830960965544</v>
      </c>
      <c r="F27" s="233">
        <f t="shared" si="1"/>
        <v>-19662.840377370583</v>
      </c>
    </row>
    <row r="28" spans="1:6" x14ac:dyDescent="0.2">
      <c r="A28" s="159" t="s">
        <v>55</v>
      </c>
      <c r="B28" s="223" t="s">
        <v>262</v>
      </c>
      <c r="C28" s="159" t="s">
        <v>281</v>
      </c>
      <c r="D28" s="233">
        <v>-224090.94997970894</v>
      </c>
      <c r="E28" s="233">
        <v>-745.44020151133475</v>
      </c>
      <c r="F28" s="233">
        <f t="shared" si="1"/>
        <v>-224836.39018122028</v>
      </c>
    </row>
    <row r="29" spans="1:6" x14ac:dyDescent="0.2">
      <c r="A29" s="159" t="s">
        <v>56</v>
      </c>
      <c r="B29" s="223" t="s">
        <v>263</v>
      </c>
      <c r="C29" s="159" t="s">
        <v>282</v>
      </c>
      <c r="D29" s="233">
        <v>15934.191111111111</v>
      </c>
      <c r="E29" s="233">
        <v>0</v>
      </c>
      <c r="F29" s="233">
        <f t="shared" si="1"/>
        <v>15934.191111111111</v>
      </c>
    </row>
    <row r="30" spans="1:6" x14ac:dyDescent="0.2">
      <c r="A30" s="159" t="s">
        <v>264</v>
      </c>
      <c r="B30" s="223" t="s">
        <v>153</v>
      </c>
      <c r="C30" s="159" t="s">
        <v>283</v>
      </c>
      <c r="D30" s="233">
        <v>-1257.9568055555555</v>
      </c>
      <c r="E30" s="233">
        <v>0</v>
      </c>
      <c r="F30" s="233">
        <f t="shared" si="1"/>
        <v>-1257.9568055555555</v>
      </c>
    </row>
    <row r="31" spans="1:6" x14ac:dyDescent="0.2">
      <c r="B31" s="41" t="s">
        <v>154</v>
      </c>
      <c r="C31" s="150"/>
      <c r="D31" s="158">
        <f>SUM(D16:D30)</f>
        <v>-913893.20117976831</v>
      </c>
      <c r="E31" s="158">
        <f t="shared" ref="E31:F31" si="2">SUM(E16:E30)</f>
        <v>40304.384589873203</v>
      </c>
      <c r="F31" s="158">
        <f t="shared" si="2"/>
        <v>-873588.81658989517</v>
      </c>
    </row>
    <row r="32" spans="1:6" x14ac:dyDescent="0.2">
      <c r="C32" s="150"/>
      <c r="D32" s="157"/>
      <c r="E32" s="157"/>
      <c r="F32" s="157"/>
    </row>
    <row r="33" spans="1:8" x14ac:dyDescent="0.2">
      <c r="B33" s="40" t="s">
        <v>62</v>
      </c>
      <c r="C33" s="150"/>
      <c r="D33" s="157"/>
      <c r="E33" s="157"/>
      <c r="F33" s="157"/>
    </row>
    <row r="34" spans="1:8" x14ac:dyDescent="0.2">
      <c r="A34" s="159" t="s">
        <v>155</v>
      </c>
      <c r="B34" s="223" t="s">
        <v>289</v>
      </c>
      <c r="C34" s="159" t="s">
        <v>155</v>
      </c>
      <c r="D34" s="233">
        <v>-981338.78000000084</v>
      </c>
      <c r="E34" s="233">
        <v>-106195.56</v>
      </c>
      <c r="F34" s="233">
        <f t="shared" ref="F34:F48" si="3">SUM(D34:E34)</f>
        <v>-1087534.3400000008</v>
      </c>
      <c r="G34" s="233"/>
      <c r="H34" s="233"/>
    </row>
    <row r="35" spans="1:8" x14ac:dyDescent="0.2">
      <c r="A35" s="159" t="s">
        <v>156</v>
      </c>
      <c r="B35" s="223" t="s">
        <v>265</v>
      </c>
      <c r="C35" s="159" t="s">
        <v>156</v>
      </c>
      <c r="D35" s="233">
        <v>-2000.03</v>
      </c>
      <c r="E35" s="233">
        <v>0</v>
      </c>
      <c r="F35" s="233">
        <f t="shared" si="3"/>
        <v>-2000.03</v>
      </c>
      <c r="G35" s="233"/>
      <c r="H35" s="233"/>
    </row>
    <row r="36" spans="1:8" x14ac:dyDescent="0.2">
      <c r="A36" s="159" t="s">
        <v>157</v>
      </c>
      <c r="B36" s="223" t="s">
        <v>290</v>
      </c>
      <c r="C36" s="159" t="s">
        <v>157</v>
      </c>
      <c r="D36" s="233">
        <v>-179313.59</v>
      </c>
      <c r="E36" s="233">
        <v>-4316.32</v>
      </c>
      <c r="F36" s="233">
        <f t="shared" si="3"/>
        <v>-183629.91</v>
      </c>
      <c r="G36" s="233"/>
      <c r="H36" s="233"/>
    </row>
    <row r="37" spans="1:8" x14ac:dyDescent="0.2">
      <c r="A37" s="159" t="s">
        <v>158</v>
      </c>
      <c r="B37" s="223" t="s">
        <v>266</v>
      </c>
      <c r="C37" s="159" t="s">
        <v>158</v>
      </c>
      <c r="D37" s="233">
        <v>-103966.16</v>
      </c>
      <c r="E37" s="233">
        <v>0</v>
      </c>
      <c r="F37" s="233">
        <f t="shared" si="3"/>
        <v>-103966.16</v>
      </c>
      <c r="G37" s="233"/>
      <c r="H37" s="233"/>
    </row>
    <row r="38" spans="1:8" x14ac:dyDescent="0.2">
      <c r="A38" s="159" t="s">
        <v>159</v>
      </c>
      <c r="B38" s="223" t="s">
        <v>265</v>
      </c>
      <c r="C38" s="159" t="s">
        <v>159</v>
      </c>
      <c r="D38" s="233">
        <v>-76275.429999999993</v>
      </c>
      <c r="E38" s="233">
        <v>-108472.72223630262</v>
      </c>
      <c r="F38" s="233">
        <f t="shared" si="3"/>
        <v>-184748.15223630262</v>
      </c>
      <c r="G38" s="233"/>
      <c r="H38" s="233"/>
    </row>
    <row r="39" spans="1:8" x14ac:dyDescent="0.2">
      <c r="A39" s="159" t="s">
        <v>69</v>
      </c>
      <c r="B39" s="223" t="s">
        <v>267</v>
      </c>
      <c r="C39" s="159" t="s">
        <v>69</v>
      </c>
      <c r="D39" s="233">
        <v>-95129.23000000001</v>
      </c>
      <c r="E39" s="233">
        <v>-3472.135102497205</v>
      </c>
      <c r="F39" s="233">
        <f t="shared" si="3"/>
        <v>-98601.365102497221</v>
      </c>
      <c r="G39" s="233"/>
      <c r="H39" s="233"/>
    </row>
    <row r="40" spans="1:8" x14ac:dyDescent="0.2">
      <c r="A40" s="159" t="s">
        <v>66</v>
      </c>
      <c r="B40" s="223" t="s">
        <v>291</v>
      </c>
      <c r="C40" s="159" t="s">
        <v>66</v>
      </c>
      <c r="D40" s="233">
        <v>-39629.590000000004</v>
      </c>
      <c r="E40" s="233">
        <v>0</v>
      </c>
      <c r="F40" s="233">
        <f t="shared" si="3"/>
        <v>-39629.590000000004</v>
      </c>
      <c r="G40" s="233"/>
      <c r="H40" s="233"/>
    </row>
    <row r="41" spans="1:8" x14ac:dyDescent="0.2">
      <c r="A41" s="159" t="s">
        <v>68</v>
      </c>
      <c r="B41" s="223" t="s">
        <v>292</v>
      </c>
      <c r="C41" s="159" t="s">
        <v>68</v>
      </c>
      <c r="D41" s="233">
        <v>-4068.62</v>
      </c>
      <c r="E41" s="233">
        <v>0</v>
      </c>
      <c r="F41" s="233">
        <f t="shared" si="3"/>
        <v>-4068.62</v>
      </c>
      <c r="G41" s="233"/>
      <c r="H41" s="233"/>
    </row>
    <row r="42" spans="1:8" x14ac:dyDescent="0.2">
      <c r="A42" s="159" t="s">
        <v>160</v>
      </c>
      <c r="B42" s="223" t="s">
        <v>293</v>
      </c>
      <c r="C42" s="159" t="s">
        <v>160</v>
      </c>
      <c r="D42" s="233">
        <v>-49036.21</v>
      </c>
      <c r="E42" s="233">
        <v>0</v>
      </c>
      <c r="F42" s="233">
        <f t="shared" si="3"/>
        <v>-49036.21</v>
      </c>
      <c r="G42" s="233"/>
      <c r="H42" s="233"/>
    </row>
    <row r="43" spans="1:8" x14ac:dyDescent="0.2">
      <c r="A43" s="159" t="s">
        <v>161</v>
      </c>
      <c r="B43" s="223" t="s">
        <v>294</v>
      </c>
      <c r="C43" s="159" t="s">
        <v>161</v>
      </c>
      <c r="D43" s="233">
        <v>-18634.93</v>
      </c>
      <c r="E43" s="233">
        <v>0</v>
      </c>
      <c r="F43" s="233">
        <f t="shared" si="3"/>
        <v>-18634.93</v>
      </c>
      <c r="G43" s="233"/>
      <c r="H43" s="233"/>
    </row>
    <row r="44" spans="1:8" x14ac:dyDescent="0.2">
      <c r="A44" s="159" t="s">
        <v>162</v>
      </c>
      <c r="B44" s="223" t="s">
        <v>295</v>
      </c>
      <c r="C44" s="159" t="s">
        <v>162</v>
      </c>
      <c r="D44" s="233">
        <v>-13471.05</v>
      </c>
      <c r="E44" s="233">
        <v>0</v>
      </c>
      <c r="F44" s="233">
        <f t="shared" si="3"/>
        <v>-13471.05</v>
      </c>
      <c r="G44" s="233"/>
      <c r="H44" s="233"/>
    </row>
    <row r="45" spans="1:8" x14ac:dyDescent="0.2">
      <c r="A45" s="159" t="s">
        <v>63</v>
      </c>
      <c r="B45" s="223" t="s">
        <v>269</v>
      </c>
      <c r="C45" s="159" t="s">
        <v>63</v>
      </c>
      <c r="D45" s="233">
        <v>-43264.69</v>
      </c>
      <c r="E45" s="233">
        <v>0</v>
      </c>
      <c r="F45" s="233">
        <f t="shared" si="3"/>
        <v>-43264.69</v>
      </c>
      <c r="G45" s="233"/>
      <c r="H45" s="233"/>
    </row>
    <row r="46" spans="1:8" x14ac:dyDescent="0.2">
      <c r="A46" s="159" t="s">
        <v>65</v>
      </c>
      <c r="B46" s="223" t="s">
        <v>268</v>
      </c>
      <c r="C46" s="159" t="s">
        <v>65</v>
      </c>
      <c r="D46" s="233">
        <v>-233.32999999999998</v>
      </c>
      <c r="E46" s="233">
        <v>0</v>
      </c>
      <c r="F46" s="233">
        <f t="shared" si="3"/>
        <v>-233.32999999999998</v>
      </c>
      <c r="G46" s="233"/>
      <c r="H46" s="233"/>
    </row>
    <row r="47" spans="1:8" x14ac:dyDescent="0.2">
      <c r="A47" s="159" t="s">
        <v>64</v>
      </c>
      <c r="B47" s="223" t="s">
        <v>266</v>
      </c>
      <c r="C47" s="159" t="s">
        <v>64</v>
      </c>
      <c r="D47" s="233">
        <v>-3312.5</v>
      </c>
      <c r="E47" s="233">
        <v>0</v>
      </c>
      <c r="F47" s="233">
        <f t="shared" si="3"/>
        <v>-3312.5</v>
      </c>
      <c r="G47" s="233"/>
      <c r="H47" s="233"/>
    </row>
    <row r="48" spans="1:8" x14ac:dyDescent="0.2">
      <c r="A48" s="159" t="s">
        <v>67</v>
      </c>
      <c r="B48" s="223" t="s">
        <v>268</v>
      </c>
      <c r="C48" s="159" t="s">
        <v>67</v>
      </c>
      <c r="D48" s="233">
        <v>-151.99</v>
      </c>
      <c r="E48" s="233">
        <v>0</v>
      </c>
      <c r="F48" s="233">
        <f t="shared" si="3"/>
        <v>-151.99</v>
      </c>
    </row>
    <row r="49" spans="1:7" x14ac:dyDescent="0.2">
      <c r="B49" s="41" t="s">
        <v>163</v>
      </c>
      <c r="C49" s="150"/>
      <c r="D49" s="158">
        <f>SUM(D34:D48)</f>
        <v>-1609826.1300000008</v>
      </c>
      <c r="E49" s="158">
        <f>SUM(E34:E48)</f>
        <v>-222456.73733879984</v>
      </c>
      <c r="F49" s="158">
        <f>SUM(F34:F48)</f>
        <v>-1832282.8673388006</v>
      </c>
    </row>
    <row r="50" spans="1:7" x14ac:dyDescent="0.2">
      <c r="B50" s="41"/>
      <c r="C50" s="150"/>
      <c r="D50" s="157"/>
      <c r="E50" s="157"/>
      <c r="F50" s="157"/>
    </row>
    <row r="51" spans="1:7" x14ac:dyDescent="0.2">
      <c r="B51" s="40" t="s">
        <v>71</v>
      </c>
      <c r="C51" s="150"/>
      <c r="D51" s="157"/>
      <c r="E51" s="157"/>
      <c r="F51" s="157"/>
    </row>
    <row r="52" spans="1:7" x14ac:dyDescent="0.2">
      <c r="A52" s="159" t="s">
        <v>72</v>
      </c>
      <c r="B52" s="223" t="s">
        <v>284</v>
      </c>
      <c r="C52" s="159" t="s">
        <v>72</v>
      </c>
      <c r="D52" s="233">
        <v>-187171.37</v>
      </c>
      <c r="E52" s="233">
        <v>-11043.354890199986</v>
      </c>
      <c r="F52" s="233">
        <f>SUM(D52:E52)</f>
        <v>-198214.72489019998</v>
      </c>
    </row>
    <row r="53" spans="1:7" x14ac:dyDescent="0.2">
      <c r="A53" s="159" t="s">
        <v>73</v>
      </c>
      <c r="B53" s="223" t="s">
        <v>285</v>
      </c>
      <c r="C53" s="159" t="s">
        <v>73</v>
      </c>
      <c r="D53" s="233">
        <v>24959.600000000002</v>
      </c>
      <c r="E53" s="233">
        <v>0</v>
      </c>
      <c r="F53" s="233">
        <f t="shared" ref="F53" si="4">SUM(D53:E53)</f>
        <v>24959.600000000002</v>
      </c>
    </row>
    <row r="54" spans="1:7" x14ac:dyDescent="0.2">
      <c r="A54" s="159" t="s">
        <v>286</v>
      </c>
      <c r="B54" s="223" t="s">
        <v>287</v>
      </c>
      <c r="C54" s="159" t="s">
        <v>286</v>
      </c>
      <c r="D54" s="233">
        <v>0</v>
      </c>
      <c r="E54" s="233">
        <v>-59852.66333333333</v>
      </c>
      <c r="F54" s="233">
        <f>SUM(D54:E54)</f>
        <v>-59852.66333333333</v>
      </c>
    </row>
    <row r="55" spans="1:7" x14ac:dyDescent="0.2">
      <c r="B55" s="41" t="s">
        <v>74</v>
      </c>
      <c r="C55" s="150"/>
      <c r="D55" s="158">
        <f>SUM(D52:D54)</f>
        <v>-162211.76999999999</v>
      </c>
      <c r="E55" s="158">
        <f t="shared" ref="E55:F55" si="5">SUM(E52:E54)</f>
        <v>-70896.01822353332</v>
      </c>
      <c r="F55" s="158">
        <f t="shared" si="5"/>
        <v>-233107.78822353331</v>
      </c>
    </row>
    <row r="56" spans="1:7" x14ac:dyDescent="0.2">
      <c r="C56" s="150"/>
      <c r="D56" s="157"/>
      <c r="E56" s="157"/>
      <c r="F56" s="157"/>
    </row>
    <row r="57" spans="1:7" x14ac:dyDescent="0.2">
      <c r="A57" s="1" t="s">
        <v>164</v>
      </c>
      <c r="C57" s="150"/>
      <c r="D57" s="157">
        <f>SUM(D55,D49,D31)</f>
        <v>-2685931.1011797693</v>
      </c>
      <c r="E57" s="157">
        <f>SUM(E55,E49,E31)</f>
        <v>-253048.37097245996</v>
      </c>
      <c r="F57" s="157">
        <f>SUM(F55,F49,F31)</f>
        <v>-2938979.4721522289</v>
      </c>
    </row>
    <row r="58" spans="1:7" x14ac:dyDescent="0.2">
      <c r="C58" s="150"/>
      <c r="D58" s="157"/>
      <c r="E58" s="157"/>
      <c r="F58" s="157"/>
    </row>
    <row r="59" spans="1:7" x14ac:dyDescent="0.2">
      <c r="A59" s="3" t="s">
        <v>288</v>
      </c>
      <c r="C59" s="150"/>
      <c r="D59" s="160">
        <f>D57+D12</f>
        <v>-327073.24117976893</v>
      </c>
      <c r="E59" s="160">
        <f>E57+E12</f>
        <v>-253048.37097245996</v>
      </c>
      <c r="F59" s="160">
        <f>F57+F12</f>
        <v>-503385.26215222897</v>
      </c>
      <c r="G59" s="157"/>
    </row>
    <row r="60" spans="1:7" x14ac:dyDescent="0.2">
      <c r="C60" s="150"/>
      <c r="D60" s="157"/>
      <c r="E60" s="157"/>
      <c r="F60" s="157"/>
    </row>
  </sheetData>
  <mergeCells count="3">
    <mergeCell ref="A1:F1"/>
    <mergeCell ref="A2:F2"/>
    <mergeCell ref="A3:F3"/>
  </mergeCells>
  <phoneticPr fontId="17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"/>
  <sheetViews>
    <sheetView showGridLines="0" workbookViewId="0"/>
  </sheetViews>
  <sheetFormatPr defaultColWidth="8.85546875" defaultRowHeight="12.75" x14ac:dyDescent="0.2"/>
  <cols>
    <col min="1" max="16384" width="8.85546875" style="1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ColWidth="20.5703125" defaultRowHeight="12.75" x14ac:dyDescent="0.2"/>
  <cols>
    <col min="1" max="16384" width="20.5703125" style="1"/>
  </cols>
  <sheetData>
    <row r="1" spans="1:9" x14ac:dyDescent="0.2">
      <c r="A1" s="3" t="s">
        <v>110</v>
      </c>
    </row>
    <row r="2" spans="1:9" x14ac:dyDescent="0.2">
      <c r="A2" s="1" t="s">
        <v>24</v>
      </c>
    </row>
    <row r="3" spans="1:9" x14ac:dyDescent="0.2">
      <c r="A3" s="1" t="s">
        <v>111</v>
      </c>
    </row>
    <row r="5" spans="1:9" s="3" customFormat="1" x14ac:dyDescent="0.2">
      <c r="B5" s="84" t="s">
        <v>10</v>
      </c>
      <c r="C5" s="84" t="s">
        <v>11</v>
      </c>
      <c r="D5" s="84" t="s">
        <v>5</v>
      </c>
      <c r="E5" s="84" t="s">
        <v>12</v>
      </c>
      <c r="F5" s="84" t="s">
        <v>13</v>
      </c>
      <c r="G5" s="84" t="s">
        <v>25</v>
      </c>
      <c r="H5" s="84" t="s">
        <v>26</v>
      </c>
      <c r="I5" s="84" t="s">
        <v>27</v>
      </c>
    </row>
    <row r="6" spans="1:9" x14ac:dyDescent="0.2">
      <c r="B6" s="1" t="s">
        <v>112</v>
      </c>
      <c r="C6" s="1" t="s">
        <v>113</v>
      </c>
      <c r="D6" s="1" t="s">
        <v>28</v>
      </c>
      <c r="E6" s="1">
        <v>210</v>
      </c>
      <c r="F6" s="106">
        <v>43732</v>
      </c>
      <c r="H6" s="1" t="s">
        <v>114</v>
      </c>
      <c r="I6" s="106">
        <v>44409</v>
      </c>
    </row>
    <row r="7" spans="1:9" x14ac:dyDescent="0.2">
      <c r="B7" s="1" t="s">
        <v>115</v>
      </c>
      <c r="C7" s="1" t="s">
        <v>115</v>
      </c>
      <c r="D7" s="1" t="s">
        <v>28</v>
      </c>
      <c r="E7" s="1">
        <v>25</v>
      </c>
      <c r="F7" s="106">
        <v>44154</v>
      </c>
      <c r="H7" s="1" t="s">
        <v>114</v>
      </c>
      <c r="I7" s="106">
        <v>44409</v>
      </c>
    </row>
    <row r="8" spans="1:9" x14ac:dyDescent="0.2">
      <c r="B8" s="1" t="s">
        <v>116</v>
      </c>
      <c r="C8" s="1" t="s">
        <v>117</v>
      </c>
      <c r="D8" s="1" t="s">
        <v>28</v>
      </c>
      <c r="E8" s="1">
        <v>170</v>
      </c>
      <c r="F8" s="106">
        <v>43725</v>
      </c>
      <c r="H8" s="1" t="s">
        <v>114</v>
      </c>
      <c r="I8" s="106">
        <v>44409</v>
      </c>
    </row>
    <row r="9" spans="1:9" x14ac:dyDescent="0.2">
      <c r="B9" s="1" t="s">
        <v>118</v>
      </c>
      <c r="C9" s="1" t="s">
        <v>118</v>
      </c>
      <c r="D9" s="1" t="s">
        <v>28</v>
      </c>
      <c r="E9" s="1">
        <v>38</v>
      </c>
      <c r="F9" s="106">
        <v>44154</v>
      </c>
      <c r="H9" s="1" t="s">
        <v>114</v>
      </c>
      <c r="I9" s="106">
        <v>44409</v>
      </c>
    </row>
    <row r="10" spans="1:9" x14ac:dyDescent="0.2">
      <c r="B10" s="1" t="s">
        <v>119</v>
      </c>
      <c r="C10" s="1" t="s">
        <v>120</v>
      </c>
      <c r="D10" s="1" t="s">
        <v>28</v>
      </c>
      <c r="E10" s="1">
        <v>117</v>
      </c>
      <c r="F10" s="106">
        <v>44651</v>
      </c>
      <c r="H10" s="1" t="s">
        <v>29</v>
      </c>
      <c r="I10" s="1" t="s">
        <v>29</v>
      </c>
    </row>
    <row r="11" spans="1:9" x14ac:dyDescent="0.2">
      <c r="B11" s="1" t="s">
        <v>121</v>
      </c>
      <c r="C11" s="1" t="s">
        <v>122</v>
      </c>
      <c r="D11" s="1" t="s">
        <v>28</v>
      </c>
      <c r="E11" s="1">
        <v>337</v>
      </c>
      <c r="F11" s="106">
        <v>44250</v>
      </c>
      <c r="H11" s="1" t="s">
        <v>29</v>
      </c>
      <c r="I11" s="1" t="s">
        <v>29</v>
      </c>
    </row>
    <row r="12" spans="1:9" x14ac:dyDescent="0.2">
      <c r="B12" s="1" t="s">
        <v>30</v>
      </c>
      <c r="C12" s="1" t="s">
        <v>123</v>
      </c>
      <c r="D12" s="1" t="s">
        <v>28</v>
      </c>
      <c r="E12" s="1">
        <v>39</v>
      </c>
      <c r="F12" s="106">
        <v>43738</v>
      </c>
      <c r="H12" s="1" t="s">
        <v>114</v>
      </c>
      <c r="I12" s="106">
        <v>44409</v>
      </c>
    </row>
    <row r="13" spans="1:9" x14ac:dyDescent="0.2">
      <c r="B13" s="1" t="s">
        <v>124</v>
      </c>
      <c r="C13" s="1" t="s">
        <v>125</v>
      </c>
      <c r="D13" s="1" t="s">
        <v>28</v>
      </c>
      <c r="E13" s="1">
        <v>29</v>
      </c>
      <c r="F13" s="106">
        <v>43738</v>
      </c>
      <c r="H13" s="1" t="s">
        <v>114</v>
      </c>
      <c r="I13" s="106">
        <v>44409</v>
      </c>
    </row>
    <row r="14" spans="1:9" x14ac:dyDescent="0.2">
      <c r="B14" s="1" t="s">
        <v>126</v>
      </c>
      <c r="C14" s="1" t="s">
        <v>125</v>
      </c>
      <c r="D14" s="1" t="s">
        <v>28</v>
      </c>
      <c r="E14" s="1">
        <v>161</v>
      </c>
      <c r="F14" s="106">
        <v>43738</v>
      </c>
      <c r="H14" s="1" t="s">
        <v>114</v>
      </c>
      <c r="I14" s="106">
        <v>44409</v>
      </c>
    </row>
    <row r="15" spans="1:9" x14ac:dyDescent="0.2">
      <c r="B15" s="1" t="s">
        <v>127</v>
      </c>
      <c r="C15" s="1" t="s">
        <v>127</v>
      </c>
      <c r="D15" s="1" t="s">
        <v>28</v>
      </c>
      <c r="E15" s="1">
        <v>24</v>
      </c>
      <c r="F15" s="106">
        <v>44250</v>
      </c>
      <c r="H15" s="1" t="s">
        <v>29</v>
      </c>
      <c r="I15" s="1" t="s">
        <v>29</v>
      </c>
    </row>
    <row r="16" spans="1:9" x14ac:dyDescent="0.2">
      <c r="B16" s="1" t="s">
        <v>128</v>
      </c>
      <c r="C16" s="1" t="s">
        <v>129</v>
      </c>
      <c r="D16" s="1" t="s">
        <v>28</v>
      </c>
      <c r="E16" s="1">
        <v>345</v>
      </c>
      <c r="F16" s="106">
        <v>43733</v>
      </c>
      <c r="H16" s="1" t="s">
        <v>114</v>
      </c>
      <c r="I16" s="106">
        <v>44409</v>
      </c>
    </row>
    <row r="17" spans="2:9" x14ac:dyDescent="0.2">
      <c r="B17" s="1" t="s">
        <v>130</v>
      </c>
      <c r="C17" s="1" t="s">
        <v>130</v>
      </c>
      <c r="D17" s="1" t="s">
        <v>28</v>
      </c>
      <c r="E17" s="1">
        <v>131</v>
      </c>
      <c r="F17" s="106">
        <v>43724</v>
      </c>
      <c r="H17" s="1" t="s">
        <v>114</v>
      </c>
      <c r="I17" s="106">
        <v>44409</v>
      </c>
    </row>
    <row r="18" spans="2:9" x14ac:dyDescent="0.2">
      <c r="B18" s="1" t="s">
        <v>131</v>
      </c>
      <c r="C18" s="1" t="s">
        <v>131</v>
      </c>
      <c r="D18" s="1" t="s">
        <v>28</v>
      </c>
      <c r="E18" s="1">
        <v>32</v>
      </c>
      <c r="F18" s="106">
        <v>43732</v>
      </c>
      <c r="H18" s="1" t="s">
        <v>114</v>
      </c>
      <c r="I18" s="106">
        <v>44409</v>
      </c>
    </row>
    <row r="19" spans="2:9" x14ac:dyDescent="0.2">
      <c r="B19" s="1" t="s">
        <v>132</v>
      </c>
      <c r="C19" s="1" t="s">
        <v>132</v>
      </c>
      <c r="D19" s="1" t="s">
        <v>28</v>
      </c>
      <c r="E19" s="1">
        <v>38</v>
      </c>
      <c r="F19" s="106">
        <v>44001</v>
      </c>
      <c r="H19" s="1" t="s">
        <v>114</v>
      </c>
      <c r="I19" s="106">
        <v>44409</v>
      </c>
    </row>
    <row r="20" spans="2:9" x14ac:dyDescent="0.2">
      <c r="B20" s="1" t="s">
        <v>133</v>
      </c>
      <c r="C20" s="1" t="s">
        <v>133</v>
      </c>
      <c r="D20" s="1" t="s">
        <v>28</v>
      </c>
      <c r="E20" s="1">
        <v>355</v>
      </c>
      <c r="F20" s="106">
        <v>43724</v>
      </c>
      <c r="H20" s="1" t="s">
        <v>114</v>
      </c>
      <c r="I20" s="106">
        <v>44409</v>
      </c>
    </row>
    <row r="21" spans="2:9" x14ac:dyDescent="0.2">
      <c r="B21" s="1" t="s">
        <v>219</v>
      </c>
      <c r="C21" s="1" t="s">
        <v>219</v>
      </c>
      <c r="D21" s="1" t="s">
        <v>28</v>
      </c>
      <c r="E21" s="1">
        <v>56</v>
      </c>
      <c r="F21" s="106">
        <v>44154</v>
      </c>
      <c r="H21" s="1" t="s">
        <v>114</v>
      </c>
      <c r="I21" s="106">
        <v>44409</v>
      </c>
    </row>
    <row r="22" spans="2:9" x14ac:dyDescent="0.2">
      <c r="B22" s="1" t="s">
        <v>134</v>
      </c>
      <c r="C22" s="1" t="s">
        <v>134</v>
      </c>
      <c r="D22" s="1" t="s">
        <v>28</v>
      </c>
      <c r="E22" s="1">
        <v>179</v>
      </c>
      <c r="F22" s="106">
        <v>43952</v>
      </c>
      <c r="H22" s="1" t="s">
        <v>114</v>
      </c>
      <c r="I22" s="106">
        <v>44409</v>
      </c>
    </row>
    <row r="23" spans="2:9" x14ac:dyDescent="0.2">
      <c r="B23" s="1" t="s">
        <v>135</v>
      </c>
      <c r="C23" s="1" t="s">
        <v>135</v>
      </c>
      <c r="D23" s="1" t="s">
        <v>28</v>
      </c>
      <c r="E23" s="1">
        <v>42</v>
      </c>
      <c r="F23" s="106">
        <v>44250</v>
      </c>
      <c r="H23" s="1" t="s">
        <v>29</v>
      </c>
      <c r="I23" s="1" t="s">
        <v>29</v>
      </c>
    </row>
    <row r="24" spans="2:9" x14ac:dyDescent="0.2">
      <c r="B24" s="1" t="s">
        <v>136</v>
      </c>
      <c r="C24" s="1" t="s">
        <v>137</v>
      </c>
      <c r="D24" s="1" t="s">
        <v>28</v>
      </c>
      <c r="E24" s="1">
        <v>69</v>
      </c>
      <c r="F24" s="106">
        <v>43951</v>
      </c>
      <c r="H24" s="1" t="s">
        <v>114</v>
      </c>
      <c r="I24" s="106">
        <v>44409</v>
      </c>
    </row>
    <row r="25" spans="2:9" x14ac:dyDescent="0.2">
      <c r="B25" s="1" t="s">
        <v>138</v>
      </c>
      <c r="C25" s="1" t="s">
        <v>138</v>
      </c>
      <c r="D25" s="1" t="s">
        <v>28</v>
      </c>
      <c r="E25" s="1">
        <v>91</v>
      </c>
      <c r="F25" s="106">
        <v>44264</v>
      </c>
      <c r="H25" s="1" t="s">
        <v>29</v>
      </c>
      <c r="I25" s="1" t="s">
        <v>29</v>
      </c>
    </row>
    <row r="27" spans="2:9" x14ac:dyDescent="0.2">
      <c r="B27" s="1" t="s">
        <v>28</v>
      </c>
      <c r="E27" s="1">
        <f>SUM(E6:E9,E10:E25)</f>
        <v>2488</v>
      </c>
    </row>
  </sheetData>
  <autoFilter ref="B5:I24">
    <sortState ref="B6:I24">
      <sortCondition ref="I5:I24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C31788-F218-4A25-986F-EE622D8886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CA5F31-0D68-479A-81A9-F7CEA4BA1F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Exhibit SC 2-5</vt:lpstr>
      <vt:lpstr>Sewer Rate Design</vt:lpstr>
      <vt:lpstr>Sewer COSS Summary</vt:lpstr>
      <vt:lpstr>Revenue Requirements &gt;&gt;</vt:lpstr>
      <vt:lpstr>Revenue Requirements</vt:lpstr>
      <vt:lpstr>Rate Base</vt:lpstr>
      <vt:lpstr>WW Income</vt:lpstr>
      <vt:lpstr>Support Data &gt;&gt;</vt:lpstr>
      <vt:lpstr>SA Information</vt:lpstr>
      <vt:lpstr>Meters</vt:lpstr>
      <vt:lpstr>Current Rates</vt:lpstr>
      <vt:lpstr>Services</vt:lpstr>
      <vt:lpstr>Mains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 Kitabwalla</dc:creator>
  <cp:lastModifiedBy>INGLE, KERRY</cp:lastModifiedBy>
  <dcterms:created xsi:type="dcterms:W3CDTF">2022-01-07T19:02:45Z</dcterms:created>
  <dcterms:modified xsi:type="dcterms:W3CDTF">2023-06-15T22:02:57Z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{4194E488-EBBA-4477-BFA4-82EB9D471F8E}</vt:lpwstr>
  </property>
</Properties>
</file>