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5200" windowHeight="11850" tabRatio="855" activeTab="19"/>
  </bookViews>
  <sheets>
    <sheet name="Exhibit-16" sheetId="44" r:id="rId1"/>
    <sheet name="Exhibit-17" sheetId="40" r:id="rId2"/>
    <sheet name="Exhibit-18" sheetId="39" r:id="rId3"/>
    <sheet name="Exhibit-19" sheetId="42" r:id="rId4"/>
    <sheet name="Exhibit-25" sheetId="6" r:id="rId5"/>
    <sheet name="Exhibit-26" sheetId="38" r:id="rId6"/>
    <sheet name="Exhibit-27" sheetId="37" r:id="rId7"/>
    <sheet name="BT-1" sheetId="1" r:id="rId8"/>
    <sheet name="BT-2" sheetId="9" r:id="rId9"/>
    <sheet name="BT-3" sheetId="12" r:id="rId10"/>
    <sheet name="BT-4" sheetId="16" r:id="rId11"/>
    <sheet name="BT-5" sheetId="19" r:id="rId12"/>
    <sheet name="BT-6" sheetId="20" r:id="rId13"/>
    <sheet name="BT-7" sheetId="34" r:id="rId14"/>
    <sheet name="BT-8" sheetId="27" r:id="rId15"/>
    <sheet name="BT-9" sheetId="46" r:id="rId16"/>
    <sheet name="BT-10" sheetId="23" r:id="rId17"/>
    <sheet name="BT-11" sheetId="24" r:id="rId18"/>
    <sheet name="BT-12" sheetId="32" r:id="rId19"/>
    <sheet name="BT-13" sheetId="47" r:id="rId20"/>
    <sheet name="BT-14" sheetId="31" r:id="rId21"/>
  </sheets>
  <definedNames>
    <definedName name="_xlnm.Print_Area" localSheetId="7">'BT-1'!$A$1:$C$34</definedName>
    <definedName name="_xlnm.Print_Area" localSheetId="8">'BT-2'!$A$1:$G$29</definedName>
    <definedName name="_xlnm.Print_Area" localSheetId="9">'BT-3'!$A$1:$F$30</definedName>
    <definedName name="_xlnm.Print_Area" localSheetId="12">'BT-6'!$A$1:$D$23</definedName>
    <definedName name="_xlnm.Print_Area" localSheetId="1">'Exhibit-17'!$A$1:$E$19</definedName>
    <definedName name="_xlnm.Print_Area" localSheetId="2">'Exhibit-18'!$A$1:$K$54</definedName>
    <definedName name="_xlnm.Print_Area" localSheetId="3">'Exhibit-19'!$A$1:$W$64</definedName>
    <definedName name="_xlnm.Print_Area" localSheetId="4">'Exhibit-25'!$A$1:$H$66</definedName>
    <definedName name="_xlnm.Print_Area" localSheetId="5">'Exhibit-26'!$A$1:$E$20</definedName>
    <definedName name="_xlnm.Print_Area" localSheetId="6">'Exhibit-27'!$A$1:$D$103</definedName>
    <definedName name="_xlnm.Print_Titles" localSheetId="0">'Exhibit-16'!$A:$B,'Exhibit-16'!$1:$3</definedName>
    <definedName name="_xlnm.Print_Titles" localSheetId="3">'Exhibit-19'!$A:$D</definedName>
    <definedName name="_xlnm.Print_Titles" localSheetId="6">'Exhibit-27'!$1:$5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47" l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J29" i="47"/>
  <c r="I29" i="47"/>
  <c r="H29" i="47"/>
  <c r="G29" i="47"/>
  <c r="F29" i="47"/>
  <c r="E13" i="19" l="1"/>
  <c r="A11" i="32"/>
  <c r="A12" i="32" s="1"/>
  <c r="A13" i="32" s="1"/>
  <c r="A14" i="32" s="1"/>
  <c r="A15" i="32" s="1"/>
  <c r="A16" i="32" s="1"/>
  <c r="A17" i="32" s="1"/>
  <c r="A29" i="9" l="1"/>
  <c r="A2" i="37" l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22" i="42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7" i="42"/>
  <c r="A7" i="40"/>
  <c r="D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A8" i="12" l="1"/>
  <c r="A9" i="12" s="1"/>
  <c r="A10" i="12" s="1"/>
  <c r="A8" i="16" l="1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37" l="1"/>
  <c r="A32" i="37" s="1"/>
  <c r="E12" i="31"/>
  <c r="F11" i="32"/>
  <c r="F10" i="32"/>
  <c r="F9" i="32"/>
  <c r="F8" i="32"/>
  <c r="E14" i="32"/>
  <c r="F14" i="32" l="1"/>
  <c r="E58" i="6" l="1"/>
  <c r="D25" i="31"/>
  <c r="E8" i="16"/>
  <c r="F8" i="16" s="1"/>
  <c r="F58" i="6" l="1"/>
  <c r="H58" i="6" s="1"/>
  <c r="E9" i="12"/>
  <c r="E28" i="46" l="1"/>
  <c r="D28" i="46" l="1"/>
  <c r="A2" i="46" l="1"/>
  <c r="A1" i="46"/>
  <c r="A9" i="46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8" i="46"/>
  <c r="A7" i="46"/>
  <c r="A14" i="31" l="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E13" i="40" l="1"/>
  <c r="D13" i="40"/>
  <c r="C13" i="40"/>
  <c r="E12" i="40"/>
  <c r="D12" i="40"/>
  <c r="C12" i="40"/>
  <c r="E11" i="40"/>
  <c r="D11" i="40"/>
  <c r="C11" i="40"/>
  <c r="Y51" i="44" l="1"/>
  <c r="Y50" i="44"/>
  <c r="Y43" i="44"/>
  <c r="Y36" i="44"/>
  <c r="Y33" i="44"/>
  <c r="Y32" i="44"/>
  <c r="X37" i="44"/>
  <c r="W37" i="44"/>
  <c r="Y27" i="44"/>
  <c r="Y24" i="44"/>
  <c r="Y23" i="44"/>
  <c r="Y22" i="44"/>
  <c r="Y21" i="44"/>
  <c r="X28" i="44"/>
  <c r="W28" i="44"/>
  <c r="Y19" i="44"/>
  <c r="X13" i="44"/>
  <c r="W13" i="44"/>
  <c r="X9" i="44"/>
  <c r="W9" i="44"/>
  <c r="U51" i="44"/>
  <c r="U50" i="44"/>
  <c r="U43" i="44"/>
  <c r="U36" i="44"/>
  <c r="U34" i="44"/>
  <c r="U33" i="44"/>
  <c r="U32" i="44"/>
  <c r="S37" i="44"/>
  <c r="U27" i="44"/>
  <c r="U26" i="44"/>
  <c r="U24" i="44"/>
  <c r="U22" i="44"/>
  <c r="T28" i="44"/>
  <c r="S28" i="44"/>
  <c r="U19" i="44"/>
  <c r="U12" i="44"/>
  <c r="T13" i="44"/>
  <c r="U8" i="44"/>
  <c r="S9" i="44"/>
  <c r="Q50" i="44"/>
  <c r="Q49" i="44"/>
  <c r="Q36" i="44"/>
  <c r="Q35" i="44"/>
  <c r="Q32" i="44"/>
  <c r="P37" i="44"/>
  <c r="O37" i="44"/>
  <c r="Q27" i="44"/>
  <c r="Q25" i="44"/>
  <c r="Q24" i="44"/>
  <c r="Q22" i="44"/>
  <c r="Q19" i="44"/>
  <c r="P13" i="44"/>
  <c r="O13" i="44"/>
  <c r="Q8" i="44"/>
  <c r="P9" i="44"/>
  <c r="O9" i="44"/>
  <c r="M51" i="44"/>
  <c r="M43" i="44"/>
  <c r="M33" i="44"/>
  <c r="M32" i="44"/>
  <c r="L37" i="44"/>
  <c r="K37" i="44"/>
  <c r="M27" i="44"/>
  <c r="M25" i="44"/>
  <c r="M22" i="44"/>
  <c r="M20" i="44"/>
  <c r="L28" i="44"/>
  <c r="M12" i="44"/>
  <c r="M8" i="44"/>
  <c r="L9" i="44"/>
  <c r="I48" i="44"/>
  <c r="I34" i="44"/>
  <c r="I32" i="44"/>
  <c r="H37" i="44"/>
  <c r="G37" i="44"/>
  <c r="I27" i="44"/>
  <c r="I24" i="44"/>
  <c r="I22" i="44"/>
  <c r="H28" i="44"/>
  <c r="G28" i="44"/>
  <c r="I19" i="44"/>
  <c r="H13" i="44"/>
  <c r="I12" i="44"/>
  <c r="G9" i="44"/>
  <c r="E51" i="44"/>
  <c r="E49" i="44"/>
  <c r="E43" i="44"/>
  <c r="E36" i="44"/>
  <c r="E34" i="44"/>
  <c r="E32" i="44"/>
  <c r="D37" i="44"/>
  <c r="C37" i="44"/>
  <c r="E27" i="44"/>
  <c r="E26" i="44"/>
  <c r="E24" i="44"/>
  <c r="E22" i="44"/>
  <c r="D28" i="44"/>
  <c r="E12" i="44"/>
  <c r="D13" i="44"/>
  <c r="C13" i="44"/>
  <c r="E8" i="44"/>
  <c r="D9" i="44"/>
  <c r="S13" i="44" l="1"/>
  <c r="U13" i="44" s="1"/>
  <c r="Y12" i="44"/>
  <c r="Y34" i="44"/>
  <c r="Y48" i="44"/>
  <c r="Q26" i="44"/>
  <c r="U21" i="44"/>
  <c r="U31" i="44"/>
  <c r="Y37" i="44"/>
  <c r="Q33" i="44"/>
  <c r="Q43" i="44"/>
  <c r="Q51" i="44"/>
  <c r="U25" i="44"/>
  <c r="U35" i="44"/>
  <c r="U48" i="44"/>
  <c r="Y25" i="44"/>
  <c r="Y35" i="44"/>
  <c r="Y49" i="44"/>
  <c r="I21" i="44"/>
  <c r="M23" i="44"/>
  <c r="E21" i="44"/>
  <c r="E37" i="44"/>
  <c r="E48" i="44"/>
  <c r="I25" i="44"/>
  <c r="I35" i="44"/>
  <c r="I49" i="44"/>
  <c r="M34" i="44"/>
  <c r="M48" i="44"/>
  <c r="P16" i="44"/>
  <c r="E25" i="44"/>
  <c r="E35" i="44"/>
  <c r="H9" i="44"/>
  <c r="H16" i="44" s="1"/>
  <c r="K13" i="44"/>
  <c r="M24" i="44"/>
  <c r="M37" i="44"/>
  <c r="C9" i="44"/>
  <c r="I8" i="44"/>
  <c r="I26" i="44"/>
  <c r="I36" i="44"/>
  <c r="I50" i="44"/>
  <c r="M11" i="44"/>
  <c r="M21" i="44"/>
  <c r="M35" i="44"/>
  <c r="M49" i="44"/>
  <c r="O28" i="44"/>
  <c r="O40" i="44" s="1"/>
  <c r="O46" i="44" s="1"/>
  <c r="Q23" i="44"/>
  <c r="X16" i="44"/>
  <c r="Q13" i="44"/>
  <c r="Q20" i="44"/>
  <c r="Q34" i="44"/>
  <c r="Q48" i="44"/>
  <c r="T9" i="44"/>
  <c r="T16" i="44" s="1"/>
  <c r="U49" i="44"/>
  <c r="Y8" i="44"/>
  <c r="Y26" i="44"/>
  <c r="U23" i="44"/>
  <c r="E13" i="44"/>
  <c r="D16" i="44"/>
  <c r="E19" i="44"/>
  <c r="E50" i="44"/>
  <c r="G13" i="44"/>
  <c r="I13" i="44" s="1"/>
  <c r="I23" i="44"/>
  <c r="I33" i="44"/>
  <c r="I43" i="44"/>
  <c r="I51" i="44"/>
  <c r="M36" i="44"/>
  <c r="M50" i="44"/>
  <c r="C28" i="44"/>
  <c r="C40" i="44" s="1"/>
  <c r="C46" i="44" s="1"/>
  <c r="E23" i="44"/>
  <c r="E33" i="44"/>
  <c r="K9" i="44"/>
  <c r="M9" i="44" s="1"/>
  <c r="M19" i="44"/>
  <c r="M26" i="44"/>
  <c r="Q12" i="44"/>
  <c r="Q21" i="44"/>
  <c r="S40" i="44"/>
  <c r="S46" i="44" s="1"/>
  <c r="Y13" i="44"/>
  <c r="Y9" i="44"/>
  <c r="W16" i="44"/>
  <c r="X40" i="44"/>
  <c r="Y28" i="44"/>
  <c r="W40" i="44"/>
  <c r="W46" i="44" s="1"/>
  <c r="Y7" i="44"/>
  <c r="Y20" i="44"/>
  <c r="Y11" i="44"/>
  <c r="Y31" i="44"/>
  <c r="U9" i="44"/>
  <c r="S16" i="44"/>
  <c r="U28" i="44"/>
  <c r="U7" i="44"/>
  <c r="U20" i="44"/>
  <c r="U11" i="44"/>
  <c r="T37" i="44"/>
  <c r="U37" i="44" s="1"/>
  <c r="O16" i="44"/>
  <c r="Q9" i="44"/>
  <c r="Q37" i="44"/>
  <c r="P28" i="44"/>
  <c r="Q7" i="44"/>
  <c r="Q11" i="44"/>
  <c r="Q31" i="44"/>
  <c r="L40" i="44"/>
  <c r="L13" i="44"/>
  <c r="K28" i="44"/>
  <c r="K40" i="44" s="1"/>
  <c r="K46" i="44" s="1"/>
  <c r="M7" i="44"/>
  <c r="M31" i="44"/>
  <c r="I37" i="44"/>
  <c r="H40" i="44"/>
  <c r="I28" i="44"/>
  <c r="G16" i="44"/>
  <c r="G40" i="44"/>
  <c r="G46" i="44" s="1"/>
  <c r="I20" i="44"/>
  <c r="I7" i="44"/>
  <c r="I31" i="44"/>
  <c r="I11" i="44"/>
  <c r="C16" i="44"/>
  <c r="E9" i="44"/>
  <c r="E28" i="44"/>
  <c r="D40" i="44"/>
  <c r="E7" i="44"/>
  <c r="E20" i="44"/>
  <c r="E11" i="44"/>
  <c r="E31" i="44"/>
  <c r="M13" i="44" l="1"/>
  <c r="I9" i="44"/>
  <c r="K16" i="44"/>
  <c r="K53" i="44" s="1"/>
  <c r="T40" i="44"/>
  <c r="T46" i="44" s="1"/>
  <c r="X46" i="44"/>
  <c r="Y40" i="44"/>
  <c r="W53" i="44"/>
  <c r="Y16" i="44"/>
  <c r="U16" i="44"/>
  <c r="S53" i="44"/>
  <c r="Q28" i="44"/>
  <c r="P40" i="44"/>
  <c r="O53" i="44"/>
  <c r="Q16" i="44"/>
  <c r="L16" i="44"/>
  <c r="L46" i="44"/>
  <c r="M46" i="44" s="1"/>
  <c r="M40" i="44"/>
  <c r="M28" i="44"/>
  <c r="G53" i="44"/>
  <c r="I16" i="44"/>
  <c r="H46" i="44"/>
  <c r="I40" i="44"/>
  <c r="D46" i="44"/>
  <c r="E40" i="44"/>
  <c r="C53" i="44"/>
  <c r="E16" i="44"/>
  <c r="U40" i="44" l="1"/>
  <c r="L53" i="44"/>
  <c r="M53" i="44" s="1"/>
  <c r="M16" i="44"/>
  <c r="Y46" i="44"/>
  <c r="X53" i="44"/>
  <c r="Y53" i="44" s="1"/>
  <c r="U46" i="44"/>
  <c r="T53" i="44"/>
  <c r="U53" i="44" s="1"/>
  <c r="P46" i="44"/>
  <c r="Q40" i="44"/>
  <c r="I46" i="44"/>
  <c r="H53" i="44"/>
  <c r="I53" i="44" s="1"/>
  <c r="E46" i="44"/>
  <c r="D53" i="44"/>
  <c r="E53" i="44" s="1"/>
  <c r="Q46" i="44" l="1"/>
  <c r="P53" i="44"/>
  <c r="Q53" i="44" s="1"/>
  <c r="K51" i="39" l="1"/>
  <c r="J51" i="39"/>
  <c r="H51" i="39"/>
  <c r="G51" i="39"/>
  <c r="A50" i="39"/>
  <c r="A51" i="39" s="1"/>
  <c r="A52" i="39" s="1"/>
  <c r="A53" i="39" s="1"/>
  <c r="A54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0" i="39"/>
  <c r="I30" i="39" s="1"/>
  <c r="I29" i="39"/>
  <c r="H29" i="39"/>
  <c r="I28" i="39"/>
  <c r="H28" i="39"/>
  <c r="H27" i="39"/>
  <c r="I27" i="39" s="1"/>
  <c r="H26" i="39"/>
  <c r="I26" i="39" s="1"/>
  <c r="I25" i="39"/>
  <c r="H25" i="39"/>
  <c r="H22" i="39"/>
  <c r="I22" i="39" s="1"/>
  <c r="I21" i="39"/>
  <c r="H21" i="39"/>
  <c r="I20" i="39"/>
  <c r="H20" i="39"/>
  <c r="H19" i="39"/>
  <c r="I19" i="39" s="1"/>
  <c r="H18" i="39"/>
  <c r="I18" i="39" s="1"/>
  <c r="I17" i="39"/>
  <c r="H17" i="39"/>
  <c r="I16" i="39"/>
  <c r="H16" i="39"/>
  <c r="H15" i="39"/>
  <c r="I15" i="39" s="1"/>
  <c r="H14" i="39"/>
  <c r="I14" i="39" s="1"/>
  <c r="I13" i="39"/>
  <c r="H13" i="39"/>
  <c r="I12" i="39"/>
  <c r="H12" i="39"/>
  <c r="H11" i="39"/>
  <c r="I11" i="39" s="1"/>
  <c r="H10" i="39"/>
  <c r="I10" i="39" s="1"/>
  <c r="I9" i="39"/>
  <c r="I51" i="39" s="1"/>
  <c r="H9" i="39"/>
  <c r="A31" i="39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D16" i="38"/>
  <c r="E16" i="38" s="1"/>
  <c r="D15" i="38"/>
  <c r="E15" i="38" s="1"/>
  <c r="E14" i="38"/>
  <c r="D14" i="38"/>
  <c r="E10" i="38"/>
  <c r="D10" i="38"/>
  <c r="G4" i="44"/>
  <c r="K4" i="44" s="1"/>
  <c r="O4" i="44" s="1"/>
  <c r="S4" i="44" s="1"/>
  <c r="W4" i="44" s="1"/>
  <c r="AA4" i="44" s="1"/>
  <c r="A7" i="37" l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" i="37"/>
  <c r="E17" i="38"/>
  <c r="D17" i="38"/>
  <c r="C17" i="38"/>
  <c r="A7" i="38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" i="38"/>
  <c r="A1" i="38"/>
  <c r="A8" i="39" l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2" i="39"/>
  <c r="A1" i="39"/>
  <c r="A8" i="40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E9" i="40"/>
  <c r="D9" i="40"/>
  <c r="C9" i="40"/>
  <c r="D16" i="40" l="1"/>
  <c r="E16" i="40"/>
  <c r="C16" i="40"/>
  <c r="C9" i="38"/>
  <c r="D9" i="38" s="1"/>
  <c r="E9" i="38" s="1"/>
  <c r="C8" i="38"/>
  <c r="C11" i="38" s="1"/>
  <c r="D8" i="38" l="1"/>
  <c r="E8" i="38" s="1"/>
  <c r="E11" i="38" s="1"/>
  <c r="A2" i="40"/>
  <c r="A1" i="40"/>
  <c r="E86" i="42"/>
  <c r="E85" i="42"/>
  <c r="E84" i="42"/>
  <c r="E83" i="42"/>
  <c r="E80" i="42"/>
  <c r="E79" i="42"/>
  <c r="E78" i="42"/>
  <c r="E77" i="42"/>
  <c r="E74" i="42"/>
  <c r="E73" i="42"/>
  <c r="E72" i="42"/>
  <c r="E71" i="42"/>
  <c r="D86" i="42"/>
  <c r="D80" i="42"/>
  <c r="D73" i="42"/>
  <c r="D72" i="42"/>
  <c r="D71" i="42"/>
  <c r="D11" i="38" l="1"/>
  <c r="AW51" i="44"/>
  <c r="AW50" i="44"/>
  <c r="AW49" i="44"/>
  <c r="AW48" i="44"/>
  <c r="AW43" i="44"/>
  <c r="AW36" i="44"/>
  <c r="AW35" i="44"/>
  <c r="AW34" i="44"/>
  <c r="AW33" i="44"/>
  <c r="AW32" i="44"/>
  <c r="AW31" i="44"/>
  <c r="AW27" i="44"/>
  <c r="AW26" i="44"/>
  <c r="AW25" i="44"/>
  <c r="AW24" i="44"/>
  <c r="AW23" i="44"/>
  <c r="AW22" i="44"/>
  <c r="AW21" i="44"/>
  <c r="AW20" i="44"/>
  <c r="AW19" i="44"/>
  <c r="AW12" i="44"/>
  <c r="AW11" i="44"/>
  <c r="AW8" i="44"/>
  <c r="AW7" i="44"/>
  <c r="AS51" i="44"/>
  <c r="AS50" i="44"/>
  <c r="AS49" i="44"/>
  <c r="AS48" i="44"/>
  <c r="AS43" i="44"/>
  <c r="AS36" i="44"/>
  <c r="AS35" i="44"/>
  <c r="AS34" i="44"/>
  <c r="AS33" i="44"/>
  <c r="AS32" i="44"/>
  <c r="AS31" i="44"/>
  <c r="AS27" i="44"/>
  <c r="AS26" i="44"/>
  <c r="AS25" i="44"/>
  <c r="AS24" i="44"/>
  <c r="AS23" i="44"/>
  <c r="AS22" i="44"/>
  <c r="AS21" i="44"/>
  <c r="AS20" i="44"/>
  <c r="AS19" i="44"/>
  <c r="AS12" i="44"/>
  <c r="AS11" i="44"/>
  <c r="AS8" i="44"/>
  <c r="AS7" i="44"/>
  <c r="AO51" i="44"/>
  <c r="AO50" i="44"/>
  <c r="AO49" i="44"/>
  <c r="AO48" i="44"/>
  <c r="AO43" i="44"/>
  <c r="AO36" i="44"/>
  <c r="AO35" i="44"/>
  <c r="AO34" i="44"/>
  <c r="AO33" i="44"/>
  <c r="AO32" i="44"/>
  <c r="AO31" i="44"/>
  <c r="AO27" i="44"/>
  <c r="AO26" i="44"/>
  <c r="AO25" i="44"/>
  <c r="AO24" i="44"/>
  <c r="AO23" i="44"/>
  <c r="AO22" i="44"/>
  <c r="AO21" i="44"/>
  <c r="AO20" i="44"/>
  <c r="AO19" i="44"/>
  <c r="AO12" i="44"/>
  <c r="AO11" i="44"/>
  <c r="AO8" i="44"/>
  <c r="AO7" i="44"/>
  <c r="AK51" i="44"/>
  <c r="AK50" i="44"/>
  <c r="AK49" i="44"/>
  <c r="AK48" i="44"/>
  <c r="AK43" i="44"/>
  <c r="AK36" i="44"/>
  <c r="AK35" i="44"/>
  <c r="AK34" i="44"/>
  <c r="AK33" i="44"/>
  <c r="AK32" i="44"/>
  <c r="AK31" i="44"/>
  <c r="AK27" i="44"/>
  <c r="AK26" i="44"/>
  <c r="AK25" i="44"/>
  <c r="AK24" i="44"/>
  <c r="AK23" i="44"/>
  <c r="AK22" i="44"/>
  <c r="AK21" i="44"/>
  <c r="AK20" i="44"/>
  <c r="AK19" i="44"/>
  <c r="AK12" i="44"/>
  <c r="AK11" i="44"/>
  <c r="AK8" i="44"/>
  <c r="AK7" i="44"/>
  <c r="AG51" i="44"/>
  <c r="AG50" i="44"/>
  <c r="AG49" i="44"/>
  <c r="AG48" i="44"/>
  <c r="AG43" i="44"/>
  <c r="AG36" i="44"/>
  <c r="AG35" i="44"/>
  <c r="AG34" i="44"/>
  <c r="AG33" i="44"/>
  <c r="AG32" i="44"/>
  <c r="AG31" i="44"/>
  <c r="AG27" i="44"/>
  <c r="AG26" i="44"/>
  <c r="AG25" i="44"/>
  <c r="AG24" i="44"/>
  <c r="AG23" i="44"/>
  <c r="AG22" i="44"/>
  <c r="AG21" i="44"/>
  <c r="AG20" i="44"/>
  <c r="AG19" i="44"/>
  <c r="AG12" i="44"/>
  <c r="AG11" i="44"/>
  <c r="AG8" i="44"/>
  <c r="AG7" i="44"/>
  <c r="AC51" i="44"/>
  <c r="AC50" i="44"/>
  <c r="AC49" i="44"/>
  <c r="AC48" i="44"/>
  <c r="AC43" i="44"/>
  <c r="AC36" i="44"/>
  <c r="AC35" i="44"/>
  <c r="AC34" i="44"/>
  <c r="AC33" i="44"/>
  <c r="AC32" i="44"/>
  <c r="AC31" i="44"/>
  <c r="AC27" i="44"/>
  <c r="AC26" i="44"/>
  <c r="AC25" i="44"/>
  <c r="AC24" i="44"/>
  <c r="AC23" i="44"/>
  <c r="AC22" i="44"/>
  <c r="AC21" i="44"/>
  <c r="AC20" i="44"/>
  <c r="AC19" i="44"/>
  <c r="AC12" i="44"/>
  <c r="AC11" i="44"/>
  <c r="AC8" i="44"/>
  <c r="AC7" i="44"/>
  <c r="AQ37" i="44"/>
  <c r="AI37" i="44"/>
  <c r="AV37" i="44"/>
  <c r="AU37" i="44"/>
  <c r="AR37" i="44"/>
  <c r="AN37" i="44"/>
  <c r="AM37" i="44"/>
  <c r="AJ37" i="44"/>
  <c r="AF37" i="44"/>
  <c r="AE37" i="44"/>
  <c r="AQ28" i="44"/>
  <c r="AI28" i="44"/>
  <c r="AV28" i="44"/>
  <c r="AU28" i="44"/>
  <c r="AR28" i="44"/>
  <c r="AR40" i="44" s="1"/>
  <c r="AR46" i="44" s="1"/>
  <c r="AN28" i="44"/>
  <c r="AM28" i="44"/>
  <c r="AJ28" i="44"/>
  <c r="AF28" i="44"/>
  <c r="AE28" i="44"/>
  <c r="AR13" i="44"/>
  <c r="AQ13" i="44"/>
  <c r="AJ13" i="44"/>
  <c r="AI13" i="44"/>
  <c r="AV13" i="44"/>
  <c r="AU13" i="44"/>
  <c r="AN13" i="44"/>
  <c r="AM13" i="44"/>
  <c r="AF13" i="44"/>
  <c r="AE13" i="44"/>
  <c r="AR9" i="44"/>
  <c r="AJ9" i="44"/>
  <c r="AV9" i="44"/>
  <c r="AU9" i="44"/>
  <c r="AQ9" i="44"/>
  <c r="AN9" i="44"/>
  <c r="AM9" i="44"/>
  <c r="AI9" i="44"/>
  <c r="AI16" i="44" s="1"/>
  <c r="AF9" i="44"/>
  <c r="AE9" i="44"/>
  <c r="AB37" i="44"/>
  <c r="AB28" i="44"/>
  <c r="AB13" i="44"/>
  <c r="AB9" i="44"/>
  <c r="AA37" i="44"/>
  <c r="AA28" i="44"/>
  <c r="AA13" i="44"/>
  <c r="AA9" i="44"/>
  <c r="AE4" i="44"/>
  <c r="AI4" i="44" s="1"/>
  <c r="AM4" i="44" s="1"/>
  <c r="AQ4" i="44" s="1"/>
  <c r="AU4" i="44" s="1"/>
  <c r="A7" i="44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G13" i="44" l="1"/>
  <c r="AA16" i="44"/>
  <c r="AO13" i="44"/>
  <c r="AO28" i="44"/>
  <c r="AU40" i="44"/>
  <c r="AU46" i="44" s="1"/>
  <c r="AM16" i="44"/>
  <c r="AC13" i="44"/>
  <c r="AB40" i="44"/>
  <c r="AB46" i="44" s="1"/>
  <c r="AW28" i="44"/>
  <c r="AE40" i="44"/>
  <c r="AE46" i="44" s="1"/>
  <c r="AS9" i="44"/>
  <c r="AU16" i="44"/>
  <c r="AO9" i="44"/>
  <c r="AK37" i="44"/>
  <c r="AG28" i="44"/>
  <c r="AI40" i="44"/>
  <c r="AI46" i="44" s="1"/>
  <c r="AI53" i="44" s="1"/>
  <c r="AJ16" i="44"/>
  <c r="AK16" i="44" s="1"/>
  <c r="AA40" i="44"/>
  <c r="AA46" i="44" s="1"/>
  <c r="AW13" i="44"/>
  <c r="AK13" i="44"/>
  <c r="AW37" i="44"/>
  <c r="AC37" i="44"/>
  <c r="AO37" i="44"/>
  <c r="AE16" i="44"/>
  <c r="AS28" i="44"/>
  <c r="AG37" i="44"/>
  <c r="AS13" i="44"/>
  <c r="AS37" i="44"/>
  <c r="AK9" i="44"/>
  <c r="AJ40" i="44"/>
  <c r="AQ40" i="44"/>
  <c r="AQ16" i="44"/>
  <c r="AM40" i="44"/>
  <c r="AM46" i="44" s="1"/>
  <c r="AW9" i="44"/>
  <c r="AC28" i="44"/>
  <c r="AR16" i="44"/>
  <c r="AR53" i="44" s="1"/>
  <c r="AC9" i="44"/>
  <c r="AK28" i="44"/>
  <c r="AG9" i="44"/>
  <c r="AF40" i="44"/>
  <c r="AN40" i="44"/>
  <c r="AV40" i="44"/>
  <c r="AF16" i="44"/>
  <c r="AN16" i="44"/>
  <c r="AV16" i="44"/>
  <c r="AB16" i="44"/>
  <c r="AC46" i="44" l="1"/>
  <c r="AB53" i="44"/>
  <c r="AE53" i="44"/>
  <c r="AM53" i="44"/>
  <c r="AU53" i="44"/>
  <c r="AO16" i="44"/>
  <c r="AW16" i="44"/>
  <c r="AA53" i="44"/>
  <c r="AC53" i="44" s="1"/>
  <c r="AC40" i="44"/>
  <c r="AS16" i="44"/>
  <c r="AF46" i="44"/>
  <c r="AG46" i="44" s="1"/>
  <c r="AG40" i="44"/>
  <c r="AC16" i="44"/>
  <c r="AN46" i="44"/>
  <c r="AO46" i="44" s="1"/>
  <c r="AO40" i="44"/>
  <c r="AQ46" i="44"/>
  <c r="AS46" i="44" s="1"/>
  <c r="AS40" i="44"/>
  <c r="AV46" i="44"/>
  <c r="AW46" i="44" s="1"/>
  <c r="AW40" i="44"/>
  <c r="AJ46" i="44"/>
  <c r="AK40" i="44"/>
  <c r="AG16" i="44"/>
  <c r="AV53" i="44" l="1"/>
  <c r="AW53" i="44" s="1"/>
  <c r="AQ53" i="44"/>
  <c r="AS53" i="44" s="1"/>
  <c r="AN53" i="44"/>
  <c r="AO53" i="44" s="1"/>
  <c r="AK46" i="44"/>
  <c r="AJ53" i="44"/>
  <c r="AK53" i="44" s="1"/>
  <c r="AF53" i="44"/>
  <c r="AG53" i="44" s="1"/>
  <c r="A8" i="42" l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F4" i="42"/>
  <c r="C14" i="9"/>
  <c r="F13" i="9"/>
  <c r="D59" i="6" l="1"/>
  <c r="D14" i="9"/>
  <c r="F14" i="9"/>
  <c r="G59" i="6"/>
  <c r="C13" i="9"/>
  <c r="F37" i="6"/>
  <c r="W36" i="42" s="1"/>
  <c r="F41" i="6"/>
  <c r="W40" i="42" s="1"/>
  <c r="F45" i="6"/>
  <c r="H45" i="6" s="1"/>
  <c r="G4" i="42"/>
  <c r="F77" i="42"/>
  <c r="F84" i="42"/>
  <c r="F72" i="42"/>
  <c r="F79" i="42"/>
  <c r="F86" i="42"/>
  <c r="F74" i="42"/>
  <c r="F83" i="42"/>
  <c r="F71" i="42"/>
  <c r="F78" i="42"/>
  <c r="F80" i="42"/>
  <c r="F73" i="42"/>
  <c r="F85" i="42"/>
  <c r="F23" i="6"/>
  <c r="F34" i="6"/>
  <c r="F36" i="6"/>
  <c r="F38" i="6"/>
  <c r="F40" i="6"/>
  <c r="F42" i="6"/>
  <c r="F44" i="6"/>
  <c r="F47" i="6"/>
  <c r="F48" i="6"/>
  <c r="F35" i="6"/>
  <c r="F39" i="6"/>
  <c r="F43" i="6"/>
  <c r="F46" i="6"/>
  <c r="F9" i="6"/>
  <c r="E44" i="42" l="1"/>
  <c r="S36" i="42"/>
  <c r="O40" i="42"/>
  <c r="S40" i="42"/>
  <c r="H41" i="6"/>
  <c r="U40" i="42"/>
  <c r="H37" i="6"/>
  <c r="H36" i="42"/>
  <c r="T36" i="42"/>
  <c r="R36" i="42"/>
  <c r="P36" i="42"/>
  <c r="F36" i="42"/>
  <c r="M36" i="42"/>
  <c r="U36" i="42"/>
  <c r="O36" i="42"/>
  <c r="E40" i="42"/>
  <c r="K40" i="42"/>
  <c r="G40" i="42"/>
  <c r="H40" i="42"/>
  <c r="T40" i="42"/>
  <c r="F44" i="42"/>
  <c r="P40" i="42"/>
  <c r="Q36" i="42"/>
  <c r="K36" i="42"/>
  <c r="F40" i="42"/>
  <c r="Q40" i="42"/>
  <c r="G36" i="42"/>
  <c r="L36" i="42"/>
  <c r="J40" i="42"/>
  <c r="N40" i="42"/>
  <c r="R40" i="42"/>
  <c r="V40" i="42"/>
  <c r="F46" i="42"/>
  <c r="N36" i="42"/>
  <c r="I36" i="42"/>
  <c r="V36" i="42"/>
  <c r="L40" i="42"/>
  <c r="I40" i="42"/>
  <c r="E36" i="42"/>
  <c r="J36" i="42"/>
  <c r="M40" i="42"/>
  <c r="H47" i="6"/>
  <c r="E46" i="42"/>
  <c r="H46" i="6"/>
  <c r="Q45" i="42"/>
  <c r="W45" i="42"/>
  <c r="V45" i="42"/>
  <c r="U45" i="42"/>
  <c r="T45" i="42"/>
  <c r="J45" i="42"/>
  <c r="I45" i="42"/>
  <c r="P45" i="42"/>
  <c r="H45" i="42"/>
  <c r="O45" i="42"/>
  <c r="G45" i="42"/>
  <c r="N45" i="42"/>
  <c r="F45" i="42"/>
  <c r="M45" i="42"/>
  <c r="S45" i="42"/>
  <c r="L45" i="42"/>
  <c r="K45" i="42"/>
  <c r="E45" i="42"/>
  <c r="R45" i="42"/>
  <c r="H44" i="6"/>
  <c r="W43" i="42"/>
  <c r="V43" i="42"/>
  <c r="U43" i="42"/>
  <c r="T43" i="42"/>
  <c r="S43" i="42"/>
  <c r="R43" i="42"/>
  <c r="P43" i="42"/>
  <c r="H43" i="42"/>
  <c r="O43" i="42"/>
  <c r="G43" i="42"/>
  <c r="Q43" i="42"/>
  <c r="N43" i="42"/>
  <c r="F43" i="42"/>
  <c r="M43" i="42"/>
  <c r="L43" i="42"/>
  <c r="K43" i="42"/>
  <c r="J43" i="42"/>
  <c r="I43" i="42"/>
  <c r="E43" i="42"/>
  <c r="H34" i="6"/>
  <c r="V33" i="42"/>
  <c r="U33" i="42"/>
  <c r="T33" i="42"/>
  <c r="S33" i="42"/>
  <c r="R33" i="42"/>
  <c r="Q33" i="42"/>
  <c r="K33" i="42"/>
  <c r="W33" i="42"/>
  <c r="J33" i="42"/>
  <c r="I33" i="42"/>
  <c r="P33" i="42"/>
  <c r="H33" i="42"/>
  <c r="O33" i="42"/>
  <c r="G33" i="42"/>
  <c r="N33" i="42"/>
  <c r="F33" i="42"/>
  <c r="M33" i="42"/>
  <c r="E33" i="42"/>
  <c r="L33" i="42"/>
  <c r="H43" i="6"/>
  <c r="V42" i="42"/>
  <c r="U42" i="42"/>
  <c r="T42" i="42"/>
  <c r="S42" i="42"/>
  <c r="R42" i="42"/>
  <c r="Q42" i="42"/>
  <c r="K42" i="42"/>
  <c r="J42" i="42"/>
  <c r="I42" i="42"/>
  <c r="W42" i="42"/>
  <c r="P42" i="42"/>
  <c r="H42" i="42"/>
  <c r="O42" i="42"/>
  <c r="G42" i="42"/>
  <c r="N42" i="42"/>
  <c r="F42" i="42"/>
  <c r="M42" i="42"/>
  <c r="L42" i="42"/>
  <c r="E42" i="42"/>
  <c r="H42" i="6"/>
  <c r="U41" i="42"/>
  <c r="T41" i="42"/>
  <c r="S41" i="42"/>
  <c r="R41" i="42"/>
  <c r="Q41" i="42"/>
  <c r="N41" i="42"/>
  <c r="F41" i="42"/>
  <c r="M41" i="42"/>
  <c r="L41" i="42"/>
  <c r="K41" i="42"/>
  <c r="W41" i="42"/>
  <c r="J41" i="42"/>
  <c r="V41" i="42"/>
  <c r="I41" i="42"/>
  <c r="P41" i="42"/>
  <c r="H41" i="42"/>
  <c r="G41" i="42"/>
  <c r="O41" i="42"/>
  <c r="E41" i="42"/>
  <c r="W8" i="42"/>
  <c r="V8" i="42"/>
  <c r="U8" i="42"/>
  <c r="T8" i="42"/>
  <c r="S8" i="42"/>
  <c r="R8" i="42"/>
  <c r="K8" i="42"/>
  <c r="E8" i="42"/>
  <c r="M8" i="42"/>
  <c r="J8" i="42"/>
  <c r="I8" i="42"/>
  <c r="P8" i="42"/>
  <c r="H8" i="42"/>
  <c r="O8" i="42"/>
  <c r="G8" i="42"/>
  <c r="Q8" i="42"/>
  <c r="L8" i="42"/>
  <c r="N8" i="42"/>
  <c r="F8" i="42"/>
  <c r="H39" i="6"/>
  <c r="R38" i="42"/>
  <c r="Q38" i="42"/>
  <c r="W38" i="42"/>
  <c r="V38" i="42"/>
  <c r="U38" i="42"/>
  <c r="O38" i="42"/>
  <c r="G38" i="42"/>
  <c r="N38" i="42"/>
  <c r="F38" i="42"/>
  <c r="T38" i="42"/>
  <c r="M38" i="42"/>
  <c r="S38" i="42"/>
  <c r="L38" i="42"/>
  <c r="K38" i="42"/>
  <c r="J38" i="42"/>
  <c r="I38" i="42"/>
  <c r="E38" i="42"/>
  <c r="P38" i="42"/>
  <c r="H38" i="42"/>
  <c r="H40" i="6"/>
  <c r="S39" i="42"/>
  <c r="R39" i="42"/>
  <c r="Q39" i="42"/>
  <c r="W39" i="42"/>
  <c r="V39" i="42"/>
  <c r="U39" i="42"/>
  <c r="L39" i="42"/>
  <c r="T39" i="42"/>
  <c r="K39" i="42"/>
  <c r="J39" i="42"/>
  <c r="I39" i="42"/>
  <c r="P39" i="42"/>
  <c r="H39" i="42"/>
  <c r="O39" i="42"/>
  <c r="G39" i="42"/>
  <c r="N39" i="42"/>
  <c r="F39" i="42"/>
  <c r="M39" i="42"/>
  <c r="E39" i="42"/>
  <c r="H35" i="6"/>
  <c r="W34" i="42"/>
  <c r="V34" i="42"/>
  <c r="U34" i="42"/>
  <c r="T34" i="42"/>
  <c r="S34" i="42"/>
  <c r="R34" i="42"/>
  <c r="Q34" i="42"/>
  <c r="P34" i="42"/>
  <c r="H34" i="42"/>
  <c r="O34" i="42"/>
  <c r="G34" i="42"/>
  <c r="N34" i="42"/>
  <c r="F34" i="42"/>
  <c r="M34" i="42"/>
  <c r="L34" i="42"/>
  <c r="K34" i="42"/>
  <c r="J34" i="42"/>
  <c r="E34" i="42"/>
  <c r="I34" i="42"/>
  <c r="H38" i="6"/>
  <c r="Q37" i="42"/>
  <c r="W37" i="42"/>
  <c r="V37" i="42"/>
  <c r="U37" i="42"/>
  <c r="T37" i="42"/>
  <c r="J37" i="42"/>
  <c r="I37" i="42"/>
  <c r="P37" i="42"/>
  <c r="H37" i="42"/>
  <c r="O37" i="42"/>
  <c r="G37" i="42"/>
  <c r="S37" i="42"/>
  <c r="N37" i="42"/>
  <c r="F37" i="42"/>
  <c r="R37" i="42"/>
  <c r="M37" i="42"/>
  <c r="L37" i="42"/>
  <c r="E37" i="42"/>
  <c r="K37" i="42"/>
  <c r="H23" i="6"/>
  <c r="R22" i="42"/>
  <c r="Q22" i="42"/>
  <c r="W22" i="42"/>
  <c r="V22" i="42"/>
  <c r="U22" i="42"/>
  <c r="T22" i="42"/>
  <c r="M22" i="42"/>
  <c r="L22" i="42"/>
  <c r="K22" i="42"/>
  <c r="O22" i="42"/>
  <c r="E22" i="42"/>
  <c r="J22" i="42"/>
  <c r="G22" i="42"/>
  <c r="F22" i="42"/>
  <c r="I22" i="42"/>
  <c r="S22" i="42"/>
  <c r="P22" i="42"/>
  <c r="H22" i="42"/>
  <c r="N22" i="42"/>
  <c r="H48" i="6"/>
  <c r="U47" i="42"/>
  <c r="T47" i="42"/>
  <c r="S47" i="42"/>
  <c r="R47" i="42"/>
  <c r="Q47" i="42"/>
  <c r="N47" i="42"/>
  <c r="F47" i="42"/>
  <c r="M47" i="42"/>
  <c r="L47" i="42"/>
  <c r="K47" i="42"/>
  <c r="J47" i="42"/>
  <c r="I47" i="42"/>
  <c r="W47" i="42"/>
  <c r="P47" i="42"/>
  <c r="H47" i="42"/>
  <c r="O47" i="42"/>
  <c r="G47" i="42"/>
  <c r="V47" i="42"/>
  <c r="E47" i="42"/>
  <c r="H36" i="6"/>
  <c r="E35" i="42"/>
  <c r="F35" i="42"/>
  <c r="H4" i="42"/>
  <c r="G84" i="42"/>
  <c r="G72" i="42"/>
  <c r="G74" i="42"/>
  <c r="G79" i="42"/>
  <c r="G86" i="42"/>
  <c r="G83" i="42"/>
  <c r="G71" i="42"/>
  <c r="G78" i="42"/>
  <c r="G85" i="42"/>
  <c r="G80" i="42"/>
  <c r="G77" i="42"/>
  <c r="G73" i="42"/>
  <c r="G46" i="42" s="1"/>
  <c r="G44" i="42" l="1"/>
  <c r="G35" i="42"/>
  <c r="I4" i="42"/>
  <c r="H79" i="42"/>
  <c r="H86" i="42"/>
  <c r="H74" i="42"/>
  <c r="H83" i="42"/>
  <c r="H84" i="42"/>
  <c r="H71" i="42"/>
  <c r="H78" i="42"/>
  <c r="H80" i="42"/>
  <c r="H85" i="42"/>
  <c r="H73" i="42"/>
  <c r="H46" i="42" s="1"/>
  <c r="H77" i="42"/>
  <c r="H72" i="42"/>
  <c r="H35" i="42" l="1"/>
  <c r="H44" i="42"/>
  <c r="J4" i="42"/>
  <c r="I86" i="42"/>
  <c r="I74" i="42"/>
  <c r="I78" i="42"/>
  <c r="I79" i="42"/>
  <c r="I83" i="42"/>
  <c r="I71" i="42"/>
  <c r="I85" i="42"/>
  <c r="I73" i="42"/>
  <c r="I80" i="42"/>
  <c r="I77" i="42"/>
  <c r="I84" i="42"/>
  <c r="I72" i="42"/>
  <c r="I44" i="42" s="1"/>
  <c r="D21" i="31"/>
  <c r="D12" i="34"/>
  <c r="C19" i="31" s="1"/>
  <c r="I46" i="42" l="1"/>
  <c r="I35" i="42"/>
  <c r="K4" i="42"/>
  <c r="J83" i="42"/>
  <c r="J71" i="42"/>
  <c r="J35" i="42" s="1"/>
  <c r="J78" i="42"/>
  <c r="J74" i="42"/>
  <c r="J85" i="42"/>
  <c r="J73" i="42"/>
  <c r="J46" i="42" s="1"/>
  <c r="J80" i="42"/>
  <c r="J79" i="42"/>
  <c r="J77" i="42"/>
  <c r="J72" i="42"/>
  <c r="J84" i="42"/>
  <c r="J86" i="42"/>
  <c r="D14" i="32"/>
  <c r="J44" i="42" l="1"/>
  <c r="L4" i="42"/>
  <c r="K78" i="42"/>
  <c r="K80" i="42"/>
  <c r="K85" i="42"/>
  <c r="K73" i="42"/>
  <c r="K46" i="42" s="1"/>
  <c r="K77" i="42"/>
  <c r="K84" i="42"/>
  <c r="K72" i="42"/>
  <c r="K74" i="42"/>
  <c r="K79" i="42"/>
  <c r="K71" i="42"/>
  <c r="K86" i="42"/>
  <c r="K83" i="42"/>
  <c r="A8" i="32"/>
  <c r="A9" i="32" s="1"/>
  <c r="A10" i="32" s="1"/>
  <c r="A4" i="32"/>
  <c r="A2" i="32"/>
  <c r="A1" i="32"/>
  <c r="K35" i="42" l="1"/>
  <c r="K44" i="42"/>
  <c r="M4" i="42"/>
  <c r="L85" i="42"/>
  <c r="L73" i="42"/>
  <c r="L46" i="42" s="1"/>
  <c r="L80" i="42"/>
  <c r="L77" i="42"/>
  <c r="L84" i="42"/>
  <c r="L72" i="42"/>
  <c r="L44" i="42" s="1"/>
  <c r="L79" i="42"/>
  <c r="L74" i="42"/>
  <c r="L78" i="42"/>
  <c r="L83" i="42"/>
  <c r="L71" i="42"/>
  <c r="L35" i="42" s="1"/>
  <c r="L86" i="42"/>
  <c r="A1" i="34"/>
  <c r="A2" i="34"/>
  <c r="A4" i="34"/>
  <c r="N4" i="42" l="1"/>
  <c r="M80" i="42"/>
  <c r="M84" i="42"/>
  <c r="M85" i="42"/>
  <c r="M73" i="42"/>
  <c r="M77" i="42"/>
  <c r="M72" i="42"/>
  <c r="M44" i="42" s="1"/>
  <c r="M79" i="42"/>
  <c r="M74" i="42"/>
  <c r="M71" i="42"/>
  <c r="M86" i="42"/>
  <c r="M83" i="42"/>
  <c r="M78" i="42"/>
  <c r="C27" i="31"/>
  <c r="E25" i="31"/>
  <c r="E14" i="31"/>
  <c r="A8" i="31"/>
  <c r="A9" i="31" s="1"/>
  <c r="A10" i="31" s="1"/>
  <c r="A11" i="31" s="1"/>
  <c r="A12" i="31" s="1"/>
  <c r="A13" i="31" s="1"/>
  <c r="A4" i="31"/>
  <c r="A2" i="31"/>
  <c r="A1" i="31"/>
  <c r="M46" i="42" l="1"/>
  <c r="M35" i="42"/>
  <c r="O4" i="42"/>
  <c r="N77" i="42"/>
  <c r="N84" i="42"/>
  <c r="N72" i="42"/>
  <c r="N79" i="42"/>
  <c r="N86" i="42"/>
  <c r="N74" i="42"/>
  <c r="N83" i="42"/>
  <c r="N71" i="42"/>
  <c r="N85" i="42"/>
  <c r="N73" i="42"/>
  <c r="N78" i="42"/>
  <c r="N80" i="42"/>
  <c r="E19" i="31"/>
  <c r="E21" i="31" s="1"/>
  <c r="C21" i="31"/>
  <c r="N44" i="42" l="1"/>
  <c r="N46" i="42"/>
  <c r="N35" i="42"/>
  <c r="P4" i="42"/>
  <c r="O84" i="42"/>
  <c r="O72" i="42"/>
  <c r="O79" i="42"/>
  <c r="O74" i="42"/>
  <c r="O86" i="42"/>
  <c r="O83" i="42"/>
  <c r="O71" i="42"/>
  <c r="O35" i="42" s="1"/>
  <c r="O78" i="42"/>
  <c r="O73" i="42"/>
  <c r="O85" i="42"/>
  <c r="O80" i="42"/>
  <c r="O77" i="42"/>
  <c r="O44" i="42" l="1"/>
  <c r="O46" i="42"/>
  <c r="Q4" i="42"/>
  <c r="P79" i="42"/>
  <c r="P71" i="42"/>
  <c r="P86" i="42"/>
  <c r="P74" i="42"/>
  <c r="P83" i="42"/>
  <c r="P35" i="42" s="1"/>
  <c r="P78" i="42"/>
  <c r="P85" i="42"/>
  <c r="P73" i="42"/>
  <c r="P77" i="42"/>
  <c r="P84" i="42"/>
  <c r="P80" i="42"/>
  <c r="P72" i="42"/>
  <c r="P44" i="42" s="1"/>
  <c r="C16" i="23"/>
  <c r="P46" i="42" l="1"/>
  <c r="Q86" i="42"/>
  <c r="Q78" i="42"/>
  <c r="Q84" i="42"/>
  <c r="R4" i="42"/>
  <c r="Q80" i="42"/>
  <c r="Q73" i="42"/>
  <c r="Q71" i="42"/>
  <c r="Q35" i="42" s="1"/>
  <c r="Q79" i="42"/>
  <c r="Q77" i="42"/>
  <c r="Q85" i="42"/>
  <c r="Q83" i="42"/>
  <c r="Q74" i="42"/>
  <c r="Q72" i="42"/>
  <c r="Q44" i="42" s="1"/>
  <c r="A9" i="24"/>
  <c r="A10" i="24" s="1"/>
  <c r="A11" i="24" s="1"/>
  <c r="A12" i="24" s="1"/>
  <c r="A13" i="24" s="1"/>
  <c r="A14" i="24" s="1"/>
  <c r="A15" i="24" s="1"/>
  <c r="A16" i="24" s="1"/>
  <c r="A8" i="24"/>
  <c r="A9" i="23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8" i="23"/>
  <c r="A9" i="27"/>
  <c r="A10" i="27" s="1"/>
  <c r="A11" i="27" s="1"/>
  <c r="A12" i="27" s="1"/>
  <c r="A13" i="27" s="1"/>
  <c r="A8" i="27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8" i="20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8" i="9"/>
  <c r="Q46" i="42" l="1"/>
  <c r="R73" i="42"/>
  <c r="R79" i="42"/>
  <c r="S4" i="42"/>
  <c r="R84" i="42"/>
  <c r="R86" i="42"/>
  <c r="R78" i="42"/>
  <c r="R80" i="42"/>
  <c r="R72" i="42"/>
  <c r="R77" i="42"/>
  <c r="R74" i="42"/>
  <c r="R83" i="42"/>
  <c r="R85" i="42"/>
  <c r="R71" i="42"/>
  <c r="R35" i="42" s="1"/>
  <c r="A9" i="16"/>
  <c r="A8" i="19"/>
  <c r="S72" i="42" l="1"/>
  <c r="S83" i="42"/>
  <c r="S85" i="42"/>
  <c r="S77" i="42"/>
  <c r="S79" i="42"/>
  <c r="S71" i="42"/>
  <c r="S35" i="42" s="1"/>
  <c r="S73" i="42"/>
  <c r="S46" i="42" s="1"/>
  <c r="S86" i="42"/>
  <c r="T4" i="42"/>
  <c r="S80" i="42"/>
  <c r="S84" i="42"/>
  <c r="S74" i="42"/>
  <c r="S78" i="42"/>
  <c r="R46" i="42"/>
  <c r="R44" i="42"/>
  <c r="S44" i="42" l="1"/>
  <c r="T85" i="42"/>
  <c r="T77" i="42"/>
  <c r="T79" i="42"/>
  <c r="T71" i="42"/>
  <c r="T35" i="42" s="1"/>
  <c r="T73" i="42"/>
  <c r="T46" i="42" s="1"/>
  <c r="T86" i="42"/>
  <c r="U4" i="42"/>
  <c r="T83" i="42"/>
  <c r="T80" i="42"/>
  <c r="T84" i="42"/>
  <c r="T74" i="42"/>
  <c r="T78" i="42"/>
  <c r="T72" i="42"/>
  <c r="T44" i="42" s="1"/>
  <c r="A4" i="24"/>
  <c r="A2" i="24"/>
  <c r="A4" i="23"/>
  <c r="A2" i="23"/>
  <c r="A1" i="23"/>
  <c r="A1" i="24"/>
  <c r="A4" i="9"/>
  <c r="A2" i="9"/>
  <c r="A4" i="6"/>
  <c r="A2" i="6"/>
  <c r="A4" i="16"/>
  <c r="A2" i="16"/>
  <c r="A4" i="19"/>
  <c r="A2" i="19"/>
  <c r="A4" i="20"/>
  <c r="A2" i="20"/>
  <c r="A4" i="12"/>
  <c r="A2" i="12"/>
  <c r="A4" i="27"/>
  <c r="A2" i="27"/>
  <c r="A1" i="9"/>
  <c r="A1" i="6"/>
  <c r="A1" i="16"/>
  <c r="A1" i="19"/>
  <c r="A1" i="20"/>
  <c r="A1" i="12"/>
  <c r="A1" i="27"/>
  <c r="A4" i="1"/>
  <c r="A2" i="1"/>
  <c r="A1" i="1"/>
  <c r="D10" i="27"/>
  <c r="V4" i="42" l="1"/>
  <c r="U80" i="42"/>
  <c r="U84" i="42"/>
  <c r="U74" i="42"/>
  <c r="U78" i="42"/>
  <c r="U85" i="42"/>
  <c r="U73" i="42"/>
  <c r="U46" i="42" s="1"/>
  <c r="U86" i="42"/>
  <c r="U72" i="42"/>
  <c r="U79" i="42"/>
  <c r="U83" i="42"/>
  <c r="U77" i="42"/>
  <c r="U71" i="42"/>
  <c r="U35" i="42" s="1"/>
  <c r="U44" i="42" l="1"/>
  <c r="V86" i="42"/>
  <c r="V84" i="42"/>
  <c r="V80" i="42"/>
  <c r="V78" i="42"/>
  <c r="V74" i="42"/>
  <c r="V72" i="42"/>
  <c r="V44" i="42" s="1"/>
  <c r="V85" i="42"/>
  <c r="V83" i="42"/>
  <c r="V79" i="42"/>
  <c r="V77" i="42"/>
  <c r="V73" i="42"/>
  <c r="V71" i="42"/>
  <c r="W4" i="42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V35" i="42" l="1"/>
  <c r="V46" i="42"/>
  <c r="W83" i="42"/>
  <c r="W73" i="42"/>
  <c r="W79" i="42"/>
  <c r="W77" i="42"/>
  <c r="W84" i="42"/>
  <c r="W71" i="42"/>
  <c r="W35" i="42" s="1"/>
  <c r="W78" i="42"/>
  <c r="W86" i="42"/>
  <c r="W72" i="42"/>
  <c r="W80" i="42"/>
  <c r="W85" i="42"/>
  <c r="W74" i="42"/>
  <c r="C24" i="1"/>
  <c r="D10" i="24"/>
  <c r="D13" i="24" s="1"/>
  <c r="D9" i="24"/>
  <c r="E9" i="24" s="1"/>
  <c r="D9" i="23"/>
  <c r="D10" i="23" s="1"/>
  <c r="W46" i="42" l="1"/>
  <c r="W44" i="4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13" i="23" l="1"/>
  <c r="D13" i="23" s="1"/>
  <c r="D14" i="23" s="1"/>
  <c r="D16" i="23" l="1"/>
  <c r="D18" i="23" l="1"/>
  <c r="D20" i="23" l="1"/>
  <c r="C25" i="1" s="1"/>
  <c r="E9" i="23"/>
  <c r="E13" i="23"/>
  <c r="E16" i="23"/>
  <c r="E18" i="23" l="1"/>
  <c r="W48" i="42" l="1"/>
  <c r="V48" i="42"/>
  <c r="U48" i="42"/>
  <c r="S48" i="42"/>
  <c r="T48" i="42"/>
  <c r="R48" i="42"/>
  <c r="J48" i="42"/>
  <c r="Q48" i="42"/>
  <c r="P48" i="42"/>
  <c r="G48" i="42"/>
  <c r="O48" i="42"/>
  <c r="F48" i="42"/>
  <c r="I48" i="42"/>
  <c r="H48" i="42"/>
  <c r="N48" i="42"/>
  <c r="E48" i="42"/>
  <c r="M48" i="42"/>
  <c r="L48" i="42"/>
  <c r="K48" i="42"/>
  <c r="D49" i="6" l="1"/>
  <c r="D12" i="6"/>
  <c r="C8" i="9" l="1"/>
  <c r="C12" i="9"/>
  <c r="F11" i="6" l="1"/>
  <c r="F10" i="6"/>
  <c r="E49" i="6"/>
  <c r="E12" i="6"/>
  <c r="D8" i="9" s="1"/>
  <c r="F8" i="6"/>
  <c r="W7" i="42" l="1"/>
  <c r="V7" i="42"/>
  <c r="U7" i="42"/>
  <c r="T7" i="42"/>
  <c r="S7" i="42"/>
  <c r="R7" i="42"/>
  <c r="Q7" i="42"/>
  <c r="N7" i="42"/>
  <c r="F7" i="42"/>
  <c r="M7" i="42"/>
  <c r="E7" i="42"/>
  <c r="G7" i="42"/>
  <c r="L7" i="42"/>
  <c r="K7" i="42"/>
  <c r="O7" i="42"/>
  <c r="J7" i="42"/>
  <c r="H7" i="42"/>
  <c r="I7" i="42"/>
  <c r="P7" i="42"/>
  <c r="R10" i="42"/>
  <c r="Q10" i="42"/>
  <c r="W10" i="42"/>
  <c r="V10" i="42"/>
  <c r="U10" i="42"/>
  <c r="T10" i="42"/>
  <c r="M10" i="42"/>
  <c r="O10" i="42"/>
  <c r="L10" i="42"/>
  <c r="K10" i="42"/>
  <c r="G10" i="42"/>
  <c r="J10" i="42"/>
  <c r="E10" i="42"/>
  <c r="N10" i="42"/>
  <c r="S10" i="42"/>
  <c r="I10" i="42"/>
  <c r="P10" i="42"/>
  <c r="H10" i="42"/>
  <c r="F10" i="42"/>
  <c r="Q9" i="42"/>
  <c r="W9" i="42"/>
  <c r="V9" i="42"/>
  <c r="U9" i="42"/>
  <c r="T9" i="42"/>
  <c r="S9" i="42"/>
  <c r="P9" i="42"/>
  <c r="H9" i="42"/>
  <c r="O9" i="42"/>
  <c r="G9" i="42"/>
  <c r="N9" i="42"/>
  <c r="F9" i="42"/>
  <c r="I9" i="42"/>
  <c r="E9" i="42"/>
  <c r="M9" i="42"/>
  <c r="J9" i="42"/>
  <c r="L9" i="42"/>
  <c r="R9" i="42"/>
  <c r="K9" i="42"/>
  <c r="F49" i="6"/>
  <c r="D12" i="9"/>
  <c r="H10" i="6"/>
  <c r="G49" i="6"/>
  <c r="F12" i="6"/>
  <c r="E8" i="9" s="1"/>
  <c r="H11" i="6"/>
  <c r="L11" i="42" l="1"/>
  <c r="W11" i="42"/>
  <c r="P11" i="42"/>
  <c r="E11" i="42"/>
  <c r="T11" i="42"/>
  <c r="I11" i="42"/>
  <c r="M11" i="42"/>
  <c r="S11" i="42"/>
  <c r="H11" i="42"/>
  <c r="F11" i="42"/>
  <c r="U11" i="42"/>
  <c r="J11" i="42"/>
  <c r="N11" i="42"/>
  <c r="G11" i="42"/>
  <c r="O11" i="42"/>
  <c r="Q11" i="42"/>
  <c r="V11" i="42"/>
  <c r="K11" i="42"/>
  <c r="R11" i="42"/>
  <c r="H49" i="6"/>
  <c r="C8" i="27" s="1"/>
  <c r="E12" i="9"/>
  <c r="C29" i="1"/>
  <c r="F12" i="9"/>
  <c r="G12" i="9" l="1"/>
  <c r="C10" i="27"/>
  <c r="E8" i="27"/>
  <c r="E10" i="27" s="1"/>
  <c r="D24" i="31" s="1"/>
  <c r="E24" i="31" l="1"/>
  <c r="D27" i="31"/>
  <c r="E27" i="31" l="1"/>
  <c r="E31" i="6"/>
  <c r="D11" i="9" s="1"/>
  <c r="F22" i="6" l="1"/>
  <c r="E21" i="42" s="1"/>
  <c r="Q21" i="42" l="1"/>
  <c r="W21" i="42"/>
  <c r="V21" i="42"/>
  <c r="U21" i="42"/>
  <c r="T21" i="42"/>
  <c r="S21" i="42"/>
  <c r="P21" i="42"/>
  <c r="H21" i="42"/>
  <c r="O21" i="42"/>
  <c r="G21" i="42"/>
  <c r="R21" i="42"/>
  <c r="N21" i="42"/>
  <c r="F21" i="42"/>
  <c r="M21" i="42"/>
  <c r="L21" i="42"/>
  <c r="J21" i="42"/>
  <c r="I21" i="42"/>
  <c r="K21" i="42"/>
  <c r="F28" i="6"/>
  <c r="F26" i="6"/>
  <c r="F19" i="6"/>
  <c r="F30" i="6"/>
  <c r="F24" i="6"/>
  <c r="F25" i="6"/>
  <c r="H22" i="6"/>
  <c r="F16" i="6"/>
  <c r="F27" i="6"/>
  <c r="F17" i="6"/>
  <c r="F20" i="6"/>
  <c r="F29" i="6"/>
  <c r="F18" i="6"/>
  <c r="F21" i="6"/>
  <c r="H17" i="6" l="1"/>
  <c r="T16" i="42"/>
  <c r="S16" i="42"/>
  <c r="R16" i="42"/>
  <c r="Q16" i="42"/>
  <c r="W16" i="42"/>
  <c r="V16" i="42"/>
  <c r="O16" i="42"/>
  <c r="G16" i="42"/>
  <c r="N16" i="42"/>
  <c r="F16" i="42"/>
  <c r="H16" i="42"/>
  <c r="U16" i="42"/>
  <c r="M16" i="42"/>
  <c r="E16" i="42"/>
  <c r="L16" i="42"/>
  <c r="K16" i="42"/>
  <c r="I16" i="42"/>
  <c r="P16" i="42"/>
  <c r="J16" i="42"/>
  <c r="H27" i="6"/>
  <c r="W26" i="42"/>
  <c r="V26" i="42"/>
  <c r="T26" i="42"/>
  <c r="U26" i="42"/>
  <c r="S26" i="42"/>
  <c r="R26" i="42"/>
  <c r="N26" i="42"/>
  <c r="F26" i="42"/>
  <c r="H26" i="42"/>
  <c r="O26" i="42"/>
  <c r="Q26" i="42"/>
  <c r="M26" i="42"/>
  <c r="E26" i="42"/>
  <c r="L26" i="42"/>
  <c r="P26" i="42"/>
  <c r="K26" i="42"/>
  <c r="J26" i="42"/>
  <c r="I26" i="42"/>
  <c r="G26" i="42"/>
  <c r="H28" i="6"/>
  <c r="S27" i="42"/>
  <c r="R27" i="42"/>
  <c r="Q27" i="42"/>
  <c r="V27" i="42"/>
  <c r="T27" i="42"/>
  <c r="W27" i="42"/>
  <c r="U27" i="42"/>
  <c r="P27" i="42"/>
  <c r="H27" i="42"/>
  <c r="O27" i="42"/>
  <c r="G27" i="42"/>
  <c r="J27" i="42"/>
  <c r="I27" i="42"/>
  <c r="N27" i="42"/>
  <c r="F27" i="42"/>
  <c r="M27" i="42"/>
  <c r="L27" i="42"/>
  <c r="E27" i="42"/>
  <c r="K27" i="42"/>
  <c r="H18" i="6"/>
  <c r="U17" i="42"/>
  <c r="T17" i="42"/>
  <c r="S17" i="42"/>
  <c r="R17" i="42"/>
  <c r="Q17" i="42"/>
  <c r="W17" i="42"/>
  <c r="L17" i="42"/>
  <c r="V17" i="42"/>
  <c r="K17" i="42"/>
  <c r="J17" i="42"/>
  <c r="I17" i="42"/>
  <c r="E17" i="42"/>
  <c r="N17" i="42"/>
  <c r="P17" i="42"/>
  <c r="H17" i="42"/>
  <c r="O17" i="42"/>
  <c r="G17" i="42"/>
  <c r="F17" i="42"/>
  <c r="M17" i="42"/>
  <c r="H26" i="6"/>
  <c r="W25" i="42"/>
  <c r="V25" i="42"/>
  <c r="U25" i="42"/>
  <c r="T25" i="42"/>
  <c r="S25" i="42"/>
  <c r="R25" i="42"/>
  <c r="Q25" i="42"/>
  <c r="I25" i="42"/>
  <c r="P25" i="42"/>
  <c r="H25" i="42"/>
  <c r="O25" i="42"/>
  <c r="G25" i="42"/>
  <c r="E25" i="42"/>
  <c r="N25" i="42"/>
  <c r="F25" i="42"/>
  <c r="K25" i="42"/>
  <c r="J25" i="42"/>
  <c r="M25" i="42"/>
  <c r="L25" i="42"/>
  <c r="W19" i="42"/>
  <c r="V19" i="42"/>
  <c r="U19" i="42"/>
  <c r="T19" i="42"/>
  <c r="S19" i="42"/>
  <c r="R19" i="42"/>
  <c r="Q19" i="42"/>
  <c r="N19" i="42"/>
  <c r="F19" i="42"/>
  <c r="H19" i="42"/>
  <c r="O19" i="42"/>
  <c r="M19" i="42"/>
  <c r="E19" i="42"/>
  <c r="P19" i="42"/>
  <c r="L19" i="42"/>
  <c r="G19" i="42"/>
  <c r="K19" i="42"/>
  <c r="J19" i="42"/>
  <c r="I19" i="42"/>
  <c r="H29" i="6"/>
  <c r="T28" i="42"/>
  <c r="S28" i="42"/>
  <c r="R28" i="42"/>
  <c r="Q28" i="42"/>
  <c r="W28" i="42"/>
  <c r="N28" i="42"/>
  <c r="F28" i="42"/>
  <c r="V28" i="42"/>
  <c r="U28" i="42"/>
  <c r="O28" i="42"/>
  <c r="M28" i="42"/>
  <c r="L28" i="42"/>
  <c r="K28" i="42"/>
  <c r="H28" i="42"/>
  <c r="E28" i="42"/>
  <c r="P28" i="42"/>
  <c r="J28" i="42"/>
  <c r="G28" i="42"/>
  <c r="I28" i="42"/>
  <c r="S15" i="42"/>
  <c r="R15" i="42"/>
  <c r="Q15" i="42"/>
  <c r="W15" i="42"/>
  <c r="V15" i="42"/>
  <c r="U15" i="42"/>
  <c r="J15" i="42"/>
  <c r="K15" i="42"/>
  <c r="I15" i="42"/>
  <c r="L15" i="42"/>
  <c r="P15" i="42"/>
  <c r="H15" i="42"/>
  <c r="T15" i="42"/>
  <c r="O15" i="42"/>
  <c r="G15" i="42"/>
  <c r="N15" i="42"/>
  <c r="F15" i="42"/>
  <c r="M15" i="42"/>
  <c r="E15" i="42"/>
  <c r="W20" i="42"/>
  <c r="V20" i="42"/>
  <c r="U20" i="42"/>
  <c r="T20" i="42"/>
  <c r="S20" i="42"/>
  <c r="R20" i="42"/>
  <c r="K20" i="42"/>
  <c r="E20" i="42"/>
  <c r="J20" i="42"/>
  <c r="L20" i="42"/>
  <c r="I20" i="42"/>
  <c r="Q20" i="42"/>
  <c r="P20" i="42"/>
  <c r="H20" i="42"/>
  <c r="O20" i="42"/>
  <c r="G20" i="42"/>
  <c r="N20" i="42"/>
  <c r="F20" i="42"/>
  <c r="M20" i="42"/>
  <c r="H24" i="6"/>
  <c r="T23" i="42"/>
  <c r="S23" i="42"/>
  <c r="R23" i="42"/>
  <c r="Q23" i="42"/>
  <c r="W23" i="42"/>
  <c r="V23" i="42"/>
  <c r="O23" i="42"/>
  <c r="G23" i="42"/>
  <c r="H23" i="42"/>
  <c r="N23" i="42"/>
  <c r="F23" i="42"/>
  <c r="I23" i="42"/>
  <c r="P23" i="42"/>
  <c r="M23" i="42"/>
  <c r="U23" i="42"/>
  <c r="L23" i="42"/>
  <c r="K23" i="42"/>
  <c r="E23" i="42"/>
  <c r="J23" i="42"/>
  <c r="H30" i="6"/>
  <c r="V29" i="42"/>
  <c r="U29" i="42"/>
  <c r="T29" i="42"/>
  <c r="S29" i="42"/>
  <c r="Q29" i="42"/>
  <c r="R29" i="42"/>
  <c r="P29" i="42"/>
  <c r="H29" i="42"/>
  <c r="K29" i="42"/>
  <c r="L29" i="42"/>
  <c r="J29" i="42"/>
  <c r="I29" i="42"/>
  <c r="M29" i="42"/>
  <c r="G29" i="42"/>
  <c r="E29" i="42"/>
  <c r="W29" i="42"/>
  <c r="O29" i="42"/>
  <c r="F29" i="42"/>
  <c r="N29" i="42"/>
  <c r="H25" i="6"/>
  <c r="U24" i="42"/>
  <c r="T24" i="42"/>
  <c r="S24" i="42"/>
  <c r="R24" i="42"/>
  <c r="Q24" i="42"/>
  <c r="W24" i="42"/>
  <c r="L24" i="42"/>
  <c r="K24" i="42"/>
  <c r="V24" i="42"/>
  <c r="J24" i="42"/>
  <c r="I24" i="42"/>
  <c r="E24" i="42"/>
  <c r="P24" i="42"/>
  <c r="H24" i="42"/>
  <c r="N24" i="42"/>
  <c r="M24" i="42"/>
  <c r="O24" i="42"/>
  <c r="G24" i="42"/>
  <c r="F24" i="42"/>
  <c r="H19" i="6"/>
  <c r="V18" i="42"/>
  <c r="U18" i="42"/>
  <c r="T18" i="42"/>
  <c r="S18" i="42"/>
  <c r="R18" i="42"/>
  <c r="Q18" i="42"/>
  <c r="W18" i="42"/>
  <c r="I18" i="42"/>
  <c r="P18" i="42"/>
  <c r="H18" i="42"/>
  <c r="E18" i="42"/>
  <c r="O18" i="42"/>
  <c r="G18" i="42"/>
  <c r="K18" i="42"/>
  <c r="N18" i="42"/>
  <c r="F18" i="42"/>
  <c r="J18" i="42"/>
  <c r="M18" i="42"/>
  <c r="L18" i="42"/>
  <c r="D53" i="6"/>
  <c r="C19" i="9" s="1"/>
  <c r="H16" i="6"/>
  <c r="F31" i="6"/>
  <c r="E11" i="9" s="1"/>
  <c r="D31" i="6"/>
  <c r="C11" i="9" s="1"/>
  <c r="F57" i="6"/>
  <c r="E14" i="9" s="1"/>
  <c r="J30" i="42" l="1"/>
  <c r="T30" i="42"/>
  <c r="V30" i="42"/>
  <c r="S30" i="42"/>
  <c r="U30" i="42"/>
  <c r="H30" i="42"/>
  <c r="W30" i="42"/>
  <c r="O30" i="42"/>
  <c r="E30" i="42"/>
  <c r="P30" i="42"/>
  <c r="R30" i="42"/>
  <c r="W56" i="42"/>
  <c r="V56" i="42"/>
  <c r="U56" i="42"/>
  <c r="T56" i="42"/>
  <c r="S56" i="42"/>
  <c r="R56" i="42"/>
  <c r="L56" i="42"/>
  <c r="K56" i="42"/>
  <c r="J56" i="42"/>
  <c r="I56" i="42"/>
  <c r="P56" i="42"/>
  <c r="H56" i="42"/>
  <c r="O56" i="42"/>
  <c r="G56" i="42"/>
  <c r="Q56" i="42"/>
  <c r="N56" i="42"/>
  <c r="F56" i="42"/>
  <c r="M56" i="42"/>
  <c r="E56" i="42"/>
  <c r="M30" i="42"/>
  <c r="L30" i="42"/>
  <c r="G30" i="42"/>
  <c r="F30" i="42"/>
  <c r="I30" i="42"/>
  <c r="Q30" i="42"/>
  <c r="N30" i="42"/>
  <c r="K30" i="42"/>
  <c r="C15" i="9"/>
  <c r="C17" i="9" s="1"/>
  <c r="C21" i="9" s="1"/>
  <c r="C26" i="9" s="1"/>
  <c r="H57" i="6"/>
  <c r="G14" i="9" s="1"/>
  <c r="D61" i="6"/>
  <c r="D63" i="6" s="1"/>
  <c r="G53" i="6" l="1"/>
  <c r="F19" i="9" s="1"/>
  <c r="C18" i="1" l="1"/>
  <c r="C14" i="1" l="1"/>
  <c r="H9" i="6" l="1"/>
  <c r="H20" i="6" l="1"/>
  <c r="E25" i="19" l="1"/>
  <c r="E12" i="19"/>
  <c r="E16" i="19"/>
  <c r="E10" i="16"/>
  <c r="E26" i="16"/>
  <c r="E10" i="19"/>
  <c r="F20" i="19"/>
  <c r="E15" i="19"/>
  <c r="E19" i="16"/>
  <c r="E17" i="16"/>
  <c r="E18" i="19"/>
  <c r="E28" i="19"/>
  <c r="E23" i="19"/>
  <c r="E23" i="16"/>
  <c r="F23" i="16" s="1"/>
  <c r="E27" i="16"/>
  <c r="F27" i="16"/>
  <c r="E26" i="19"/>
  <c r="F26" i="19" s="1"/>
  <c r="E18" i="16"/>
  <c r="F18" i="16" s="1"/>
  <c r="E24" i="16"/>
  <c r="E15" i="16"/>
  <c r="E24" i="19"/>
  <c r="E21" i="19"/>
  <c r="E16" i="16"/>
  <c r="F16" i="16" s="1"/>
  <c r="E29" i="16"/>
  <c r="E28" i="16"/>
  <c r="E11" i="19"/>
  <c r="E29" i="19"/>
  <c r="E25" i="16"/>
  <c r="E12" i="16"/>
  <c r="F12" i="16" s="1"/>
  <c r="E9" i="19"/>
  <c r="E19" i="19"/>
  <c r="E14" i="19"/>
  <c r="F14" i="19" s="1"/>
  <c r="E13" i="16"/>
  <c r="E20" i="16"/>
  <c r="E11" i="16"/>
  <c r="E17" i="19"/>
  <c r="E27" i="19"/>
  <c r="E22" i="19"/>
  <c r="E22" i="16"/>
  <c r="E30" i="16"/>
  <c r="E21" i="16"/>
  <c r="E8" i="12" l="1"/>
  <c r="F13" i="46"/>
  <c r="F23" i="46"/>
  <c r="F24" i="46"/>
  <c r="F9" i="46"/>
  <c r="F20" i="46"/>
  <c r="F15" i="46"/>
  <c r="F10" i="46"/>
  <c r="F17" i="46"/>
  <c r="F18" i="46"/>
  <c r="F14" i="46"/>
  <c r="F21" i="46"/>
  <c r="F16" i="46"/>
  <c r="F8" i="46"/>
  <c r="F11" i="46"/>
  <c r="F25" i="46"/>
  <c r="F19" i="46"/>
  <c r="F12" i="46"/>
  <c r="F22" i="46"/>
  <c r="F11" i="16"/>
  <c r="F9" i="19"/>
  <c r="F11" i="19"/>
  <c r="F19" i="16"/>
  <c r="F22" i="19"/>
  <c r="F15" i="16"/>
  <c r="F10" i="19"/>
  <c r="F18" i="19"/>
  <c r="F30" i="16"/>
  <c r="F27" i="19"/>
  <c r="F29" i="16"/>
  <c r="F15" i="19"/>
  <c r="F19" i="19"/>
  <c r="F29" i="19"/>
  <c r="F24" i="19"/>
  <c r="F17" i="19"/>
  <c r="F25" i="16"/>
  <c r="E9" i="16"/>
  <c r="E34" i="16" s="1"/>
  <c r="D8" i="31" s="1"/>
  <c r="F14" i="16"/>
  <c r="F26" i="16"/>
  <c r="F12" i="19"/>
  <c r="F23" i="19"/>
  <c r="D13" i="9"/>
  <c r="D15" i="9" s="1"/>
  <c r="D17" i="9" s="1"/>
  <c r="E59" i="6"/>
  <c r="F56" i="6"/>
  <c r="F22" i="16"/>
  <c r="F20" i="16"/>
  <c r="F28" i="16"/>
  <c r="F21" i="19"/>
  <c r="F21" i="16"/>
  <c r="F13" i="19"/>
  <c r="F17" i="16"/>
  <c r="F10" i="16"/>
  <c r="F25" i="19"/>
  <c r="F13" i="16"/>
  <c r="F24" i="16"/>
  <c r="E8" i="19"/>
  <c r="E33" i="19" s="1"/>
  <c r="D10" i="31" s="1"/>
  <c r="F28" i="19"/>
  <c r="F16" i="19"/>
  <c r="D33" i="19" l="1"/>
  <c r="C10" i="31" s="1"/>
  <c r="F8" i="19"/>
  <c r="F33" i="19" s="1"/>
  <c r="E10" i="31" s="1"/>
  <c r="F7" i="46"/>
  <c r="D16" i="31"/>
  <c r="D29" i="31" s="1"/>
  <c r="G55" i="42"/>
  <c r="G57" i="42" s="1"/>
  <c r="O55" i="42"/>
  <c r="O57" i="42" s="1"/>
  <c r="W55" i="42"/>
  <c r="W57" i="42" s="1"/>
  <c r="H55" i="42"/>
  <c r="H57" i="42" s="1"/>
  <c r="P55" i="42"/>
  <c r="P57" i="42" s="1"/>
  <c r="Q55" i="42"/>
  <c r="Q57" i="42" s="1"/>
  <c r="F55" i="42"/>
  <c r="F57" i="42" s="1"/>
  <c r="I55" i="42"/>
  <c r="I57" i="42" s="1"/>
  <c r="H56" i="6"/>
  <c r="J55" i="42"/>
  <c r="J57" i="42" s="1"/>
  <c r="R55" i="42"/>
  <c r="R57" i="42" s="1"/>
  <c r="K55" i="42"/>
  <c r="K57" i="42" s="1"/>
  <c r="S55" i="42"/>
  <c r="S57" i="42" s="1"/>
  <c r="V55" i="42"/>
  <c r="V57" i="42" s="1"/>
  <c r="E13" i="9"/>
  <c r="E15" i="9" s="1"/>
  <c r="E17" i="9" s="1"/>
  <c r="C10" i="1" s="1"/>
  <c r="L55" i="42"/>
  <c r="L57" i="42" s="1"/>
  <c r="T55" i="42"/>
  <c r="T57" i="42" s="1"/>
  <c r="E55" i="42"/>
  <c r="E57" i="42" s="1"/>
  <c r="M55" i="42"/>
  <c r="M57" i="42" s="1"/>
  <c r="U55" i="42"/>
  <c r="U57" i="42" s="1"/>
  <c r="N55" i="42"/>
  <c r="N57" i="42" s="1"/>
  <c r="F59" i="6"/>
  <c r="G13" i="9" l="1"/>
  <c r="H59" i="6"/>
  <c r="D34" i="16"/>
  <c r="C8" i="31" s="1"/>
  <c r="C16" i="31" s="1"/>
  <c r="C29" i="31" s="1"/>
  <c r="F9" i="16"/>
  <c r="F34" i="16" s="1"/>
  <c r="E8" i="31" s="1"/>
  <c r="E16" i="31" s="1"/>
  <c r="E29" i="31" s="1"/>
  <c r="C8" i="1" s="1"/>
  <c r="C12" i="1" s="1"/>
  <c r="C28" i="46" l="1"/>
  <c r="F28" i="46"/>
  <c r="C22" i="1"/>
  <c r="C16" i="1"/>
  <c r="C20" i="1" l="1"/>
  <c r="C27" i="1" s="1"/>
  <c r="E52" i="6"/>
  <c r="E12" i="12" s="1"/>
  <c r="G8" i="6" l="1"/>
  <c r="C31" i="1"/>
  <c r="F52" i="6"/>
  <c r="E53" i="6"/>
  <c r="H8" i="6" l="1"/>
  <c r="H12" i="6" s="1"/>
  <c r="G8" i="9" s="1"/>
  <c r="G12" i="6"/>
  <c r="G21" i="6" s="1"/>
  <c r="E61" i="6"/>
  <c r="E63" i="6" s="1"/>
  <c r="D19" i="9"/>
  <c r="D21" i="9" s="1"/>
  <c r="D26" i="9" s="1"/>
  <c r="U51" i="42"/>
  <c r="U52" i="42" s="1"/>
  <c r="U59" i="42" s="1"/>
  <c r="U61" i="42" s="1"/>
  <c r="T51" i="42"/>
  <c r="T52" i="42" s="1"/>
  <c r="T59" i="42" s="1"/>
  <c r="T61" i="42" s="1"/>
  <c r="Q51" i="42"/>
  <c r="Q52" i="42" s="1"/>
  <c r="Q59" i="42" s="1"/>
  <c r="Q61" i="42" s="1"/>
  <c r="L51" i="42"/>
  <c r="L52" i="42" s="1"/>
  <c r="L59" i="42" s="1"/>
  <c r="L61" i="42" s="1"/>
  <c r="M51" i="42"/>
  <c r="M52" i="42" s="1"/>
  <c r="M59" i="42" s="1"/>
  <c r="M61" i="42" s="1"/>
  <c r="R51" i="42"/>
  <c r="R52" i="42" s="1"/>
  <c r="R59" i="42" s="1"/>
  <c r="R61" i="42" s="1"/>
  <c r="H52" i="6"/>
  <c r="H53" i="6" s="1"/>
  <c r="G19" i="9" s="1"/>
  <c r="D10" i="20" s="1"/>
  <c r="P51" i="42"/>
  <c r="P52" i="42" s="1"/>
  <c r="P59" i="42" s="1"/>
  <c r="P61" i="42" s="1"/>
  <c r="E51" i="42"/>
  <c r="E52" i="42" s="1"/>
  <c r="E59" i="42" s="1"/>
  <c r="E61" i="42" s="1"/>
  <c r="W51" i="42"/>
  <c r="W52" i="42" s="1"/>
  <c r="W59" i="42" s="1"/>
  <c r="W61" i="42" s="1"/>
  <c r="S51" i="42"/>
  <c r="S52" i="42" s="1"/>
  <c r="S59" i="42" s="1"/>
  <c r="S61" i="42" s="1"/>
  <c r="F51" i="42"/>
  <c r="F52" i="42" s="1"/>
  <c r="F59" i="42" s="1"/>
  <c r="F61" i="42" s="1"/>
  <c r="I51" i="42"/>
  <c r="I52" i="42" s="1"/>
  <c r="I59" i="42" s="1"/>
  <c r="I61" i="42" s="1"/>
  <c r="O51" i="42"/>
  <c r="O52" i="42" s="1"/>
  <c r="O59" i="42" s="1"/>
  <c r="O61" i="42" s="1"/>
  <c r="H51" i="42"/>
  <c r="H52" i="42" s="1"/>
  <c r="H59" i="42" s="1"/>
  <c r="H61" i="42" s="1"/>
  <c r="J51" i="42"/>
  <c r="J52" i="42" s="1"/>
  <c r="J59" i="42" s="1"/>
  <c r="J61" i="42" s="1"/>
  <c r="V51" i="42"/>
  <c r="V52" i="42" s="1"/>
  <c r="V59" i="42" s="1"/>
  <c r="V61" i="42" s="1"/>
  <c r="K51" i="42"/>
  <c r="K52" i="42" s="1"/>
  <c r="K59" i="42" s="1"/>
  <c r="K61" i="42" s="1"/>
  <c r="G51" i="42"/>
  <c r="G52" i="42" s="1"/>
  <c r="G59" i="42" s="1"/>
  <c r="G61" i="42" s="1"/>
  <c r="N51" i="42"/>
  <c r="N52" i="42" s="1"/>
  <c r="N59" i="42" s="1"/>
  <c r="N61" i="42" s="1"/>
  <c r="F53" i="6"/>
  <c r="E19" i="9" l="1"/>
  <c r="E21" i="9" s="1"/>
  <c r="E26" i="9" s="1"/>
  <c r="F61" i="6"/>
  <c r="F63" i="6" s="1"/>
  <c r="F8" i="9"/>
  <c r="G31" i="6" l="1"/>
  <c r="H21" i="6"/>
  <c r="H31" i="6" s="1"/>
  <c r="G11" i="9" l="1"/>
  <c r="G15" i="9" s="1"/>
  <c r="G17" i="9" s="1"/>
  <c r="H61" i="6"/>
  <c r="H63" i="6" s="1"/>
  <c r="F11" i="9"/>
  <c r="F15" i="9" s="1"/>
  <c r="F17" i="9" s="1"/>
  <c r="F21" i="9" s="1"/>
  <c r="G61" i="6"/>
  <c r="G63" i="6" s="1"/>
  <c r="G21" i="9" l="1"/>
  <c r="D8" i="20"/>
  <c r="D12" i="20" s="1"/>
  <c r="D14" i="20" s="1"/>
  <c r="D16" i="20" l="1"/>
  <c r="D18" i="20" s="1"/>
  <c r="D20" i="20" l="1"/>
  <c r="F23" i="9" l="1"/>
  <c r="G23" i="9" l="1"/>
  <c r="G26" i="9" s="1"/>
  <c r="F26" i="9"/>
  <c r="G31" i="9" l="1"/>
  <c r="D27" i="20"/>
</calcChain>
</file>

<file path=xl/sharedStrings.xml><?xml version="1.0" encoding="utf-8"?>
<sst xmlns="http://schemas.openxmlformats.org/spreadsheetml/2006/main" count="1283" uniqueCount="462">
  <si>
    <t>Bluegrass Water Utility Operating Company, Inc.</t>
  </si>
  <si>
    <t>KY PSC Case No. 2022-00432</t>
  </si>
  <si>
    <t>For the Period Ending June 30, 2022</t>
  </si>
  <si>
    <t>Line Number</t>
  </si>
  <si>
    <t>Description</t>
  </si>
  <si>
    <t>Sewer</t>
  </si>
  <si>
    <t>(A)</t>
  </si>
  <si>
    <t>(B)</t>
  </si>
  <si>
    <t>(C)</t>
  </si>
  <si>
    <t>Total Original Cost Rate Base</t>
  </si>
  <si>
    <t>Operating Income at Present Rates</t>
  </si>
  <si>
    <t xml:space="preserve">Earned Rate of Return </t>
  </si>
  <si>
    <t>Requested Rate of Return</t>
  </si>
  <si>
    <t>Required Return on Rate Base</t>
  </si>
  <si>
    <t>Weighted Return on Equity</t>
  </si>
  <si>
    <t xml:space="preserve">Operating Income Deficiency </t>
  </si>
  <si>
    <t xml:space="preserve">Net Income Required for Return on Equity </t>
  </si>
  <si>
    <t>Gross Revenue Conversion Factor</t>
  </si>
  <si>
    <t>Gross Income Conversion Factor</t>
  </si>
  <si>
    <t xml:space="preserve">Revenue Deficiency </t>
  </si>
  <si>
    <t>Pro Forma Revenue at Present Rates</t>
  </si>
  <si>
    <t>Total Revenue Requirement</t>
  </si>
  <si>
    <t>Base Year Ended June 30, 2022</t>
  </si>
  <si>
    <t>Pro Forma Adjustments</t>
  </si>
  <si>
    <t>Pro Forma For the 12 Months Ended June 30, 2022</t>
  </si>
  <si>
    <t>(D)</t>
  </si>
  <si>
    <t>(E)</t>
  </si>
  <si>
    <t>Utility Plant in Service</t>
  </si>
  <si>
    <t xml:space="preserve">Accumulated Provision for Depreciation </t>
  </si>
  <si>
    <t>Accumulated Amortization</t>
  </si>
  <si>
    <t>Utility Plant Acquisition Adjustments</t>
  </si>
  <si>
    <t>Net Utility Plant</t>
  </si>
  <si>
    <t xml:space="preserve">Less: </t>
  </si>
  <si>
    <t>Contributions in Aid of Construction, net</t>
  </si>
  <si>
    <t xml:space="preserve">Subtotal: </t>
  </si>
  <si>
    <t xml:space="preserve">Add: </t>
  </si>
  <si>
    <t>Cash Working Capital</t>
  </si>
  <si>
    <t>Rate Case Expense</t>
  </si>
  <si>
    <t>NARUC Account</t>
  </si>
  <si>
    <t>Project Description</t>
  </si>
  <si>
    <t>Asset Description</t>
  </si>
  <si>
    <t>Actual or Estimated Start Up Date</t>
  </si>
  <si>
    <t>Estimated Completion Date</t>
  </si>
  <si>
    <t>Total Estimated Cost</t>
  </si>
  <si>
    <t>Estimated Costs by Year</t>
  </si>
  <si>
    <t>Costs Incurred to Date</t>
  </si>
  <si>
    <t>(F)</t>
  </si>
  <si>
    <t>(G)</t>
  </si>
  <si>
    <t>(H)</t>
  </si>
  <si>
    <t>(I)</t>
  </si>
  <si>
    <t>(J)</t>
  </si>
  <si>
    <t>WOODLAND ACRES</t>
  </si>
  <si>
    <t>372.000</t>
  </si>
  <si>
    <t>MBBR</t>
  </si>
  <si>
    <t>Blowers and controls for MBBRs</t>
  </si>
  <si>
    <t>311.000</t>
  </si>
  <si>
    <t>Blower Pad</t>
  </si>
  <si>
    <t>Blower discharge header piping, calves, appurtenances</t>
  </si>
  <si>
    <t>MBBR assemblies (complete)</t>
  </si>
  <si>
    <t>Electrical distribution for MBBR</t>
  </si>
  <si>
    <t>Peracetic Acid Disinfection</t>
  </si>
  <si>
    <t>Peracetic acid equipment and pad</t>
  </si>
  <si>
    <t>Electrical distribution for PAA</t>
  </si>
  <si>
    <t>Wet Weather Overflow Prevention</t>
  </si>
  <si>
    <t>Wet Weather Tank and Pad</t>
  </si>
  <si>
    <t>Wet Weather Valves, Grinder piping, return piping</t>
  </si>
  <si>
    <t>Wet Weather Diffusers</t>
  </si>
  <si>
    <t>Wet Weather Blower and Pad</t>
  </si>
  <si>
    <t>Wet Weather air piping</t>
  </si>
  <si>
    <t>363.000</t>
  </si>
  <si>
    <t>Wet Weather Grinder pump and control</t>
  </si>
  <si>
    <t>Electrical distribution for WWOP</t>
  </si>
  <si>
    <t>PERSIMMON RIDGE</t>
  </si>
  <si>
    <t>Airlifts, Blowers, Diffusers, Sieves, Controls</t>
  </si>
  <si>
    <t>Lagoon Penetrations for MBBR, Suction and Discharge</t>
  </si>
  <si>
    <t>MBBR Suction and Discharge yard piping</t>
  </si>
  <si>
    <t>Air piping to Chlorine contact Tank</t>
  </si>
  <si>
    <t>Site Work</t>
  </si>
  <si>
    <t>Miscellaneous Electrical Distribution</t>
  </si>
  <si>
    <t>HERRINGTON HAVEN</t>
  </si>
  <si>
    <t>Blowers and Controls for New MBBR Assemblies (2 each)</t>
  </si>
  <si>
    <t>Blower Discharge Header Piping, Valves, Appurtenances</t>
  </si>
  <si>
    <t>MBBR Assemblies Complete (3 each)</t>
  </si>
  <si>
    <t>Electrical Distribution for MBBR Treatment System</t>
  </si>
  <si>
    <t>PAA Equipment and Pad</t>
  </si>
  <si>
    <t>Electrical Distribution for PAA Disinfection System</t>
  </si>
  <si>
    <t>Solids Processing (Digester) System</t>
  </si>
  <si>
    <t>Digester Tank and Pad</t>
  </si>
  <si>
    <t>Digester Valves, Decant Piping, Grinder FM Piping, Air Piping</t>
  </si>
  <si>
    <t>Digester Diffusers</t>
  </si>
  <si>
    <t>Digester Blower and Blower Pad</t>
  </si>
  <si>
    <t>Digester WAS/RAS Piping</t>
  </si>
  <si>
    <t>Digester System Grinder Pump and Control Panel</t>
  </si>
  <si>
    <t>Electrical Distribution for Digester System</t>
  </si>
  <si>
    <t>General Plant</t>
  </si>
  <si>
    <t>All Weather Gravel Access Road for All Three New Systems</t>
  </si>
  <si>
    <t>TOTAL PROPOSED PLANT ADDITIONS</t>
  </si>
  <si>
    <t>Recurring Construction</t>
  </si>
  <si>
    <t>Current Investment Projects</t>
  </si>
  <si>
    <t>Woodland Acres</t>
  </si>
  <si>
    <t>Persimmon Ridge</t>
  </si>
  <si>
    <t>Harrington Haven</t>
  </si>
  <si>
    <t>Total</t>
  </si>
  <si>
    <t>303.000</t>
  </si>
  <si>
    <t>Miscellaneous Intangible Plant</t>
  </si>
  <si>
    <t>310.000</t>
  </si>
  <si>
    <t>Land and Land Rights</t>
  </si>
  <si>
    <t>310.100</t>
  </si>
  <si>
    <t>S&amp;I   Source of Supply</t>
  </si>
  <si>
    <t>352.100</t>
  </si>
  <si>
    <t>Collection Sewers   Force</t>
  </si>
  <si>
    <t>352.200</t>
  </si>
  <si>
    <t>Collection Sewers   Gravity</t>
  </si>
  <si>
    <t>353.000</t>
  </si>
  <si>
    <t>Services to Sewer Customers</t>
  </si>
  <si>
    <t>355.000</t>
  </si>
  <si>
    <t>Flow Measuring Installations</t>
  </si>
  <si>
    <t>Electric Sewer Pumping Equip</t>
  </si>
  <si>
    <t>370.000</t>
  </si>
  <si>
    <t>370.100</t>
  </si>
  <si>
    <t>Oxidation Lagoon Land</t>
  </si>
  <si>
    <t>Treatment &amp; Disposal Equipment</t>
  </si>
  <si>
    <t>373.000</t>
  </si>
  <si>
    <t>Plant Sewers</t>
  </si>
  <si>
    <t>374.000</t>
  </si>
  <si>
    <t>Outfall Sewer Lines</t>
  </si>
  <si>
    <t>375.000</t>
  </si>
  <si>
    <t>Sewer - Outfall Sewer Lines</t>
  </si>
  <si>
    <t>376.000</t>
  </si>
  <si>
    <t>Sewer - Other Treatment and Disposal Equipme</t>
  </si>
  <si>
    <t>391.000</t>
  </si>
  <si>
    <t>Office Furniture and Equipment</t>
  </si>
  <si>
    <t>391.100</t>
  </si>
  <si>
    <t>Office Furn Equip (IT)</t>
  </si>
  <si>
    <t>392.000</t>
  </si>
  <si>
    <t>Transportation Equipment</t>
  </si>
  <si>
    <t>393.000</t>
  </si>
  <si>
    <t>Sewer - Other General Equipment</t>
  </si>
  <si>
    <t>396.000</t>
  </si>
  <si>
    <t>Power Operated Equipment</t>
  </si>
  <si>
    <t>397.000</t>
  </si>
  <si>
    <t>Communication Equipment</t>
  </si>
  <si>
    <t>Account Description</t>
  </si>
  <si>
    <t>Test Year Ended June 30, 2022</t>
  </si>
  <si>
    <t>Known and Measurable Adjustments</t>
  </si>
  <si>
    <t>Pro Forma at Present Rates</t>
  </si>
  <si>
    <t>Pro Forma Under Proposed Rates</t>
  </si>
  <si>
    <t>Revenues</t>
  </si>
  <si>
    <t>461.000</t>
  </si>
  <si>
    <t>470.000</t>
  </si>
  <si>
    <t>471.000</t>
  </si>
  <si>
    <t>521.000</t>
  </si>
  <si>
    <t>522.000</t>
  </si>
  <si>
    <t>532.000</t>
  </si>
  <si>
    <t>536.000</t>
  </si>
  <si>
    <t>Sewer Revenues</t>
  </si>
  <si>
    <t>Expenses</t>
  </si>
  <si>
    <t>G&amp;A - General &amp; Admin:</t>
  </si>
  <si>
    <t>408.100</t>
  </si>
  <si>
    <t>408.160</t>
  </si>
  <si>
    <t>409.000</t>
  </si>
  <si>
    <t>903.100</t>
  </si>
  <si>
    <t>903.280</t>
  </si>
  <si>
    <t>904.000</t>
  </si>
  <si>
    <t>922.000</t>
  </si>
  <si>
    <t>923.100</t>
  </si>
  <si>
    <t>923.300</t>
  </si>
  <si>
    <t>923.400</t>
  </si>
  <si>
    <t>923.500</t>
  </si>
  <si>
    <t>923.600</t>
  </si>
  <si>
    <t>923.900</t>
  </si>
  <si>
    <t>924.200</t>
  </si>
  <si>
    <t>924.400</t>
  </si>
  <si>
    <t>928.100</t>
  </si>
  <si>
    <t>928.200</t>
  </si>
  <si>
    <t>930.200</t>
  </si>
  <si>
    <t>930.300</t>
  </si>
  <si>
    <t>Total Sewer G&amp;A - General &amp; Admin</t>
  </si>
  <si>
    <t>Ops &amp; Maint - Operations &amp; Maintenance:</t>
  </si>
  <si>
    <t>615.100</t>
  </si>
  <si>
    <t>618.300</t>
  </si>
  <si>
    <t>618.500</t>
  </si>
  <si>
    <t>620.100</t>
  </si>
  <si>
    <t>620.200</t>
  </si>
  <si>
    <t>620.300</t>
  </si>
  <si>
    <t>620.400</t>
  </si>
  <si>
    <t>620.600</t>
  </si>
  <si>
    <t>633.000</t>
  </si>
  <si>
    <t>635.300</t>
  </si>
  <si>
    <t>635.500</t>
  </si>
  <si>
    <t>636.100</t>
  </si>
  <si>
    <t>636.300</t>
  </si>
  <si>
    <t>636.400</t>
  </si>
  <si>
    <t>636.500</t>
  </si>
  <si>
    <t>636.600</t>
  </si>
  <si>
    <t>641.000</t>
  </si>
  <si>
    <t>642.000</t>
  </si>
  <si>
    <t>664.000</t>
  </si>
  <si>
    <t>675.300</t>
  </si>
  <si>
    <t>675.400</t>
  </si>
  <si>
    <t>675.600</t>
  </si>
  <si>
    <t>701.000</t>
  </si>
  <si>
    <t>702.000</t>
  </si>
  <si>
    <t>703.000</t>
  </si>
  <si>
    <t>704.000</t>
  </si>
  <si>
    <t>705.000</t>
  </si>
  <si>
    <t>711.000</t>
  </si>
  <si>
    <t>712.000</t>
  </si>
  <si>
    <t>713.000</t>
  </si>
  <si>
    <t>713.001</t>
  </si>
  <si>
    <t>714.000</t>
  </si>
  <si>
    <t>715.000</t>
  </si>
  <si>
    <t>722.000</t>
  </si>
  <si>
    <t>730.000</t>
  </si>
  <si>
    <t>732.000</t>
  </si>
  <si>
    <t>741.000</t>
  </si>
  <si>
    <t>742.000</t>
  </si>
  <si>
    <t>743.000</t>
  </si>
  <si>
    <t>744.000</t>
  </si>
  <si>
    <t>752.000</t>
  </si>
  <si>
    <t>Total Sewer Ops &amp; Maint - Operations &amp; Maintenance</t>
  </si>
  <si>
    <t>Interest</t>
  </si>
  <si>
    <t>427.000</t>
  </si>
  <si>
    <t>428.000</t>
  </si>
  <si>
    <t>Total Interest Expense</t>
  </si>
  <si>
    <t>Depr &amp; Amort - Depreciation &amp; Amortization:</t>
  </si>
  <si>
    <t>403.000</t>
  </si>
  <si>
    <t>403.100</t>
  </si>
  <si>
    <t>405.000</t>
  </si>
  <si>
    <t>Rate Case Amort</t>
  </si>
  <si>
    <t>Total Depr &amp; Amort - Depreciation &amp; Amortization</t>
  </si>
  <si>
    <t>Total Sewer Expenses</t>
  </si>
  <si>
    <t>Income</t>
  </si>
  <si>
    <t>ASSETS</t>
  </si>
  <si>
    <t>Current Assets</t>
  </si>
  <si>
    <t>Property, Plant &amp; Equipment, Net</t>
  </si>
  <si>
    <t>Misc Long-Term Assets</t>
  </si>
  <si>
    <t>Total Assets</t>
  </si>
  <si>
    <t>LIABILITIES AND CAPITALIZATION</t>
  </si>
  <si>
    <t>Current Liabilities</t>
  </si>
  <si>
    <t>Long-Term Liabilities</t>
  </si>
  <si>
    <t>Capitalization</t>
  </si>
  <si>
    <t>Total Liabilities and Capitalization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</si>
  <si>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</si>
  <si>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</si>
  <si>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</si>
  <si>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</si>
  <si>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</si>
  <si>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</si>
  <si>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</si>
  <si>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</si>
  <si>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</si>
  <si>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</si>
  <si>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</si>
  <si>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</si>
  <si>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Sewer - Electric Utilities</t>
  </si>
  <si>
    <t>Sewer - Sludge Hauling</t>
  </si>
  <si>
    <t>Sewer - Chemicals</t>
  </si>
  <si>
    <t>Depreciation</t>
  </si>
  <si>
    <t>MTD Actuals</t>
  </si>
  <si>
    <t>MTD Budget</t>
  </si>
  <si>
    <t>Var</t>
  </si>
  <si>
    <t>Sale of Water</t>
  </si>
  <si>
    <t>Other Water Operating Revenue</t>
  </si>
  <si>
    <t>Water Revenue</t>
  </si>
  <si>
    <t>Other Sewage Operating Revenue</t>
  </si>
  <si>
    <t>Sewer Revenue</t>
  </si>
  <si>
    <t>Total Revenue</t>
  </si>
  <si>
    <t>Source of Supply Expense</t>
  </si>
  <si>
    <t>Water Pumping Expense</t>
  </si>
  <si>
    <t>Sewer Pumping Expense</t>
  </si>
  <si>
    <t>Water Treatment Expense</t>
  </si>
  <si>
    <t>Trans &amp; Distribution Expense</t>
  </si>
  <si>
    <t>Sewer Treatment &amp; Disposal Expense</t>
  </si>
  <si>
    <t>Customer Accounts Expense</t>
  </si>
  <si>
    <t>Customer Service Expense</t>
  </si>
  <si>
    <t>Administration &amp; General Expense</t>
  </si>
  <si>
    <t>Total Operations Expense</t>
  </si>
  <si>
    <t>Maint Source of Supply Exp</t>
  </si>
  <si>
    <t>Water Maint Pumping Exp</t>
  </si>
  <si>
    <t>Water Maint Trans &amp; Distr Exp</t>
  </si>
  <si>
    <t>Sewer Maint Collection Exp</t>
  </si>
  <si>
    <t>Sewer Pumping Maint Exp</t>
  </si>
  <si>
    <t>Maint Treatm &amp; Disposal Exp</t>
  </si>
  <si>
    <t>Total Maintenance Expense</t>
  </si>
  <si>
    <t>Total Operations &amp; Maintenance Expense</t>
  </si>
  <si>
    <t>Overhead Allocation</t>
  </si>
  <si>
    <t>Total Expenses</t>
  </si>
  <si>
    <t>Interest Expense</t>
  </si>
  <si>
    <t>Depreciation Expense</t>
  </si>
  <si>
    <t xml:space="preserve">CIAC Amortization </t>
  </si>
  <si>
    <t>Amortization Expense</t>
  </si>
  <si>
    <t>Net Income / Loss</t>
  </si>
  <si>
    <t>Account</t>
  </si>
  <si>
    <t>Type</t>
  </si>
  <si>
    <t>Fixed Asset</t>
  </si>
  <si>
    <t>Sewer - Other Treatment and Disposal Equipment</t>
  </si>
  <si>
    <t>CIAC Amort</t>
  </si>
  <si>
    <t>Taxes</t>
  </si>
  <si>
    <t>General &amp; Administrative</t>
  </si>
  <si>
    <t>Property Tax</t>
  </si>
  <si>
    <t>Income Taxes</t>
  </si>
  <si>
    <t>Revenue-Water</t>
  </si>
  <si>
    <t>Revenue</t>
  </si>
  <si>
    <t>Revenue-Water Other</t>
  </si>
  <si>
    <t>Revenue-Sewer</t>
  </si>
  <si>
    <t>Revenue-Sewer Other</t>
  </si>
  <si>
    <t>Water - Electric Utilities</t>
  </si>
  <si>
    <t>Operations &amp; Maintenance</t>
  </si>
  <si>
    <t>Water - Chemicals</t>
  </si>
  <si>
    <t>Water - Maintenance</t>
  </si>
  <si>
    <t>Water - Misc Operations</t>
  </si>
  <si>
    <t>Water - Testing</t>
  </si>
  <si>
    <t>Water - Contract Operations</t>
  </si>
  <si>
    <t>Water - Mowing &amp; Grounds Maintenance</t>
  </si>
  <si>
    <t>Sewer - Contract Operations</t>
  </si>
  <si>
    <t>Sewer - Misc Operations</t>
  </si>
  <si>
    <t>Sewer - Mowing &amp; Grounds Maintenance</t>
  </si>
  <si>
    <t>Sewer - Maintenance</t>
  </si>
  <si>
    <t>Billing Expense</t>
  </si>
  <si>
    <t>Bad Debt Expense</t>
  </si>
  <si>
    <t>920.000</t>
  </si>
  <si>
    <t>Admin &amp; General Salaries</t>
  </si>
  <si>
    <t>OSS - Bank Fees</t>
  </si>
  <si>
    <t>OSS - Engineering</t>
  </si>
  <si>
    <t>OSS - Legal</t>
  </si>
  <si>
    <t>OSS - Accounting</t>
  </si>
  <si>
    <t>OSS - Management Consulting</t>
  </si>
  <si>
    <t>Insurance</t>
  </si>
  <si>
    <t>Property Insurance</t>
  </si>
  <si>
    <t>Direct Admin</t>
  </si>
  <si>
    <t>Misc General Expense</t>
  </si>
  <si>
    <t>Income Statement - Sewer</t>
  </si>
  <si>
    <t>Operating Revenues</t>
  </si>
  <si>
    <t>Operating Expenses</t>
  </si>
  <si>
    <t>G&amp;A Expenses</t>
  </si>
  <si>
    <t>Operating and Maintenance</t>
  </si>
  <si>
    <t>Total Operating Expense</t>
  </si>
  <si>
    <t>Gross Operating Income</t>
  </si>
  <si>
    <t>Funds Available for Income Tax and Equity</t>
  </si>
  <si>
    <t>Net Income</t>
  </si>
  <si>
    <t>Account Type</t>
  </si>
  <si>
    <t>Account Name</t>
  </si>
  <si>
    <t>Narrative Discussion of Adjustments</t>
  </si>
  <si>
    <t>Depreciation &amp; Amortization</t>
  </si>
  <si>
    <t>Rate Case Expense Amortization</t>
  </si>
  <si>
    <t>Annualization Adjustment</t>
  </si>
  <si>
    <t>Pro Forma Adjustment</t>
  </si>
  <si>
    <t>Known &amp; Measurable Adjustment</t>
  </si>
  <si>
    <t>Utility Plant In Service Summary - Sewer</t>
  </si>
  <si>
    <t>114.000</t>
  </si>
  <si>
    <t>Acquisition Adjustment</t>
  </si>
  <si>
    <t>Total Utility Plant In Service</t>
  </si>
  <si>
    <t>Tax Rates</t>
  </si>
  <si>
    <t>Taxable Income</t>
  </si>
  <si>
    <t>State Income Tax</t>
  </si>
  <si>
    <t>Federal Table Income</t>
  </si>
  <si>
    <t>Federal Income Tax</t>
  </si>
  <si>
    <t>Total Income Tax</t>
  </si>
  <si>
    <t>Contributions in Aid of Construction - Sewer</t>
  </si>
  <si>
    <t>271.000</t>
  </si>
  <si>
    <t>Contributions in Aid of Construction (CIAC)</t>
  </si>
  <si>
    <t>272.000</t>
  </si>
  <si>
    <t>Accumulated Amortization of CIAC</t>
  </si>
  <si>
    <t>Working Capital Requirement - Sewer</t>
  </si>
  <si>
    <t>Operating Expense</t>
  </si>
  <si>
    <t>Lead Days</t>
  </si>
  <si>
    <t>Working Capital Requirement</t>
  </si>
  <si>
    <t>Operating Expenses for Test Period</t>
  </si>
  <si>
    <t>Total Working Capital</t>
  </si>
  <si>
    <t>Base Year Ended June 30 2022</t>
  </si>
  <si>
    <t>CPCN Additions</t>
  </si>
  <si>
    <t>Retirements</t>
  </si>
  <si>
    <t>Gross Income Conversion Factor Calculation</t>
  </si>
  <si>
    <t>Total Rate</t>
  </si>
  <si>
    <t>Conversion Factor %</t>
  </si>
  <si>
    <t>Total Conversion Factor</t>
  </si>
  <si>
    <t>Gross Income from Revenue</t>
  </si>
  <si>
    <t>Less: Bad Debt</t>
  </si>
  <si>
    <t>Net Income After Bad Debt</t>
  </si>
  <si>
    <t>Less:  State Income Tax @ 5.0%</t>
  </si>
  <si>
    <t>Net Income After Bad Debt and State Tax</t>
  </si>
  <si>
    <t>Less: Federal Income Tax @ 21%</t>
  </si>
  <si>
    <t>Net Income After Bad Debt, State and Federal Income Taxes:</t>
  </si>
  <si>
    <t>Operating Income Conversion Factor (1/Line 12)</t>
  </si>
  <si>
    <t>Gross Revenue Conversion Factor Calculation</t>
  </si>
  <si>
    <t xml:space="preserve">Net Income After Bad Debt </t>
  </si>
  <si>
    <t>Gross Revenue Conversion Factor (1/Line 12)</t>
  </si>
  <si>
    <t>Item</t>
  </si>
  <si>
    <t>Vendor</t>
  </si>
  <si>
    <t>To Date Expense</t>
  </si>
  <si>
    <t>Estimate to Complete</t>
  </si>
  <si>
    <t>Total Expense</t>
  </si>
  <si>
    <t>Depreciation Study</t>
  </si>
  <si>
    <t>Gannett Fleming Rate Case Consultants</t>
  </si>
  <si>
    <t>Class Cost of Service/Rate Design Study</t>
  </si>
  <si>
    <t>ScottMadden, Inc.</t>
  </si>
  <si>
    <t>Rate of Return Study</t>
  </si>
  <si>
    <t>Legal Expenditures</t>
  </si>
  <si>
    <t>Dinsmore &amp; Shohl LLP</t>
  </si>
  <si>
    <t>Billing Expense-Bank Fees</t>
  </si>
  <si>
    <t>Allocated Overhead</t>
  </si>
  <si>
    <t>OSS - Bank Fees Outside Services</t>
  </si>
  <si>
    <t>OSS - IT</t>
  </si>
  <si>
    <t>Direct Admin DNR</t>
  </si>
  <si>
    <t>Sewer - Contract Operations Labor &amp; Expense</t>
  </si>
  <si>
    <t xml:space="preserve">Sewer - Electric Utilities </t>
  </si>
  <si>
    <t>Sewer - Maintenance of Collection Systems</t>
  </si>
  <si>
    <t>Sewer - Maintenance Services to Customers</t>
  </si>
  <si>
    <t>Sewer - Maintenance of Pumping System</t>
  </si>
  <si>
    <t>Sewer - Maintenance of Treatment &amp; Disposal Equipment</t>
  </si>
  <si>
    <t>Sewer - Maintenance of Other Plant Facilities</t>
  </si>
  <si>
    <t>Admin &amp; General</t>
  </si>
  <si>
    <t/>
  </si>
  <si>
    <t>Current Chart of Accounts</t>
  </si>
  <si>
    <t>Monthly Managerial Reports</t>
  </si>
  <si>
    <t>Capital Budget for Pro  Forma Adjustment</t>
  </si>
  <si>
    <t>Operating Budget for Pro Forma Adjustment</t>
  </si>
  <si>
    <t>Information About Plant Additions for Pro Forma Adjustment</t>
  </si>
  <si>
    <t>Company Adjusted Income Statement - Sewer</t>
  </si>
  <si>
    <t>Summary of Revenue Requirement - Sewer</t>
  </si>
  <si>
    <t>Accumulated Depreciation Summary - Sewer</t>
  </si>
  <si>
    <t>Summary of Adjustments to Revenues, Expenses, Depreciation and Taxes - Sewer</t>
  </si>
  <si>
    <t>Rate Base Summary - Sewer</t>
  </si>
  <si>
    <t>Income Tax Summary - Sewer</t>
  </si>
  <si>
    <t>Post Test-Year Adjustments to Rate Base - Sewer</t>
  </si>
  <si>
    <t>Income Conversion Factor - Sewer</t>
  </si>
  <si>
    <t>Revenue Conversion Factor - Sewer</t>
  </si>
  <si>
    <t>Rate Case Expenses - Sewer</t>
  </si>
  <si>
    <t>Pro Forma Balance Sheet</t>
  </si>
  <si>
    <t>Bluegrass Utility Operating Company, Inc.</t>
  </si>
  <si>
    <t>Ky PSC Case No. 2022-00432</t>
  </si>
  <si>
    <t>Rate Base Rollforward-Sewer</t>
  </si>
  <si>
    <t>Acquisition</t>
  </si>
  <si>
    <t>Service Area</t>
  </si>
  <si>
    <t>Service Type</t>
  </si>
  <si>
    <t>Acquisition Date Rate Base</t>
  </si>
  <si>
    <t>Improvements</t>
  </si>
  <si>
    <t>Acquisition Related Costs</t>
  </si>
  <si>
    <t>CIAC</t>
  </si>
  <si>
    <t>Airview</t>
  </si>
  <si>
    <t>Acadia Pines</t>
  </si>
  <si>
    <t>Arcadia Pines</t>
  </si>
  <si>
    <t>Brocklyn</t>
  </si>
  <si>
    <t>Carriage Park</t>
  </si>
  <si>
    <t>Fox Run</t>
  </si>
  <si>
    <t>Marshall County</t>
  </si>
  <si>
    <t>Golden Acres</t>
  </si>
  <si>
    <t>Great Oaks</t>
  </si>
  <si>
    <t>Herrington Haven</t>
  </si>
  <si>
    <t>Kingswood</t>
  </si>
  <si>
    <t>Lake Columbia</t>
  </si>
  <si>
    <t>LH Treatment</t>
  </si>
  <si>
    <t>Marshall Ridge</t>
  </si>
  <si>
    <t xml:space="preserve">Marshall Ridge </t>
  </si>
  <si>
    <t>Randview</t>
  </si>
  <si>
    <t>River Bluffs</t>
  </si>
  <si>
    <t>Springcrest</t>
  </si>
  <si>
    <t>JoAnn Estates</t>
  </si>
  <si>
    <t>Timberland</t>
  </si>
  <si>
    <t>Delaplain</t>
  </si>
  <si>
    <t>Darlington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</si>
</sst>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67" formatCode="[$-409]mmmm\ d\,\ yyyy;@"/>
    <numFmt numFmtId="168" formatCode="0.000"/>
    <numFmt numFmtId="169" formatCode="0.000%"/>
    <numFmt numFmtId="170" formatCode="0.0000%"/>
    <numFmt numFmtId="171" formatCode="[$-409]mmm\-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Lato"/>
      <family val="2"/>
    </font>
    <font>
      <b/>
      <sz val="10"/>
      <color rgb="FF000000"/>
      <name val="Lato"/>
      <family val="2"/>
    </font>
    <font>
      <i/>
      <sz val="10"/>
      <color theme="1"/>
      <name val="Calibri"/>
      <family val="2"/>
      <scheme val="minor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2" fillId="0" borderId="0" xfId="0" applyFont="1" applyAlignment="1">
      <alignment vertical="center"/>
    </xf>
    <xf numFmtId="6" fontId="3" fillId="0" borderId="0" xfId="2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6" fontId="3" fillId="0" borderId="2" xfId="2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9" fontId="2" fillId="0" borderId="0" xfId="3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6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quotePrefix="1" applyFont="1" applyAlignment="1">
      <alignment horizontal="center" vertical="center"/>
    </xf>
    <xf numFmtId="6" fontId="3" fillId="0" borderId="3" xfId="1" applyNumberFormat="1" applyFont="1" applyBorder="1" applyAlignment="1">
      <alignment horizontal="center" vertical="center"/>
    </xf>
    <xf numFmtId="6" fontId="3" fillId="0" borderId="0" xfId="1" applyNumberFormat="1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6" fontId="3" fillId="0" borderId="1" xfId="1" applyNumberFormat="1" applyFont="1" applyBorder="1" applyAlignment="1">
      <alignment horizontal="center" vertical="center"/>
    </xf>
    <xf numFmtId="6" fontId="3" fillId="0" borderId="0" xfId="1" applyNumberFormat="1" applyFont="1" applyAlignment="1">
      <alignment vertical="center"/>
    </xf>
    <xf numFmtId="6" fontId="3" fillId="0" borderId="2" xfId="1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6" fontId="2" fillId="0" borderId="2" xfId="0" applyNumberFormat="1" applyFont="1" applyBorder="1" applyAlignment="1">
      <alignment vertical="center"/>
    </xf>
    <xf numFmtId="8" fontId="0" fillId="0" borderId="0" xfId="0" applyNumberFormat="1" applyAlignment="1">
      <alignment vertical="center"/>
    </xf>
    <xf numFmtId="6" fontId="2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6" fontId="0" fillId="0" borderId="0" xfId="0" applyNumberFormat="1" applyAlignment="1">
      <alignment vertical="center"/>
    </xf>
    <xf numFmtId="44" fontId="2" fillId="0" borderId="0" xfId="2" applyFont="1" applyFill="1" applyAlignment="1">
      <alignment horizontal="center" vertical="center"/>
    </xf>
    <xf numFmtId="43" fontId="2" fillId="0" borderId="0" xfId="1" applyFont="1" applyAlignment="1">
      <alignment horizontal="center" vertical="center"/>
    </xf>
    <xf numFmtId="6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6" fontId="2" fillId="0" borderId="0" xfId="1" applyNumberFormat="1" applyFont="1" applyFill="1" applyAlignment="1">
      <alignment horizontal="right" vertical="center"/>
    </xf>
    <xf numFmtId="6" fontId="3" fillId="0" borderId="0" xfId="1" applyNumberFormat="1" applyFont="1" applyAlignment="1">
      <alignment horizontal="right" vertical="center"/>
    </xf>
    <xf numFmtId="6" fontId="2" fillId="0" borderId="3" xfId="1" applyNumberFormat="1" applyFont="1" applyBorder="1" applyAlignment="1">
      <alignment horizontal="right" vertical="center"/>
    </xf>
    <xf numFmtId="6" fontId="2" fillId="0" borderId="3" xfId="1" applyNumberFormat="1" applyFont="1" applyFill="1" applyBorder="1" applyAlignment="1">
      <alignment horizontal="right" vertical="center"/>
    </xf>
    <xf numFmtId="6" fontId="2" fillId="0" borderId="4" xfId="1" applyNumberFormat="1" applyFont="1" applyBorder="1" applyAlignment="1">
      <alignment horizontal="right" vertical="center"/>
    </xf>
    <xf numFmtId="6" fontId="2" fillId="0" borderId="4" xfId="1" applyNumberFormat="1" applyFont="1" applyFill="1" applyBorder="1" applyAlignment="1">
      <alignment horizontal="right" vertical="center"/>
    </xf>
    <xf numFmtId="6" fontId="2" fillId="0" borderId="2" xfId="1" applyNumberFormat="1" applyFont="1" applyBorder="1" applyAlignment="1">
      <alignment horizontal="right" vertical="center"/>
    </xf>
    <xf numFmtId="6" fontId="2" fillId="0" borderId="2" xfId="1" applyNumberFormat="1" applyFont="1" applyFill="1" applyBorder="1" applyAlignment="1">
      <alignment horizontal="right" vertical="center"/>
    </xf>
    <xf numFmtId="165" fontId="3" fillId="0" borderId="0" xfId="1" applyNumberFormat="1" applyFont="1" applyAlignment="1">
      <alignment vertical="center"/>
    </xf>
    <xf numFmtId="165" fontId="0" fillId="0" borderId="0" xfId="1" applyNumberFormat="1" applyFont="1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164" fontId="2" fillId="0" borderId="0" xfId="3" applyNumberFormat="1" applyFont="1" applyFill="1" applyAlignment="1">
      <alignment horizontal="right" vertical="center"/>
    </xf>
    <xf numFmtId="44" fontId="2" fillId="0" borderId="0" xfId="2" applyFont="1" applyAlignment="1">
      <alignment horizontal="right" vertical="center"/>
    </xf>
    <xf numFmtId="164" fontId="2" fillId="0" borderId="0" xfId="2" applyNumberFormat="1" applyFont="1" applyFill="1" applyAlignment="1">
      <alignment horizontal="right" vertical="center"/>
    </xf>
    <xf numFmtId="44" fontId="2" fillId="0" borderId="0" xfId="2" applyFont="1" applyFill="1" applyAlignment="1">
      <alignment horizontal="right" vertical="center"/>
    </xf>
    <xf numFmtId="6" fontId="2" fillId="0" borderId="0" xfId="2" applyNumberFormat="1" applyFont="1" applyFill="1" applyAlignment="1">
      <alignment horizontal="right" vertical="center"/>
    </xf>
    <xf numFmtId="10" fontId="0" fillId="0" borderId="0" xfId="0" applyNumberFormat="1" applyAlignment="1">
      <alignment vertical="center"/>
    </xf>
    <xf numFmtId="2" fontId="2" fillId="0" borderId="0" xfId="2" applyNumberFormat="1" applyFont="1" applyFill="1" applyAlignment="1">
      <alignment horizontal="right" vertical="center"/>
    </xf>
    <xf numFmtId="165" fontId="0" fillId="0" borderId="0" xfId="0" applyNumberFormat="1" applyAlignment="1">
      <alignment vertical="center"/>
    </xf>
    <xf numFmtId="44" fontId="3" fillId="0" borderId="0" xfId="2" applyFont="1" applyAlignment="1">
      <alignment vertical="center"/>
    </xf>
    <xf numFmtId="10" fontId="8" fillId="0" borderId="0" xfId="3" applyNumberFormat="1" applyFont="1" applyAlignment="1">
      <alignment vertical="center"/>
    </xf>
    <xf numFmtId="10" fontId="3" fillId="0" borderId="0" xfId="3" applyNumberFormat="1" applyFont="1" applyAlignment="1">
      <alignment vertical="center"/>
    </xf>
    <xf numFmtId="43" fontId="3" fillId="0" borderId="0" xfId="1" applyFont="1" applyFill="1" applyAlignment="1">
      <alignment vertical="center"/>
    </xf>
    <xf numFmtId="6" fontId="3" fillId="0" borderId="0" xfId="2" applyNumberFormat="1" applyFont="1" applyAlignment="1">
      <alignment vertical="center"/>
    </xf>
    <xf numFmtId="6" fontId="2" fillId="0" borderId="2" xfId="2" applyNumberFormat="1" applyFont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vertical="center"/>
    </xf>
    <xf numFmtId="169" fontId="8" fillId="0" borderId="0" xfId="3" applyNumberFormat="1" applyFont="1" applyAlignment="1">
      <alignment vertical="center"/>
    </xf>
    <xf numFmtId="169" fontId="8" fillId="0" borderId="0" xfId="7" applyNumberFormat="1" applyFont="1" applyFill="1" applyBorder="1" applyAlignment="1">
      <alignment vertical="center"/>
    </xf>
    <xf numFmtId="169" fontId="8" fillId="0" borderId="0" xfId="3" applyNumberFormat="1" applyFont="1" applyFill="1" applyBorder="1" applyAlignment="1">
      <alignment vertical="center"/>
    </xf>
    <xf numFmtId="169" fontId="3" fillId="0" borderId="0" xfId="0" applyNumberFormat="1" applyFont="1" applyAlignment="1">
      <alignment vertical="center"/>
    </xf>
    <xf numFmtId="41" fontId="8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8" fillId="0" borderId="0" xfId="5" applyFont="1" applyAlignment="1">
      <alignment horizontal="left" vertical="center" wrapText="1"/>
    </xf>
    <xf numFmtId="170" fontId="8" fillId="0" borderId="0" xfId="7" applyNumberFormat="1" applyFont="1" applyFill="1" applyBorder="1" applyAlignment="1">
      <alignment vertical="center"/>
    </xf>
    <xf numFmtId="44" fontId="2" fillId="0" borderId="0" xfId="2" applyFont="1" applyBorder="1" applyAlignment="1">
      <alignment horizontal="center" vertical="center"/>
    </xf>
    <xf numFmtId="164" fontId="3" fillId="0" borderId="0" xfId="3" applyNumberFormat="1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43" fontId="11" fillId="0" borderId="0" xfId="1" applyFont="1" applyAlignment="1">
      <alignment vertical="center"/>
    </xf>
    <xf numFmtId="165" fontId="11" fillId="0" borderId="0" xfId="0" applyNumberFormat="1" applyFont="1" applyAlignment="1">
      <alignment vertical="center"/>
    </xf>
    <xf numFmtId="165" fontId="11" fillId="0" borderId="0" xfId="1" applyNumberFormat="1" applyFont="1" applyAlignment="1">
      <alignment vertical="center"/>
    </xf>
    <xf numFmtId="6" fontId="3" fillId="0" borderId="0" xfId="1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6" fontId="3" fillId="0" borderId="4" xfId="1" applyNumberFormat="1" applyFont="1" applyBorder="1" applyAlignment="1">
      <alignment vertical="center"/>
    </xf>
    <xf numFmtId="8" fontId="11" fillId="0" borderId="0" xfId="0" applyNumberFormat="1" applyFont="1" applyAlignment="1">
      <alignment vertical="center"/>
    </xf>
    <xf numFmtId="6" fontId="3" fillId="0" borderId="3" xfId="1" applyNumberFormat="1" applyFont="1" applyBorder="1" applyAlignment="1">
      <alignment vertical="center"/>
    </xf>
    <xf numFmtId="6" fontId="2" fillId="0" borderId="2" xfId="1" applyNumberFormat="1" applyFont="1" applyBorder="1" applyAlignment="1">
      <alignment vertical="center"/>
    </xf>
    <xf numFmtId="43" fontId="12" fillId="0" borderId="0" xfId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3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/>
    <xf numFmtId="41" fontId="3" fillId="0" borderId="0" xfId="0" applyNumberFormat="1" applyFont="1"/>
    <xf numFmtId="168" fontId="3" fillId="0" borderId="0" xfId="0" applyNumberFormat="1" applyFont="1"/>
    <xf numFmtId="0" fontId="3" fillId="0" borderId="0" xfId="0" applyFont="1" applyAlignment="1">
      <alignment horizontal="left" indent="1"/>
    </xf>
    <xf numFmtId="41" fontId="2" fillId="0" borderId="0" xfId="0" applyNumberFormat="1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/>
    <xf numFmtId="10" fontId="2" fillId="0" borderId="0" xfId="3" applyNumberFormat="1" applyFont="1" applyFill="1" applyBorder="1"/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right"/>
    </xf>
    <xf numFmtId="9" fontId="0" fillId="0" borderId="0" xfId="3" applyFont="1" applyAlignment="1">
      <alignment vertical="center"/>
    </xf>
    <xf numFmtId="164" fontId="8" fillId="0" borderId="0" xfId="7" applyNumberFormat="1" applyFont="1" applyFill="1" applyBorder="1" applyAlignment="1">
      <alignment vertical="center"/>
    </xf>
    <xf numFmtId="164" fontId="8" fillId="0" borderId="0" xfId="5" applyNumberFormat="1" applyFont="1" applyAlignment="1">
      <alignment vertical="center"/>
    </xf>
    <xf numFmtId="164" fontId="8" fillId="0" borderId="0" xfId="3" applyNumberFormat="1" applyFont="1" applyAlignment="1">
      <alignment vertical="center"/>
    </xf>
    <xf numFmtId="164" fontId="8" fillId="0" borderId="0" xfId="3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6" fontId="4" fillId="0" borderId="0" xfId="1" applyNumberFormat="1" applyFont="1" applyFill="1" applyAlignment="1">
      <alignment horizontal="right" vertical="center"/>
    </xf>
    <xf numFmtId="44" fontId="4" fillId="0" borderId="0" xfId="2" applyFont="1" applyFill="1" applyAlignment="1">
      <alignment horizontal="right" vertical="center"/>
    </xf>
    <xf numFmtId="171" fontId="2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164" fontId="3" fillId="0" borderId="0" xfId="3" applyNumberFormat="1" applyFont="1" applyBorder="1" applyAlignment="1">
      <alignment vertical="center"/>
    </xf>
    <xf numFmtId="0" fontId="15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2" fillId="0" borderId="3" xfId="2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6" fontId="2" fillId="0" borderId="1" xfId="2" applyNumberFormat="1" applyFont="1" applyBorder="1" applyAlignment="1">
      <alignment vertical="center"/>
    </xf>
    <xf numFmtId="6" fontId="2" fillId="0" borderId="0" xfId="2" applyNumberFormat="1" applyFont="1" applyAlignment="1">
      <alignment vertical="center"/>
    </xf>
    <xf numFmtId="6" fontId="2" fillId="0" borderId="0" xfId="2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66" fontId="2" fillId="0" borderId="2" xfId="2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4" fontId="2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6" fontId="3" fillId="0" borderId="0" xfId="1" applyNumberFormat="1" applyFont="1" applyFill="1" applyAlignment="1">
      <alignment vertical="center"/>
    </xf>
    <xf numFmtId="6" fontId="3" fillId="0" borderId="0" xfId="1" applyNumberFormat="1" applyFont="1" applyFill="1" applyBorder="1" applyAlignment="1">
      <alignment vertical="center"/>
    </xf>
    <xf numFmtId="6" fontId="3" fillId="0" borderId="3" xfId="1" applyNumberFormat="1" applyFont="1" applyFill="1" applyBorder="1" applyAlignment="1">
      <alignment vertical="center"/>
    </xf>
    <xf numFmtId="6" fontId="2" fillId="0" borderId="3" xfId="1" applyNumberFormat="1" applyFont="1" applyFill="1" applyBorder="1" applyAlignment="1">
      <alignment vertical="center"/>
    </xf>
    <xf numFmtId="6" fontId="2" fillId="0" borderId="0" xfId="1" applyNumberFormat="1" applyFont="1" applyFill="1" applyBorder="1" applyAlignment="1">
      <alignment vertical="center"/>
    </xf>
    <xf numFmtId="6" fontId="2" fillId="0" borderId="0" xfId="1" applyNumberFormat="1" applyFont="1" applyFill="1" applyAlignment="1">
      <alignment vertical="center"/>
    </xf>
    <xf numFmtId="6" fontId="2" fillId="0" borderId="2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166" fontId="3" fillId="0" borderId="0" xfId="2" applyNumberFormat="1" applyFont="1" applyFill="1" applyAlignment="1">
      <alignment vertical="center"/>
    </xf>
    <xf numFmtId="166" fontId="2" fillId="0" borderId="3" xfId="2" applyNumberFormat="1" applyFont="1" applyFill="1" applyBorder="1" applyAlignment="1">
      <alignment vertical="center"/>
    </xf>
    <xf numFmtId="6" fontId="3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/>
    </xf>
    <xf numFmtId="6" fontId="3" fillId="0" borderId="0" xfId="1" applyNumberFormat="1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6" fontId="15" fillId="0" borderId="0" xfId="0" applyNumberFormat="1" applyFont="1" applyAlignment="1">
      <alignment horizontal="right"/>
    </xf>
    <xf numFmtId="165" fontId="2" fillId="0" borderId="1" xfId="2" applyNumberFormat="1" applyFont="1" applyBorder="1" applyAlignment="1">
      <alignment vertical="center"/>
    </xf>
    <xf numFmtId="6" fontId="16" fillId="0" borderId="2" xfId="0" applyNumberFormat="1" applyFont="1" applyBorder="1" applyAlignment="1">
      <alignment horizontal="right"/>
    </xf>
    <xf numFmtId="8" fontId="15" fillId="0" borderId="0" xfId="0" applyNumberFormat="1" applyFont="1"/>
    <xf numFmtId="0" fontId="3" fillId="0" borderId="0" xfId="0" applyFont="1" applyAlignment="1">
      <alignment horizontal="right" vertical="center"/>
    </xf>
    <xf numFmtId="43" fontId="0" fillId="2" borderId="0" xfId="1" applyFont="1" applyFill="1"/>
    <xf numFmtId="10" fontId="12" fillId="0" borderId="0" xfId="3" applyNumberFormat="1" applyFont="1" applyAlignment="1">
      <alignment vertical="center"/>
    </xf>
    <xf numFmtId="43" fontId="8" fillId="0" borderId="5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6" fontId="0" fillId="2" borderId="0" xfId="0" applyNumberFormat="1" applyFill="1" applyAlignment="1">
      <alignment vertical="center"/>
    </xf>
    <xf numFmtId="10" fontId="0" fillId="2" borderId="0" xfId="0" applyNumberFormat="1" applyFill="1" applyAlignment="1">
      <alignment vertical="center"/>
    </xf>
    <xf numFmtId="43" fontId="0" fillId="2" borderId="0" xfId="0" applyNumberFormat="1" applyFill="1" applyAlignment="1">
      <alignment vertical="center"/>
    </xf>
    <xf numFmtId="14" fontId="2" fillId="0" borderId="0" xfId="0" applyNumberFormat="1" applyFont="1" applyAlignment="1">
      <alignment horizontal="right" vertical="center"/>
    </xf>
    <xf numFmtId="6" fontId="8" fillId="0" borderId="0" xfId="1" applyNumberFormat="1" applyFont="1" applyFill="1" applyBorder="1" applyAlignment="1">
      <alignment vertical="center"/>
    </xf>
    <xf numFmtId="6" fontId="7" fillId="0" borderId="2" xfId="1" applyNumberFormat="1" applyFont="1" applyFill="1" applyBorder="1" applyAlignment="1">
      <alignment vertical="center"/>
    </xf>
    <xf numFmtId="8" fontId="0" fillId="2" borderId="0" xfId="0" applyNumberFormat="1" applyFill="1" applyAlignment="1">
      <alignment vertical="center"/>
    </xf>
    <xf numFmtId="10" fontId="8" fillId="0" borderId="0" xfId="7" applyNumberFormat="1" applyFont="1" applyFill="1" applyAlignment="1">
      <alignment vertical="center"/>
    </xf>
    <xf numFmtId="10" fontId="8" fillId="0" borderId="0" xfId="3" applyNumberFormat="1" applyFont="1" applyFill="1" applyAlignment="1">
      <alignment vertical="center"/>
    </xf>
    <xf numFmtId="10" fontId="8" fillId="0" borderId="0" xfId="7" applyNumberFormat="1" applyFont="1" applyFill="1" applyBorder="1" applyAlignment="1">
      <alignment vertical="center"/>
    </xf>
    <xf numFmtId="10" fontId="8" fillId="0" borderId="0" xfId="3" applyNumberFormat="1" applyFont="1" applyFill="1" applyBorder="1" applyAlignment="1">
      <alignment vertical="center"/>
    </xf>
    <xf numFmtId="10" fontId="8" fillId="0" borderId="2" xfId="5" applyNumberFormat="1" applyFont="1" applyBorder="1" applyAlignment="1">
      <alignment vertical="center"/>
    </xf>
    <xf numFmtId="10" fontId="8" fillId="0" borderId="0" xfId="5" applyNumberFormat="1" applyFont="1" applyAlignment="1">
      <alignment vertical="center"/>
    </xf>
    <xf numFmtId="10" fontId="8" fillId="0" borderId="0" xfId="3" applyNumberFormat="1" applyFont="1" applyBorder="1" applyAlignment="1">
      <alignment vertical="center"/>
    </xf>
    <xf numFmtId="10" fontId="8" fillId="0" borderId="2" xfId="7" applyNumberFormat="1" applyFont="1" applyFill="1" applyBorder="1" applyAlignment="1">
      <alignment vertical="center"/>
    </xf>
    <xf numFmtId="10" fontId="8" fillId="0" borderId="1" xfId="7" applyNumberFormat="1" applyFont="1" applyFill="1" applyBorder="1" applyAlignment="1">
      <alignment vertical="center"/>
    </xf>
    <xf numFmtId="10" fontId="8" fillId="0" borderId="5" xfId="7" applyNumberFormat="1" applyFont="1" applyFill="1" applyBorder="1" applyAlignment="1">
      <alignment vertical="center"/>
    </xf>
    <xf numFmtId="43" fontId="0" fillId="2" borderId="0" xfId="1" applyFont="1" applyFill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9" fontId="3" fillId="0" borderId="0" xfId="3" applyFont="1" applyBorder="1" applyAlignment="1">
      <alignment vertical="center"/>
    </xf>
    <xf numFmtId="0" fontId="18" fillId="3" borderId="0" xfId="0" applyFont="1" applyFill="1"/>
    <xf numFmtId="0" fontId="17" fillId="3" borderId="3" xfId="0" applyFont="1" applyFill="1" applyBorder="1" applyAlignment="1">
      <alignment horizontal="center" vertical="center" wrapText="1"/>
    </xf>
    <xf numFmtId="166" fontId="17" fillId="3" borderId="3" xfId="2" applyNumberFormat="1" applyFont="1" applyFill="1" applyBorder="1" applyAlignment="1">
      <alignment horizontal="center" vertical="center" wrapText="1"/>
    </xf>
    <xf numFmtId="43" fontId="17" fillId="3" borderId="3" xfId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quotePrefix="1" applyFont="1" applyFill="1" applyBorder="1" applyAlignment="1">
      <alignment horizontal="center" vertical="center" wrapText="1"/>
    </xf>
    <xf numFmtId="43" fontId="17" fillId="3" borderId="1" xfId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right"/>
    </xf>
    <xf numFmtId="165" fontId="18" fillId="3" borderId="4" xfId="1" applyNumberFormat="1" applyFont="1" applyFill="1" applyBorder="1" applyAlignment="1">
      <alignment horizontal="right" vertical="center"/>
    </xf>
    <xf numFmtId="165" fontId="18" fillId="3" borderId="4" xfId="1" applyNumberFormat="1" applyFont="1" applyFill="1" applyBorder="1" applyAlignment="1">
      <alignment vertical="center"/>
    </xf>
    <xf numFmtId="43" fontId="18" fillId="3" borderId="0" xfId="0" applyNumberFormat="1" applyFont="1" applyFill="1"/>
    <xf numFmtId="0" fontId="19" fillId="3" borderId="0" xfId="0" applyFont="1" applyFill="1" applyAlignment="1">
      <alignment horizontal="center" vertical="center"/>
    </xf>
    <xf numFmtId="0" fontId="19" fillId="3" borderId="3" xfId="0" applyFont="1" applyFill="1" applyBorder="1" applyAlignment="1">
      <alignment horizontal="right"/>
    </xf>
    <xf numFmtId="165" fontId="18" fillId="3" borderId="3" xfId="1" applyNumberFormat="1" applyFont="1" applyFill="1" applyBorder="1" applyAlignment="1">
      <alignment horizontal="right" vertical="center"/>
    </xf>
    <xf numFmtId="165" fontId="18" fillId="3" borderId="3" xfId="1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right"/>
    </xf>
    <xf numFmtId="165" fontId="18" fillId="3" borderId="1" xfId="1" applyNumberFormat="1" applyFont="1" applyFill="1" applyBorder="1" applyAlignment="1">
      <alignment horizontal="right" vertical="center"/>
    </xf>
    <xf numFmtId="165" fontId="18" fillId="3" borderId="1" xfId="1" applyNumberFormat="1" applyFont="1" applyFill="1" applyBorder="1" applyAlignment="1">
      <alignment vertical="center"/>
    </xf>
    <xf numFmtId="0" fontId="18" fillId="3" borderId="4" xfId="0" applyFont="1" applyFill="1" applyBorder="1" applyAlignment="1">
      <alignment horizontal="right"/>
    </xf>
    <xf numFmtId="0" fontId="19" fillId="3" borderId="0" xfId="0" applyFont="1" applyFill="1"/>
    <xf numFmtId="166" fontId="18" fillId="3" borderId="0" xfId="2" applyNumberFormat="1" applyFont="1" applyFill="1" applyBorder="1" applyAlignment="1">
      <alignment horizontal="right" vertical="center"/>
    </xf>
    <xf numFmtId="166" fontId="18" fillId="3" borderId="0" xfId="1" applyNumberFormat="1" applyFont="1" applyFill="1" applyBorder="1" applyAlignment="1">
      <alignment vertical="center"/>
    </xf>
    <xf numFmtId="166" fontId="18" fillId="3" borderId="0" xfId="0" applyNumberFormat="1" applyFont="1" applyFill="1" applyAlignment="1">
      <alignment horizontal="right" vertical="center"/>
    </xf>
    <xf numFmtId="166" fontId="20" fillId="3" borderId="0" xfId="1" applyNumberFormat="1" applyFont="1" applyFill="1" applyBorder="1" applyAlignment="1">
      <alignment vertical="center"/>
    </xf>
    <xf numFmtId="166" fontId="20" fillId="3" borderId="0" xfId="1" applyNumberFormat="1" applyFont="1" applyFill="1" applyBorder="1" applyAlignment="1">
      <alignment horizontal="right" vertical="center"/>
    </xf>
    <xf numFmtId="166" fontId="19" fillId="3" borderId="0" xfId="1" applyNumberFormat="1" applyFont="1" applyFill="1" applyBorder="1" applyAlignment="1">
      <alignment vertical="center"/>
    </xf>
    <xf numFmtId="166" fontId="17" fillId="3" borderId="0" xfId="0" applyNumberFormat="1" applyFont="1" applyFill="1" applyAlignment="1">
      <alignment horizontal="right" vertical="center"/>
    </xf>
    <xf numFmtId="43" fontId="18" fillId="3" borderId="0" xfId="1" applyFont="1" applyFill="1" applyBorder="1" applyAlignment="1">
      <alignment horizontal="right" vertical="center"/>
    </xf>
    <xf numFmtId="43" fontId="18" fillId="3" borderId="0" xfId="1" applyFont="1" applyFill="1" applyBorder="1" applyAlignment="1">
      <alignment vertical="center"/>
    </xf>
    <xf numFmtId="166" fontId="18" fillId="3" borderId="0" xfId="0" applyNumberFormat="1" applyFont="1" applyFill="1" applyAlignment="1">
      <alignment horizontal="left" vertical="center"/>
    </xf>
    <xf numFmtId="166" fontId="19" fillId="3" borderId="0" xfId="0" applyNumberFormat="1" applyFont="1" applyFill="1" applyAlignment="1">
      <alignment horizontal="right" vertical="center"/>
    </xf>
    <xf numFmtId="43" fontId="18" fillId="3" borderId="0" xfId="0" applyNumberFormat="1" applyFont="1" applyFill="1" applyAlignment="1">
      <alignment horizontal="left"/>
    </xf>
    <xf numFmtId="43" fontId="18" fillId="3" borderId="0" xfId="1" applyFont="1" applyFill="1" applyBorder="1"/>
    <xf numFmtId="43" fontId="17" fillId="3" borderId="0" xfId="1" applyFont="1" applyFill="1" applyBorder="1" applyAlignment="1">
      <alignment vertical="center"/>
    </xf>
    <xf numFmtId="43" fontId="17" fillId="3" borderId="0" xfId="1" applyFont="1" applyFill="1" applyBorder="1"/>
    <xf numFmtId="166" fontId="18" fillId="3" borderId="0" xfId="2" applyNumberFormat="1" applyFont="1" applyFill="1" applyBorder="1" applyAlignment="1">
      <alignment horizontal="right"/>
    </xf>
    <xf numFmtId="166" fontId="17" fillId="3" borderId="0" xfId="1" applyNumberFormat="1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166" fontId="18" fillId="3" borderId="0" xfId="1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left"/>
    </xf>
    <xf numFmtId="166" fontId="18" fillId="3" borderId="0" xfId="2" applyNumberFormat="1" applyFont="1" applyFill="1" applyAlignment="1">
      <alignment horizontal="right" vertical="center"/>
    </xf>
    <xf numFmtId="166" fontId="18" fillId="3" borderId="0" xfId="0" applyNumberFormat="1" applyFont="1" applyFill="1" applyAlignment="1">
      <alignment horizontal="center" vertical="center"/>
    </xf>
    <xf numFmtId="166" fontId="18" fillId="3" borderId="0" xfId="1" applyNumberFormat="1" applyFont="1" applyFill="1" applyAlignment="1">
      <alignment horizontal="center" vertical="center"/>
    </xf>
    <xf numFmtId="166" fontId="18" fillId="3" borderId="0" xfId="2" applyNumberFormat="1" applyFont="1" applyFill="1" applyAlignment="1">
      <alignment horizontal="right"/>
    </xf>
    <xf numFmtId="0" fontId="21" fillId="3" borderId="0" xfId="0" applyFont="1" applyFill="1"/>
    <xf numFmtId="43" fontId="18" fillId="3" borderId="0" xfId="1" applyFont="1" applyFill="1"/>
    <xf numFmtId="166" fontId="18" fillId="3" borderId="0" xfId="0" applyNumberFormat="1" applyFont="1" applyFill="1"/>
    <xf numFmtId="0" fontId="18" fillId="3" borderId="0" xfId="0" applyFont="1" applyFill="1" applyAlignment="1">
      <alignment vertical="center"/>
    </xf>
    <xf numFmtId="165" fontId="18" fillId="4" borderId="4" xfId="1" applyNumberFormat="1" applyFont="1" applyFill="1" applyBorder="1" applyAlignment="1">
      <alignment horizontal="right" vertical="center"/>
    </xf>
    <xf numFmtId="165" fontId="18" fillId="4" borderId="3" xfId="1" applyNumberFormat="1" applyFont="1" applyFill="1" applyBorder="1" applyAlignment="1">
      <alignment horizontal="right" vertical="center"/>
    </xf>
    <xf numFmtId="165" fontId="18" fillId="4" borderId="1" xfId="1" applyNumberFormat="1" applyFont="1" applyFill="1" applyBorder="1" applyAlignment="1">
      <alignment horizontal="right" vertical="center"/>
    </xf>
    <xf numFmtId="165" fontId="22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171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14" fontId="17" fillId="3" borderId="0" xfId="0" applyNumberFormat="1" applyFont="1" applyFill="1" applyAlignment="1">
      <alignment horizontal="center"/>
    </xf>
    <xf numFmtId="0" fontId="19" fillId="3" borderId="3" xfId="0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right" vertical="center"/>
    </xf>
  </cellXfs>
  <cellStyles count="8">
    <cellStyle name="Comma" xfId="1" builtinId="3"/>
    <cellStyle name="Currency" xfId="2" builtinId="4"/>
    <cellStyle name="Normal" xfId="0" builtinId="0"/>
    <cellStyle name="Normal 2 4" xfId="5"/>
    <cellStyle name="Normal 4" xfId="6"/>
    <cellStyle name="Normal 5" xfId="4"/>
    <cellStyle name="Percent" xfId="3" builtinId="5"/>
    <cellStyle name="Percent 2" xfId="7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W65"/>
  <sheetViews>
    <sheetView showGridLines="0" view="pageLayout" topLeftCell="AK96" zoomScaleNormal="85" zoomScaleSheetLayoutView="85" workbookViewId="0">
      <selection activeCell="AN112" sqref="AN112:AN115"/>
    </sheetView>
  </sheetViews>
  <sheetFormatPr defaultColWidth="9.140625" defaultRowHeight="12.75" outlineLevelCol="1"/>
  <cols>
    <col min="1" max="1" width="10.5703125" style="1" customWidth="1"/>
    <col min="2" max="2" width="40" style="7" customWidth="1"/>
    <col min="3" max="5" width="15.5703125" style="7" customWidth="1" outlineLevel="1"/>
    <col min="6" max="6" width="3.5703125" style="7" customWidth="1" outlineLevel="1"/>
    <col min="7" max="9" width="15.5703125" style="7" customWidth="1" outlineLevel="1"/>
    <col min="10" max="10" width="3.5703125" style="7" customWidth="1" outlineLevel="1"/>
    <col min="11" max="13" width="15.5703125" style="7" customWidth="1" outlineLevel="1"/>
    <col min="14" max="14" width="3.5703125" style="7" customWidth="1" outlineLevel="1"/>
    <col min="15" max="17" width="15.5703125" style="7" customWidth="1" outlineLevel="1"/>
    <col min="18" max="18" width="3.5703125" style="7" customWidth="1" outlineLevel="1"/>
    <col min="19" max="21" width="15.5703125" style="7" customWidth="1" outlineLevel="1"/>
    <col min="22" max="22" width="3.5703125" style="7" customWidth="1" outlineLevel="1"/>
    <col min="23" max="25" width="15.5703125" style="7" customWidth="1" outlineLevel="1"/>
    <col min="26" max="26" width="3.5703125" style="7" customWidth="1" outlineLevel="1"/>
    <col min="27" max="29" width="15.5703125" style="7" customWidth="1"/>
    <col min="30" max="30" width="3.5703125" style="7" customWidth="1"/>
    <col min="31" max="31" width="15.5703125" style="7" customWidth="1"/>
    <col min="32" max="32" width="15.5703125" style="43" customWidth="1"/>
    <col min="33" max="33" width="15.5703125" style="7" customWidth="1"/>
    <col min="34" max="34" width="3.5703125" style="7" customWidth="1"/>
    <col min="35" max="37" width="15.5703125" style="7" customWidth="1"/>
    <col min="38" max="38" width="3.5703125" style="7" customWidth="1"/>
    <col min="39" max="41" width="15.5703125" style="7" customWidth="1"/>
    <col min="42" max="42" width="3.5703125" style="7" customWidth="1"/>
    <col min="43" max="45" width="15.5703125" style="7" customWidth="1"/>
    <col min="46" max="46" width="3.5703125" style="7" customWidth="1"/>
    <col min="47" max="54" width="15.5703125" style="7" customWidth="1"/>
    <col min="55" max="16384" width="9.140625" style="7"/>
  </cols>
  <sheetData>
    <row r="1" spans="1:49" ht="15" customHeight="1">
      <c r="A1" s="17"/>
      <c r="B1" s="17"/>
      <c r="C1" s="262" t="s">
        <v>0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 t="s">
        <v>0</v>
      </c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</row>
    <row r="2" spans="1:49" ht="15" customHeight="1">
      <c r="A2" s="17"/>
      <c r="B2" s="17"/>
      <c r="C2" s="262" t="s">
        <v>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 t="s">
        <v>1</v>
      </c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</row>
    <row r="3" spans="1:49" ht="15" customHeight="1">
      <c r="A3" s="17"/>
      <c r="B3" s="17"/>
      <c r="C3" s="263" t="s">
        <v>415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 t="s">
        <v>415</v>
      </c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</row>
    <row r="4" spans="1:49" s="140" customFormat="1">
      <c r="A4" s="261" t="s">
        <v>3</v>
      </c>
      <c r="B4" s="261" t="s">
        <v>142</v>
      </c>
      <c r="C4" s="260">
        <v>44408</v>
      </c>
      <c r="D4" s="260"/>
      <c r="E4" s="260"/>
      <c r="F4" s="11"/>
      <c r="G4" s="260">
        <f>EOMONTH(C4,1)</f>
        <v>44439</v>
      </c>
      <c r="H4" s="260"/>
      <c r="I4" s="260"/>
      <c r="J4" s="11"/>
      <c r="K4" s="260">
        <f>EOMONTH(G4,1)</f>
        <v>44469</v>
      </c>
      <c r="L4" s="260"/>
      <c r="M4" s="260"/>
      <c r="N4" s="11"/>
      <c r="O4" s="260">
        <f>EOMONTH(K4,1)</f>
        <v>44500</v>
      </c>
      <c r="P4" s="260"/>
      <c r="Q4" s="260"/>
      <c r="R4" s="11"/>
      <c r="S4" s="260">
        <f>EOMONTH(O4,1)</f>
        <v>44530</v>
      </c>
      <c r="T4" s="260"/>
      <c r="U4" s="260"/>
      <c r="V4" s="11"/>
      <c r="W4" s="260">
        <f>EOMONTH(S4,1)</f>
        <v>44561</v>
      </c>
      <c r="X4" s="260"/>
      <c r="Y4" s="260"/>
      <c r="Z4" s="11"/>
      <c r="AA4" s="260">
        <f>EOMONTH(W4,1)</f>
        <v>44592</v>
      </c>
      <c r="AB4" s="260"/>
      <c r="AC4" s="260"/>
      <c r="AD4" s="134"/>
      <c r="AE4" s="260">
        <f>EOMONTH(AA4,1)</f>
        <v>44620</v>
      </c>
      <c r="AF4" s="260"/>
      <c r="AG4" s="260"/>
      <c r="AH4" s="134"/>
      <c r="AI4" s="260">
        <f>EOMONTH(AE4,1)</f>
        <v>44651</v>
      </c>
      <c r="AJ4" s="260"/>
      <c r="AK4" s="260"/>
      <c r="AL4" s="134"/>
      <c r="AM4" s="260">
        <f>EOMONTH(AI4,1)</f>
        <v>44681</v>
      </c>
      <c r="AN4" s="260"/>
      <c r="AO4" s="260"/>
      <c r="AP4" s="134"/>
      <c r="AQ4" s="260">
        <f>EOMONTH(AM4,1)</f>
        <v>44712</v>
      </c>
      <c r="AR4" s="260"/>
      <c r="AS4" s="260"/>
      <c r="AT4" s="154"/>
      <c r="AU4" s="260">
        <f>EOMONTH(AQ4,1)</f>
        <v>44742</v>
      </c>
      <c r="AV4" s="260"/>
      <c r="AW4" s="260"/>
    </row>
    <row r="5" spans="1:49" ht="15" customHeight="1">
      <c r="A5" s="261"/>
      <c r="B5" s="261"/>
      <c r="C5" s="155" t="s">
        <v>259</v>
      </c>
      <c r="D5" s="6" t="s">
        <v>260</v>
      </c>
      <c r="E5" s="6" t="s">
        <v>261</v>
      </c>
      <c r="F5" s="6"/>
      <c r="G5" s="155" t="s">
        <v>259</v>
      </c>
      <c r="H5" s="6" t="s">
        <v>260</v>
      </c>
      <c r="I5" s="6" t="s">
        <v>261</v>
      </c>
      <c r="J5" s="6"/>
      <c r="K5" s="155" t="s">
        <v>259</v>
      </c>
      <c r="L5" s="6" t="s">
        <v>260</v>
      </c>
      <c r="M5" s="6" t="s">
        <v>261</v>
      </c>
      <c r="N5" s="6"/>
      <c r="O5" s="155" t="s">
        <v>259</v>
      </c>
      <c r="P5" s="6" t="s">
        <v>260</v>
      </c>
      <c r="Q5" s="6" t="s">
        <v>261</v>
      </c>
      <c r="R5" s="6"/>
      <c r="S5" s="155" t="s">
        <v>259</v>
      </c>
      <c r="T5" s="6" t="s">
        <v>260</v>
      </c>
      <c r="U5" s="6" t="s">
        <v>261</v>
      </c>
      <c r="V5" s="6"/>
      <c r="W5" s="155" t="s">
        <v>259</v>
      </c>
      <c r="X5" s="6" t="s">
        <v>260</v>
      </c>
      <c r="Y5" s="6" t="s">
        <v>261</v>
      </c>
      <c r="Z5" s="6"/>
      <c r="AA5" s="155" t="s">
        <v>259</v>
      </c>
      <c r="AB5" s="6" t="s">
        <v>260</v>
      </c>
      <c r="AC5" s="6" t="s">
        <v>261</v>
      </c>
      <c r="AD5" s="6"/>
      <c r="AE5" s="155" t="s">
        <v>259</v>
      </c>
      <c r="AF5" s="6" t="s">
        <v>260</v>
      </c>
      <c r="AG5" s="6" t="s">
        <v>261</v>
      </c>
      <c r="AH5" s="6"/>
      <c r="AI5" s="155" t="s">
        <v>259</v>
      </c>
      <c r="AJ5" s="6" t="s">
        <v>260</v>
      </c>
      <c r="AK5" s="6" t="s">
        <v>261</v>
      </c>
      <c r="AL5" s="6"/>
      <c r="AM5" s="155" t="s">
        <v>259</v>
      </c>
      <c r="AN5" s="6" t="s">
        <v>260</v>
      </c>
      <c r="AO5" s="6" t="s">
        <v>261</v>
      </c>
      <c r="AP5" s="6"/>
      <c r="AQ5" s="155" t="s">
        <v>259</v>
      </c>
      <c r="AR5" s="6" t="s">
        <v>260</v>
      </c>
      <c r="AS5" s="6" t="s">
        <v>261</v>
      </c>
      <c r="AT5" s="156"/>
      <c r="AU5" s="155" t="s">
        <v>259</v>
      </c>
      <c r="AV5" s="6" t="s">
        <v>260</v>
      </c>
      <c r="AW5" s="6" t="s">
        <v>261</v>
      </c>
    </row>
    <row r="6" spans="1:49" ht="15" customHeight="1">
      <c r="A6" s="1">
        <v>1</v>
      </c>
      <c r="B6" s="17"/>
      <c r="C6" s="17"/>
      <c r="F6" s="17"/>
      <c r="G6" s="17"/>
      <c r="J6" s="17"/>
      <c r="K6" s="17"/>
      <c r="N6" s="17"/>
      <c r="O6" s="17"/>
      <c r="R6" s="17"/>
      <c r="S6" s="17"/>
      <c r="V6" s="17"/>
      <c r="W6" s="17"/>
      <c r="Z6" s="17"/>
      <c r="AA6" s="17"/>
      <c r="AF6" s="39"/>
      <c r="AG6" s="40"/>
      <c r="AH6" s="40"/>
    </row>
    <row r="7" spans="1:49" ht="15" customHeight="1">
      <c r="A7" s="1">
        <f>A6+1</f>
        <v>2</v>
      </c>
      <c r="B7" s="7" t="s">
        <v>262</v>
      </c>
      <c r="C7" s="32">
        <v>7549.2</v>
      </c>
      <c r="D7" s="32">
        <v>23283.876</v>
      </c>
      <c r="E7" s="157">
        <f>C7-D7</f>
        <v>-15734.675999999999</v>
      </c>
      <c r="G7" s="32">
        <v>26477</v>
      </c>
      <c r="H7" s="32">
        <v>23283.876</v>
      </c>
      <c r="I7" s="157">
        <f>G7-H7</f>
        <v>3193.1239999999998</v>
      </c>
      <c r="K7" s="32">
        <v>26108.720000000001</v>
      </c>
      <c r="L7" s="32">
        <v>23283.876</v>
      </c>
      <c r="M7" s="157">
        <f>K7-L7</f>
        <v>2824.844000000001</v>
      </c>
      <c r="O7" s="32">
        <v>24801.96</v>
      </c>
      <c r="P7" s="32">
        <v>23283.876</v>
      </c>
      <c r="Q7" s="157">
        <f>O7-P7</f>
        <v>1518.0839999999989</v>
      </c>
      <c r="S7" s="32">
        <v>24466.45</v>
      </c>
      <c r="T7" s="32">
        <v>23283.876</v>
      </c>
      <c r="U7" s="157">
        <f>S7-T7</f>
        <v>1182.5740000000005</v>
      </c>
      <c r="W7" s="32">
        <v>22814.21</v>
      </c>
      <c r="X7" s="32">
        <v>23283.876</v>
      </c>
      <c r="Y7" s="157">
        <f>W7-X7</f>
        <v>-469.66600000000108</v>
      </c>
      <c r="AA7" s="157">
        <v>23606.54</v>
      </c>
      <c r="AB7" s="157">
        <v>26666.902777777781</v>
      </c>
      <c r="AC7" s="157">
        <f>AA7-AB7</f>
        <v>-3060.3627777777801</v>
      </c>
      <c r="AD7" s="25"/>
      <c r="AE7" s="157">
        <v>23532</v>
      </c>
      <c r="AF7" s="157">
        <v>26385.046296296296</v>
      </c>
      <c r="AG7" s="157">
        <f>AE7-AF7</f>
        <v>-2853.0462962962956</v>
      </c>
      <c r="AH7" s="158"/>
      <c r="AI7" s="157">
        <v>23097.5</v>
      </c>
      <c r="AJ7" s="157">
        <v>25911.402183039463</v>
      </c>
      <c r="AK7" s="157">
        <f>AI7-AJ7</f>
        <v>-2813.9021830394631</v>
      </c>
      <c r="AL7" s="158"/>
      <c r="AM7" s="157">
        <v>22852.67</v>
      </c>
      <c r="AN7" s="157">
        <v>25955.998880492582</v>
      </c>
      <c r="AO7" s="157">
        <f>AM7-AN7</f>
        <v>-3103.3288804925833</v>
      </c>
      <c r="AP7" s="158"/>
      <c r="AQ7" s="157">
        <v>21983.919999999998</v>
      </c>
      <c r="AR7" s="157">
        <v>25948.377273999442</v>
      </c>
      <c r="AS7" s="157">
        <f>AQ7-AR7</f>
        <v>-3964.4572739994437</v>
      </c>
      <c r="AT7" s="158"/>
      <c r="AU7" s="157">
        <v>23535.279999999999</v>
      </c>
      <c r="AV7" s="157">
        <v>25910.681220263083</v>
      </c>
      <c r="AW7" s="157">
        <f>AU7-AV7</f>
        <v>-2375.4012202630838</v>
      </c>
    </row>
    <row r="8" spans="1:49" ht="15" customHeight="1">
      <c r="A8" s="1">
        <f t="shared" ref="A8:A57" si="0">A7+1</f>
        <v>3</v>
      </c>
      <c r="B8" s="7" t="s">
        <v>263</v>
      </c>
      <c r="C8" s="32">
        <v>254.93</v>
      </c>
      <c r="D8" s="32">
        <v>0</v>
      </c>
      <c r="E8" s="157">
        <f t="shared" ref="E8:E9" si="1">C8-D8</f>
        <v>254.93</v>
      </c>
      <c r="G8" s="32">
        <v>170.98</v>
      </c>
      <c r="H8" s="32">
        <v>0</v>
      </c>
      <c r="I8" s="157">
        <f t="shared" ref="I8:I9" si="2">G8-H8</f>
        <v>170.98</v>
      </c>
      <c r="K8" s="32">
        <v>-13.02</v>
      </c>
      <c r="L8" s="32">
        <v>0</v>
      </c>
      <c r="M8" s="157">
        <f t="shared" ref="M8:M9" si="3">K8-L8</f>
        <v>-13.02</v>
      </c>
      <c r="O8" s="32">
        <v>0</v>
      </c>
      <c r="P8" s="32">
        <v>0</v>
      </c>
      <c r="Q8" s="157">
        <f t="shared" ref="Q8:Q9" si="4">O8-P8</f>
        <v>0</v>
      </c>
      <c r="S8" s="32">
        <v>0</v>
      </c>
      <c r="T8" s="32">
        <v>0</v>
      </c>
      <c r="U8" s="157">
        <f t="shared" ref="U8:U9" si="5">S8-T8</f>
        <v>0</v>
      </c>
      <c r="W8" s="32">
        <v>-3.2399999999999984</v>
      </c>
      <c r="X8" s="32">
        <v>0</v>
      </c>
      <c r="Y8" s="157">
        <f t="shared" ref="Y8:Y9" si="6">W8-X8</f>
        <v>-3.2399999999999984</v>
      </c>
      <c r="AA8" s="157">
        <v>15</v>
      </c>
      <c r="AB8" s="157">
        <v>0</v>
      </c>
      <c r="AC8" s="157">
        <f t="shared" ref="AC8:AC9" si="7">AA8-AB8</f>
        <v>15</v>
      </c>
      <c r="AD8" s="25"/>
      <c r="AE8" s="157">
        <v>0</v>
      </c>
      <c r="AF8" s="157">
        <v>0</v>
      </c>
      <c r="AG8" s="157">
        <f t="shared" ref="AG8:AG9" si="8">AE8-AF8</f>
        <v>0</v>
      </c>
      <c r="AH8" s="158"/>
      <c r="AI8" s="157">
        <v>0</v>
      </c>
      <c r="AJ8" s="157">
        <v>0</v>
      </c>
      <c r="AK8" s="157">
        <f t="shared" ref="AK8:AK9" si="9">AI8-AJ8</f>
        <v>0</v>
      </c>
      <c r="AL8" s="158"/>
      <c r="AM8" s="157">
        <v>0</v>
      </c>
      <c r="AN8" s="157">
        <v>0</v>
      </c>
      <c r="AO8" s="157">
        <f t="shared" ref="AO8:AO9" si="10">AM8-AN8</f>
        <v>0</v>
      </c>
      <c r="AP8" s="158"/>
      <c r="AQ8" s="157">
        <v>0</v>
      </c>
      <c r="AR8" s="157">
        <v>0</v>
      </c>
      <c r="AS8" s="157">
        <f t="shared" ref="AS8:AS9" si="11">AQ8-AR8</f>
        <v>0</v>
      </c>
      <c r="AT8" s="158"/>
      <c r="AU8" s="157">
        <v>0</v>
      </c>
      <c r="AV8" s="157">
        <v>0</v>
      </c>
      <c r="AW8" s="157">
        <f t="shared" ref="AW8:AW9" si="12">AU8-AV8</f>
        <v>0</v>
      </c>
    </row>
    <row r="9" spans="1:49" ht="15" customHeight="1">
      <c r="A9" s="1">
        <f t="shared" si="0"/>
        <v>4</v>
      </c>
      <c r="B9" s="7" t="s">
        <v>264</v>
      </c>
      <c r="C9" s="159">
        <f>SUM(C7:C8)</f>
        <v>7804.13</v>
      </c>
      <c r="D9" s="159">
        <f t="shared" ref="D9" si="13">SUM(D7:D8)</f>
        <v>23283.876</v>
      </c>
      <c r="E9" s="159">
        <f t="shared" si="1"/>
        <v>-15479.745999999999</v>
      </c>
      <c r="G9" s="159">
        <f>SUM(G7:G8)</f>
        <v>26647.98</v>
      </c>
      <c r="H9" s="159">
        <f t="shared" ref="H9" si="14">SUM(H7:H8)</f>
        <v>23283.876</v>
      </c>
      <c r="I9" s="159">
        <f t="shared" si="2"/>
        <v>3364.1039999999994</v>
      </c>
      <c r="K9" s="159">
        <f>SUM(K7:K8)</f>
        <v>26095.7</v>
      </c>
      <c r="L9" s="159">
        <f t="shared" ref="L9" si="15">SUM(L7:L8)</f>
        <v>23283.876</v>
      </c>
      <c r="M9" s="159">
        <f t="shared" si="3"/>
        <v>2811.8240000000005</v>
      </c>
      <c r="O9" s="159">
        <f>SUM(O7:O8)</f>
        <v>24801.96</v>
      </c>
      <c r="P9" s="159">
        <f t="shared" ref="P9" si="16">SUM(P7:P8)</f>
        <v>23283.876</v>
      </c>
      <c r="Q9" s="159">
        <f t="shared" si="4"/>
        <v>1518.0839999999989</v>
      </c>
      <c r="S9" s="159">
        <f>SUM(S7:S8)</f>
        <v>24466.45</v>
      </c>
      <c r="T9" s="159">
        <f t="shared" ref="T9" si="17">SUM(T7:T8)</f>
        <v>23283.876</v>
      </c>
      <c r="U9" s="159">
        <f t="shared" si="5"/>
        <v>1182.5740000000005</v>
      </c>
      <c r="W9" s="159">
        <f>SUM(W7:W8)</f>
        <v>22810.969999999998</v>
      </c>
      <c r="X9" s="159">
        <f t="shared" ref="X9" si="18">SUM(X7:X8)</f>
        <v>23283.876</v>
      </c>
      <c r="Y9" s="159">
        <f t="shared" si="6"/>
        <v>-472.90600000000268</v>
      </c>
      <c r="AA9" s="159">
        <f>SUM(AA7:AA8)</f>
        <v>23621.54</v>
      </c>
      <c r="AB9" s="159">
        <f t="shared" ref="AB9" si="19">SUM(AB7:AB8)</f>
        <v>26666.902777777781</v>
      </c>
      <c r="AC9" s="159">
        <f t="shared" si="7"/>
        <v>-3045.3627777777801</v>
      </c>
      <c r="AD9" s="25"/>
      <c r="AE9" s="159">
        <f t="shared" ref="AE9:AV9" si="20">SUM(AE7:AE8)</f>
        <v>23532</v>
      </c>
      <c r="AF9" s="159">
        <f t="shared" si="20"/>
        <v>26385.046296296296</v>
      </c>
      <c r="AG9" s="159">
        <f t="shared" si="8"/>
        <v>-2853.0462962962956</v>
      </c>
      <c r="AH9" s="158"/>
      <c r="AI9" s="159">
        <f t="shared" si="20"/>
        <v>23097.5</v>
      </c>
      <c r="AJ9" s="159">
        <f t="shared" si="20"/>
        <v>25911.402183039463</v>
      </c>
      <c r="AK9" s="159">
        <f t="shared" si="9"/>
        <v>-2813.9021830394631</v>
      </c>
      <c r="AL9" s="158"/>
      <c r="AM9" s="159">
        <f t="shared" si="20"/>
        <v>22852.67</v>
      </c>
      <c r="AN9" s="159">
        <f t="shared" si="20"/>
        <v>25955.998880492582</v>
      </c>
      <c r="AO9" s="159">
        <f t="shared" si="10"/>
        <v>-3103.3288804925833</v>
      </c>
      <c r="AP9" s="158"/>
      <c r="AQ9" s="159">
        <f t="shared" si="20"/>
        <v>21983.919999999998</v>
      </c>
      <c r="AR9" s="159">
        <f t="shared" si="20"/>
        <v>25948.377273999442</v>
      </c>
      <c r="AS9" s="159">
        <f t="shared" si="11"/>
        <v>-3964.4572739994437</v>
      </c>
      <c r="AT9" s="158"/>
      <c r="AU9" s="159">
        <f t="shared" si="20"/>
        <v>23535.279999999999</v>
      </c>
      <c r="AV9" s="159">
        <f t="shared" si="20"/>
        <v>25910.681220263083</v>
      </c>
      <c r="AW9" s="159">
        <f t="shared" si="12"/>
        <v>-2375.4012202630838</v>
      </c>
    </row>
    <row r="10" spans="1:49" ht="15" customHeight="1">
      <c r="A10" s="1">
        <f t="shared" si="0"/>
        <v>5</v>
      </c>
      <c r="C10" s="157"/>
      <c r="D10" s="157"/>
      <c r="E10" s="157"/>
      <c r="G10" s="157"/>
      <c r="H10" s="157"/>
      <c r="I10" s="157"/>
      <c r="K10" s="157"/>
      <c r="L10" s="157"/>
      <c r="M10" s="157"/>
      <c r="O10" s="157"/>
      <c r="P10" s="157"/>
      <c r="Q10" s="157"/>
      <c r="S10" s="157"/>
      <c r="T10" s="157"/>
      <c r="U10" s="157"/>
      <c r="W10" s="157"/>
      <c r="X10" s="157"/>
      <c r="Y10" s="157"/>
      <c r="AA10" s="157"/>
      <c r="AB10" s="157"/>
      <c r="AC10" s="157"/>
      <c r="AD10" s="25"/>
      <c r="AE10" s="157"/>
      <c r="AF10" s="157"/>
      <c r="AG10" s="157"/>
      <c r="AH10" s="158"/>
      <c r="AI10" s="157"/>
      <c r="AJ10" s="157"/>
      <c r="AK10" s="157"/>
      <c r="AL10" s="158"/>
      <c r="AM10" s="157"/>
      <c r="AN10" s="157"/>
      <c r="AO10" s="157"/>
      <c r="AP10" s="158"/>
      <c r="AQ10" s="157"/>
      <c r="AR10" s="157"/>
      <c r="AS10" s="157"/>
      <c r="AT10" s="158"/>
      <c r="AU10" s="157"/>
      <c r="AV10" s="157"/>
      <c r="AW10" s="157"/>
    </row>
    <row r="11" spans="1:49" ht="15" customHeight="1">
      <c r="A11" s="1">
        <f t="shared" si="0"/>
        <v>6</v>
      </c>
      <c r="B11" s="7" t="s">
        <v>155</v>
      </c>
      <c r="C11" s="32">
        <v>115497.03</v>
      </c>
      <c r="D11" s="32">
        <v>208455.94</v>
      </c>
      <c r="E11" s="157">
        <f t="shared" ref="E11:E13" si="21">C11-D11</f>
        <v>-92958.91</v>
      </c>
      <c r="G11" s="32">
        <v>213151.52</v>
      </c>
      <c r="H11" s="32">
        <v>208455.94</v>
      </c>
      <c r="I11" s="157">
        <f t="shared" ref="I11:I13" si="22">G11-H11</f>
        <v>4695.5799999999872</v>
      </c>
      <c r="K11" s="32">
        <v>230258.08000000002</v>
      </c>
      <c r="L11" s="32">
        <v>208455.94</v>
      </c>
      <c r="M11" s="157">
        <f t="shared" ref="M11:M13" si="23">K11-L11</f>
        <v>21802.140000000014</v>
      </c>
      <c r="O11" s="32">
        <v>202966.41</v>
      </c>
      <c r="P11" s="32">
        <v>208455.94</v>
      </c>
      <c r="Q11" s="157">
        <f t="shared" ref="Q11:Q13" si="24">O11-P11</f>
        <v>-5489.5299999999988</v>
      </c>
      <c r="S11" s="32">
        <v>202604.66</v>
      </c>
      <c r="T11" s="32">
        <v>208455.94</v>
      </c>
      <c r="U11" s="157">
        <f t="shared" ref="U11:U13" si="25">S11-T11</f>
        <v>-5851.2799999999988</v>
      </c>
      <c r="W11" s="32">
        <v>197930.02000000002</v>
      </c>
      <c r="X11" s="32">
        <v>208455.94</v>
      </c>
      <c r="Y11" s="157">
        <f t="shared" ref="Y11:Y13" si="26">W11-X11</f>
        <v>-10525.919999999984</v>
      </c>
      <c r="AA11" s="157">
        <v>198622.83</v>
      </c>
      <c r="AB11" s="157">
        <v>223770.09722222225</v>
      </c>
      <c r="AC11" s="157">
        <f t="shared" ref="AC11:AC13" si="27">AA11-AB11</f>
        <v>-25147.267222222261</v>
      </c>
      <c r="AD11" s="25"/>
      <c r="AE11" s="157">
        <v>197436.19</v>
      </c>
      <c r="AF11" s="157">
        <v>221404.95370370368</v>
      </c>
      <c r="AG11" s="157">
        <f t="shared" ref="AG11:AG13" si="28">AE11-AF11</f>
        <v>-23968.763703703677</v>
      </c>
      <c r="AH11" s="158"/>
      <c r="AI11" s="157">
        <v>194455.56999999998</v>
      </c>
      <c r="AJ11" s="157">
        <v>225668.59781696057</v>
      </c>
      <c r="AK11" s="157">
        <f t="shared" ref="AK11:AK13" si="29">AI11-AJ11</f>
        <v>-31213.027816960588</v>
      </c>
      <c r="AL11" s="158"/>
      <c r="AM11" s="157">
        <v>199943.49</v>
      </c>
      <c r="AN11" s="157">
        <v>226057.00111950739</v>
      </c>
      <c r="AO11" s="157">
        <f t="shared" ref="AO11:AO13" si="30">AM11-AN11</f>
        <v>-26113.511119507399</v>
      </c>
      <c r="AP11" s="158"/>
      <c r="AQ11" s="157">
        <v>192039.57</v>
      </c>
      <c r="AR11" s="157">
        <v>225990.62272600058</v>
      </c>
      <c r="AS11" s="157">
        <f t="shared" ref="AS11:AS13" si="31">AQ11-AR11</f>
        <v>-33951.052726000577</v>
      </c>
      <c r="AT11" s="158"/>
      <c r="AU11" s="157">
        <v>199490.95</v>
      </c>
      <c r="AV11" s="157">
        <v>225662.3187797369</v>
      </c>
      <c r="AW11" s="157">
        <f t="shared" ref="AW11:AW13" si="32">AU11-AV11</f>
        <v>-26171.368779736891</v>
      </c>
    </row>
    <row r="12" spans="1:49" ht="15" customHeight="1">
      <c r="A12" s="1">
        <f t="shared" si="0"/>
        <v>7</v>
      </c>
      <c r="B12" s="7" t="s">
        <v>265</v>
      </c>
      <c r="C12" s="32">
        <v>3839.79</v>
      </c>
      <c r="D12" s="32">
        <v>0</v>
      </c>
      <c r="E12" s="157">
        <f t="shared" si="21"/>
        <v>3839.79</v>
      </c>
      <c r="G12" s="32">
        <v>3947.42</v>
      </c>
      <c r="H12" s="32">
        <v>0</v>
      </c>
      <c r="I12" s="157">
        <f t="shared" si="22"/>
        <v>3947.42</v>
      </c>
      <c r="K12" s="32">
        <v>412.75</v>
      </c>
      <c r="L12" s="32">
        <v>0</v>
      </c>
      <c r="M12" s="157">
        <f t="shared" si="23"/>
        <v>412.75</v>
      </c>
      <c r="O12" s="32">
        <v>3537.35</v>
      </c>
      <c r="P12" s="32">
        <v>0</v>
      </c>
      <c r="Q12" s="157">
        <f t="shared" si="24"/>
        <v>3537.35</v>
      </c>
      <c r="S12" s="32">
        <v>662.93</v>
      </c>
      <c r="T12" s="32">
        <v>0</v>
      </c>
      <c r="U12" s="157">
        <f t="shared" si="25"/>
        <v>662.93</v>
      </c>
      <c r="W12" s="32">
        <v>531.46</v>
      </c>
      <c r="X12" s="32">
        <v>0</v>
      </c>
      <c r="Y12" s="157">
        <f t="shared" si="26"/>
        <v>531.46</v>
      </c>
      <c r="AA12" s="157">
        <v>697</v>
      </c>
      <c r="AB12" s="157">
        <v>0</v>
      </c>
      <c r="AC12" s="157">
        <f t="shared" si="27"/>
        <v>697</v>
      </c>
      <c r="AD12" s="25"/>
      <c r="AE12" s="157">
        <v>938.3</v>
      </c>
      <c r="AF12" s="157">
        <v>0</v>
      </c>
      <c r="AG12" s="157">
        <f t="shared" si="28"/>
        <v>938.3</v>
      </c>
      <c r="AH12" s="158"/>
      <c r="AI12" s="157">
        <v>-399.91</v>
      </c>
      <c r="AJ12" s="157">
        <v>0</v>
      </c>
      <c r="AK12" s="157">
        <f t="shared" si="29"/>
        <v>-399.91</v>
      </c>
      <c r="AL12" s="158"/>
      <c r="AM12" s="157">
        <v>148.32</v>
      </c>
      <c r="AN12" s="157">
        <v>0</v>
      </c>
      <c r="AO12" s="157">
        <f t="shared" si="30"/>
        <v>148.32</v>
      </c>
      <c r="AP12" s="158"/>
      <c r="AQ12" s="157">
        <v>146.13</v>
      </c>
      <c r="AR12" s="157">
        <v>0</v>
      </c>
      <c r="AS12" s="157">
        <f t="shared" si="31"/>
        <v>146.13</v>
      </c>
      <c r="AT12" s="158"/>
      <c r="AU12" s="157">
        <v>0</v>
      </c>
      <c r="AV12" s="157">
        <v>0</v>
      </c>
      <c r="AW12" s="157">
        <f t="shared" si="32"/>
        <v>0</v>
      </c>
    </row>
    <row r="13" spans="1:49" ht="15" customHeight="1">
      <c r="A13" s="1">
        <f t="shared" si="0"/>
        <v>8</v>
      </c>
      <c r="B13" s="7" t="s">
        <v>266</v>
      </c>
      <c r="C13" s="159">
        <f>SUM(C11:C12)</f>
        <v>119336.81999999999</v>
      </c>
      <c r="D13" s="159">
        <f t="shared" ref="D13" si="33">SUM(D11:D12)</f>
        <v>208455.94</v>
      </c>
      <c r="E13" s="159">
        <f t="shared" si="21"/>
        <v>-89119.12000000001</v>
      </c>
      <c r="G13" s="159">
        <f>SUM(G11:G12)</f>
        <v>217098.94</v>
      </c>
      <c r="H13" s="159">
        <f t="shared" ref="H13" si="34">SUM(H11:H12)</f>
        <v>208455.94</v>
      </c>
      <c r="I13" s="159">
        <f t="shared" si="22"/>
        <v>8643</v>
      </c>
      <c r="K13" s="159">
        <f>SUM(K11:K12)</f>
        <v>230670.83000000002</v>
      </c>
      <c r="L13" s="159">
        <f t="shared" ref="L13" si="35">SUM(L11:L12)</f>
        <v>208455.94</v>
      </c>
      <c r="M13" s="159">
        <f t="shared" si="23"/>
        <v>22214.890000000014</v>
      </c>
      <c r="O13" s="159">
        <f>SUM(O11:O12)</f>
        <v>206503.76</v>
      </c>
      <c r="P13" s="159">
        <f t="shared" ref="P13" si="36">SUM(P11:P12)</f>
        <v>208455.94</v>
      </c>
      <c r="Q13" s="159">
        <f t="shared" si="24"/>
        <v>-1952.179999999993</v>
      </c>
      <c r="S13" s="159">
        <f>SUM(S11:S12)</f>
        <v>203267.59</v>
      </c>
      <c r="T13" s="159">
        <f t="shared" ref="T13" si="37">SUM(T11:T12)</f>
        <v>208455.94</v>
      </c>
      <c r="U13" s="159">
        <f t="shared" si="25"/>
        <v>-5188.3500000000058</v>
      </c>
      <c r="W13" s="159">
        <f>SUM(W11:W12)</f>
        <v>198461.48</v>
      </c>
      <c r="X13" s="159">
        <f t="shared" ref="X13" si="38">SUM(X11:X12)</f>
        <v>208455.94</v>
      </c>
      <c r="Y13" s="159">
        <f t="shared" si="26"/>
        <v>-9994.4599999999919</v>
      </c>
      <c r="AA13" s="159">
        <f>SUM(AA11:AA12)</f>
        <v>199319.83</v>
      </c>
      <c r="AB13" s="159">
        <f t="shared" ref="AB13" si="39">SUM(AB11:AB12)</f>
        <v>223770.09722222225</v>
      </c>
      <c r="AC13" s="159">
        <f t="shared" si="27"/>
        <v>-24450.267222222261</v>
      </c>
      <c r="AD13" s="25"/>
      <c r="AE13" s="159">
        <f t="shared" ref="AE13:AV13" si="40">SUM(AE11:AE12)</f>
        <v>198374.49</v>
      </c>
      <c r="AF13" s="159">
        <f t="shared" si="40"/>
        <v>221404.95370370368</v>
      </c>
      <c r="AG13" s="159">
        <f t="shared" si="28"/>
        <v>-23030.463703703688</v>
      </c>
      <c r="AH13" s="158"/>
      <c r="AI13" s="159">
        <f t="shared" si="40"/>
        <v>194055.65999999997</v>
      </c>
      <c r="AJ13" s="159">
        <f t="shared" si="40"/>
        <v>225668.59781696057</v>
      </c>
      <c r="AK13" s="159">
        <f t="shared" si="29"/>
        <v>-31612.937816960592</v>
      </c>
      <c r="AL13" s="158"/>
      <c r="AM13" s="159">
        <f t="shared" si="40"/>
        <v>200091.81</v>
      </c>
      <c r="AN13" s="159">
        <f t="shared" si="40"/>
        <v>226057.00111950739</v>
      </c>
      <c r="AO13" s="159">
        <f t="shared" si="30"/>
        <v>-25965.191119507392</v>
      </c>
      <c r="AP13" s="158"/>
      <c r="AQ13" s="159">
        <f t="shared" si="40"/>
        <v>192185.7</v>
      </c>
      <c r="AR13" s="159">
        <f t="shared" si="40"/>
        <v>225990.62272600058</v>
      </c>
      <c r="AS13" s="159">
        <f t="shared" si="31"/>
        <v>-33804.922726000572</v>
      </c>
      <c r="AT13" s="158"/>
      <c r="AU13" s="159">
        <f t="shared" si="40"/>
        <v>199490.95</v>
      </c>
      <c r="AV13" s="159">
        <f t="shared" si="40"/>
        <v>225662.3187797369</v>
      </c>
      <c r="AW13" s="159">
        <f t="shared" si="32"/>
        <v>-26171.368779736891</v>
      </c>
    </row>
    <row r="14" spans="1:49" ht="15" customHeight="1">
      <c r="A14" s="1">
        <f t="shared" si="0"/>
        <v>9</v>
      </c>
      <c r="C14" s="157"/>
      <c r="D14" s="157"/>
      <c r="E14" s="157"/>
      <c r="G14" s="157"/>
      <c r="H14" s="157"/>
      <c r="I14" s="157"/>
      <c r="K14" s="157"/>
      <c r="L14" s="157"/>
      <c r="M14" s="157"/>
      <c r="O14" s="157"/>
      <c r="P14" s="157"/>
      <c r="Q14" s="157"/>
      <c r="S14" s="157"/>
      <c r="T14" s="157"/>
      <c r="U14" s="157"/>
      <c r="W14" s="157"/>
      <c r="X14" s="157"/>
      <c r="Y14" s="157"/>
      <c r="AA14" s="157"/>
      <c r="AB14" s="157"/>
      <c r="AC14" s="157"/>
      <c r="AD14" s="25"/>
      <c r="AE14" s="157"/>
      <c r="AF14" s="157"/>
      <c r="AG14" s="157"/>
      <c r="AH14" s="158"/>
      <c r="AI14" s="157"/>
      <c r="AJ14" s="157"/>
      <c r="AK14" s="157"/>
      <c r="AL14" s="158"/>
      <c r="AM14" s="157"/>
      <c r="AN14" s="157"/>
      <c r="AO14" s="157"/>
      <c r="AP14" s="158"/>
      <c r="AQ14" s="157"/>
      <c r="AR14" s="157"/>
      <c r="AS14" s="157"/>
      <c r="AT14" s="158"/>
      <c r="AU14" s="157"/>
      <c r="AV14" s="157"/>
      <c r="AW14" s="157"/>
    </row>
    <row r="15" spans="1:49" ht="15" customHeight="1">
      <c r="A15" s="1">
        <f t="shared" si="0"/>
        <v>10</v>
      </c>
      <c r="C15" s="157"/>
      <c r="D15" s="157"/>
      <c r="E15" s="157"/>
      <c r="F15" s="17"/>
      <c r="G15" s="157"/>
      <c r="H15" s="157"/>
      <c r="I15" s="157"/>
      <c r="J15" s="17"/>
      <c r="K15" s="157"/>
      <c r="L15" s="157"/>
      <c r="M15" s="157"/>
      <c r="N15" s="17"/>
      <c r="O15" s="157"/>
      <c r="P15" s="157"/>
      <c r="Q15" s="157"/>
      <c r="R15" s="17"/>
      <c r="S15" s="157"/>
      <c r="T15" s="157"/>
      <c r="U15" s="157"/>
      <c r="V15" s="17"/>
      <c r="W15" s="157"/>
      <c r="X15" s="157"/>
      <c r="Y15" s="157"/>
      <c r="Z15" s="17"/>
      <c r="AA15" s="157"/>
      <c r="AB15" s="157"/>
      <c r="AC15" s="157"/>
      <c r="AD15" s="25"/>
      <c r="AE15" s="157"/>
      <c r="AF15" s="157"/>
      <c r="AG15" s="157"/>
      <c r="AH15" s="158"/>
      <c r="AI15" s="157"/>
      <c r="AJ15" s="157"/>
      <c r="AK15" s="157"/>
      <c r="AL15" s="158"/>
      <c r="AM15" s="157"/>
      <c r="AN15" s="157"/>
      <c r="AO15" s="157"/>
      <c r="AP15" s="158"/>
      <c r="AQ15" s="157"/>
      <c r="AR15" s="157"/>
      <c r="AS15" s="157"/>
      <c r="AT15" s="158"/>
      <c r="AU15" s="157"/>
      <c r="AV15" s="157"/>
      <c r="AW15" s="157"/>
    </row>
    <row r="16" spans="1:49" ht="15" customHeight="1">
      <c r="A16" s="1">
        <f t="shared" si="0"/>
        <v>11</v>
      </c>
      <c r="B16" s="17" t="s">
        <v>267</v>
      </c>
      <c r="C16" s="160">
        <f>C9+C13</f>
        <v>127140.95</v>
      </c>
      <c r="D16" s="160">
        <f t="shared" ref="D16" si="41">D9+D13</f>
        <v>231739.81599999999</v>
      </c>
      <c r="E16" s="160">
        <f>C16-D16</f>
        <v>-104598.86599999999</v>
      </c>
      <c r="F16" s="17"/>
      <c r="G16" s="160">
        <f>G9+G13</f>
        <v>243746.92</v>
      </c>
      <c r="H16" s="160">
        <f t="shared" ref="H16" si="42">H9+H13</f>
        <v>231739.81599999999</v>
      </c>
      <c r="I16" s="160">
        <f>G16-H16</f>
        <v>12007.104000000021</v>
      </c>
      <c r="J16" s="17"/>
      <c r="K16" s="160">
        <f>K9+K13</f>
        <v>256766.53000000003</v>
      </c>
      <c r="L16" s="160">
        <f t="shared" ref="L16" si="43">L9+L13</f>
        <v>231739.81599999999</v>
      </c>
      <c r="M16" s="160">
        <f>K16-L16</f>
        <v>25026.714000000036</v>
      </c>
      <c r="N16" s="17"/>
      <c r="O16" s="160">
        <f>O9+O13</f>
        <v>231305.72</v>
      </c>
      <c r="P16" s="160">
        <f t="shared" ref="P16" si="44">P9+P13</f>
        <v>231739.81599999999</v>
      </c>
      <c r="Q16" s="160">
        <f>O16-P16</f>
        <v>-434.09599999999045</v>
      </c>
      <c r="R16" s="17"/>
      <c r="S16" s="160">
        <f>S9+S13</f>
        <v>227734.04</v>
      </c>
      <c r="T16" s="160">
        <f t="shared" ref="T16" si="45">T9+T13</f>
        <v>231739.81599999999</v>
      </c>
      <c r="U16" s="160">
        <f>S16-T16</f>
        <v>-4005.7759999999835</v>
      </c>
      <c r="V16" s="17"/>
      <c r="W16" s="160">
        <f>W9+W13</f>
        <v>221272.45</v>
      </c>
      <c r="X16" s="160">
        <f t="shared" ref="X16" si="46">X9+X13</f>
        <v>231739.81599999999</v>
      </c>
      <c r="Y16" s="160">
        <f>W16-X16</f>
        <v>-10467.36599999998</v>
      </c>
      <c r="Z16" s="17"/>
      <c r="AA16" s="160">
        <f>AA9+AA13</f>
        <v>222941.37</v>
      </c>
      <c r="AB16" s="160">
        <f t="shared" ref="AB16" si="47">AB9+AB13</f>
        <v>250437.00000000003</v>
      </c>
      <c r="AC16" s="160">
        <f>AA16-AB16</f>
        <v>-27495.630000000034</v>
      </c>
      <c r="AD16" s="38"/>
      <c r="AE16" s="160">
        <f t="shared" ref="AE16:AV16" si="48">AE9+AE13</f>
        <v>221906.49</v>
      </c>
      <c r="AF16" s="160">
        <f t="shared" si="48"/>
        <v>247789.99999999997</v>
      </c>
      <c r="AG16" s="160">
        <f>AE16-AF16</f>
        <v>-25883.50999999998</v>
      </c>
      <c r="AH16" s="161"/>
      <c r="AI16" s="160">
        <f t="shared" si="48"/>
        <v>217153.15999999997</v>
      </c>
      <c r="AJ16" s="160">
        <f t="shared" si="48"/>
        <v>251580.00000000003</v>
      </c>
      <c r="AK16" s="160">
        <f>AI16-AJ16</f>
        <v>-34426.840000000055</v>
      </c>
      <c r="AL16" s="161"/>
      <c r="AM16" s="160">
        <f t="shared" si="48"/>
        <v>222944.47999999998</v>
      </c>
      <c r="AN16" s="160">
        <f t="shared" si="48"/>
        <v>252012.99999999997</v>
      </c>
      <c r="AO16" s="160">
        <f>AM16-AN16</f>
        <v>-29068.51999999999</v>
      </c>
      <c r="AP16" s="161"/>
      <c r="AQ16" s="160">
        <f t="shared" si="48"/>
        <v>214169.62</v>
      </c>
      <c r="AR16" s="160">
        <f t="shared" si="48"/>
        <v>251939.00000000003</v>
      </c>
      <c r="AS16" s="160">
        <f>AQ16-AR16</f>
        <v>-37769.380000000034</v>
      </c>
      <c r="AT16" s="161"/>
      <c r="AU16" s="160">
        <f t="shared" si="48"/>
        <v>223026.23</v>
      </c>
      <c r="AV16" s="160">
        <f t="shared" si="48"/>
        <v>251573</v>
      </c>
      <c r="AW16" s="160">
        <f>AU16-AV16</f>
        <v>-28546.76999999999</v>
      </c>
    </row>
    <row r="17" spans="1:49" ht="15" customHeight="1">
      <c r="A17" s="1">
        <f t="shared" si="0"/>
        <v>12</v>
      </c>
      <c r="B17" s="17"/>
      <c r="C17" s="162"/>
      <c r="D17" s="162"/>
      <c r="E17" s="162"/>
      <c r="F17" s="41"/>
      <c r="G17" s="162"/>
      <c r="H17" s="162"/>
      <c r="I17" s="162"/>
      <c r="J17" s="41"/>
      <c r="K17" s="162"/>
      <c r="L17" s="162"/>
      <c r="M17" s="162"/>
      <c r="N17" s="41"/>
      <c r="O17" s="162"/>
      <c r="P17" s="162"/>
      <c r="Q17" s="162"/>
      <c r="R17" s="41"/>
      <c r="S17" s="162"/>
      <c r="T17" s="162"/>
      <c r="U17" s="162"/>
      <c r="V17" s="41"/>
      <c r="W17" s="162"/>
      <c r="X17" s="162"/>
      <c r="Y17" s="162"/>
      <c r="Z17" s="41"/>
      <c r="AA17" s="162"/>
      <c r="AB17" s="162"/>
      <c r="AC17" s="162"/>
      <c r="AD17" s="25"/>
      <c r="AE17" s="162"/>
      <c r="AF17" s="162"/>
      <c r="AG17" s="162"/>
      <c r="AH17" s="161"/>
      <c r="AI17" s="162"/>
      <c r="AJ17" s="162"/>
      <c r="AK17" s="162"/>
      <c r="AL17" s="161"/>
      <c r="AM17" s="162"/>
      <c r="AN17" s="162"/>
      <c r="AO17" s="162"/>
      <c r="AP17" s="161"/>
      <c r="AQ17" s="162"/>
      <c r="AR17" s="162"/>
      <c r="AS17" s="162"/>
      <c r="AT17" s="161"/>
      <c r="AU17" s="162"/>
      <c r="AV17" s="162"/>
      <c r="AW17" s="162"/>
    </row>
    <row r="18" spans="1:49" ht="15" customHeight="1">
      <c r="A18" s="1">
        <f t="shared" si="0"/>
        <v>13</v>
      </c>
      <c r="B18" s="41"/>
      <c r="C18" s="157"/>
      <c r="D18" s="157"/>
      <c r="E18" s="157"/>
      <c r="G18" s="157"/>
      <c r="H18" s="157"/>
      <c r="I18" s="157"/>
      <c r="K18" s="157"/>
      <c r="L18" s="157"/>
      <c r="M18" s="157"/>
      <c r="O18" s="157"/>
      <c r="P18" s="157"/>
      <c r="Q18" s="157"/>
      <c r="S18" s="157"/>
      <c r="T18" s="157"/>
      <c r="U18" s="157"/>
      <c r="W18" s="157"/>
      <c r="X18" s="157"/>
      <c r="Y18" s="157"/>
      <c r="AA18" s="157"/>
      <c r="AB18" s="157"/>
      <c r="AC18" s="157"/>
      <c r="AD18" s="25"/>
      <c r="AE18" s="157"/>
      <c r="AF18" s="157"/>
      <c r="AG18" s="157"/>
      <c r="AH18" s="158"/>
      <c r="AI18" s="157"/>
      <c r="AJ18" s="157"/>
      <c r="AK18" s="157"/>
      <c r="AL18" s="158"/>
      <c r="AM18" s="157"/>
      <c r="AN18" s="157"/>
      <c r="AO18" s="157"/>
      <c r="AP18" s="158"/>
      <c r="AQ18" s="157"/>
      <c r="AR18" s="157"/>
      <c r="AS18" s="157"/>
      <c r="AT18" s="158"/>
      <c r="AU18" s="157"/>
      <c r="AV18" s="157"/>
      <c r="AW18" s="157"/>
    </row>
    <row r="19" spans="1:49" ht="15" customHeight="1">
      <c r="A19" s="1">
        <f t="shared" si="0"/>
        <v>14</v>
      </c>
      <c r="B19" s="7" t="s">
        <v>268</v>
      </c>
      <c r="C19" s="32">
        <v>0</v>
      </c>
      <c r="D19" s="32">
        <v>0</v>
      </c>
      <c r="E19" s="157">
        <f>D19-C19</f>
        <v>0</v>
      </c>
      <c r="G19" s="32">
        <v>0</v>
      </c>
      <c r="H19" s="32">
        <v>0</v>
      </c>
      <c r="I19" s="157">
        <f>H19-G19</f>
        <v>0</v>
      </c>
      <c r="K19" s="32">
        <v>0</v>
      </c>
      <c r="L19" s="32">
        <v>0</v>
      </c>
      <c r="M19" s="157">
        <f>L19-K19</f>
        <v>0</v>
      </c>
      <c r="O19" s="32">
        <v>0</v>
      </c>
      <c r="P19" s="32">
        <v>0</v>
      </c>
      <c r="Q19" s="157">
        <f>P19-O19</f>
        <v>0</v>
      </c>
      <c r="S19" s="32">
        <v>0</v>
      </c>
      <c r="T19" s="32">
        <v>0</v>
      </c>
      <c r="U19" s="157">
        <f>T19-S19</f>
        <v>0</v>
      </c>
      <c r="W19" s="32">
        <v>0</v>
      </c>
      <c r="X19" s="32">
        <v>0</v>
      </c>
      <c r="Y19" s="157">
        <f>X19-W19</f>
        <v>0</v>
      </c>
      <c r="AA19" s="157">
        <v>0</v>
      </c>
      <c r="AB19" s="157">
        <v>1344.7437500000001</v>
      </c>
      <c r="AC19" s="157">
        <f>AB19-AA19</f>
        <v>1344.7437500000001</v>
      </c>
      <c r="AD19" s="25"/>
      <c r="AE19" s="157">
        <v>0</v>
      </c>
      <c r="AF19" s="157">
        <v>1344.7437500000001</v>
      </c>
      <c r="AG19" s="157">
        <f>AF19-AE19</f>
        <v>1344.7437500000001</v>
      </c>
      <c r="AH19" s="158"/>
      <c r="AI19" s="157">
        <v>0</v>
      </c>
      <c r="AJ19" s="157">
        <v>1344.7437500000001</v>
      </c>
      <c r="AK19" s="157">
        <f>AJ19-AI19</f>
        <v>1344.7437500000001</v>
      </c>
      <c r="AL19" s="158"/>
      <c r="AM19" s="157">
        <v>0</v>
      </c>
      <c r="AN19" s="157">
        <v>1344.7437500000001</v>
      </c>
      <c r="AO19" s="157">
        <f>AN19-AM19</f>
        <v>1344.7437500000001</v>
      </c>
      <c r="AP19" s="158"/>
      <c r="AQ19" s="157">
        <v>0</v>
      </c>
      <c r="AR19" s="157">
        <v>1344.7437500000001</v>
      </c>
      <c r="AS19" s="157">
        <f>AR19-AQ19</f>
        <v>1344.7437500000001</v>
      </c>
      <c r="AT19" s="158"/>
      <c r="AU19" s="157">
        <v>0</v>
      </c>
      <c r="AV19" s="157">
        <v>1344.7437500000001</v>
      </c>
      <c r="AW19" s="157">
        <f>AV19-AU19</f>
        <v>1344.7437500000001</v>
      </c>
    </row>
    <row r="20" spans="1:49" ht="15" customHeight="1">
      <c r="A20" s="1">
        <f t="shared" si="0"/>
        <v>15</v>
      </c>
      <c r="B20" s="7" t="s">
        <v>269</v>
      </c>
      <c r="C20" s="32">
        <v>1123.1199999999999</v>
      </c>
      <c r="D20" s="32">
        <v>762.15957736641201</v>
      </c>
      <c r="E20" s="157">
        <f t="shared" ref="E20:E28" si="49">D20-C20</f>
        <v>-360.96042263358788</v>
      </c>
      <c r="G20" s="32">
        <v>803.75</v>
      </c>
      <c r="H20" s="32">
        <v>762.15957736641201</v>
      </c>
      <c r="I20" s="157">
        <f t="shared" ref="I20:I28" si="50">H20-G20</f>
        <v>-41.590422633587991</v>
      </c>
      <c r="K20" s="32">
        <v>604.62</v>
      </c>
      <c r="L20" s="32">
        <v>762.15957736641201</v>
      </c>
      <c r="M20" s="157">
        <f t="shared" ref="M20:M28" si="51">L20-K20</f>
        <v>157.539577366412</v>
      </c>
      <c r="O20" s="32">
        <v>561.78</v>
      </c>
      <c r="P20" s="32">
        <v>762.15957736641201</v>
      </c>
      <c r="Q20" s="157">
        <f t="shared" ref="Q20:Q28" si="52">P20-O20</f>
        <v>200.37957736641204</v>
      </c>
      <c r="S20" s="32">
        <v>593.38</v>
      </c>
      <c r="T20" s="32">
        <v>762.15957736641201</v>
      </c>
      <c r="U20" s="157">
        <f t="shared" ref="U20:U28" si="53">T20-S20</f>
        <v>168.77957736641201</v>
      </c>
      <c r="W20" s="32">
        <v>638.36</v>
      </c>
      <c r="X20" s="32">
        <v>762.15957736641201</v>
      </c>
      <c r="Y20" s="157">
        <f t="shared" ref="Y20:Y28" si="54">X20-W20</f>
        <v>123.799577366412</v>
      </c>
      <c r="AA20" s="157">
        <v>898.78</v>
      </c>
      <c r="AB20" s="157">
        <v>952.44624999999996</v>
      </c>
      <c r="AC20" s="157">
        <f t="shared" ref="AC20:AC28" si="55">AB20-AA20</f>
        <v>53.666249999999991</v>
      </c>
      <c r="AD20" s="25"/>
      <c r="AE20" s="157">
        <v>818.65</v>
      </c>
      <c r="AF20" s="157">
        <v>952.44624999999996</v>
      </c>
      <c r="AG20" s="157">
        <f t="shared" ref="AG20:AG28" si="56">AF20-AE20</f>
        <v>133.79624999999999</v>
      </c>
      <c r="AH20" s="158"/>
      <c r="AI20" s="157">
        <v>652.09</v>
      </c>
      <c r="AJ20" s="157">
        <v>952.44624999999996</v>
      </c>
      <c r="AK20" s="157">
        <f t="shared" ref="AK20:AK28" si="57">AJ20-AI20</f>
        <v>300.35624999999993</v>
      </c>
      <c r="AL20" s="158"/>
      <c r="AM20" s="157">
        <v>595.94000000000005</v>
      </c>
      <c r="AN20" s="157">
        <v>952.44624999999996</v>
      </c>
      <c r="AO20" s="157">
        <f t="shared" ref="AO20:AO28" si="58">AN20-AM20</f>
        <v>356.50624999999991</v>
      </c>
      <c r="AP20" s="158"/>
      <c r="AQ20" s="157">
        <v>678.87</v>
      </c>
      <c r="AR20" s="157">
        <v>952.44624999999996</v>
      </c>
      <c r="AS20" s="157">
        <f t="shared" ref="AS20:AS28" si="59">AR20-AQ20</f>
        <v>273.57624999999996</v>
      </c>
      <c r="AT20" s="158"/>
      <c r="AU20" s="157">
        <v>1493.95</v>
      </c>
      <c r="AV20" s="157">
        <v>952.44624999999996</v>
      </c>
      <c r="AW20" s="157">
        <f t="shared" ref="AW20:AW28" si="60">AV20-AU20</f>
        <v>-541.50375000000008</v>
      </c>
    </row>
    <row r="21" spans="1:49" ht="15" customHeight="1">
      <c r="A21" s="1">
        <f t="shared" si="0"/>
        <v>16</v>
      </c>
      <c r="B21" s="7" t="s">
        <v>270</v>
      </c>
      <c r="C21" s="32">
        <v>13787.88</v>
      </c>
      <c r="D21" s="32">
        <v>9953.8880826148488</v>
      </c>
      <c r="E21" s="157">
        <f t="shared" si="49"/>
        <v>-3833.9919173851504</v>
      </c>
      <c r="G21" s="32">
        <v>13804.6</v>
      </c>
      <c r="H21" s="32">
        <v>9953.8880826148488</v>
      </c>
      <c r="I21" s="157">
        <f t="shared" si="50"/>
        <v>-3850.7119173851515</v>
      </c>
      <c r="K21" s="32">
        <v>13962.55</v>
      </c>
      <c r="L21" s="32">
        <v>9953.8880826148488</v>
      </c>
      <c r="M21" s="157">
        <f t="shared" si="51"/>
        <v>-4008.6619173851504</v>
      </c>
      <c r="O21" s="32">
        <v>14904.51</v>
      </c>
      <c r="P21" s="32">
        <v>9953.8880826148488</v>
      </c>
      <c r="Q21" s="157">
        <f t="shared" si="52"/>
        <v>-4950.6219173851514</v>
      </c>
      <c r="S21" s="32">
        <v>21948.559999999998</v>
      </c>
      <c r="T21" s="32">
        <v>9953.8880826148488</v>
      </c>
      <c r="U21" s="157">
        <f t="shared" si="53"/>
        <v>-11994.671917385149</v>
      </c>
      <c r="W21" s="32">
        <v>40098.229999999996</v>
      </c>
      <c r="X21" s="32">
        <v>9953.8880826148488</v>
      </c>
      <c r="Y21" s="157">
        <f t="shared" si="54"/>
        <v>-30144.341917385147</v>
      </c>
      <c r="AA21" s="157">
        <v>12533.880000000001</v>
      </c>
      <c r="AB21" s="157">
        <v>16108.117916666668</v>
      </c>
      <c r="AC21" s="157">
        <f t="shared" si="55"/>
        <v>3574.2379166666669</v>
      </c>
      <c r="AD21" s="25"/>
      <c r="AE21" s="157">
        <v>10889.18</v>
      </c>
      <c r="AF21" s="157">
        <v>16108.117916666668</v>
      </c>
      <c r="AG21" s="157">
        <f t="shared" si="56"/>
        <v>5218.9379166666677</v>
      </c>
      <c r="AH21" s="158"/>
      <c r="AI21" s="157">
        <v>19048.16</v>
      </c>
      <c r="AJ21" s="157">
        <v>16531.474166666667</v>
      </c>
      <c r="AK21" s="157">
        <f t="shared" si="57"/>
        <v>-2516.685833333333</v>
      </c>
      <c r="AL21" s="158"/>
      <c r="AM21" s="157">
        <v>19261.97</v>
      </c>
      <c r="AN21" s="157">
        <v>16531.474166666667</v>
      </c>
      <c r="AO21" s="157">
        <f t="shared" si="58"/>
        <v>-2730.4958333333343</v>
      </c>
      <c r="AP21" s="158"/>
      <c r="AQ21" s="157">
        <v>20656.79</v>
      </c>
      <c r="AR21" s="157">
        <v>16531.474166666667</v>
      </c>
      <c r="AS21" s="157">
        <f t="shared" si="59"/>
        <v>-4125.315833333334</v>
      </c>
      <c r="AT21" s="158"/>
      <c r="AU21" s="157">
        <v>17795.8</v>
      </c>
      <c r="AV21" s="157">
        <v>16531.474166666667</v>
      </c>
      <c r="AW21" s="157">
        <f t="shared" si="60"/>
        <v>-1264.3258333333324</v>
      </c>
    </row>
    <row r="22" spans="1:49" ht="15" customHeight="1">
      <c r="A22" s="1">
        <f t="shared" si="0"/>
        <v>17</v>
      </c>
      <c r="B22" s="7" t="s">
        <v>271</v>
      </c>
      <c r="C22" s="32">
        <v>12698.75</v>
      </c>
      <c r="D22" s="32">
        <v>13909.361227042882</v>
      </c>
      <c r="E22" s="157">
        <f t="shared" si="49"/>
        <v>1210.6112270428821</v>
      </c>
      <c r="G22" s="32">
        <v>13226.56</v>
      </c>
      <c r="H22" s="32">
        <v>13909.361227042882</v>
      </c>
      <c r="I22" s="157">
        <f t="shared" si="50"/>
        <v>682.8012270428826</v>
      </c>
      <c r="K22" s="32">
        <v>13504.75</v>
      </c>
      <c r="L22" s="32">
        <v>13909.361227042882</v>
      </c>
      <c r="M22" s="157">
        <f t="shared" si="51"/>
        <v>404.61122704288209</v>
      </c>
      <c r="O22" s="32">
        <v>13256.76</v>
      </c>
      <c r="P22" s="32">
        <v>13909.361227042882</v>
      </c>
      <c r="Q22" s="157">
        <f t="shared" si="52"/>
        <v>652.60122704288187</v>
      </c>
      <c r="S22" s="32">
        <v>12653.75</v>
      </c>
      <c r="T22" s="32">
        <v>13909.361227042882</v>
      </c>
      <c r="U22" s="157">
        <f t="shared" si="53"/>
        <v>1255.6112270428821</v>
      </c>
      <c r="W22" s="32">
        <v>13815.5</v>
      </c>
      <c r="X22" s="32">
        <v>13909.361227042882</v>
      </c>
      <c r="Y22" s="157">
        <f t="shared" si="54"/>
        <v>93.861227042882092</v>
      </c>
      <c r="AA22" s="157">
        <v>13871.97</v>
      </c>
      <c r="AB22" s="157">
        <v>13342</v>
      </c>
      <c r="AC22" s="157">
        <f t="shared" si="55"/>
        <v>-529.96999999999935</v>
      </c>
      <c r="AD22" s="25"/>
      <c r="AE22" s="157">
        <v>12852.4</v>
      </c>
      <c r="AF22" s="157">
        <v>13342</v>
      </c>
      <c r="AG22" s="157">
        <f t="shared" si="56"/>
        <v>489.60000000000036</v>
      </c>
      <c r="AH22" s="158"/>
      <c r="AI22" s="157">
        <v>12871.18</v>
      </c>
      <c r="AJ22" s="157">
        <v>13342</v>
      </c>
      <c r="AK22" s="157">
        <f t="shared" si="57"/>
        <v>470.81999999999971</v>
      </c>
      <c r="AL22" s="158"/>
      <c r="AM22" s="157">
        <v>28197.690000000002</v>
      </c>
      <c r="AN22" s="157">
        <v>13342</v>
      </c>
      <c r="AO22" s="157">
        <f t="shared" si="58"/>
        <v>-14855.690000000002</v>
      </c>
      <c r="AP22" s="158"/>
      <c r="AQ22" s="157">
        <v>25134.649999999998</v>
      </c>
      <c r="AR22" s="157">
        <v>13342</v>
      </c>
      <c r="AS22" s="157">
        <f t="shared" si="59"/>
        <v>-11792.649999999998</v>
      </c>
      <c r="AT22" s="158"/>
      <c r="AU22" s="157">
        <v>14582.33</v>
      </c>
      <c r="AV22" s="157">
        <v>13342</v>
      </c>
      <c r="AW22" s="157">
        <f t="shared" si="60"/>
        <v>-1240.33</v>
      </c>
    </row>
    <row r="23" spans="1:49" ht="15" customHeight="1">
      <c r="A23" s="1">
        <f t="shared" si="0"/>
        <v>18</v>
      </c>
      <c r="B23" s="7" t="s">
        <v>272</v>
      </c>
      <c r="C23" s="32">
        <v>0</v>
      </c>
      <c r="D23" s="32">
        <v>0</v>
      </c>
      <c r="E23" s="157">
        <f t="shared" si="49"/>
        <v>0</v>
      </c>
      <c r="G23" s="32">
        <v>0</v>
      </c>
      <c r="H23" s="32">
        <v>0</v>
      </c>
      <c r="I23" s="157">
        <f t="shared" si="50"/>
        <v>0</v>
      </c>
      <c r="K23" s="32">
        <v>0</v>
      </c>
      <c r="L23" s="32">
        <v>0</v>
      </c>
      <c r="M23" s="157">
        <f t="shared" si="51"/>
        <v>0</v>
      </c>
      <c r="O23" s="32">
        <v>0</v>
      </c>
      <c r="P23" s="32">
        <v>0</v>
      </c>
      <c r="Q23" s="157">
        <f t="shared" si="52"/>
        <v>0</v>
      </c>
      <c r="S23" s="32">
        <v>0</v>
      </c>
      <c r="T23" s="32">
        <v>0</v>
      </c>
      <c r="U23" s="157">
        <f t="shared" si="53"/>
        <v>0</v>
      </c>
      <c r="W23" s="32">
        <v>0</v>
      </c>
      <c r="X23" s="32">
        <v>0</v>
      </c>
      <c r="Y23" s="157">
        <f t="shared" si="54"/>
        <v>0</v>
      </c>
      <c r="AA23" s="157">
        <v>0</v>
      </c>
      <c r="AB23" s="157">
        <v>0</v>
      </c>
      <c r="AC23" s="157">
        <f t="shared" si="55"/>
        <v>0</v>
      </c>
      <c r="AD23" s="25"/>
      <c r="AE23" s="157">
        <v>0</v>
      </c>
      <c r="AF23" s="157">
        <v>0</v>
      </c>
      <c r="AG23" s="157">
        <f t="shared" si="56"/>
        <v>0</v>
      </c>
      <c r="AH23" s="158"/>
      <c r="AI23" s="157">
        <v>0</v>
      </c>
      <c r="AJ23" s="157">
        <v>0</v>
      </c>
      <c r="AK23" s="157">
        <f t="shared" si="57"/>
        <v>0</v>
      </c>
      <c r="AL23" s="158"/>
      <c r="AM23" s="157">
        <v>0</v>
      </c>
      <c r="AN23" s="157">
        <v>0</v>
      </c>
      <c r="AO23" s="157">
        <f t="shared" si="58"/>
        <v>0</v>
      </c>
      <c r="AP23" s="158"/>
      <c r="AQ23" s="157">
        <v>0</v>
      </c>
      <c r="AR23" s="157">
        <v>0</v>
      </c>
      <c r="AS23" s="157">
        <f t="shared" si="59"/>
        <v>0</v>
      </c>
      <c r="AT23" s="158"/>
      <c r="AU23" s="157">
        <v>0</v>
      </c>
      <c r="AV23" s="157">
        <v>0</v>
      </c>
      <c r="AW23" s="157">
        <f t="shared" si="60"/>
        <v>0</v>
      </c>
    </row>
    <row r="24" spans="1:49" ht="15" customHeight="1">
      <c r="A24" s="1">
        <f t="shared" si="0"/>
        <v>19</v>
      </c>
      <c r="B24" s="7" t="s">
        <v>273</v>
      </c>
      <c r="C24" s="32">
        <v>106235.19</v>
      </c>
      <c r="D24" s="32">
        <v>102104.51059907603</v>
      </c>
      <c r="E24" s="157">
        <f t="shared" si="49"/>
        <v>-4130.6794009239675</v>
      </c>
      <c r="G24" s="32">
        <v>93209.11</v>
      </c>
      <c r="H24" s="32">
        <v>102104.51059907603</v>
      </c>
      <c r="I24" s="157">
        <f t="shared" si="50"/>
        <v>8895.4005990760343</v>
      </c>
      <c r="K24" s="32">
        <v>109429.39</v>
      </c>
      <c r="L24" s="32">
        <v>102104.51059907603</v>
      </c>
      <c r="M24" s="157">
        <f t="shared" si="51"/>
        <v>-7324.8794009239646</v>
      </c>
      <c r="O24" s="32">
        <v>100445.05</v>
      </c>
      <c r="P24" s="32">
        <v>102104.51059907603</v>
      </c>
      <c r="Q24" s="157">
        <f t="shared" si="52"/>
        <v>1659.4605990760319</v>
      </c>
      <c r="S24" s="32">
        <v>95024.51999999999</v>
      </c>
      <c r="T24" s="32">
        <v>102104.51059907603</v>
      </c>
      <c r="U24" s="157">
        <f t="shared" si="53"/>
        <v>7079.9905990760453</v>
      </c>
      <c r="W24" s="32">
        <v>65035.409999999996</v>
      </c>
      <c r="X24" s="32">
        <v>102104.51059907603</v>
      </c>
      <c r="Y24" s="157">
        <f t="shared" si="54"/>
        <v>37069.100599076039</v>
      </c>
      <c r="AA24" s="157">
        <v>97240.49</v>
      </c>
      <c r="AB24" s="157">
        <v>116053.70416666668</v>
      </c>
      <c r="AC24" s="157">
        <f t="shared" si="55"/>
        <v>18813.214166666672</v>
      </c>
      <c r="AD24" s="25"/>
      <c r="AE24" s="157">
        <v>96058.459999999992</v>
      </c>
      <c r="AF24" s="157">
        <v>115425.70416666668</v>
      </c>
      <c r="AG24" s="157">
        <f t="shared" si="56"/>
        <v>19367.244166666685</v>
      </c>
      <c r="AH24" s="158"/>
      <c r="AI24" s="157">
        <v>106872.31999999999</v>
      </c>
      <c r="AJ24" s="157">
        <v>120480.12791666668</v>
      </c>
      <c r="AK24" s="157">
        <f t="shared" si="57"/>
        <v>13607.807916666687</v>
      </c>
      <c r="AL24" s="158"/>
      <c r="AM24" s="157">
        <v>113696.10999999999</v>
      </c>
      <c r="AN24" s="157">
        <v>120480.12791666668</v>
      </c>
      <c r="AO24" s="157">
        <f t="shared" si="58"/>
        <v>6784.0179166666931</v>
      </c>
      <c r="AP24" s="158"/>
      <c r="AQ24" s="157">
        <v>104722.38</v>
      </c>
      <c r="AR24" s="157">
        <v>120480.12791666668</v>
      </c>
      <c r="AS24" s="157">
        <f t="shared" si="59"/>
        <v>15757.747916666674</v>
      </c>
      <c r="AT24" s="158"/>
      <c r="AU24" s="157">
        <v>109830.34000000001</v>
      </c>
      <c r="AV24" s="157">
        <v>120480.12791666668</v>
      </c>
      <c r="AW24" s="157">
        <f t="shared" si="60"/>
        <v>10649.787916666668</v>
      </c>
    </row>
    <row r="25" spans="1:49" ht="15" customHeight="1">
      <c r="A25" s="1">
        <f t="shared" si="0"/>
        <v>20</v>
      </c>
      <c r="B25" s="7" t="s">
        <v>274</v>
      </c>
      <c r="C25" s="32">
        <v>8279.880000000001</v>
      </c>
      <c r="D25" s="32">
        <v>9219.7162741602042</v>
      </c>
      <c r="E25" s="157">
        <f t="shared" si="49"/>
        <v>939.83627416020317</v>
      </c>
      <c r="G25" s="32">
        <v>8672.2199999999993</v>
      </c>
      <c r="H25" s="32">
        <v>9219.7162741602042</v>
      </c>
      <c r="I25" s="157">
        <f t="shared" si="50"/>
        <v>547.49627416020485</v>
      </c>
      <c r="K25" s="32">
        <v>10368.619999999999</v>
      </c>
      <c r="L25" s="32">
        <v>9219.7162741602042</v>
      </c>
      <c r="M25" s="157">
        <f t="shared" si="51"/>
        <v>-1148.9037258397948</v>
      </c>
      <c r="O25" s="32">
        <v>9600.119999999999</v>
      </c>
      <c r="P25" s="32">
        <v>9219.7162741602042</v>
      </c>
      <c r="Q25" s="157">
        <f t="shared" si="52"/>
        <v>-380.40372583979479</v>
      </c>
      <c r="S25" s="32">
        <v>9736.19</v>
      </c>
      <c r="T25" s="32">
        <v>9219.7162741602042</v>
      </c>
      <c r="U25" s="157">
        <f t="shared" si="53"/>
        <v>-516.47372583979632</v>
      </c>
      <c r="W25" s="32">
        <v>25336.93</v>
      </c>
      <c r="X25" s="32">
        <v>9219.7162741602042</v>
      </c>
      <c r="Y25" s="157">
        <f t="shared" si="54"/>
        <v>-16117.213725839796</v>
      </c>
      <c r="AA25" s="157">
        <v>9140.0099999999984</v>
      </c>
      <c r="AB25" s="157">
        <v>9376.848750000001</v>
      </c>
      <c r="AC25" s="157">
        <f t="shared" si="55"/>
        <v>236.83875000000262</v>
      </c>
      <c r="AD25" s="25"/>
      <c r="AE25" s="157">
        <v>9181.1200000000008</v>
      </c>
      <c r="AF25" s="157">
        <v>9361.848750000001</v>
      </c>
      <c r="AG25" s="157">
        <f t="shared" si="56"/>
        <v>180.72875000000022</v>
      </c>
      <c r="AH25" s="158"/>
      <c r="AI25" s="157">
        <v>8369.69</v>
      </c>
      <c r="AJ25" s="157">
        <v>9742.848750000001</v>
      </c>
      <c r="AK25" s="157">
        <f t="shared" si="57"/>
        <v>1373.1587500000005</v>
      </c>
      <c r="AL25" s="158"/>
      <c r="AM25" s="157">
        <v>11263.349999999999</v>
      </c>
      <c r="AN25" s="157">
        <v>9742.848750000001</v>
      </c>
      <c r="AO25" s="157">
        <f t="shared" si="58"/>
        <v>-1520.5012499999975</v>
      </c>
      <c r="AP25" s="158"/>
      <c r="AQ25" s="157">
        <v>10864.64</v>
      </c>
      <c r="AR25" s="157">
        <v>9742.848750000001</v>
      </c>
      <c r="AS25" s="157">
        <f t="shared" si="59"/>
        <v>-1121.7912499999984</v>
      </c>
      <c r="AT25" s="158"/>
      <c r="AU25" s="157">
        <v>12972.45</v>
      </c>
      <c r="AV25" s="157">
        <v>9742.848750000001</v>
      </c>
      <c r="AW25" s="157">
        <f t="shared" si="60"/>
        <v>-3229.6012499999997</v>
      </c>
    </row>
    <row r="26" spans="1:49" ht="15" customHeight="1">
      <c r="A26" s="1">
        <f t="shared" si="0"/>
        <v>21</v>
      </c>
      <c r="B26" s="7" t="s">
        <v>275</v>
      </c>
      <c r="C26" s="32">
        <v>0</v>
      </c>
      <c r="D26" s="32">
        <v>0</v>
      </c>
      <c r="E26" s="157">
        <f t="shared" si="49"/>
        <v>0</v>
      </c>
      <c r="G26" s="32">
        <v>0</v>
      </c>
      <c r="H26" s="32">
        <v>0</v>
      </c>
      <c r="I26" s="157">
        <f t="shared" si="50"/>
        <v>0</v>
      </c>
      <c r="K26" s="32">
        <v>0</v>
      </c>
      <c r="L26" s="32">
        <v>0</v>
      </c>
      <c r="M26" s="157">
        <f t="shared" si="51"/>
        <v>0</v>
      </c>
      <c r="O26" s="32">
        <v>0</v>
      </c>
      <c r="P26" s="32">
        <v>0</v>
      </c>
      <c r="Q26" s="157">
        <f t="shared" si="52"/>
        <v>0</v>
      </c>
      <c r="S26" s="32">
        <v>0</v>
      </c>
      <c r="T26" s="32">
        <v>0</v>
      </c>
      <c r="U26" s="157">
        <f t="shared" si="53"/>
        <v>0</v>
      </c>
      <c r="W26" s="32">
        <v>0</v>
      </c>
      <c r="X26" s="32">
        <v>0</v>
      </c>
      <c r="Y26" s="157">
        <f t="shared" si="54"/>
        <v>0</v>
      </c>
      <c r="AA26" s="157">
        <v>0</v>
      </c>
      <c r="AB26" s="157">
        <v>0</v>
      </c>
      <c r="AC26" s="157">
        <f t="shared" si="55"/>
        <v>0</v>
      </c>
      <c r="AD26" s="25"/>
      <c r="AE26" s="157">
        <v>0</v>
      </c>
      <c r="AF26" s="157">
        <v>0</v>
      </c>
      <c r="AG26" s="157">
        <f t="shared" si="56"/>
        <v>0</v>
      </c>
      <c r="AH26" s="158"/>
      <c r="AI26" s="157">
        <v>0</v>
      </c>
      <c r="AJ26" s="157">
        <v>0</v>
      </c>
      <c r="AK26" s="157">
        <f t="shared" si="57"/>
        <v>0</v>
      </c>
      <c r="AL26" s="158"/>
      <c r="AM26" s="157">
        <v>0</v>
      </c>
      <c r="AN26" s="157">
        <v>0</v>
      </c>
      <c r="AO26" s="157">
        <f t="shared" si="58"/>
        <v>0</v>
      </c>
      <c r="AP26" s="158"/>
      <c r="AQ26" s="157">
        <v>0</v>
      </c>
      <c r="AR26" s="157">
        <v>0</v>
      </c>
      <c r="AS26" s="157">
        <f t="shared" si="59"/>
        <v>0</v>
      </c>
      <c r="AT26" s="158"/>
      <c r="AU26" s="157">
        <v>0</v>
      </c>
      <c r="AV26" s="157">
        <v>0</v>
      </c>
      <c r="AW26" s="157">
        <f t="shared" si="60"/>
        <v>0</v>
      </c>
    </row>
    <row r="27" spans="1:49" ht="15" customHeight="1">
      <c r="A27" s="1">
        <f t="shared" si="0"/>
        <v>22</v>
      </c>
      <c r="B27" s="7" t="s">
        <v>276</v>
      </c>
      <c r="C27" s="32">
        <v>29117.78</v>
      </c>
      <c r="D27" s="32">
        <v>35700.419412564006</v>
      </c>
      <c r="E27" s="157">
        <f t="shared" si="49"/>
        <v>6582.6394125640072</v>
      </c>
      <c r="G27" s="32">
        <v>40887.620000000003</v>
      </c>
      <c r="H27" s="32">
        <v>35700.419412564006</v>
      </c>
      <c r="I27" s="157">
        <f t="shared" si="50"/>
        <v>-5187.2005874359966</v>
      </c>
      <c r="K27" s="32">
        <v>35012.43</v>
      </c>
      <c r="L27" s="32">
        <v>35700.419412564006</v>
      </c>
      <c r="M27" s="157">
        <f t="shared" si="51"/>
        <v>687.98941256400576</v>
      </c>
      <c r="O27" s="32">
        <v>62848.170000000013</v>
      </c>
      <c r="P27" s="32">
        <v>35700.419412564006</v>
      </c>
      <c r="Q27" s="157">
        <f t="shared" si="52"/>
        <v>-27147.750587436007</v>
      </c>
      <c r="S27" s="32">
        <v>32202.12</v>
      </c>
      <c r="T27" s="32">
        <v>35700.419412564006</v>
      </c>
      <c r="U27" s="157">
        <f t="shared" si="53"/>
        <v>3498.2994125640071</v>
      </c>
      <c r="W27" s="32">
        <v>5499.7899999999963</v>
      </c>
      <c r="X27" s="32">
        <v>35700.419412564006</v>
      </c>
      <c r="Y27" s="157">
        <f t="shared" si="54"/>
        <v>30200.629412564009</v>
      </c>
      <c r="AA27" s="157">
        <v>27922.91</v>
      </c>
      <c r="AB27" s="157">
        <v>33566.730000000003</v>
      </c>
      <c r="AC27" s="157">
        <f t="shared" si="55"/>
        <v>5643.8200000000033</v>
      </c>
      <c r="AD27" s="25"/>
      <c r="AE27" s="157">
        <v>32647.24</v>
      </c>
      <c r="AF27" s="157">
        <v>33566.730000000003</v>
      </c>
      <c r="AG27" s="157">
        <f t="shared" si="56"/>
        <v>919.4900000000016</v>
      </c>
      <c r="AH27" s="158"/>
      <c r="AI27" s="157">
        <v>29441.759999999998</v>
      </c>
      <c r="AJ27" s="157">
        <v>34128.090746666669</v>
      </c>
      <c r="AK27" s="157">
        <f t="shared" si="57"/>
        <v>4686.3307466666702</v>
      </c>
      <c r="AL27" s="158"/>
      <c r="AM27" s="157">
        <v>24122.999999999996</v>
      </c>
      <c r="AN27" s="157">
        <v>34128.090746666669</v>
      </c>
      <c r="AO27" s="157">
        <f t="shared" si="58"/>
        <v>10005.090746666672</v>
      </c>
      <c r="AP27" s="158"/>
      <c r="AQ27" s="157">
        <v>31295.35</v>
      </c>
      <c r="AR27" s="157">
        <v>34128.090746666669</v>
      </c>
      <c r="AS27" s="157">
        <f t="shared" si="59"/>
        <v>2832.74074666667</v>
      </c>
      <c r="AT27" s="158"/>
      <c r="AU27" s="157">
        <v>35583.07</v>
      </c>
      <c r="AV27" s="157">
        <v>34128.090746666669</v>
      </c>
      <c r="AW27" s="157">
        <f t="shared" si="60"/>
        <v>-1454.9792533333311</v>
      </c>
    </row>
    <row r="28" spans="1:49" ht="15" customHeight="1">
      <c r="A28" s="1">
        <f t="shared" si="0"/>
        <v>23</v>
      </c>
      <c r="B28" s="7" t="s">
        <v>277</v>
      </c>
      <c r="C28" s="159">
        <f>SUM(C19:C27)</f>
        <v>171242.6</v>
      </c>
      <c r="D28" s="159">
        <f t="shared" ref="D28" si="61">SUM(D19:D27)</f>
        <v>171650.05517282436</v>
      </c>
      <c r="E28" s="159">
        <f t="shared" si="49"/>
        <v>407.45517282435321</v>
      </c>
      <c r="G28" s="159">
        <f>SUM(G19:G27)</f>
        <v>170603.86000000002</v>
      </c>
      <c r="H28" s="159">
        <f t="shared" ref="H28" si="62">SUM(H19:H27)</f>
        <v>171650.05517282436</v>
      </c>
      <c r="I28" s="159">
        <f t="shared" si="50"/>
        <v>1046.1951728243439</v>
      </c>
      <c r="K28" s="159">
        <f>SUM(K19:K27)</f>
        <v>182882.36</v>
      </c>
      <c r="L28" s="159">
        <f t="shared" ref="L28" si="63">SUM(L19:L27)</f>
        <v>171650.05517282436</v>
      </c>
      <c r="M28" s="159">
        <f t="shared" si="51"/>
        <v>-11232.304827175627</v>
      </c>
      <c r="O28" s="159">
        <f>SUM(O19:O27)</f>
        <v>201616.39</v>
      </c>
      <c r="P28" s="159">
        <f t="shared" ref="P28" si="64">SUM(P19:P27)</f>
        <v>171650.05517282436</v>
      </c>
      <c r="Q28" s="159">
        <f t="shared" si="52"/>
        <v>-29966.334827175655</v>
      </c>
      <c r="S28" s="159">
        <f>SUM(S19:S27)</f>
        <v>172158.52</v>
      </c>
      <c r="T28" s="159">
        <f t="shared" ref="T28" si="65">SUM(T19:T27)</f>
        <v>171650.05517282436</v>
      </c>
      <c r="U28" s="159">
        <f t="shared" si="53"/>
        <v>-508.46482717563049</v>
      </c>
      <c r="W28" s="159">
        <f>SUM(W19:W27)</f>
        <v>150424.22</v>
      </c>
      <c r="X28" s="159">
        <f t="shared" ref="X28" si="66">SUM(X19:X27)</f>
        <v>171650.05517282436</v>
      </c>
      <c r="Y28" s="159">
        <f t="shared" si="54"/>
        <v>21225.835172824358</v>
      </c>
      <c r="AA28" s="159">
        <f>SUM(AA19:AA27)</f>
        <v>161608.04</v>
      </c>
      <c r="AB28" s="159">
        <f t="shared" ref="AB28" si="67">SUM(AB19:AB27)</f>
        <v>190744.59083333335</v>
      </c>
      <c r="AC28" s="159">
        <f t="shared" si="55"/>
        <v>29136.550833333342</v>
      </c>
      <c r="AD28" s="25"/>
      <c r="AE28" s="159">
        <f t="shared" ref="AE28:AV28" si="68">SUM(AE19:AE27)</f>
        <v>162447.04999999999</v>
      </c>
      <c r="AF28" s="159">
        <f t="shared" si="68"/>
        <v>190101.59083333335</v>
      </c>
      <c r="AG28" s="159">
        <f t="shared" si="56"/>
        <v>27654.540833333362</v>
      </c>
      <c r="AH28" s="158"/>
      <c r="AI28" s="159">
        <f t="shared" si="68"/>
        <v>177255.2</v>
      </c>
      <c r="AJ28" s="159">
        <f t="shared" si="68"/>
        <v>196521.73158000002</v>
      </c>
      <c r="AK28" s="159">
        <f t="shared" si="57"/>
        <v>19266.53158000001</v>
      </c>
      <c r="AL28" s="158"/>
      <c r="AM28" s="159">
        <f t="shared" si="68"/>
        <v>197138.06</v>
      </c>
      <c r="AN28" s="159">
        <f t="shared" si="68"/>
        <v>196521.73158000002</v>
      </c>
      <c r="AO28" s="159">
        <f t="shared" si="58"/>
        <v>-616.32841999997618</v>
      </c>
      <c r="AP28" s="158"/>
      <c r="AQ28" s="159">
        <f t="shared" si="68"/>
        <v>193352.68000000002</v>
      </c>
      <c r="AR28" s="159">
        <f t="shared" si="68"/>
        <v>196521.73158000002</v>
      </c>
      <c r="AS28" s="159">
        <f t="shared" si="59"/>
        <v>3169.0515799999994</v>
      </c>
      <c r="AT28" s="158"/>
      <c r="AU28" s="159">
        <f t="shared" si="68"/>
        <v>192257.94000000003</v>
      </c>
      <c r="AV28" s="159">
        <f t="shared" si="68"/>
        <v>196521.73158000002</v>
      </c>
      <c r="AW28" s="159">
        <f t="shared" si="60"/>
        <v>4263.7915799999901</v>
      </c>
    </row>
    <row r="29" spans="1:49" ht="15" customHeight="1">
      <c r="A29" s="1">
        <f t="shared" si="0"/>
        <v>24</v>
      </c>
      <c r="C29" s="157"/>
      <c r="D29" s="157"/>
      <c r="E29" s="157"/>
      <c r="G29" s="157"/>
      <c r="H29" s="157"/>
      <c r="I29" s="157"/>
      <c r="K29" s="157"/>
      <c r="L29" s="157"/>
      <c r="M29" s="157"/>
      <c r="O29" s="157"/>
      <c r="P29" s="157"/>
      <c r="Q29" s="157"/>
      <c r="S29" s="157"/>
      <c r="T29" s="157"/>
      <c r="U29" s="157"/>
      <c r="W29" s="157"/>
      <c r="X29" s="157"/>
      <c r="Y29" s="157"/>
      <c r="AA29" s="157"/>
      <c r="AB29" s="157"/>
      <c r="AC29" s="157"/>
      <c r="AD29" s="25"/>
      <c r="AE29" s="157"/>
      <c r="AF29" s="157"/>
      <c r="AG29" s="157"/>
      <c r="AH29" s="158"/>
      <c r="AI29" s="157"/>
      <c r="AJ29" s="157"/>
      <c r="AK29" s="157"/>
      <c r="AL29" s="158"/>
      <c r="AM29" s="157"/>
      <c r="AN29" s="157"/>
      <c r="AO29" s="157"/>
      <c r="AP29" s="158"/>
      <c r="AQ29" s="157"/>
      <c r="AR29" s="157"/>
      <c r="AS29" s="157"/>
      <c r="AT29" s="158"/>
      <c r="AU29" s="157"/>
      <c r="AV29" s="157"/>
      <c r="AW29" s="157"/>
    </row>
    <row r="30" spans="1:49" ht="15" customHeight="1">
      <c r="A30" s="1">
        <f t="shared" si="0"/>
        <v>25</v>
      </c>
      <c r="C30" s="157"/>
      <c r="D30" s="157"/>
      <c r="E30" s="157"/>
      <c r="G30" s="157"/>
      <c r="H30" s="157"/>
      <c r="I30" s="157"/>
      <c r="K30" s="157"/>
      <c r="L30" s="157"/>
      <c r="M30" s="157"/>
      <c r="O30" s="157"/>
      <c r="P30" s="157"/>
      <c r="Q30" s="157"/>
      <c r="S30" s="157"/>
      <c r="T30" s="157"/>
      <c r="U30" s="157"/>
      <c r="W30" s="157"/>
      <c r="X30" s="157"/>
      <c r="Y30" s="157"/>
      <c r="AA30" s="157"/>
      <c r="AB30" s="157"/>
      <c r="AC30" s="157"/>
      <c r="AD30" s="25"/>
      <c r="AE30" s="157"/>
      <c r="AF30" s="157"/>
      <c r="AG30" s="157"/>
      <c r="AH30" s="158"/>
      <c r="AI30" s="157"/>
      <c r="AJ30" s="157"/>
      <c r="AK30" s="157"/>
      <c r="AL30" s="158"/>
      <c r="AM30" s="157"/>
      <c r="AN30" s="157"/>
      <c r="AO30" s="157"/>
      <c r="AP30" s="158"/>
      <c r="AQ30" s="157"/>
      <c r="AR30" s="157"/>
      <c r="AS30" s="157"/>
      <c r="AT30" s="158"/>
      <c r="AU30" s="157"/>
      <c r="AV30" s="157"/>
      <c r="AW30" s="157"/>
    </row>
    <row r="31" spans="1:49" ht="15" customHeight="1">
      <c r="A31" s="1">
        <f t="shared" si="0"/>
        <v>26</v>
      </c>
      <c r="B31" s="7" t="s">
        <v>278</v>
      </c>
      <c r="C31" s="32">
        <v>0</v>
      </c>
      <c r="D31" s="32">
        <v>0</v>
      </c>
      <c r="E31" s="157">
        <f t="shared" ref="E31:E37" si="69">D31-C31</f>
        <v>0</v>
      </c>
      <c r="G31" s="32">
        <v>0</v>
      </c>
      <c r="H31" s="32">
        <v>0</v>
      </c>
      <c r="I31" s="157">
        <f t="shared" ref="I31:I37" si="70">H31-G31</f>
        <v>0</v>
      </c>
      <c r="K31" s="32">
        <v>0</v>
      </c>
      <c r="L31" s="32">
        <v>0</v>
      </c>
      <c r="M31" s="157">
        <f t="shared" ref="M31:M37" si="71">L31-K31</f>
        <v>0</v>
      </c>
      <c r="O31" s="32">
        <v>0</v>
      </c>
      <c r="P31" s="32">
        <v>0</v>
      </c>
      <c r="Q31" s="157">
        <f t="shared" ref="Q31:Q37" si="72">P31-O31</f>
        <v>0</v>
      </c>
      <c r="S31" s="32">
        <v>0</v>
      </c>
      <c r="T31" s="32">
        <v>0</v>
      </c>
      <c r="U31" s="157">
        <f t="shared" ref="U31:U37" si="73">T31-S31</f>
        <v>0</v>
      </c>
      <c r="W31" s="32">
        <v>0</v>
      </c>
      <c r="X31" s="32">
        <v>0</v>
      </c>
      <c r="Y31" s="157">
        <f t="shared" ref="Y31:Y37" si="74">X31-W31</f>
        <v>0</v>
      </c>
      <c r="AA31" s="157">
        <v>0</v>
      </c>
      <c r="AB31" s="157">
        <v>0</v>
      </c>
      <c r="AC31" s="157">
        <f t="shared" ref="AC31:AC37" si="75">AB31-AA31</f>
        <v>0</v>
      </c>
      <c r="AD31" s="25"/>
      <c r="AE31" s="157">
        <v>0</v>
      </c>
      <c r="AF31" s="157">
        <v>0</v>
      </c>
      <c r="AG31" s="157">
        <f t="shared" ref="AG31:AG37" si="76">AF31-AE31</f>
        <v>0</v>
      </c>
      <c r="AH31" s="158"/>
      <c r="AI31" s="157">
        <v>0</v>
      </c>
      <c r="AJ31" s="157">
        <v>0</v>
      </c>
      <c r="AK31" s="157">
        <f t="shared" ref="AK31:AK37" si="77">AJ31-AI31</f>
        <v>0</v>
      </c>
      <c r="AL31" s="158"/>
      <c r="AM31" s="157">
        <v>0</v>
      </c>
      <c r="AN31" s="157">
        <v>0</v>
      </c>
      <c r="AO31" s="157">
        <f t="shared" ref="AO31:AO37" si="78">AN31-AM31</f>
        <v>0</v>
      </c>
      <c r="AP31" s="158"/>
      <c r="AQ31" s="157">
        <v>0</v>
      </c>
      <c r="AR31" s="157">
        <v>0</v>
      </c>
      <c r="AS31" s="157">
        <f t="shared" ref="AS31:AS37" si="79">AR31-AQ31</f>
        <v>0</v>
      </c>
      <c r="AT31" s="158"/>
      <c r="AU31" s="157">
        <v>0</v>
      </c>
      <c r="AV31" s="157">
        <v>0</v>
      </c>
      <c r="AW31" s="157">
        <f t="shared" ref="AW31:AW37" si="80">AV31-AU31</f>
        <v>0</v>
      </c>
    </row>
    <row r="32" spans="1:49" ht="15" customHeight="1">
      <c r="A32" s="1">
        <f t="shared" si="0"/>
        <v>27</v>
      </c>
      <c r="B32" s="7" t="s">
        <v>279</v>
      </c>
      <c r="C32" s="32">
        <v>0</v>
      </c>
      <c r="D32" s="32">
        <v>0</v>
      </c>
      <c r="E32" s="157">
        <f t="shared" si="69"/>
        <v>0</v>
      </c>
      <c r="G32" s="32">
        <v>0</v>
      </c>
      <c r="H32" s="32">
        <v>0</v>
      </c>
      <c r="I32" s="157">
        <f t="shared" si="70"/>
        <v>0</v>
      </c>
      <c r="K32" s="32">
        <v>0</v>
      </c>
      <c r="L32" s="32">
        <v>0</v>
      </c>
      <c r="M32" s="157">
        <f t="shared" si="71"/>
        <v>0</v>
      </c>
      <c r="O32" s="32">
        <v>0</v>
      </c>
      <c r="P32" s="32">
        <v>0</v>
      </c>
      <c r="Q32" s="157">
        <f t="shared" si="72"/>
        <v>0</v>
      </c>
      <c r="S32" s="32">
        <v>0</v>
      </c>
      <c r="T32" s="32">
        <v>0</v>
      </c>
      <c r="U32" s="157">
        <f t="shared" si="73"/>
        <v>0</v>
      </c>
      <c r="W32" s="32">
        <v>0</v>
      </c>
      <c r="X32" s="32">
        <v>0</v>
      </c>
      <c r="Y32" s="157">
        <f t="shared" si="74"/>
        <v>0</v>
      </c>
      <c r="AA32" s="157">
        <v>0</v>
      </c>
      <c r="AB32" s="157">
        <v>0</v>
      </c>
      <c r="AC32" s="157">
        <f t="shared" si="75"/>
        <v>0</v>
      </c>
      <c r="AD32" s="25"/>
      <c r="AE32" s="157">
        <v>0</v>
      </c>
      <c r="AF32" s="157">
        <v>0</v>
      </c>
      <c r="AG32" s="157">
        <f t="shared" si="76"/>
        <v>0</v>
      </c>
      <c r="AH32" s="158"/>
      <c r="AI32" s="157">
        <v>931</v>
      </c>
      <c r="AJ32" s="157">
        <v>0</v>
      </c>
      <c r="AK32" s="157">
        <f t="shared" si="77"/>
        <v>-931</v>
      </c>
      <c r="AL32" s="158"/>
      <c r="AM32" s="157">
        <v>310.33000000000004</v>
      </c>
      <c r="AN32" s="157">
        <v>0</v>
      </c>
      <c r="AO32" s="157">
        <f t="shared" si="78"/>
        <v>-310.33000000000004</v>
      </c>
      <c r="AP32" s="158"/>
      <c r="AQ32" s="157">
        <v>226.01</v>
      </c>
      <c r="AR32" s="157">
        <v>0</v>
      </c>
      <c r="AS32" s="157">
        <f t="shared" si="79"/>
        <v>-226.01</v>
      </c>
      <c r="AT32" s="158"/>
      <c r="AU32" s="157">
        <v>1241.01</v>
      </c>
      <c r="AV32" s="157">
        <v>0</v>
      </c>
      <c r="AW32" s="157">
        <f t="shared" si="80"/>
        <v>-1241.01</v>
      </c>
    </row>
    <row r="33" spans="1:49" ht="15" customHeight="1">
      <c r="A33" s="1">
        <f t="shared" si="0"/>
        <v>28</v>
      </c>
      <c r="B33" s="7" t="s">
        <v>280</v>
      </c>
      <c r="C33" s="32">
        <v>911.27</v>
      </c>
      <c r="D33" s="32">
        <v>352.4605443459842</v>
      </c>
      <c r="E33" s="157">
        <f t="shared" si="69"/>
        <v>-558.80945565401578</v>
      </c>
      <c r="G33" s="32">
        <v>1384.95</v>
      </c>
      <c r="H33" s="32">
        <v>352.4605443459842</v>
      </c>
      <c r="I33" s="157">
        <f t="shared" si="70"/>
        <v>-1032.4894556540157</v>
      </c>
      <c r="K33" s="32">
        <v>5069.8500000000004</v>
      </c>
      <c r="L33" s="32">
        <v>352.4605443459842</v>
      </c>
      <c r="M33" s="157">
        <f t="shared" si="71"/>
        <v>-4717.3894556540163</v>
      </c>
      <c r="O33" s="32">
        <v>2108.2600000000002</v>
      </c>
      <c r="P33" s="32">
        <v>352.4605443459842</v>
      </c>
      <c r="Q33" s="157">
        <f t="shared" si="72"/>
        <v>-1755.7994556540161</v>
      </c>
      <c r="S33" s="32">
        <v>769.53</v>
      </c>
      <c r="T33" s="32">
        <v>352.4605443459842</v>
      </c>
      <c r="U33" s="157">
        <f t="shared" si="73"/>
        <v>-417.06945565401577</v>
      </c>
      <c r="W33" s="32">
        <v>2224.1800000000003</v>
      </c>
      <c r="X33" s="32">
        <v>352.4605443459842</v>
      </c>
      <c r="Y33" s="157">
        <f t="shared" si="74"/>
        <v>-1871.7194556540162</v>
      </c>
      <c r="AA33" s="157">
        <v>-1645.54</v>
      </c>
      <c r="AB33" s="157">
        <v>0</v>
      </c>
      <c r="AC33" s="157">
        <f t="shared" si="75"/>
        <v>1645.54</v>
      </c>
      <c r="AD33" s="25"/>
      <c r="AE33" s="157">
        <v>0</v>
      </c>
      <c r="AF33" s="157">
        <v>0</v>
      </c>
      <c r="AG33" s="157">
        <f t="shared" si="76"/>
        <v>0</v>
      </c>
      <c r="AH33" s="158"/>
      <c r="AI33" s="157">
        <v>419.85</v>
      </c>
      <c r="AJ33" s="157">
        <v>200</v>
      </c>
      <c r="AK33" s="157">
        <f t="shared" si="77"/>
        <v>-219.85000000000002</v>
      </c>
      <c r="AL33" s="158"/>
      <c r="AM33" s="157">
        <v>121.22</v>
      </c>
      <c r="AN33" s="157">
        <v>400</v>
      </c>
      <c r="AO33" s="157">
        <f t="shared" si="78"/>
        <v>278.77999999999997</v>
      </c>
      <c r="AP33" s="158"/>
      <c r="AQ33" s="157">
        <v>1382.4</v>
      </c>
      <c r="AR33" s="157">
        <v>400</v>
      </c>
      <c r="AS33" s="157">
        <f t="shared" si="79"/>
        <v>-982.40000000000009</v>
      </c>
      <c r="AT33" s="158"/>
      <c r="AU33" s="157">
        <v>1042.82</v>
      </c>
      <c r="AV33" s="157">
        <v>400</v>
      </c>
      <c r="AW33" s="157">
        <f t="shared" si="80"/>
        <v>-642.81999999999994</v>
      </c>
    </row>
    <row r="34" spans="1:49" ht="15" customHeight="1">
      <c r="A34" s="1">
        <f t="shared" si="0"/>
        <v>29</v>
      </c>
      <c r="B34" s="7" t="s">
        <v>281</v>
      </c>
      <c r="C34" s="32">
        <v>1048.58</v>
      </c>
      <c r="D34" s="32">
        <v>2109.1848858048197</v>
      </c>
      <c r="E34" s="157">
        <f t="shared" si="69"/>
        <v>1060.6048858048198</v>
      </c>
      <c r="G34" s="32">
        <v>924.5</v>
      </c>
      <c r="H34" s="32">
        <v>2109.1848858048197</v>
      </c>
      <c r="I34" s="157">
        <f t="shared" si="70"/>
        <v>1184.6848858048197</v>
      </c>
      <c r="K34" s="32">
        <v>2322.33</v>
      </c>
      <c r="L34" s="32">
        <v>2109.1848858048197</v>
      </c>
      <c r="M34" s="157">
        <f t="shared" si="71"/>
        <v>-213.14511419518021</v>
      </c>
      <c r="O34" s="32">
        <v>3824.67</v>
      </c>
      <c r="P34" s="32">
        <v>2109.1848858048197</v>
      </c>
      <c r="Q34" s="157">
        <f t="shared" si="72"/>
        <v>-1715.4851141951804</v>
      </c>
      <c r="S34" s="32">
        <v>2928</v>
      </c>
      <c r="T34" s="32">
        <v>2109.1848858048197</v>
      </c>
      <c r="U34" s="157">
        <f t="shared" si="73"/>
        <v>-818.81511419518029</v>
      </c>
      <c r="W34" s="32">
        <v>4700.09</v>
      </c>
      <c r="X34" s="32">
        <v>2109.1848858048197</v>
      </c>
      <c r="Y34" s="157">
        <f t="shared" si="74"/>
        <v>-2590.9051141951804</v>
      </c>
      <c r="AA34" s="157">
        <v>18124.41</v>
      </c>
      <c r="AB34" s="157">
        <v>9654.3100000000013</v>
      </c>
      <c r="AC34" s="157">
        <f t="shared" si="75"/>
        <v>-8470.0999999999985</v>
      </c>
      <c r="AD34" s="25"/>
      <c r="AE34" s="157">
        <v>2716.45</v>
      </c>
      <c r="AF34" s="157">
        <v>9654.3100000000013</v>
      </c>
      <c r="AG34" s="157">
        <f t="shared" si="76"/>
        <v>6937.8600000000015</v>
      </c>
      <c r="AH34" s="158"/>
      <c r="AI34" s="157">
        <v>1372</v>
      </c>
      <c r="AJ34" s="157">
        <v>10004.310000000001</v>
      </c>
      <c r="AK34" s="157">
        <f t="shared" si="77"/>
        <v>8632.3100000000013</v>
      </c>
      <c r="AL34" s="158"/>
      <c r="AM34" s="157">
        <v>1975.51</v>
      </c>
      <c r="AN34" s="157">
        <v>10004.310000000001</v>
      </c>
      <c r="AO34" s="157">
        <f t="shared" si="78"/>
        <v>8028.8000000000011</v>
      </c>
      <c r="AP34" s="158"/>
      <c r="AQ34" s="157">
        <v>2613</v>
      </c>
      <c r="AR34" s="157">
        <v>10004.310000000001</v>
      </c>
      <c r="AS34" s="157">
        <f t="shared" si="79"/>
        <v>7391.3100000000013</v>
      </c>
      <c r="AT34" s="158"/>
      <c r="AU34" s="157">
        <v>1148.67</v>
      </c>
      <c r="AV34" s="157">
        <v>10004.310000000001</v>
      </c>
      <c r="AW34" s="157">
        <f t="shared" si="80"/>
        <v>8855.6400000000012</v>
      </c>
    </row>
    <row r="35" spans="1:49" ht="15" customHeight="1">
      <c r="A35" s="1">
        <f t="shared" si="0"/>
        <v>30</v>
      </c>
      <c r="B35" s="7" t="s">
        <v>282</v>
      </c>
      <c r="C35" s="32">
        <v>17980</v>
      </c>
      <c r="D35" s="32">
        <v>4692.4098287829138</v>
      </c>
      <c r="E35" s="157">
        <f t="shared" si="69"/>
        <v>-13287.590171217085</v>
      </c>
      <c r="G35" s="32">
        <v>11810</v>
      </c>
      <c r="H35" s="32">
        <v>4692.4098287829138</v>
      </c>
      <c r="I35" s="157">
        <f t="shared" si="70"/>
        <v>-7117.5901712170862</v>
      </c>
      <c r="K35" s="32">
        <v>15810.38</v>
      </c>
      <c r="L35" s="32">
        <v>4692.4098287829138</v>
      </c>
      <c r="M35" s="157">
        <f t="shared" si="71"/>
        <v>-11117.970171217086</v>
      </c>
      <c r="O35" s="32">
        <v>490</v>
      </c>
      <c r="P35" s="32">
        <v>4692.4098287829138</v>
      </c>
      <c r="Q35" s="157">
        <f t="shared" si="72"/>
        <v>4202.4098287829138</v>
      </c>
      <c r="S35" s="32">
        <v>140</v>
      </c>
      <c r="T35" s="32">
        <v>4692.4098287829138</v>
      </c>
      <c r="U35" s="157">
        <f t="shared" si="73"/>
        <v>4552.4098287829138</v>
      </c>
      <c r="W35" s="32">
        <v>315</v>
      </c>
      <c r="X35" s="32">
        <v>4692.4098287829138</v>
      </c>
      <c r="Y35" s="157">
        <f t="shared" si="74"/>
        <v>4377.4098287829138</v>
      </c>
      <c r="AA35" s="157">
        <v>-315</v>
      </c>
      <c r="AB35" s="157">
        <v>0</v>
      </c>
      <c r="AC35" s="157">
        <f t="shared" si="75"/>
        <v>315</v>
      </c>
      <c r="AD35" s="25"/>
      <c r="AE35" s="157">
        <v>1872.5</v>
      </c>
      <c r="AF35" s="157">
        <v>0</v>
      </c>
      <c r="AG35" s="157">
        <f t="shared" si="76"/>
        <v>-1872.5</v>
      </c>
      <c r="AH35" s="158"/>
      <c r="AI35" s="157">
        <v>560</v>
      </c>
      <c r="AJ35" s="157">
        <v>0</v>
      </c>
      <c r="AK35" s="157">
        <f t="shared" si="77"/>
        <v>-560</v>
      </c>
      <c r="AL35" s="158"/>
      <c r="AM35" s="157">
        <v>810.84</v>
      </c>
      <c r="AN35" s="157">
        <v>0</v>
      </c>
      <c r="AO35" s="157">
        <f t="shared" si="78"/>
        <v>-810.84</v>
      </c>
      <c r="AP35" s="158"/>
      <c r="AQ35" s="157">
        <v>140</v>
      </c>
      <c r="AR35" s="157">
        <v>0</v>
      </c>
      <c r="AS35" s="157">
        <f t="shared" si="79"/>
        <v>-140</v>
      </c>
      <c r="AT35" s="158"/>
      <c r="AU35" s="157">
        <v>-344.18</v>
      </c>
      <c r="AV35" s="157">
        <v>0</v>
      </c>
      <c r="AW35" s="157">
        <f t="shared" si="80"/>
        <v>344.18</v>
      </c>
    </row>
    <row r="36" spans="1:49" ht="15" customHeight="1">
      <c r="A36" s="1">
        <f t="shared" si="0"/>
        <v>31</v>
      </c>
      <c r="B36" s="7" t="s">
        <v>283</v>
      </c>
      <c r="C36" s="32">
        <v>11177.41</v>
      </c>
      <c r="D36" s="32">
        <v>4024.0462349085774</v>
      </c>
      <c r="E36" s="157">
        <f t="shared" si="69"/>
        <v>-7153.3637650914225</v>
      </c>
      <c r="G36" s="32">
        <v>12324.53</v>
      </c>
      <c r="H36" s="32">
        <v>4024.0462349085774</v>
      </c>
      <c r="I36" s="157">
        <f t="shared" si="70"/>
        <v>-8300.4837650914233</v>
      </c>
      <c r="K36" s="32">
        <v>19814.849999999999</v>
      </c>
      <c r="L36" s="32">
        <v>4024.0462349085774</v>
      </c>
      <c r="M36" s="157">
        <f t="shared" si="71"/>
        <v>-15790.803765091421</v>
      </c>
      <c r="O36" s="32">
        <v>12425</v>
      </c>
      <c r="P36" s="32">
        <v>4024.0462349085774</v>
      </c>
      <c r="Q36" s="157">
        <f t="shared" si="72"/>
        <v>-8400.9537650914226</v>
      </c>
      <c r="S36" s="32">
        <v>4970</v>
      </c>
      <c r="T36" s="32">
        <v>4024.0462349085774</v>
      </c>
      <c r="U36" s="157">
        <f t="shared" si="73"/>
        <v>-945.95376509142261</v>
      </c>
      <c r="W36" s="32">
        <v>16205</v>
      </c>
      <c r="X36" s="32">
        <v>4024.0462349085774</v>
      </c>
      <c r="Y36" s="157">
        <f t="shared" si="74"/>
        <v>-12180.953765091423</v>
      </c>
      <c r="AA36" s="157">
        <v>-7315</v>
      </c>
      <c r="AB36" s="157">
        <v>0</v>
      </c>
      <c r="AC36" s="157">
        <f t="shared" si="75"/>
        <v>7315</v>
      </c>
      <c r="AD36" s="25"/>
      <c r="AE36" s="157">
        <v>500</v>
      </c>
      <c r="AF36" s="157">
        <v>0</v>
      </c>
      <c r="AG36" s="157">
        <f t="shared" si="76"/>
        <v>-500</v>
      </c>
      <c r="AH36" s="158"/>
      <c r="AI36" s="157">
        <v>0</v>
      </c>
      <c r="AJ36" s="157">
        <v>5575</v>
      </c>
      <c r="AK36" s="157">
        <f t="shared" si="77"/>
        <v>5575</v>
      </c>
      <c r="AL36" s="158"/>
      <c r="AM36" s="157">
        <v>11526.56</v>
      </c>
      <c r="AN36" s="157">
        <v>13274.647380952383</v>
      </c>
      <c r="AO36" s="157">
        <f t="shared" si="78"/>
        <v>1748.0873809523837</v>
      </c>
      <c r="AP36" s="158"/>
      <c r="AQ36" s="157">
        <v>9068.7200000000012</v>
      </c>
      <c r="AR36" s="157">
        <v>13274.647380952383</v>
      </c>
      <c r="AS36" s="157">
        <f t="shared" si="79"/>
        <v>4205.927380952382</v>
      </c>
      <c r="AT36" s="158"/>
      <c r="AU36" s="157">
        <v>4584.1500000000005</v>
      </c>
      <c r="AV36" s="157">
        <v>13274.647380952383</v>
      </c>
      <c r="AW36" s="157">
        <f t="shared" si="80"/>
        <v>8690.4973809523835</v>
      </c>
    </row>
    <row r="37" spans="1:49" ht="15" customHeight="1">
      <c r="A37" s="1">
        <f t="shared" si="0"/>
        <v>32</v>
      </c>
      <c r="B37" s="7" t="s">
        <v>284</v>
      </c>
      <c r="C37" s="159">
        <f>SUM(C30:C36)</f>
        <v>31117.26</v>
      </c>
      <c r="D37" s="159">
        <f t="shared" ref="D37" si="81">SUM(D30:D36)</f>
        <v>11178.101493842296</v>
      </c>
      <c r="E37" s="159">
        <f t="shared" si="69"/>
        <v>-19939.158506157703</v>
      </c>
      <c r="G37" s="159">
        <f>SUM(G30:G36)</f>
        <v>26443.980000000003</v>
      </c>
      <c r="H37" s="159">
        <f t="shared" ref="H37" si="82">SUM(H30:H36)</f>
        <v>11178.101493842296</v>
      </c>
      <c r="I37" s="159">
        <f t="shared" si="70"/>
        <v>-15265.878506157707</v>
      </c>
      <c r="K37" s="159">
        <f>SUM(K30:K36)</f>
        <v>43017.409999999996</v>
      </c>
      <c r="L37" s="159">
        <f t="shared" ref="L37" si="83">SUM(L30:L36)</f>
        <v>11178.101493842296</v>
      </c>
      <c r="M37" s="159">
        <f t="shared" si="71"/>
        <v>-31839.3085061577</v>
      </c>
      <c r="O37" s="159">
        <f>SUM(O30:O36)</f>
        <v>18847.93</v>
      </c>
      <c r="P37" s="159">
        <f t="shared" ref="P37" si="84">SUM(P30:P36)</f>
        <v>11178.101493842296</v>
      </c>
      <c r="Q37" s="159">
        <f t="shared" si="72"/>
        <v>-7669.8285061577044</v>
      </c>
      <c r="S37" s="159">
        <f>SUM(S30:S36)</f>
        <v>8807.5299999999988</v>
      </c>
      <c r="T37" s="159">
        <f t="shared" ref="T37" si="85">SUM(T30:T36)</f>
        <v>11178.101493842296</v>
      </c>
      <c r="U37" s="159">
        <f t="shared" si="73"/>
        <v>2370.5714938422971</v>
      </c>
      <c r="W37" s="159">
        <f>SUM(W30:W36)</f>
        <v>23444.27</v>
      </c>
      <c r="X37" s="159">
        <f t="shared" ref="X37" si="86">SUM(X30:X36)</f>
        <v>11178.101493842296</v>
      </c>
      <c r="Y37" s="159">
        <f t="shared" si="74"/>
        <v>-12266.168506157705</v>
      </c>
      <c r="AA37" s="159">
        <f>SUM(AA30:AA36)</f>
        <v>8848.869999999999</v>
      </c>
      <c r="AB37" s="159">
        <f t="shared" ref="AB37" si="87">SUM(AB30:AB36)</f>
        <v>9654.3100000000013</v>
      </c>
      <c r="AC37" s="159">
        <f t="shared" si="75"/>
        <v>805.44000000000233</v>
      </c>
      <c r="AD37" s="25"/>
      <c r="AE37" s="159">
        <f t="shared" ref="AE37:AV37" si="88">SUM(AE30:AE36)</f>
        <v>5088.95</v>
      </c>
      <c r="AF37" s="159">
        <f t="shared" si="88"/>
        <v>9654.3100000000013</v>
      </c>
      <c r="AG37" s="159">
        <f t="shared" si="76"/>
        <v>4565.3600000000015</v>
      </c>
      <c r="AH37" s="158"/>
      <c r="AI37" s="159">
        <f t="shared" si="88"/>
        <v>3282.85</v>
      </c>
      <c r="AJ37" s="159">
        <f t="shared" si="88"/>
        <v>15779.310000000001</v>
      </c>
      <c r="AK37" s="159">
        <f t="shared" si="77"/>
        <v>12496.460000000001</v>
      </c>
      <c r="AL37" s="158"/>
      <c r="AM37" s="159">
        <f t="shared" si="88"/>
        <v>14744.46</v>
      </c>
      <c r="AN37" s="159">
        <f t="shared" si="88"/>
        <v>23678.957380952386</v>
      </c>
      <c r="AO37" s="159">
        <f t="shared" si="78"/>
        <v>8934.4973809523872</v>
      </c>
      <c r="AP37" s="158"/>
      <c r="AQ37" s="159">
        <f t="shared" si="88"/>
        <v>13430.130000000001</v>
      </c>
      <c r="AR37" s="159">
        <f t="shared" si="88"/>
        <v>23678.957380952386</v>
      </c>
      <c r="AS37" s="159">
        <f t="shared" si="79"/>
        <v>10248.827380952385</v>
      </c>
      <c r="AT37" s="158"/>
      <c r="AU37" s="159">
        <f t="shared" si="88"/>
        <v>7672.4700000000012</v>
      </c>
      <c r="AV37" s="159">
        <f t="shared" si="88"/>
        <v>23678.957380952386</v>
      </c>
      <c r="AW37" s="159">
        <f t="shared" si="80"/>
        <v>16006.487380952385</v>
      </c>
    </row>
    <row r="38" spans="1:49" ht="15" customHeight="1">
      <c r="A38" s="1">
        <f t="shared" si="0"/>
        <v>33</v>
      </c>
      <c r="C38" s="158"/>
      <c r="D38" s="158"/>
      <c r="E38" s="158"/>
      <c r="F38" s="42"/>
      <c r="G38" s="158"/>
      <c r="H38" s="158"/>
      <c r="I38" s="158"/>
      <c r="J38" s="42"/>
      <c r="K38" s="158"/>
      <c r="L38" s="158"/>
      <c r="M38" s="158"/>
      <c r="N38" s="42"/>
      <c r="O38" s="158"/>
      <c r="P38" s="158"/>
      <c r="Q38" s="158"/>
      <c r="R38" s="42"/>
      <c r="S38" s="158"/>
      <c r="T38" s="158"/>
      <c r="U38" s="158"/>
      <c r="V38" s="42"/>
      <c r="W38" s="158"/>
      <c r="X38" s="158"/>
      <c r="Y38" s="158"/>
      <c r="Z38" s="42"/>
      <c r="AA38" s="158"/>
      <c r="AB38" s="158"/>
      <c r="AC38" s="158"/>
      <c r="AD38" s="25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</row>
    <row r="39" spans="1:49" ht="15" customHeight="1">
      <c r="A39" s="1">
        <f t="shared" si="0"/>
        <v>34</v>
      </c>
      <c r="B39" s="42"/>
      <c r="C39" s="157"/>
      <c r="D39" s="157"/>
      <c r="E39" s="157"/>
      <c r="G39" s="157"/>
      <c r="H39" s="157"/>
      <c r="I39" s="157"/>
      <c r="K39" s="157"/>
      <c r="L39" s="157"/>
      <c r="M39" s="157"/>
      <c r="O39" s="157"/>
      <c r="P39" s="157"/>
      <c r="Q39" s="157"/>
      <c r="S39" s="157"/>
      <c r="T39" s="157"/>
      <c r="U39" s="157"/>
      <c r="W39" s="157"/>
      <c r="X39" s="157"/>
      <c r="Y39" s="157"/>
      <c r="AA39" s="157"/>
      <c r="AB39" s="157"/>
      <c r="AC39" s="157"/>
      <c r="AD39" s="25"/>
      <c r="AE39" s="157"/>
      <c r="AF39" s="157"/>
      <c r="AG39" s="157"/>
      <c r="AH39" s="158"/>
      <c r="AI39" s="157"/>
      <c r="AJ39" s="157"/>
      <c r="AK39" s="157"/>
      <c r="AL39" s="158"/>
      <c r="AM39" s="157"/>
      <c r="AN39" s="157"/>
      <c r="AO39" s="157"/>
      <c r="AP39" s="158"/>
      <c r="AQ39" s="157"/>
      <c r="AR39" s="157"/>
      <c r="AS39" s="157"/>
      <c r="AT39" s="158"/>
      <c r="AU39" s="157"/>
      <c r="AV39" s="157"/>
      <c r="AW39" s="157"/>
    </row>
    <row r="40" spans="1:49" ht="15" customHeight="1">
      <c r="A40" s="1">
        <f t="shared" si="0"/>
        <v>35</v>
      </c>
      <c r="B40" s="7" t="s">
        <v>285</v>
      </c>
      <c r="C40" s="159">
        <f>C28+C37</f>
        <v>202359.86000000002</v>
      </c>
      <c r="D40" s="159">
        <f t="shared" ref="D40" si="89">D28+D37</f>
        <v>182828.15666666665</v>
      </c>
      <c r="E40" s="159">
        <f>D40-C40</f>
        <v>-19531.703333333367</v>
      </c>
      <c r="F40" s="41"/>
      <c r="G40" s="159">
        <f>G28+G37</f>
        <v>197047.84000000003</v>
      </c>
      <c r="H40" s="159">
        <f t="shared" ref="H40" si="90">H28+H37</f>
        <v>182828.15666666665</v>
      </c>
      <c r="I40" s="159">
        <f>H40-G40</f>
        <v>-14219.683333333378</v>
      </c>
      <c r="J40" s="41"/>
      <c r="K40" s="159">
        <f>K28+K37</f>
        <v>225899.77</v>
      </c>
      <c r="L40" s="159">
        <f t="shared" ref="L40" si="91">L28+L37</f>
        <v>182828.15666666665</v>
      </c>
      <c r="M40" s="159">
        <f>L40-K40</f>
        <v>-43071.613333333342</v>
      </c>
      <c r="N40" s="41"/>
      <c r="O40" s="159">
        <f>O28+O37</f>
        <v>220464.32</v>
      </c>
      <c r="P40" s="159">
        <f t="shared" ref="P40" si="92">P28+P37</f>
        <v>182828.15666666665</v>
      </c>
      <c r="Q40" s="159">
        <f>P40-O40</f>
        <v>-37636.163333333359</v>
      </c>
      <c r="R40" s="41"/>
      <c r="S40" s="159">
        <f>S28+S37</f>
        <v>180966.05</v>
      </c>
      <c r="T40" s="159">
        <f t="shared" ref="T40" si="93">T28+T37</f>
        <v>182828.15666666665</v>
      </c>
      <c r="U40" s="159">
        <f>T40-S40</f>
        <v>1862.1066666666593</v>
      </c>
      <c r="V40" s="41"/>
      <c r="W40" s="159">
        <f>W28+W37</f>
        <v>173868.49</v>
      </c>
      <c r="X40" s="159">
        <f t="shared" ref="X40" si="94">X28+X37</f>
        <v>182828.15666666665</v>
      </c>
      <c r="Y40" s="159">
        <f>X40-W40</f>
        <v>8959.666666666657</v>
      </c>
      <c r="Z40" s="41"/>
      <c r="AA40" s="159">
        <f>AA28+AA37</f>
        <v>170456.91</v>
      </c>
      <c r="AB40" s="159">
        <f t="shared" ref="AB40" si="95">AB28+AB37</f>
        <v>200398.90083333335</v>
      </c>
      <c r="AC40" s="159">
        <f>AB40-AA40</f>
        <v>29941.990833333344</v>
      </c>
      <c r="AD40" s="25"/>
      <c r="AE40" s="159">
        <f t="shared" ref="AE40:AV40" si="96">AE28+AE37</f>
        <v>167536</v>
      </c>
      <c r="AF40" s="159">
        <f t="shared" si="96"/>
        <v>199755.90083333335</v>
      </c>
      <c r="AG40" s="159">
        <f>AF40-AE40</f>
        <v>32219.900833333348</v>
      </c>
      <c r="AH40" s="158"/>
      <c r="AI40" s="159">
        <f t="shared" si="96"/>
        <v>180538.05000000002</v>
      </c>
      <c r="AJ40" s="159">
        <f t="shared" si="96"/>
        <v>212301.04158000002</v>
      </c>
      <c r="AK40" s="159">
        <f>AJ40-AI40</f>
        <v>31762.991580000002</v>
      </c>
      <c r="AL40" s="158"/>
      <c r="AM40" s="159">
        <f t="shared" si="96"/>
        <v>211882.52</v>
      </c>
      <c r="AN40" s="159">
        <f t="shared" si="96"/>
        <v>220200.68896095239</v>
      </c>
      <c r="AO40" s="159">
        <f>AN40-AM40</f>
        <v>8318.1689609524037</v>
      </c>
      <c r="AP40" s="158"/>
      <c r="AQ40" s="159">
        <f t="shared" si="96"/>
        <v>206782.81000000003</v>
      </c>
      <c r="AR40" s="159">
        <f t="shared" si="96"/>
        <v>220200.68896095239</v>
      </c>
      <c r="AS40" s="159">
        <f>AR40-AQ40</f>
        <v>13417.878960952366</v>
      </c>
      <c r="AT40" s="158"/>
      <c r="AU40" s="159">
        <f t="shared" si="96"/>
        <v>199930.41000000003</v>
      </c>
      <c r="AV40" s="159">
        <f t="shared" si="96"/>
        <v>220200.68896095239</v>
      </c>
      <c r="AW40" s="159">
        <f>AV40-AU40</f>
        <v>20270.278960952361</v>
      </c>
    </row>
    <row r="41" spans="1:49" ht="15" customHeight="1">
      <c r="A41" s="1">
        <f t="shared" si="0"/>
        <v>36</v>
      </c>
      <c r="B41" s="41"/>
      <c r="C41" s="157"/>
      <c r="D41" s="157"/>
      <c r="E41" s="157"/>
      <c r="F41" s="41"/>
      <c r="G41" s="157"/>
      <c r="H41" s="157"/>
      <c r="I41" s="157"/>
      <c r="J41" s="41"/>
      <c r="K41" s="157"/>
      <c r="L41" s="157"/>
      <c r="M41" s="157"/>
      <c r="N41" s="41"/>
      <c r="O41" s="157"/>
      <c r="P41" s="157"/>
      <c r="Q41" s="157"/>
      <c r="R41" s="41"/>
      <c r="S41" s="157"/>
      <c r="T41" s="157"/>
      <c r="U41" s="157"/>
      <c r="V41" s="41"/>
      <c r="W41" s="157"/>
      <c r="X41" s="157"/>
      <c r="Y41" s="157"/>
      <c r="Z41" s="41"/>
      <c r="AA41" s="157"/>
      <c r="AB41" s="157"/>
      <c r="AC41" s="157"/>
      <c r="AD41" s="25"/>
      <c r="AE41" s="157"/>
      <c r="AF41" s="157"/>
      <c r="AG41" s="157"/>
      <c r="AH41" s="158"/>
      <c r="AI41" s="157"/>
      <c r="AJ41" s="157"/>
      <c r="AK41" s="157"/>
      <c r="AL41" s="158"/>
      <c r="AM41" s="157"/>
      <c r="AN41" s="157"/>
      <c r="AO41" s="157"/>
      <c r="AP41" s="158"/>
      <c r="AQ41" s="157"/>
      <c r="AR41" s="157"/>
      <c r="AS41" s="157"/>
      <c r="AT41" s="158"/>
      <c r="AU41" s="157"/>
      <c r="AV41" s="157"/>
      <c r="AW41" s="157"/>
    </row>
    <row r="42" spans="1:49" ht="15" customHeight="1">
      <c r="A42" s="1">
        <f t="shared" si="0"/>
        <v>37</v>
      </c>
      <c r="B42" s="41"/>
      <c r="C42" s="157"/>
      <c r="D42" s="157"/>
      <c r="E42" s="157"/>
      <c r="G42" s="157"/>
      <c r="H42" s="157"/>
      <c r="I42" s="157"/>
      <c r="K42" s="157"/>
      <c r="L42" s="157"/>
      <c r="M42" s="157"/>
      <c r="O42" s="157"/>
      <c r="P42" s="157"/>
      <c r="Q42" s="157"/>
      <c r="S42" s="157"/>
      <c r="T42" s="157"/>
      <c r="U42" s="157"/>
      <c r="W42" s="157"/>
      <c r="X42" s="157"/>
      <c r="Y42" s="157"/>
      <c r="AA42" s="157"/>
      <c r="AB42" s="157"/>
      <c r="AC42" s="157"/>
      <c r="AD42" s="25"/>
      <c r="AE42" s="157"/>
      <c r="AF42" s="157"/>
      <c r="AG42" s="157"/>
      <c r="AH42" s="158"/>
      <c r="AI42" s="157"/>
      <c r="AJ42" s="157"/>
      <c r="AK42" s="157"/>
      <c r="AL42" s="158"/>
      <c r="AM42" s="157"/>
      <c r="AN42" s="157"/>
      <c r="AO42" s="157"/>
      <c r="AP42" s="158"/>
      <c r="AQ42" s="157"/>
      <c r="AR42" s="157"/>
      <c r="AS42" s="157"/>
      <c r="AT42" s="158"/>
      <c r="AU42" s="157"/>
      <c r="AV42" s="157"/>
      <c r="AW42" s="157"/>
    </row>
    <row r="43" spans="1:49" ht="15" customHeight="1">
      <c r="A43" s="1">
        <f t="shared" si="0"/>
        <v>38</v>
      </c>
      <c r="B43" s="7" t="s">
        <v>286</v>
      </c>
      <c r="C43" s="32">
        <v>41953.82</v>
      </c>
      <c r="D43" s="32">
        <v>38236</v>
      </c>
      <c r="E43" s="157">
        <f>D43-C43</f>
        <v>-3717.8199999999997</v>
      </c>
      <c r="F43" s="41"/>
      <c r="G43" s="32">
        <v>40770.660000000003</v>
      </c>
      <c r="H43" s="32">
        <v>38236</v>
      </c>
      <c r="I43" s="157">
        <f>H43-G43</f>
        <v>-2534.6600000000035</v>
      </c>
      <c r="J43" s="41"/>
      <c r="K43" s="32">
        <v>41466.629999999997</v>
      </c>
      <c r="L43" s="32">
        <v>38236</v>
      </c>
      <c r="M43" s="157">
        <f>L43-K43</f>
        <v>-3230.6299999999974</v>
      </c>
      <c r="N43" s="41"/>
      <c r="O43" s="32">
        <v>42579.23</v>
      </c>
      <c r="P43" s="32">
        <v>38236</v>
      </c>
      <c r="Q43" s="157">
        <f>P43-O43</f>
        <v>-4343.2300000000032</v>
      </c>
      <c r="R43" s="41"/>
      <c r="S43" s="32">
        <v>43520</v>
      </c>
      <c r="T43" s="32">
        <v>38236</v>
      </c>
      <c r="U43" s="157">
        <f>T43-S43</f>
        <v>-5284</v>
      </c>
      <c r="V43" s="41"/>
      <c r="W43" s="32">
        <v>43520</v>
      </c>
      <c r="X43" s="32">
        <v>38236</v>
      </c>
      <c r="Y43" s="157">
        <f>X43-W43</f>
        <v>-5284</v>
      </c>
      <c r="Z43" s="41"/>
      <c r="AA43" s="157">
        <v>42267</v>
      </c>
      <c r="AB43" s="157">
        <v>33120.157273694116</v>
      </c>
      <c r="AC43" s="157">
        <f>AB43-AA43</f>
        <v>-9146.8427263058838</v>
      </c>
      <c r="AD43" s="25"/>
      <c r="AE43" s="157">
        <v>42119.13</v>
      </c>
      <c r="AF43" s="157">
        <v>34027</v>
      </c>
      <c r="AG43" s="157">
        <f>AF43-AE43</f>
        <v>-8092.1299999999974</v>
      </c>
      <c r="AH43" s="158"/>
      <c r="AI43" s="157">
        <v>39637.19</v>
      </c>
      <c r="AJ43" s="157">
        <v>35777</v>
      </c>
      <c r="AK43" s="157">
        <f>AJ43-AI43</f>
        <v>-3860.1900000000023</v>
      </c>
      <c r="AL43" s="158"/>
      <c r="AM43" s="157">
        <v>39075</v>
      </c>
      <c r="AN43" s="157">
        <v>34365</v>
      </c>
      <c r="AO43" s="157">
        <f>AN43-AM43</f>
        <v>-4710</v>
      </c>
      <c r="AP43" s="158"/>
      <c r="AQ43" s="157">
        <v>39075</v>
      </c>
      <c r="AR43" s="157">
        <v>27510</v>
      </c>
      <c r="AS43" s="157">
        <f>AR43-AQ43</f>
        <v>-11565</v>
      </c>
      <c r="AT43" s="158"/>
      <c r="AU43" s="157">
        <v>39075</v>
      </c>
      <c r="AV43" s="157">
        <v>26712</v>
      </c>
      <c r="AW43" s="157">
        <f>AV43-AU43</f>
        <v>-12363</v>
      </c>
    </row>
    <row r="44" spans="1:49" ht="15" customHeight="1">
      <c r="A44" s="1">
        <f t="shared" si="0"/>
        <v>39</v>
      </c>
      <c r="B44" s="41"/>
      <c r="C44" s="157"/>
      <c r="D44" s="157"/>
      <c r="E44" s="157"/>
      <c r="G44" s="157"/>
      <c r="H44" s="157"/>
      <c r="I44" s="157"/>
      <c r="K44" s="157"/>
      <c r="L44" s="157"/>
      <c r="M44" s="157"/>
      <c r="O44" s="157"/>
      <c r="P44" s="157"/>
      <c r="Q44" s="157"/>
      <c r="S44" s="157"/>
      <c r="T44" s="157"/>
      <c r="U44" s="157"/>
      <c r="W44" s="157"/>
      <c r="X44" s="157"/>
      <c r="Y44" s="157"/>
      <c r="AA44" s="157"/>
      <c r="AB44" s="157"/>
      <c r="AC44" s="157"/>
      <c r="AD44" s="25"/>
      <c r="AE44" s="157"/>
      <c r="AF44" s="157"/>
      <c r="AG44" s="157"/>
      <c r="AH44" s="158"/>
      <c r="AI44" s="157"/>
      <c r="AJ44" s="157"/>
      <c r="AK44" s="157"/>
      <c r="AL44" s="158"/>
      <c r="AM44" s="157"/>
      <c r="AN44" s="157"/>
      <c r="AO44" s="157"/>
      <c r="AP44" s="158"/>
      <c r="AQ44" s="157"/>
      <c r="AR44" s="157"/>
      <c r="AS44" s="157"/>
      <c r="AT44" s="158"/>
      <c r="AU44" s="157"/>
      <c r="AV44" s="157"/>
      <c r="AW44" s="157"/>
    </row>
    <row r="45" spans="1:49" ht="15" customHeight="1">
      <c r="A45" s="1">
        <f t="shared" si="0"/>
        <v>40</v>
      </c>
      <c r="C45" s="157"/>
      <c r="D45" s="157"/>
      <c r="E45" s="157"/>
      <c r="F45" s="17"/>
      <c r="G45" s="157"/>
      <c r="H45" s="157"/>
      <c r="I45" s="157"/>
      <c r="J45" s="17"/>
      <c r="K45" s="157"/>
      <c r="L45" s="157"/>
      <c r="M45" s="157"/>
      <c r="N45" s="17"/>
      <c r="O45" s="157"/>
      <c r="P45" s="157"/>
      <c r="Q45" s="157"/>
      <c r="R45" s="17"/>
      <c r="S45" s="157"/>
      <c r="T45" s="157"/>
      <c r="U45" s="157"/>
      <c r="V45" s="17"/>
      <c r="W45" s="157"/>
      <c r="X45" s="157"/>
      <c r="Y45" s="157"/>
      <c r="Z45" s="17"/>
      <c r="AA45" s="157"/>
      <c r="AB45" s="157"/>
      <c r="AC45" s="157"/>
      <c r="AD45" s="25"/>
      <c r="AE45" s="157"/>
      <c r="AF45" s="157"/>
      <c r="AG45" s="157"/>
      <c r="AH45" s="158"/>
      <c r="AI45" s="157"/>
      <c r="AJ45" s="157"/>
      <c r="AK45" s="157"/>
      <c r="AL45" s="158"/>
      <c r="AM45" s="157"/>
      <c r="AN45" s="157"/>
      <c r="AO45" s="157"/>
      <c r="AP45" s="158"/>
      <c r="AQ45" s="157"/>
      <c r="AR45" s="157"/>
      <c r="AS45" s="157"/>
      <c r="AT45" s="158"/>
      <c r="AU45" s="157"/>
      <c r="AV45" s="157"/>
      <c r="AW45" s="157"/>
    </row>
    <row r="46" spans="1:49" ht="15" customHeight="1">
      <c r="A46" s="1">
        <f t="shared" si="0"/>
        <v>41</v>
      </c>
      <c r="B46" s="17" t="s">
        <v>287</v>
      </c>
      <c r="C46" s="160">
        <f>C40+C43</f>
        <v>244313.68000000002</v>
      </c>
      <c r="D46" s="160">
        <f t="shared" ref="D46" si="97">D40+D43</f>
        <v>221064.15666666665</v>
      </c>
      <c r="E46" s="160">
        <f>D46-C46</f>
        <v>-23249.523333333374</v>
      </c>
      <c r="G46" s="160">
        <f>G40+G43</f>
        <v>237818.50000000003</v>
      </c>
      <c r="H46" s="160">
        <f t="shared" ref="H46" si="98">H40+H43</f>
        <v>221064.15666666665</v>
      </c>
      <c r="I46" s="160">
        <f>H46-G46</f>
        <v>-16754.343333333381</v>
      </c>
      <c r="K46" s="160">
        <f>K40+K43</f>
        <v>267366.39999999997</v>
      </c>
      <c r="L46" s="160">
        <f t="shared" ref="L46" si="99">L40+L43</f>
        <v>221064.15666666665</v>
      </c>
      <c r="M46" s="160">
        <f>L46-K46</f>
        <v>-46302.243333333317</v>
      </c>
      <c r="O46" s="160">
        <f>O40+O43</f>
        <v>263043.55</v>
      </c>
      <c r="P46" s="160">
        <f t="shared" ref="P46" si="100">P40+P43</f>
        <v>221064.15666666665</v>
      </c>
      <c r="Q46" s="160">
        <f>P46-O46</f>
        <v>-41979.393333333341</v>
      </c>
      <c r="S46" s="160">
        <f>S40+S43</f>
        <v>224486.05</v>
      </c>
      <c r="T46" s="160">
        <f t="shared" ref="T46" si="101">T40+T43</f>
        <v>221064.15666666665</v>
      </c>
      <c r="U46" s="160">
        <f>T46-S46</f>
        <v>-3421.8933333333407</v>
      </c>
      <c r="W46" s="160">
        <f>W40+W43</f>
        <v>217388.49</v>
      </c>
      <c r="X46" s="160">
        <f t="shared" ref="X46" si="102">X40+X43</f>
        <v>221064.15666666665</v>
      </c>
      <c r="Y46" s="160">
        <f>X46-W46</f>
        <v>3675.666666666657</v>
      </c>
      <c r="AA46" s="160">
        <f>AA40+AA43</f>
        <v>212723.91</v>
      </c>
      <c r="AB46" s="160">
        <f t="shared" ref="AB46" si="103">AB40+AB43</f>
        <v>233519.05810702746</v>
      </c>
      <c r="AC46" s="160">
        <f>AB46-AA46</f>
        <v>20795.14810702746</v>
      </c>
      <c r="AD46" s="38"/>
      <c r="AE46" s="160">
        <f t="shared" ref="AE46:AV46" si="104">AE40+AE43</f>
        <v>209655.13</v>
      </c>
      <c r="AF46" s="160">
        <f t="shared" si="104"/>
        <v>233782.90083333335</v>
      </c>
      <c r="AG46" s="160">
        <f>AF46-AE46</f>
        <v>24127.770833333343</v>
      </c>
      <c r="AH46" s="161"/>
      <c r="AI46" s="160">
        <f t="shared" si="104"/>
        <v>220175.24000000002</v>
      </c>
      <c r="AJ46" s="160">
        <f t="shared" si="104"/>
        <v>248078.04158000002</v>
      </c>
      <c r="AK46" s="160">
        <f>AJ46-AI46</f>
        <v>27902.801579999999</v>
      </c>
      <c r="AL46" s="161"/>
      <c r="AM46" s="160">
        <f t="shared" si="104"/>
        <v>250957.52</v>
      </c>
      <c r="AN46" s="160">
        <f t="shared" si="104"/>
        <v>254565.68896095239</v>
      </c>
      <c r="AO46" s="160">
        <f>AN46-AM46</f>
        <v>3608.1689609524037</v>
      </c>
      <c r="AP46" s="161"/>
      <c r="AQ46" s="160">
        <f t="shared" si="104"/>
        <v>245857.81000000003</v>
      </c>
      <c r="AR46" s="160">
        <f t="shared" si="104"/>
        <v>247710.68896095239</v>
      </c>
      <c r="AS46" s="160">
        <f>AR46-AQ46</f>
        <v>1852.8789609523665</v>
      </c>
      <c r="AT46" s="161"/>
      <c r="AU46" s="160">
        <f t="shared" si="104"/>
        <v>239005.41000000003</v>
      </c>
      <c r="AV46" s="160">
        <f t="shared" si="104"/>
        <v>246912.68896095239</v>
      </c>
      <c r="AW46" s="160">
        <f>AV46-AU46</f>
        <v>7907.2789609523606</v>
      </c>
    </row>
    <row r="47" spans="1:49" ht="15" customHeight="1">
      <c r="A47" s="1">
        <f t="shared" si="0"/>
        <v>42</v>
      </c>
      <c r="C47" s="157"/>
      <c r="D47" s="157"/>
      <c r="E47" s="157"/>
      <c r="G47" s="157"/>
      <c r="H47" s="157"/>
      <c r="I47" s="157"/>
      <c r="K47" s="157"/>
      <c r="L47" s="157"/>
      <c r="M47" s="157"/>
      <c r="O47" s="157"/>
      <c r="P47" s="157"/>
      <c r="Q47" s="157"/>
      <c r="S47" s="157"/>
      <c r="T47" s="157"/>
      <c r="U47" s="157"/>
      <c r="W47" s="157"/>
      <c r="X47" s="157"/>
      <c r="Y47" s="157"/>
      <c r="AA47" s="157"/>
      <c r="AB47" s="157"/>
      <c r="AC47" s="157"/>
      <c r="AD47" s="25"/>
      <c r="AE47" s="157"/>
      <c r="AF47" s="157"/>
      <c r="AG47" s="157"/>
      <c r="AH47" s="158"/>
      <c r="AI47" s="157"/>
      <c r="AJ47" s="157"/>
      <c r="AK47" s="157"/>
      <c r="AL47" s="158"/>
      <c r="AM47" s="157"/>
      <c r="AN47" s="157"/>
      <c r="AO47" s="157"/>
      <c r="AP47" s="158"/>
      <c r="AQ47" s="157"/>
      <c r="AR47" s="157"/>
      <c r="AS47" s="157"/>
      <c r="AT47" s="158"/>
      <c r="AU47" s="157"/>
      <c r="AV47" s="157"/>
      <c r="AW47" s="157"/>
    </row>
    <row r="48" spans="1:49" ht="15" customHeight="1">
      <c r="A48" s="1">
        <f t="shared" si="0"/>
        <v>43</v>
      </c>
      <c r="B48" s="7" t="s">
        <v>288</v>
      </c>
      <c r="C48" s="32">
        <v>0</v>
      </c>
      <c r="D48" s="32">
        <v>14346</v>
      </c>
      <c r="E48" s="157">
        <f t="shared" ref="E48:E51" si="105">D48-C48</f>
        <v>14346</v>
      </c>
      <c r="G48" s="32">
        <v>0</v>
      </c>
      <c r="H48" s="32">
        <v>14346</v>
      </c>
      <c r="I48" s="157">
        <f t="shared" ref="I48:I51" si="106">H48-G48</f>
        <v>14346</v>
      </c>
      <c r="K48" s="32">
        <v>0</v>
      </c>
      <c r="L48" s="32">
        <v>14346</v>
      </c>
      <c r="M48" s="157">
        <f t="shared" ref="M48:M51" si="107">L48-K48</f>
        <v>14346</v>
      </c>
      <c r="O48" s="32">
        <v>0</v>
      </c>
      <c r="P48" s="32">
        <v>14346</v>
      </c>
      <c r="Q48" s="157">
        <f t="shared" ref="Q48:Q51" si="108">P48-O48</f>
        <v>14346</v>
      </c>
      <c r="S48" s="32">
        <v>0</v>
      </c>
      <c r="T48" s="32">
        <v>20089.563749999998</v>
      </c>
      <c r="U48" s="157">
        <f t="shared" ref="U48:U51" si="109">T48-S48</f>
        <v>20089.563749999998</v>
      </c>
      <c r="W48" s="32">
        <v>0</v>
      </c>
      <c r="X48" s="32">
        <v>20089.563749999998</v>
      </c>
      <c r="Y48" s="157">
        <f t="shared" ref="Y48:Y51" si="110">X48-W48</f>
        <v>20089.563749999998</v>
      </c>
      <c r="AA48" s="157">
        <v>0</v>
      </c>
      <c r="AB48" s="157">
        <v>0</v>
      </c>
      <c r="AC48" s="157">
        <f t="shared" ref="AC48:AC51" si="111">AB48-AA48</f>
        <v>0</v>
      </c>
      <c r="AD48" s="25"/>
      <c r="AE48" s="157">
        <v>0</v>
      </c>
      <c r="AF48" s="157">
        <v>0</v>
      </c>
      <c r="AG48" s="157">
        <f t="shared" ref="AG48:AG51" si="112">AF48-AE48</f>
        <v>0</v>
      </c>
      <c r="AH48" s="158"/>
      <c r="AI48" s="157">
        <v>0</v>
      </c>
      <c r="AJ48" s="157">
        <v>0</v>
      </c>
      <c r="AK48" s="157">
        <f t="shared" ref="AK48:AK51" si="113">AJ48-AI48</f>
        <v>0</v>
      </c>
      <c r="AL48" s="158"/>
      <c r="AM48" s="157">
        <v>0</v>
      </c>
      <c r="AN48" s="157">
        <v>12500</v>
      </c>
      <c r="AO48" s="157">
        <f t="shared" ref="AO48:AO51" si="114">AN48-AM48</f>
        <v>12500</v>
      </c>
      <c r="AP48" s="158"/>
      <c r="AQ48" s="157">
        <v>0</v>
      </c>
      <c r="AR48" s="157">
        <v>12472.94611769023</v>
      </c>
      <c r="AS48" s="157">
        <f t="shared" ref="AS48:AS51" si="115">AR48-AQ48</f>
        <v>12472.94611769023</v>
      </c>
      <c r="AT48" s="158"/>
      <c r="AU48" s="157">
        <v>0</v>
      </c>
      <c r="AV48" s="157">
        <v>12445.756965968909</v>
      </c>
      <c r="AW48" s="157">
        <f t="shared" ref="AW48:AW51" si="116">AV48-AU48</f>
        <v>12445.756965968909</v>
      </c>
    </row>
    <row r="49" spans="1:49" ht="15" customHeight="1">
      <c r="A49" s="1">
        <f t="shared" si="0"/>
        <v>44</v>
      </c>
      <c r="B49" s="7" t="s">
        <v>289</v>
      </c>
      <c r="C49" s="32">
        <v>15906.4</v>
      </c>
      <c r="D49" s="32">
        <v>14030.59</v>
      </c>
      <c r="E49" s="157">
        <f t="shared" si="105"/>
        <v>-1875.8099999999995</v>
      </c>
      <c r="G49" s="32">
        <v>14549.44</v>
      </c>
      <c r="H49" s="32">
        <v>13946.59</v>
      </c>
      <c r="I49" s="157">
        <f t="shared" si="106"/>
        <v>-602.85000000000036</v>
      </c>
      <c r="K49" s="32">
        <v>15828.66</v>
      </c>
      <c r="L49" s="32">
        <v>14365.59</v>
      </c>
      <c r="M49" s="157">
        <f t="shared" si="107"/>
        <v>-1463.0699999999997</v>
      </c>
      <c r="O49" s="32">
        <v>15828.65</v>
      </c>
      <c r="P49" s="32">
        <v>16883.53</v>
      </c>
      <c r="Q49" s="157">
        <f t="shared" si="108"/>
        <v>1054.8799999999992</v>
      </c>
      <c r="S49" s="32">
        <v>15828.59</v>
      </c>
      <c r="T49" s="32">
        <v>17453.53</v>
      </c>
      <c r="U49" s="157">
        <f t="shared" si="109"/>
        <v>1624.9399999999987</v>
      </c>
      <c r="W49" s="32">
        <v>19494.38</v>
      </c>
      <c r="X49" s="32">
        <v>17026.53</v>
      </c>
      <c r="Y49" s="157">
        <f t="shared" si="110"/>
        <v>-2467.8500000000022</v>
      </c>
      <c r="AA49" s="157">
        <v>16632.919999999998</v>
      </c>
      <c r="AB49" s="157">
        <v>25489.279999999999</v>
      </c>
      <c r="AC49" s="157">
        <f t="shared" si="111"/>
        <v>8856.36</v>
      </c>
      <c r="AD49" s="25"/>
      <c r="AE49" s="157">
        <v>22233.39</v>
      </c>
      <c r="AF49" s="157">
        <v>26181.279999999999</v>
      </c>
      <c r="AG49" s="157">
        <f t="shared" si="112"/>
        <v>3947.8899999999994</v>
      </c>
      <c r="AH49" s="158"/>
      <c r="AI49" s="157">
        <v>17543.2</v>
      </c>
      <c r="AJ49" s="157">
        <v>26672.28</v>
      </c>
      <c r="AK49" s="157">
        <f t="shared" si="113"/>
        <v>9129.0799999999981</v>
      </c>
      <c r="AL49" s="158"/>
      <c r="AM49" s="157">
        <v>17543.400000000001</v>
      </c>
      <c r="AN49" s="157">
        <v>27162.28</v>
      </c>
      <c r="AO49" s="157">
        <f t="shared" si="114"/>
        <v>9618.8799999999974</v>
      </c>
      <c r="AP49" s="158"/>
      <c r="AQ49" s="157">
        <v>17543.21</v>
      </c>
      <c r="AR49" s="157">
        <v>27607.279999999999</v>
      </c>
      <c r="AS49" s="157">
        <f t="shared" si="115"/>
        <v>10064.07</v>
      </c>
      <c r="AT49" s="158"/>
      <c r="AU49" s="157">
        <v>17543.38</v>
      </c>
      <c r="AV49" s="157">
        <v>27933.67</v>
      </c>
      <c r="AW49" s="157">
        <f t="shared" si="116"/>
        <v>10390.289999999997</v>
      </c>
    </row>
    <row r="50" spans="1:49" ht="15" customHeight="1">
      <c r="A50" s="1">
        <f t="shared" si="0"/>
        <v>45</v>
      </c>
      <c r="B50" s="7" t="s">
        <v>290</v>
      </c>
      <c r="C50" s="32">
        <v>-3039.59</v>
      </c>
      <c r="D50" s="32">
        <v>-3039.59</v>
      </c>
      <c r="E50" s="157">
        <f t="shared" si="105"/>
        <v>0</v>
      </c>
      <c r="G50" s="32">
        <v>-3039.59</v>
      </c>
      <c r="H50" s="32">
        <v>-3039.59</v>
      </c>
      <c r="I50" s="157">
        <f t="shared" si="106"/>
        <v>0</v>
      </c>
      <c r="K50" s="32">
        <v>-3039.59</v>
      </c>
      <c r="L50" s="32">
        <v>-3039.59</v>
      </c>
      <c r="M50" s="157">
        <f t="shared" si="107"/>
        <v>0</v>
      </c>
      <c r="O50" s="32">
        <v>-3041.53</v>
      </c>
      <c r="P50" s="32">
        <v>-3041.53</v>
      </c>
      <c r="Q50" s="157">
        <f t="shared" si="108"/>
        <v>0</v>
      </c>
      <c r="S50" s="32">
        <v>-3041.53</v>
      </c>
      <c r="T50" s="32">
        <v>-3041.53</v>
      </c>
      <c r="U50" s="157">
        <f t="shared" si="109"/>
        <v>0</v>
      </c>
      <c r="W50" s="32">
        <v>-3041.53</v>
      </c>
      <c r="X50" s="32">
        <v>-3041.53</v>
      </c>
      <c r="Y50" s="157">
        <f t="shared" si="110"/>
        <v>0</v>
      </c>
      <c r="AA50" s="157">
        <v>-3045.28</v>
      </c>
      <c r="AB50" s="157">
        <v>-3045.28</v>
      </c>
      <c r="AC50" s="157">
        <f t="shared" si="111"/>
        <v>0</v>
      </c>
      <c r="AD50" s="25"/>
      <c r="AE50" s="157">
        <v>-3045.28</v>
      </c>
      <c r="AF50" s="157">
        <v>-3045.28</v>
      </c>
      <c r="AG50" s="157">
        <f t="shared" si="112"/>
        <v>0</v>
      </c>
      <c r="AH50" s="158"/>
      <c r="AI50" s="157">
        <v>-3045.28</v>
      </c>
      <c r="AJ50" s="157">
        <v>-3045.28</v>
      </c>
      <c r="AK50" s="157">
        <f t="shared" si="113"/>
        <v>0</v>
      </c>
      <c r="AL50" s="158"/>
      <c r="AM50" s="157">
        <v>-3045.28</v>
      </c>
      <c r="AN50" s="157">
        <v>-3045.28</v>
      </c>
      <c r="AO50" s="157">
        <f t="shared" si="114"/>
        <v>0</v>
      </c>
      <c r="AP50" s="158"/>
      <c r="AQ50" s="157">
        <v>-3045.28</v>
      </c>
      <c r="AR50" s="157">
        <v>-3045.28</v>
      </c>
      <c r="AS50" s="157">
        <f t="shared" si="115"/>
        <v>0</v>
      </c>
      <c r="AT50" s="158"/>
      <c r="AU50" s="157">
        <v>-3046.67</v>
      </c>
      <c r="AV50" s="157">
        <v>-3046.67</v>
      </c>
      <c r="AW50" s="157">
        <f t="shared" si="116"/>
        <v>0</v>
      </c>
    </row>
    <row r="51" spans="1:49" ht="15" customHeight="1">
      <c r="A51" s="1">
        <f t="shared" si="0"/>
        <v>46</v>
      </c>
      <c r="B51" s="7" t="s">
        <v>291</v>
      </c>
      <c r="C51" s="32">
        <v>0</v>
      </c>
      <c r="D51" s="32">
        <v>0</v>
      </c>
      <c r="E51" s="157">
        <f t="shared" si="105"/>
        <v>0</v>
      </c>
      <c r="G51" s="32">
        <v>0</v>
      </c>
      <c r="H51" s="32">
        <v>0</v>
      </c>
      <c r="I51" s="157">
        <f t="shared" si="106"/>
        <v>0</v>
      </c>
      <c r="K51" s="32">
        <v>0</v>
      </c>
      <c r="L51" s="32">
        <v>0</v>
      </c>
      <c r="M51" s="157">
        <f t="shared" si="107"/>
        <v>0</v>
      </c>
      <c r="O51" s="32">
        <v>0</v>
      </c>
      <c r="P51" s="32">
        <v>0</v>
      </c>
      <c r="Q51" s="157">
        <f t="shared" si="108"/>
        <v>0</v>
      </c>
      <c r="S51" s="32">
        <v>0</v>
      </c>
      <c r="T51" s="32">
        <v>0</v>
      </c>
      <c r="U51" s="157">
        <f t="shared" si="109"/>
        <v>0</v>
      </c>
      <c r="W51" s="32">
        <v>0</v>
      </c>
      <c r="X51" s="32">
        <v>0</v>
      </c>
      <c r="Y51" s="157">
        <f t="shared" si="110"/>
        <v>0</v>
      </c>
      <c r="AA51" s="157">
        <v>0</v>
      </c>
      <c r="AB51" s="157">
        <v>0</v>
      </c>
      <c r="AC51" s="157">
        <f t="shared" si="111"/>
        <v>0</v>
      </c>
      <c r="AD51" s="25"/>
      <c r="AE51" s="157">
        <v>0</v>
      </c>
      <c r="AF51" s="157">
        <v>0</v>
      </c>
      <c r="AG51" s="157">
        <f t="shared" si="112"/>
        <v>0</v>
      </c>
      <c r="AH51" s="158"/>
      <c r="AI51" s="157">
        <v>0</v>
      </c>
      <c r="AJ51" s="157">
        <v>0</v>
      </c>
      <c r="AK51" s="157">
        <f t="shared" si="113"/>
        <v>0</v>
      </c>
      <c r="AL51" s="158"/>
      <c r="AM51" s="157">
        <v>0</v>
      </c>
      <c r="AN51" s="157">
        <v>0</v>
      </c>
      <c r="AO51" s="157">
        <f t="shared" si="114"/>
        <v>0</v>
      </c>
      <c r="AP51" s="158"/>
      <c r="AQ51" s="157">
        <v>0</v>
      </c>
      <c r="AR51" s="157">
        <v>0</v>
      </c>
      <c r="AS51" s="157">
        <f t="shared" si="115"/>
        <v>0</v>
      </c>
      <c r="AT51" s="158"/>
      <c r="AU51" s="157">
        <v>0</v>
      </c>
      <c r="AV51" s="157">
        <v>0</v>
      </c>
      <c r="AW51" s="157">
        <f t="shared" si="116"/>
        <v>0</v>
      </c>
    </row>
    <row r="52" spans="1:49" ht="15" customHeight="1">
      <c r="A52" s="1">
        <f t="shared" si="0"/>
        <v>47</v>
      </c>
      <c r="C52" s="157"/>
      <c r="D52" s="157"/>
      <c r="E52" s="157"/>
      <c r="F52" s="17"/>
      <c r="G52" s="157"/>
      <c r="H52" s="157"/>
      <c r="I52" s="157"/>
      <c r="J52" s="17"/>
      <c r="K52" s="157"/>
      <c r="L52" s="157"/>
      <c r="M52" s="157"/>
      <c r="N52" s="17"/>
      <c r="O52" s="157"/>
      <c r="P52" s="157"/>
      <c r="Q52" s="157"/>
      <c r="R52" s="17"/>
      <c r="S52" s="157"/>
      <c r="T52" s="157"/>
      <c r="U52" s="157"/>
      <c r="V52" s="17"/>
      <c r="W52" s="157"/>
      <c r="X52" s="157"/>
      <c r="Y52" s="157"/>
      <c r="Z52" s="17"/>
      <c r="AA52" s="157"/>
      <c r="AB52" s="157"/>
      <c r="AC52" s="157"/>
      <c r="AD52" s="25"/>
      <c r="AE52" s="157"/>
      <c r="AF52" s="157"/>
      <c r="AG52" s="157"/>
      <c r="AH52" s="158"/>
      <c r="AI52" s="157"/>
      <c r="AJ52" s="157"/>
      <c r="AK52" s="157"/>
      <c r="AL52" s="158"/>
      <c r="AM52" s="157"/>
      <c r="AN52" s="157"/>
      <c r="AO52" s="157"/>
      <c r="AP52" s="158"/>
      <c r="AQ52" s="157"/>
      <c r="AR52" s="157"/>
      <c r="AS52" s="157"/>
      <c r="AT52" s="158"/>
      <c r="AU52" s="157"/>
      <c r="AV52" s="157"/>
      <c r="AW52" s="157"/>
    </row>
    <row r="53" spans="1:49" ht="15" customHeight="1" thickBot="1">
      <c r="A53" s="1">
        <f t="shared" si="0"/>
        <v>48</v>
      </c>
      <c r="B53" s="17" t="s">
        <v>292</v>
      </c>
      <c r="C53" s="163">
        <f>C16-C46-SUM(C48:C51)</f>
        <v>-130039.54000000002</v>
      </c>
      <c r="D53" s="163">
        <f t="shared" ref="D53" si="117">D16-D46-SUM(D48:D51)</f>
        <v>-14661.340666666656</v>
      </c>
      <c r="E53" s="163">
        <f>C53-D53</f>
        <v>-115378.19933333337</v>
      </c>
      <c r="G53" s="163">
        <f>G16-G46-SUM(G48:G51)</f>
        <v>-5581.4300000000167</v>
      </c>
      <c r="H53" s="163">
        <f t="shared" ref="H53" si="118">H16-H46-SUM(H48:H51)</f>
        <v>-14577.340666666656</v>
      </c>
      <c r="I53" s="163">
        <f>G53-H53</f>
        <v>8995.9106666666394</v>
      </c>
      <c r="K53" s="163">
        <f>K16-K46-SUM(K48:K51)</f>
        <v>-23388.939999999937</v>
      </c>
      <c r="L53" s="163">
        <f t="shared" ref="L53" si="119">L16-L46-SUM(L48:L51)</f>
        <v>-14996.340666666656</v>
      </c>
      <c r="M53" s="163">
        <f>K53-L53</f>
        <v>-8392.5993333332808</v>
      </c>
      <c r="O53" s="163">
        <f>O16-O46-SUM(O48:O51)</f>
        <v>-44524.949999999983</v>
      </c>
      <c r="P53" s="163">
        <f t="shared" ref="P53" si="120">P16-P46-SUM(P48:P51)</f>
        <v>-17512.340666666656</v>
      </c>
      <c r="Q53" s="163">
        <f>O53-P53</f>
        <v>-27012.609333333327</v>
      </c>
      <c r="S53" s="163">
        <f>S16-S46-SUM(S48:S51)</f>
        <v>-9539.0699999999797</v>
      </c>
      <c r="T53" s="163">
        <f t="shared" ref="T53" si="121">T16-T46-SUM(T48:T51)</f>
        <v>-23825.904416666657</v>
      </c>
      <c r="U53" s="163">
        <f>S53-T53</f>
        <v>14286.834416666677</v>
      </c>
      <c r="W53" s="163">
        <f>W16-W46-SUM(W48:W51)</f>
        <v>-12568.889999999981</v>
      </c>
      <c r="X53" s="163">
        <f t="shared" ref="X53" si="122">X16-X46-SUM(X48:X51)</f>
        <v>-23398.904416666657</v>
      </c>
      <c r="Y53" s="163">
        <f>W53-X53</f>
        <v>10830.014416666676</v>
      </c>
      <c r="AA53" s="163">
        <f>AA16-AA46-SUM(AA48:AA51)</f>
        <v>-3370.1800000000057</v>
      </c>
      <c r="AB53" s="163">
        <f t="shared" ref="AB53" si="123">AB16-AB46-SUM(AB48:AB51)</f>
        <v>-5526.0581070274347</v>
      </c>
      <c r="AC53" s="163">
        <f>AA53-AB53</f>
        <v>2155.878107027429</v>
      </c>
      <c r="AD53" s="38"/>
      <c r="AE53" s="163">
        <f t="shared" ref="AE53:AV53" si="124">AE16-AE46-SUM(AE48:AE51)</f>
        <v>-6936.7500000000146</v>
      </c>
      <c r="AF53" s="163">
        <f t="shared" si="124"/>
        <v>-9128.9008333333768</v>
      </c>
      <c r="AG53" s="163">
        <f>AE53-AF53</f>
        <v>2192.1508333333622</v>
      </c>
      <c r="AH53" s="161"/>
      <c r="AI53" s="163">
        <f t="shared" si="124"/>
        <v>-17520.000000000044</v>
      </c>
      <c r="AJ53" s="163">
        <f t="shared" si="124"/>
        <v>-20125.04157999999</v>
      </c>
      <c r="AK53" s="163">
        <f>AI53-AJ53</f>
        <v>2605.0415799999464</v>
      </c>
      <c r="AL53" s="161"/>
      <c r="AM53" s="163">
        <f t="shared" si="124"/>
        <v>-42511.160000000011</v>
      </c>
      <c r="AN53" s="163">
        <f t="shared" si="124"/>
        <v>-39169.688960952422</v>
      </c>
      <c r="AO53" s="163">
        <f>AM53-AN53</f>
        <v>-3341.4710390475884</v>
      </c>
      <c r="AP53" s="161"/>
      <c r="AQ53" s="163">
        <f t="shared" si="124"/>
        <v>-46186.120000000032</v>
      </c>
      <c r="AR53" s="163">
        <f t="shared" si="124"/>
        <v>-32806.63507864259</v>
      </c>
      <c r="AS53" s="163">
        <f>AQ53-AR53</f>
        <v>-13379.484921357442</v>
      </c>
      <c r="AT53" s="161"/>
      <c r="AU53" s="163">
        <f t="shared" si="124"/>
        <v>-30475.890000000021</v>
      </c>
      <c r="AV53" s="163">
        <f t="shared" si="124"/>
        <v>-32672.445926921304</v>
      </c>
      <c r="AW53" s="163">
        <f>AU53-AV53</f>
        <v>2196.5559269212827</v>
      </c>
    </row>
    <row r="54" spans="1:49" ht="15" customHeight="1" thickTop="1">
      <c r="A54" s="1">
        <f t="shared" si="0"/>
        <v>49</v>
      </c>
      <c r="C54" s="43"/>
      <c r="D54" s="43"/>
      <c r="E54" s="43"/>
      <c r="G54" s="43"/>
      <c r="H54" s="43"/>
      <c r="I54" s="43"/>
      <c r="K54" s="43"/>
      <c r="L54" s="43"/>
      <c r="M54" s="43"/>
      <c r="O54" s="43"/>
      <c r="P54" s="43"/>
      <c r="Q54" s="43"/>
      <c r="S54" s="43"/>
      <c r="T54" s="43"/>
      <c r="U54" s="43"/>
      <c r="W54" s="43"/>
      <c r="X54" s="43"/>
      <c r="Y54" s="43"/>
      <c r="AA54" s="43"/>
      <c r="AB54" s="43"/>
      <c r="AC54" s="43"/>
      <c r="AD54" s="43"/>
      <c r="AE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25"/>
    </row>
    <row r="55" spans="1:49" ht="15" customHeight="1">
      <c r="A55" s="1">
        <f t="shared" si="0"/>
        <v>50</v>
      </c>
      <c r="C55" s="43"/>
      <c r="D55" s="43"/>
      <c r="E55" s="43"/>
      <c r="G55" s="43"/>
      <c r="H55" s="43"/>
      <c r="I55" s="43"/>
      <c r="K55" s="43"/>
      <c r="L55" s="43"/>
      <c r="M55" s="43"/>
      <c r="O55" s="43"/>
      <c r="P55" s="43"/>
      <c r="Q55" s="43"/>
      <c r="S55" s="43"/>
      <c r="T55" s="43"/>
      <c r="U55" s="43"/>
      <c r="W55" s="43"/>
      <c r="X55" s="43"/>
      <c r="Y55" s="43"/>
      <c r="AA55" s="43"/>
      <c r="AB55" s="43"/>
      <c r="AC55" s="43"/>
      <c r="AD55" s="43"/>
      <c r="AE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25"/>
    </row>
    <row r="56" spans="1:49" ht="15" customHeight="1">
      <c r="A56" s="1">
        <f t="shared" si="0"/>
        <v>51</v>
      </c>
      <c r="C56" s="43"/>
      <c r="D56" s="43"/>
      <c r="E56" s="43"/>
      <c r="G56" s="43"/>
      <c r="H56" s="43"/>
      <c r="I56" s="43"/>
      <c r="K56" s="43"/>
      <c r="L56" s="43"/>
      <c r="M56" s="43"/>
      <c r="O56" s="43"/>
      <c r="P56" s="43"/>
      <c r="Q56" s="43"/>
      <c r="S56" s="43"/>
      <c r="T56" s="43"/>
      <c r="U56" s="43"/>
      <c r="W56" s="43"/>
      <c r="X56" s="43"/>
      <c r="Y56" s="43"/>
      <c r="AA56" s="43"/>
      <c r="AB56" s="43"/>
      <c r="AC56" s="43"/>
      <c r="AD56" s="43"/>
      <c r="AE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25"/>
    </row>
    <row r="57" spans="1:49" ht="15" customHeight="1">
      <c r="A57" s="1">
        <f t="shared" si="0"/>
        <v>52</v>
      </c>
      <c r="AA57" s="43"/>
      <c r="AB57" s="43"/>
      <c r="AC57" s="43"/>
      <c r="AD57" s="43"/>
      <c r="AE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25"/>
    </row>
    <row r="59" spans="1:49" ht="15" customHeight="1">
      <c r="AG59" s="73"/>
      <c r="AH59" s="164"/>
      <c r="AI59" s="73"/>
      <c r="AJ59" s="73"/>
    </row>
    <row r="60" spans="1:49" ht="15" customHeight="1">
      <c r="AG60" s="73"/>
      <c r="AH60" s="164"/>
      <c r="AI60" s="73"/>
      <c r="AJ60" s="73"/>
    </row>
    <row r="61" spans="1:49" ht="15" customHeight="1">
      <c r="AG61" s="73"/>
      <c r="AH61" s="164"/>
      <c r="AI61" s="73"/>
      <c r="AJ61" s="73"/>
    </row>
    <row r="62" spans="1:49" ht="15" customHeight="1">
      <c r="AG62" s="73"/>
      <c r="AH62" s="164"/>
      <c r="AI62" s="73"/>
      <c r="AJ62" s="73"/>
    </row>
    <row r="63" spans="1:49" ht="15" customHeight="1">
      <c r="AG63" s="73"/>
      <c r="AH63" s="164"/>
      <c r="AI63" s="73"/>
      <c r="AJ63" s="73"/>
    </row>
    <row r="64" spans="1:49" ht="15" customHeight="1">
      <c r="AG64" s="73"/>
      <c r="AH64" s="164"/>
      <c r="AI64" s="73"/>
      <c r="AJ64" s="73"/>
    </row>
    <row r="65" spans="33:36" ht="15" customHeight="1">
      <c r="AG65" s="73"/>
      <c r="AH65" s="164"/>
      <c r="AI65" s="73"/>
      <c r="AJ65" s="73"/>
    </row>
  </sheetData>
  <mergeCells count="20">
    <mergeCell ref="C1:Y1"/>
    <mergeCell ref="C2:Y2"/>
    <mergeCell ref="C3:Y3"/>
    <mergeCell ref="Z1:AW1"/>
    <mergeCell ref="Z2:AW2"/>
    <mergeCell ref="Z3:AW3"/>
    <mergeCell ref="AU4:AW4"/>
    <mergeCell ref="W4:Y4"/>
    <mergeCell ref="B4:B5"/>
    <mergeCell ref="A4:A5"/>
    <mergeCell ref="S4:U4"/>
    <mergeCell ref="O4:Q4"/>
    <mergeCell ref="K4:M4"/>
    <mergeCell ref="G4:I4"/>
    <mergeCell ref="C4:E4"/>
    <mergeCell ref="AA4:AC4"/>
    <mergeCell ref="AE4:AG4"/>
    <mergeCell ref="AI4:AK4"/>
    <mergeCell ref="AM4:AO4"/>
    <mergeCell ref="AQ4:AS4"/>
  </mergeCells>
  <conditionalFormatting sqref="E7:E53">
    <cfRule type="cellIs" dxfId="6" priority="6" operator="lessThan">
      <formula>0</formula>
    </cfRule>
  </conditionalFormatting>
  <conditionalFormatting sqref="I7:I53">
    <cfRule type="cellIs" dxfId="5" priority="5" operator="lessThan">
      <formula>0</formula>
    </cfRule>
  </conditionalFormatting>
  <conditionalFormatting sqref="M7:M53">
    <cfRule type="cellIs" dxfId="4" priority="4" operator="lessThan">
      <formula>0</formula>
    </cfRule>
  </conditionalFormatting>
  <conditionalFormatting sqref="Q7:Q53">
    <cfRule type="cellIs" dxfId="3" priority="3" operator="lessThan">
      <formula>0</formula>
    </cfRule>
  </conditionalFormatting>
  <conditionalFormatting sqref="U7:U53">
    <cfRule type="cellIs" dxfId="2" priority="2" operator="lessThan">
      <formula>0</formula>
    </cfRule>
  </conditionalFormatting>
  <conditionalFormatting sqref="Y7:Y53">
    <cfRule type="cellIs" dxfId="1" priority="1" operator="lessThan">
      <formula>0</formula>
    </cfRule>
  </conditionalFormatting>
  <conditionalFormatting sqref="AC7:AC53 AG7:AG53 AK7:AK53 AO7:AO53 AS7:AS53 AW7:AW53">
    <cfRule type="cellIs" dxfId="0" priority="27" operator="lessThan">
      <formula>0</formula>
    </cfRule>
  </conditionalFormatting>
  <printOptions horizontalCentered="1"/>
  <pageMargins left="0.7" right="0.7" top="0.75" bottom="0.75" header="0.3" footer="0.3"/>
  <pageSetup scale="31" fitToWidth="2" orientation="landscape" verticalDpi="1200" r:id="rId1"/>
  <headerFooter>
    <oddHeader>&amp;R&amp;"Times New Roman,Regular"&amp;10&amp;A</oddHeader>
    <oddFooter xml:space="preserve">&amp;RCase No. 2022-00432
Bluegrass Water’s Response to PSC 2-17
Exhibit PSC 2-17
</oddFooter>
  </headerFooter>
  <colBreaks count="1" manualBreakCount="1">
    <brk id="2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66"/>
  <sheetViews>
    <sheetView showGridLines="0" view="pageLayout" topLeftCell="A25" zoomScaleNormal="100" zoomScaleSheetLayoutView="100" workbookViewId="0">
      <selection activeCell="F36" sqref="F35:F36"/>
    </sheetView>
  </sheetViews>
  <sheetFormatPr defaultColWidth="9.140625" defaultRowHeight="15" customHeight="1"/>
  <cols>
    <col min="1" max="2" width="10.5703125" style="7" customWidth="1"/>
    <col min="3" max="3" width="25.5703125" style="7" customWidth="1"/>
    <col min="4" max="4" width="40.7109375" style="7" customWidth="1"/>
    <col min="5" max="5" width="20.5703125" style="7" customWidth="1"/>
    <col min="6" max="6" width="40.7109375" style="26" customWidth="1"/>
    <col min="7" max="7" width="14.42578125" style="12" bestFit="1" customWidth="1"/>
    <col min="8" max="16384" width="9.140625" style="12"/>
  </cols>
  <sheetData>
    <row r="1" spans="1:7" ht="15" customHeight="1">
      <c r="A1" s="262" t="e">
        <f>#REF!</f>
        <v>#REF!</v>
      </c>
      <c r="B1" s="262"/>
      <c r="C1" s="262"/>
      <c r="D1" s="262"/>
      <c r="E1" s="262"/>
      <c r="F1" s="262"/>
    </row>
    <row r="2" spans="1:7" ht="15" customHeight="1">
      <c r="A2" s="262" t="e">
        <f>#REF!</f>
        <v>#REF!</v>
      </c>
      <c r="B2" s="262"/>
      <c r="C2" s="262"/>
      <c r="D2" s="262"/>
      <c r="E2" s="262"/>
      <c r="F2" s="262"/>
    </row>
    <row r="3" spans="1:7" ht="15" customHeight="1">
      <c r="A3" s="262" t="s">
        <v>422</v>
      </c>
      <c r="B3" s="262"/>
      <c r="C3" s="262"/>
      <c r="D3" s="262"/>
      <c r="E3" s="262"/>
      <c r="F3" s="262"/>
    </row>
    <row r="4" spans="1:7" ht="15" customHeight="1">
      <c r="A4" s="262" t="e">
        <f>#REF!</f>
        <v>#REF!</v>
      </c>
      <c r="B4" s="262"/>
      <c r="C4" s="262"/>
      <c r="D4" s="262"/>
      <c r="E4" s="262"/>
      <c r="F4" s="262"/>
    </row>
    <row r="5" spans="1:7" ht="25.5">
      <c r="A5" s="11" t="s">
        <v>3</v>
      </c>
      <c r="B5" s="11" t="s">
        <v>38</v>
      </c>
      <c r="C5" s="11" t="s">
        <v>341</v>
      </c>
      <c r="D5" s="11" t="s">
        <v>342</v>
      </c>
      <c r="E5" s="11" t="s">
        <v>23</v>
      </c>
      <c r="F5" s="11" t="s">
        <v>343</v>
      </c>
    </row>
    <row r="6" spans="1:7" ht="15" customHeight="1">
      <c r="A6" s="2" t="s">
        <v>6</v>
      </c>
      <c r="B6" s="2" t="s">
        <v>7</v>
      </c>
      <c r="C6" s="3" t="s">
        <v>8</v>
      </c>
      <c r="D6" s="3" t="s">
        <v>25</v>
      </c>
      <c r="E6" s="6" t="s">
        <v>26</v>
      </c>
      <c r="F6" s="6" t="s">
        <v>46</v>
      </c>
      <c r="G6" s="10"/>
    </row>
    <row r="7" spans="1:7" ht="15" customHeight="1">
      <c r="A7" s="1">
        <v>1</v>
      </c>
      <c r="B7" s="9"/>
      <c r="C7" s="87"/>
      <c r="D7" s="10"/>
      <c r="E7" s="10"/>
      <c r="F7" s="10"/>
      <c r="G7" s="10"/>
    </row>
    <row r="8" spans="1:7" ht="15" customHeight="1">
      <c r="A8" s="1">
        <f>A7+1</f>
        <v>2</v>
      </c>
      <c r="B8" s="27" t="s">
        <v>226</v>
      </c>
      <c r="C8" s="7" t="s">
        <v>344</v>
      </c>
      <c r="D8" s="7" t="s">
        <v>289</v>
      </c>
      <c r="E8" s="25">
        <f>+'Exhibit-25'!E56</f>
        <v>-11043.354890199986</v>
      </c>
      <c r="F8" s="23" t="s">
        <v>347</v>
      </c>
      <c r="G8" s="10"/>
    </row>
    <row r="9" spans="1:7" ht="15" customHeight="1">
      <c r="A9" s="1">
        <f>A8+1</f>
        <v>3</v>
      </c>
      <c r="B9" s="1" t="s">
        <v>228</v>
      </c>
      <c r="C9" s="7" t="s">
        <v>344</v>
      </c>
      <c r="D9" s="7" t="s">
        <v>345</v>
      </c>
      <c r="E9" s="25">
        <f>+'Exhibit-25'!E58</f>
        <v>-59852.66333333333</v>
      </c>
      <c r="F9" s="23" t="s">
        <v>347</v>
      </c>
      <c r="G9" s="10"/>
    </row>
    <row r="10" spans="1:7" ht="15" customHeight="1">
      <c r="A10" s="1">
        <f>A9+1</f>
        <v>4</v>
      </c>
      <c r="B10" s="1" t="s">
        <v>158</v>
      </c>
      <c r="C10" s="7" t="s">
        <v>412</v>
      </c>
      <c r="D10" s="7" t="s">
        <v>298</v>
      </c>
      <c r="E10" s="25">
        <v>19399.167984163643</v>
      </c>
      <c r="F10" s="23" t="s">
        <v>346</v>
      </c>
      <c r="G10" s="10"/>
    </row>
    <row r="11" spans="1:7" ht="15" customHeight="1">
      <c r="A11" s="1">
        <f>A10+1</f>
        <v>5</v>
      </c>
      <c r="B11" s="1" t="s">
        <v>159</v>
      </c>
      <c r="C11" s="7" t="s">
        <v>412</v>
      </c>
      <c r="D11" s="7" t="s">
        <v>300</v>
      </c>
      <c r="E11" s="25">
        <v>-15944.871425272187</v>
      </c>
      <c r="F11" s="23" t="s">
        <v>346</v>
      </c>
    </row>
    <row r="12" spans="1:7" ht="15" customHeight="1">
      <c r="A12" s="1">
        <f t="shared" ref="A12:A30" si="0">A11+1</f>
        <v>6</v>
      </c>
      <c r="B12" s="27" t="s">
        <v>222</v>
      </c>
      <c r="C12" s="7" t="s">
        <v>221</v>
      </c>
      <c r="D12" s="7" t="s">
        <v>288</v>
      </c>
      <c r="E12" s="25" t="e">
        <f>+'Exhibit-25'!E52</f>
        <v>#REF!</v>
      </c>
      <c r="F12" s="23" t="s">
        <v>347</v>
      </c>
    </row>
    <row r="13" spans="1:7" ht="15" customHeight="1">
      <c r="A13" s="1">
        <f t="shared" si="0"/>
        <v>7</v>
      </c>
      <c r="B13" s="1" t="s">
        <v>151</v>
      </c>
      <c r="C13" s="7" t="s">
        <v>305</v>
      </c>
      <c r="D13" s="7" t="s">
        <v>305</v>
      </c>
      <c r="E13" s="25">
        <v>76736.349999999991</v>
      </c>
      <c r="F13" s="23" t="s">
        <v>348</v>
      </c>
    </row>
    <row r="14" spans="1:7" ht="15" customHeight="1">
      <c r="A14" s="1">
        <f t="shared" si="0"/>
        <v>8</v>
      </c>
      <c r="B14" s="1" t="s">
        <v>201</v>
      </c>
      <c r="C14" s="7" t="s">
        <v>308</v>
      </c>
      <c r="D14" s="7" t="s">
        <v>405</v>
      </c>
      <c r="E14" s="25">
        <v>-106195.56</v>
      </c>
      <c r="F14" s="23" t="s">
        <v>346</v>
      </c>
    </row>
    <row r="15" spans="1:7" ht="15" customHeight="1">
      <c r="A15" s="1">
        <f t="shared" si="0"/>
        <v>9</v>
      </c>
      <c r="B15" s="1" t="s">
        <v>203</v>
      </c>
      <c r="C15" s="7" t="s">
        <v>308</v>
      </c>
      <c r="D15" s="7" t="s">
        <v>406</v>
      </c>
      <c r="E15" s="25">
        <v>-4316.32</v>
      </c>
      <c r="F15" s="23" t="s">
        <v>346</v>
      </c>
    </row>
    <row r="16" spans="1:7" ht="15" customHeight="1">
      <c r="A16" s="1">
        <f t="shared" si="0"/>
        <v>10</v>
      </c>
      <c r="B16" s="1" t="s">
        <v>205</v>
      </c>
      <c r="C16" s="7" t="s">
        <v>308</v>
      </c>
      <c r="D16" s="7" t="s">
        <v>316</v>
      </c>
      <c r="E16" s="25">
        <v>-108472.72223630262</v>
      </c>
      <c r="F16" s="23" t="s">
        <v>346</v>
      </c>
    </row>
    <row r="17" spans="1:6" ht="15" customHeight="1">
      <c r="A17" s="1">
        <f t="shared" si="0"/>
        <v>11</v>
      </c>
      <c r="B17" s="1" t="s">
        <v>206</v>
      </c>
      <c r="C17" s="7" t="s">
        <v>308</v>
      </c>
      <c r="D17" s="7" t="s">
        <v>317</v>
      </c>
      <c r="E17" s="25">
        <v>-3472.135102497205</v>
      </c>
      <c r="F17" s="23" t="s">
        <v>346</v>
      </c>
    </row>
    <row r="18" spans="1:6" ht="15" customHeight="1">
      <c r="A18" s="1">
        <f t="shared" si="0"/>
        <v>12</v>
      </c>
      <c r="B18" s="1" t="s">
        <v>161</v>
      </c>
      <c r="C18" s="7" t="s">
        <v>412</v>
      </c>
      <c r="D18" s="7" t="s">
        <v>319</v>
      </c>
      <c r="E18" s="25">
        <v>-3166.8911250412407</v>
      </c>
      <c r="F18" s="23" t="s">
        <v>346</v>
      </c>
    </row>
    <row r="19" spans="1:6" ht="15" customHeight="1">
      <c r="A19" s="1">
        <f t="shared" si="0"/>
        <v>13</v>
      </c>
      <c r="B19" s="1" t="s">
        <v>162</v>
      </c>
      <c r="C19" s="7" t="s">
        <v>412</v>
      </c>
      <c r="D19" s="7" t="s">
        <v>400</v>
      </c>
      <c r="E19" s="25">
        <v>-582.31953810623554</v>
      </c>
      <c r="F19" s="23" t="s">
        <v>346</v>
      </c>
    </row>
    <row r="20" spans="1:6" ht="15" customHeight="1">
      <c r="A20" s="1">
        <f t="shared" si="0"/>
        <v>14</v>
      </c>
      <c r="B20" s="1" t="s">
        <v>163</v>
      </c>
      <c r="C20" s="7" t="s">
        <v>412</v>
      </c>
      <c r="D20" s="7" t="s">
        <v>320</v>
      </c>
      <c r="E20" s="25">
        <v>-1354.7418805674697</v>
      </c>
      <c r="F20" s="23" t="s">
        <v>346</v>
      </c>
    </row>
    <row r="21" spans="1:6" ht="15" customHeight="1">
      <c r="A21" s="1">
        <f t="shared" si="0"/>
        <v>15</v>
      </c>
      <c r="B21" s="1" t="s">
        <v>164</v>
      </c>
      <c r="C21" s="7" t="s">
        <v>286</v>
      </c>
      <c r="D21" s="7" t="s">
        <v>401</v>
      </c>
      <c r="E21" s="25">
        <v>34200.769999999997</v>
      </c>
      <c r="F21" s="23" t="s">
        <v>347</v>
      </c>
    </row>
    <row r="22" spans="1:6" ht="15" customHeight="1">
      <c r="A22" s="1">
        <f t="shared" si="0"/>
        <v>16</v>
      </c>
      <c r="B22" s="1" t="s">
        <v>165</v>
      </c>
      <c r="C22" s="7" t="s">
        <v>412</v>
      </c>
      <c r="D22" s="7" t="s">
        <v>402</v>
      </c>
      <c r="E22" s="25">
        <v>-23.656311448366875</v>
      </c>
      <c r="F22" s="23" t="s">
        <v>348</v>
      </c>
    </row>
    <row r="23" spans="1:6" ht="15" customHeight="1">
      <c r="A23" s="1">
        <f t="shared" si="0"/>
        <v>17</v>
      </c>
      <c r="B23" s="1" t="s">
        <v>167</v>
      </c>
      <c r="C23" s="7" t="s">
        <v>412</v>
      </c>
      <c r="D23" s="7" t="s">
        <v>325</v>
      </c>
      <c r="E23" s="25">
        <v>-990.90469152095022</v>
      </c>
      <c r="F23" s="23" t="s">
        <v>346</v>
      </c>
    </row>
    <row r="24" spans="1:6" ht="15" customHeight="1">
      <c r="A24" s="1">
        <f t="shared" si="0"/>
        <v>18</v>
      </c>
      <c r="B24" s="1" t="s">
        <v>168</v>
      </c>
      <c r="C24" s="7" t="s">
        <v>412</v>
      </c>
      <c r="D24" s="7" t="s">
        <v>326</v>
      </c>
      <c r="E24" s="25">
        <v>-456.18805674694818</v>
      </c>
      <c r="F24" s="23" t="s">
        <v>346</v>
      </c>
    </row>
    <row r="25" spans="1:6" ht="15" customHeight="1">
      <c r="A25" s="1">
        <f t="shared" si="0"/>
        <v>19</v>
      </c>
      <c r="B25" s="1" t="s">
        <v>169</v>
      </c>
      <c r="C25" s="7" t="s">
        <v>412</v>
      </c>
      <c r="D25" s="7" t="s">
        <v>327</v>
      </c>
      <c r="E25" s="25">
        <v>-489.37112504124053</v>
      </c>
      <c r="F25" s="23" t="s">
        <v>346</v>
      </c>
    </row>
    <row r="26" spans="1:6" ht="15" customHeight="1">
      <c r="A26" s="1">
        <f t="shared" si="0"/>
        <v>20</v>
      </c>
      <c r="B26" s="1" t="s">
        <v>170</v>
      </c>
      <c r="C26" s="7" t="s">
        <v>412</v>
      </c>
      <c r="D26" s="7" t="s">
        <v>403</v>
      </c>
      <c r="E26" s="25">
        <v>10458.830960965544</v>
      </c>
      <c r="F26" s="23" t="s">
        <v>348</v>
      </c>
    </row>
    <row r="27" spans="1:6" ht="15" customHeight="1">
      <c r="A27" s="1">
        <f t="shared" si="0"/>
        <v>21</v>
      </c>
      <c r="B27" s="1" t="s">
        <v>172</v>
      </c>
      <c r="C27" s="7" t="s">
        <v>412</v>
      </c>
      <c r="D27" s="7" t="s">
        <v>329</v>
      </c>
      <c r="E27" s="25">
        <v>-745.44020151133475</v>
      </c>
      <c r="F27" s="23" t="s">
        <v>346</v>
      </c>
    </row>
    <row r="28" spans="1:6" ht="15" customHeight="1">
      <c r="A28" s="1">
        <f t="shared" si="0"/>
        <v>22</v>
      </c>
      <c r="B28" s="1"/>
      <c r="E28" s="25"/>
      <c r="F28" s="23"/>
    </row>
    <row r="29" spans="1:6" ht="15" customHeight="1">
      <c r="A29" s="1">
        <f t="shared" si="0"/>
        <v>23</v>
      </c>
      <c r="B29" s="1"/>
      <c r="E29" s="25"/>
      <c r="F29" s="23"/>
    </row>
    <row r="30" spans="1:6" ht="15" customHeight="1">
      <c r="A30" s="1">
        <f t="shared" si="0"/>
        <v>24</v>
      </c>
      <c r="B30" s="1"/>
      <c r="E30" s="25"/>
      <c r="F30" s="23"/>
    </row>
    <row r="31" spans="1:6" ht="15" customHeight="1">
      <c r="A31" s="1"/>
      <c r="B31" s="1"/>
      <c r="E31" s="25"/>
      <c r="F31" s="23"/>
    </row>
    <row r="32" spans="1:6" ht="15" customHeight="1">
      <c r="A32" s="1"/>
      <c r="B32" s="1"/>
      <c r="E32" s="25"/>
      <c r="F32" s="23"/>
    </row>
    <row r="33" spans="1:6" ht="15" customHeight="1">
      <c r="A33" s="1"/>
      <c r="B33" s="1"/>
      <c r="E33" s="25"/>
      <c r="F33" s="23"/>
    </row>
    <row r="34" spans="1:6" ht="15" customHeight="1">
      <c r="A34" s="1"/>
      <c r="B34" s="1"/>
      <c r="E34" s="25"/>
      <c r="F34" s="23"/>
    </row>
    <row r="35" spans="1:6" ht="15" customHeight="1">
      <c r="A35" s="1"/>
      <c r="B35" s="1"/>
      <c r="E35" s="25"/>
      <c r="F35" s="23"/>
    </row>
    <row r="36" spans="1:6" ht="15" customHeight="1">
      <c r="A36" s="1"/>
      <c r="B36" s="1"/>
      <c r="E36" s="25"/>
      <c r="F36" s="23"/>
    </row>
    <row r="37" spans="1:6" ht="15" customHeight="1">
      <c r="A37" s="1"/>
      <c r="B37" s="1"/>
      <c r="E37" s="25"/>
      <c r="F37" s="23"/>
    </row>
    <row r="38" spans="1:6" ht="15" customHeight="1">
      <c r="A38" s="1"/>
      <c r="B38" s="1"/>
      <c r="E38" s="25"/>
      <c r="F38" s="23"/>
    </row>
    <row r="39" spans="1:6" ht="15" customHeight="1">
      <c r="A39" s="1"/>
      <c r="B39" s="1"/>
      <c r="E39" s="25"/>
      <c r="F39" s="23"/>
    </row>
    <row r="40" spans="1:6" ht="15" customHeight="1">
      <c r="A40" s="1"/>
      <c r="B40" s="1"/>
      <c r="E40" s="25"/>
      <c r="F40" s="23"/>
    </row>
    <row r="41" spans="1:6" ht="15" customHeight="1">
      <c r="A41" s="1"/>
      <c r="B41" s="1"/>
      <c r="E41" s="25"/>
      <c r="F41" s="23"/>
    </row>
    <row r="42" spans="1:6" ht="15" customHeight="1">
      <c r="A42" s="1"/>
      <c r="B42" s="1"/>
      <c r="E42" s="25"/>
      <c r="F42" s="23"/>
    </row>
    <row r="43" spans="1:6" ht="15" customHeight="1">
      <c r="A43" s="1"/>
      <c r="B43" s="1"/>
      <c r="E43" s="25"/>
      <c r="F43" s="23"/>
    </row>
    <row r="44" spans="1:6" ht="15" customHeight="1">
      <c r="A44" s="1"/>
      <c r="B44" s="1"/>
      <c r="E44" s="25"/>
      <c r="F44" s="23"/>
    </row>
    <row r="45" spans="1:6" ht="15" customHeight="1">
      <c r="A45" s="1"/>
      <c r="B45" s="1"/>
      <c r="E45" s="25"/>
      <c r="F45" s="23"/>
    </row>
    <row r="46" spans="1:6" ht="15" customHeight="1">
      <c r="A46" s="1"/>
      <c r="B46" s="1"/>
      <c r="E46" s="25"/>
      <c r="F46" s="23"/>
    </row>
    <row r="47" spans="1:6" ht="15" customHeight="1">
      <c r="A47" s="1"/>
      <c r="B47" s="1"/>
      <c r="E47" s="25"/>
      <c r="F47" s="23"/>
    </row>
    <row r="48" spans="1:6" ht="15" customHeight="1">
      <c r="A48" s="1"/>
      <c r="B48" s="1"/>
      <c r="E48" s="25"/>
      <c r="F48" s="23"/>
    </row>
    <row r="49" spans="1:6" ht="15" customHeight="1">
      <c r="A49" s="1"/>
      <c r="B49" s="1"/>
      <c r="E49" s="25"/>
      <c r="F49" s="23"/>
    </row>
    <row r="50" spans="1:6" ht="15" customHeight="1">
      <c r="A50" s="1"/>
      <c r="B50" s="1"/>
      <c r="E50" s="25"/>
      <c r="F50" s="23"/>
    </row>
    <row r="51" spans="1:6" ht="15" customHeight="1">
      <c r="A51" s="1"/>
      <c r="B51" s="1"/>
      <c r="E51" s="25"/>
      <c r="F51" s="23"/>
    </row>
    <row r="52" spans="1:6" ht="15" customHeight="1">
      <c r="A52" s="1"/>
      <c r="B52" s="1"/>
      <c r="E52" s="25"/>
      <c r="F52" s="23"/>
    </row>
    <row r="53" spans="1:6" ht="15" customHeight="1">
      <c r="A53" s="1"/>
      <c r="B53" s="1"/>
      <c r="E53" s="25"/>
      <c r="F53" s="23"/>
    </row>
    <row r="54" spans="1:6" ht="15" customHeight="1">
      <c r="A54" s="1"/>
      <c r="B54" s="1"/>
      <c r="E54" s="25"/>
      <c r="F54" s="23"/>
    </row>
    <row r="55" spans="1:6" ht="15" customHeight="1">
      <c r="A55" s="1"/>
      <c r="B55" s="1"/>
      <c r="E55" s="25"/>
      <c r="F55" s="23"/>
    </row>
    <row r="56" spans="1:6" ht="15" customHeight="1">
      <c r="A56" s="1"/>
      <c r="B56" s="1"/>
      <c r="E56" s="25"/>
      <c r="F56" s="23"/>
    </row>
    <row r="57" spans="1:6" ht="15" customHeight="1">
      <c r="A57" s="1"/>
      <c r="B57" s="1"/>
      <c r="E57" s="25"/>
      <c r="F57" s="23"/>
    </row>
    <row r="58" spans="1:6" ht="15" customHeight="1">
      <c r="A58" s="1"/>
      <c r="B58" s="1"/>
      <c r="E58" s="25"/>
      <c r="F58" s="23"/>
    </row>
    <row r="59" spans="1:6" ht="15" customHeight="1">
      <c r="A59" s="1"/>
      <c r="B59" s="1"/>
      <c r="E59" s="25"/>
      <c r="F59" s="23"/>
    </row>
    <row r="60" spans="1:6" ht="15" customHeight="1">
      <c r="A60" s="1"/>
      <c r="B60" s="1"/>
      <c r="E60" s="25"/>
      <c r="F60" s="23"/>
    </row>
    <row r="61" spans="1:6" ht="15" customHeight="1">
      <c r="A61" s="1"/>
      <c r="B61" s="1"/>
      <c r="E61" s="25"/>
      <c r="F61" s="23"/>
    </row>
    <row r="62" spans="1:6" ht="15" customHeight="1">
      <c r="A62" s="1"/>
      <c r="B62" s="1"/>
      <c r="E62" s="25"/>
      <c r="F62" s="23"/>
    </row>
    <row r="63" spans="1:6" ht="15" customHeight="1">
      <c r="A63" s="1"/>
      <c r="B63" s="1"/>
      <c r="E63" s="25"/>
      <c r="F63" s="23"/>
    </row>
    <row r="64" spans="1:6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2" orientation="landscape" verticalDpi="300" r:id="rId1"/>
  <headerFooter>
    <oddHeader>&amp;R&amp;"Times New Roman,Regular"&amp;10&amp;A</oddHeader>
    <oddFooter xml:space="preserve">&amp;R&amp;8Case No. 2022-00432
Bluegrass Water’s Response to PSC 2-17
Exhibit PSC 2-17&amp;11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71"/>
  <sheetViews>
    <sheetView showGridLines="0" view="pageLayout" topLeftCell="A64" zoomScaleNormal="100" zoomScaleSheetLayoutView="100" workbookViewId="0">
      <selection activeCell="E54" sqref="E54"/>
    </sheetView>
  </sheetViews>
  <sheetFormatPr defaultColWidth="9.140625" defaultRowHeight="15" customHeight="1"/>
  <cols>
    <col min="1" max="2" width="10.5703125" style="1" customWidth="1"/>
    <col min="3" max="3" width="45.5703125" style="7" customWidth="1"/>
    <col min="4" max="6" width="20.7109375" style="7" customWidth="1"/>
    <col min="7" max="7" width="9.140625" style="12"/>
    <col min="8" max="8" width="13.42578125" style="12" bestFit="1" customWidth="1"/>
    <col min="9" max="16384" width="9.140625" style="12"/>
  </cols>
  <sheetData>
    <row r="1" spans="1:6" ht="15" customHeight="1">
      <c r="A1" s="262" t="e">
        <f>#REF!</f>
        <v>#REF!</v>
      </c>
      <c r="B1" s="262"/>
      <c r="C1" s="262"/>
      <c r="D1" s="262"/>
      <c r="E1" s="262"/>
      <c r="F1" s="262"/>
    </row>
    <row r="2" spans="1:6" ht="15" customHeight="1">
      <c r="A2" s="262" t="e">
        <f>#REF!</f>
        <v>#REF!</v>
      </c>
      <c r="B2" s="262"/>
      <c r="C2" s="262"/>
      <c r="D2" s="262"/>
      <c r="E2" s="262"/>
      <c r="F2" s="262"/>
    </row>
    <row r="3" spans="1:6" ht="15" customHeight="1">
      <c r="A3" s="262" t="s">
        <v>349</v>
      </c>
      <c r="B3" s="262"/>
      <c r="C3" s="262"/>
      <c r="D3" s="262"/>
      <c r="E3" s="262"/>
      <c r="F3" s="262"/>
    </row>
    <row r="4" spans="1:6" ht="15" customHeight="1">
      <c r="A4" s="262" t="e">
        <f>#REF!</f>
        <v>#REF!</v>
      </c>
      <c r="B4" s="262"/>
      <c r="C4" s="262"/>
      <c r="D4" s="262"/>
      <c r="E4" s="262"/>
      <c r="F4" s="262"/>
    </row>
    <row r="5" spans="1:6" ht="38.25">
      <c r="A5" s="11" t="s">
        <v>3</v>
      </c>
      <c r="B5" s="11" t="s">
        <v>38</v>
      </c>
      <c r="C5" s="14" t="s">
        <v>142</v>
      </c>
      <c r="D5" s="11" t="s">
        <v>22</v>
      </c>
      <c r="E5" s="11" t="s">
        <v>23</v>
      </c>
      <c r="F5" s="11" t="s">
        <v>24</v>
      </c>
    </row>
    <row r="6" spans="1:6" ht="15" customHeight="1">
      <c r="A6" s="2" t="s">
        <v>6</v>
      </c>
      <c r="B6" s="2" t="s">
        <v>7</v>
      </c>
      <c r="C6" s="3" t="s">
        <v>8</v>
      </c>
      <c r="D6" s="3" t="s">
        <v>25</v>
      </c>
      <c r="E6" s="6" t="s">
        <v>26</v>
      </c>
      <c r="F6" s="6" t="s">
        <v>46</v>
      </c>
    </row>
    <row r="7" spans="1:6" ht="15" customHeight="1">
      <c r="A7" s="1">
        <v>1</v>
      </c>
      <c r="B7" s="9"/>
      <c r="C7" s="87"/>
      <c r="D7" s="10"/>
      <c r="E7" s="10"/>
      <c r="F7" s="10"/>
    </row>
    <row r="8" spans="1:6" ht="15" customHeight="1">
      <c r="A8" s="1">
        <f>A7+1</f>
        <v>2</v>
      </c>
      <c r="B8" s="1" t="s">
        <v>350</v>
      </c>
      <c r="C8" s="7" t="s">
        <v>351</v>
      </c>
      <c r="D8" s="25">
        <v>90171.17</v>
      </c>
      <c r="E8" s="25">
        <f>SUMIFS('BT-9'!$D:$D,'BT-9'!$B:$B,$B8)+SUMIFS('BT-9'!$E:$E,'BT-9'!$B:$B,$B8)</f>
        <v>0</v>
      </c>
      <c r="F8" s="25">
        <f t="shared" ref="F8" si="0">SUM(D8:E8)</f>
        <v>90171.17</v>
      </c>
    </row>
    <row r="9" spans="1:6" ht="15" customHeight="1">
      <c r="A9" s="1">
        <f>A8+1</f>
        <v>3</v>
      </c>
      <c r="B9" s="1" t="s">
        <v>103</v>
      </c>
      <c r="C9" s="7" t="s">
        <v>104</v>
      </c>
      <c r="D9" s="25">
        <v>20323</v>
      </c>
      <c r="E9" s="25">
        <f>SUMIFS('BT-9'!$D:$D,'BT-9'!$B:$B,$B9)+SUMIFS('BT-9'!$E:$E,'BT-9'!$B:$B,$B9)</f>
        <v>0</v>
      </c>
      <c r="F9" s="25">
        <f t="shared" ref="F9" si="1">SUM(D9:E9)</f>
        <v>20323</v>
      </c>
    </row>
    <row r="10" spans="1:6" ht="15" customHeight="1">
      <c r="A10" s="1">
        <f t="shared" ref="A10:A36" si="2">A9+1</f>
        <v>4</v>
      </c>
      <c r="B10" s="1" t="s">
        <v>105</v>
      </c>
      <c r="C10" s="7" t="s">
        <v>106</v>
      </c>
      <c r="D10" s="25">
        <v>22000</v>
      </c>
      <c r="E10" s="25">
        <f>SUMIFS('BT-9'!$D:$D,'BT-9'!$B:$B,$B10)+SUMIFS('BT-9'!$E:$E,'BT-9'!$B:$B,$B10)</f>
        <v>0</v>
      </c>
      <c r="F10" s="25">
        <f t="shared" ref="F10:F30" si="3">SUM(D10:E10)</f>
        <v>22000</v>
      </c>
    </row>
    <row r="11" spans="1:6" ht="15" customHeight="1">
      <c r="A11" s="1">
        <f t="shared" si="2"/>
        <v>5</v>
      </c>
      <c r="B11" s="1" t="s">
        <v>107</v>
      </c>
      <c r="C11" s="7" t="s">
        <v>106</v>
      </c>
      <c r="D11" s="25">
        <v>762540.13</v>
      </c>
      <c r="E11" s="25">
        <f>SUMIFS('BT-9'!$D:$D,'BT-9'!$B:$B,$B11)+SUMIFS('BT-9'!$E:$E,'BT-9'!$B:$B,$B11)</f>
        <v>0</v>
      </c>
      <c r="F11" s="25">
        <f t="shared" si="3"/>
        <v>762540.13</v>
      </c>
    </row>
    <row r="12" spans="1:6" ht="15" customHeight="1">
      <c r="A12" s="1">
        <f t="shared" si="2"/>
        <v>6</v>
      </c>
      <c r="B12" s="1" t="s">
        <v>55</v>
      </c>
      <c r="C12" s="7" t="s">
        <v>108</v>
      </c>
      <c r="D12" s="25">
        <v>929974.79</v>
      </c>
      <c r="E12" s="25">
        <f>SUMIFS('BT-9'!$D:$D,'BT-9'!$B:$B,$B12)+SUMIFS('BT-9'!$E:$E,'BT-9'!$B:$B,$B12)</f>
        <v>192650</v>
      </c>
      <c r="F12" s="25">
        <f t="shared" si="3"/>
        <v>1122624.79</v>
      </c>
    </row>
    <row r="13" spans="1:6" ht="15" customHeight="1">
      <c r="A13" s="1">
        <f t="shared" si="2"/>
        <v>7</v>
      </c>
      <c r="B13" s="1" t="s">
        <v>109</v>
      </c>
      <c r="C13" s="7" t="s">
        <v>110</v>
      </c>
      <c r="D13" s="25">
        <v>1547407.65</v>
      </c>
      <c r="E13" s="25">
        <f>SUMIFS('BT-9'!$D:$D,'BT-9'!$B:$B,$B13)+SUMIFS('BT-9'!$E:$E,'BT-9'!$B:$B,$B13)</f>
        <v>0</v>
      </c>
      <c r="F13" s="25">
        <f t="shared" si="3"/>
        <v>1547407.65</v>
      </c>
    </row>
    <row r="14" spans="1:6" ht="15" customHeight="1">
      <c r="A14" s="1">
        <f t="shared" si="2"/>
        <v>8</v>
      </c>
      <c r="B14" s="1" t="s">
        <v>111</v>
      </c>
      <c r="C14" s="7" t="s">
        <v>112</v>
      </c>
      <c r="D14" s="25">
        <v>1963073.98</v>
      </c>
      <c r="E14" s="25">
        <v>10000</v>
      </c>
      <c r="F14" s="25">
        <f t="shared" si="3"/>
        <v>1973073.98</v>
      </c>
    </row>
    <row r="15" spans="1:6" ht="15" customHeight="1">
      <c r="A15" s="1">
        <f t="shared" si="2"/>
        <v>9</v>
      </c>
      <c r="B15" s="1" t="s">
        <v>113</v>
      </c>
      <c r="C15" s="7" t="s">
        <v>114</v>
      </c>
      <c r="D15" s="25">
        <v>707286.77</v>
      </c>
      <c r="E15" s="25">
        <f>SUMIFS('BT-9'!$D:$D,'BT-9'!$B:$B,$B15)+SUMIFS('BT-9'!$E:$E,'BT-9'!$B:$B,$B15)</f>
        <v>0</v>
      </c>
      <c r="F15" s="25">
        <f t="shared" si="3"/>
        <v>707286.77</v>
      </c>
    </row>
    <row r="16" spans="1:6" ht="15" customHeight="1">
      <c r="A16" s="1">
        <f t="shared" si="2"/>
        <v>10</v>
      </c>
      <c r="B16" s="1" t="s">
        <v>115</v>
      </c>
      <c r="C16" s="7" t="s">
        <v>116</v>
      </c>
      <c r="D16" s="25">
        <v>13814.08</v>
      </c>
      <c r="E16" s="25">
        <f>SUMIFS('BT-9'!$D:$D,'BT-9'!$B:$B,$B16)+SUMIFS('BT-9'!$E:$E,'BT-9'!$B:$B,$B16)</f>
        <v>0</v>
      </c>
      <c r="F16" s="25">
        <f t="shared" si="3"/>
        <v>13814.08</v>
      </c>
    </row>
    <row r="17" spans="1:6" ht="15" customHeight="1">
      <c r="A17" s="1">
        <f t="shared" si="2"/>
        <v>11</v>
      </c>
      <c r="B17" s="1" t="s">
        <v>69</v>
      </c>
      <c r="C17" s="7" t="s">
        <v>117</v>
      </c>
      <c r="D17" s="25">
        <v>202124.84</v>
      </c>
      <c r="E17" s="25">
        <f>SUMIFS('BT-9'!$D:$D,'BT-9'!$B:$B,$B17)+SUMIFS('BT-9'!$E:$E,'BT-9'!$B:$B,$B17)</f>
        <v>10000</v>
      </c>
      <c r="F17" s="25">
        <f t="shared" si="3"/>
        <v>212124.84</v>
      </c>
    </row>
    <row r="18" spans="1:6" ht="15" customHeight="1">
      <c r="A18" s="1">
        <f t="shared" si="2"/>
        <v>12</v>
      </c>
      <c r="B18" s="1" t="s">
        <v>118</v>
      </c>
      <c r="C18" s="7" t="s">
        <v>106</v>
      </c>
      <c r="D18" s="25">
        <v>68496.540000000008</v>
      </c>
      <c r="E18" s="25">
        <f>SUMIFS('BT-9'!$D:$D,'BT-9'!$B:$B,$B18)+SUMIFS('BT-9'!$E:$E,'BT-9'!$B:$B,$B18)</f>
        <v>0</v>
      </c>
      <c r="F18" s="25">
        <f t="shared" si="3"/>
        <v>68496.540000000008</v>
      </c>
    </row>
    <row r="19" spans="1:6" ht="15" customHeight="1">
      <c r="A19" s="1">
        <f t="shared" si="2"/>
        <v>13</v>
      </c>
      <c r="B19" s="1" t="s">
        <v>119</v>
      </c>
      <c r="C19" s="7" t="s">
        <v>120</v>
      </c>
      <c r="D19" s="25">
        <v>38753.730000000003</v>
      </c>
      <c r="E19" s="25">
        <f>SUMIFS('BT-9'!$D:$D,'BT-9'!$B:$B,$B19)+SUMIFS('BT-9'!$E:$E,'BT-9'!$B:$B,$B19)</f>
        <v>0</v>
      </c>
      <c r="F19" s="25">
        <f t="shared" si="3"/>
        <v>38753.730000000003</v>
      </c>
    </row>
    <row r="20" spans="1:6" ht="15" customHeight="1">
      <c r="A20" s="1">
        <f t="shared" si="2"/>
        <v>14</v>
      </c>
      <c r="B20" s="1" t="s">
        <v>52</v>
      </c>
      <c r="C20" s="7" t="s">
        <v>121</v>
      </c>
      <c r="D20" s="25">
        <v>1628754.5699999998</v>
      </c>
      <c r="E20" s="25">
        <f>SUMIFS('BT-9'!$D:$D,'BT-9'!$B:$B,$B20)+SUMIFS('BT-9'!$E:$E,'BT-9'!$B:$B,$B20)</f>
        <v>539150</v>
      </c>
      <c r="F20" s="25">
        <f t="shared" si="3"/>
        <v>2167904.5699999998</v>
      </c>
    </row>
    <row r="21" spans="1:6" ht="15" customHeight="1">
      <c r="A21" s="1">
        <f t="shared" si="2"/>
        <v>15</v>
      </c>
      <c r="B21" s="1" t="s">
        <v>122</v>
      </c>
      <c r="C21" s="7" t="s">
        <v>123</v>
      </c>
      <c r="D21" s="25">
        <v>205734</v>
      </c>
      <c r="E21" s="25">
        <f>SUMIFS('BT-9'!$D:$D,'BT-9'!$B:$B,$B21)+SUMIFS('BT-9'!$E:$E,'BT-9'!$B:$B,$B21)</f>
        <v>-192288</v>
      </c>
      <c r="F21" s="25">
        <f t="shared" si="3"/>
        <v>13446</v>
      </c>
    </row>
    <row r="22" spans="1:6" ht="15" customHeight="1">
      <c r="A22" s="1">
        <f t="shared" si="2"/>
        <v>16</v>
      </c>
      <c r="B22" s="1" t="s">
        <v>124</v>
      </c>
      <c r="C22" s="7" t="s">
        <v>125</v>
      </c>
      <c r="D22" s="25">
        <v>22240</v>
      </c>
      <c r="E22" s="25">
        <f>SUMIFS('BT-9'!$D:$D,'BT-9'!$B:$B,$B22)+SUMIFS('BT-9'!$E:$E,'BT-9'!$B:$B,$B22)</f>
        <v>0</v>
      </c>
      <c r="F22" s="25">
        <f t="shared" si="3"/>
        <v>22240</v>
      </c>
    </row>
    <row r="23" spans="1:6" ht="15" customHeight="1">
      <c r="A23" s="1">
        <f t="shared" si="2"/>
        <v>17</v>
      </c>
      <c r="B23" s="1" t="s">
        <v>126</v>
      </c>
      <c r="C23" s="7" t="s">
        <v>127</v>
      </c>
      <c r="D23" s="25">
        <v>69562.040000000008</v>
      </c>
      <c r="E23" s="25">
        <f>SUMIFS('BT-9'!$D:$D,'BT-9'!$B:$B,$B23)+SUMIFS('BT-9'!$E:$E,'BT-9'!$B:$B,$B23)</f>
        <v>0</v>
      </c>
      <c r="F23" s="25">
        <f t="shared" si="3"/>
        <v>69562.040000000008</v>
      </c>
    </row>
    <row r="24" spans="1:6" ht="15" customHeight="1">
      <c r="A24" s="1">
        <f t="shared" si="2"/>
        <v>18</v>
      </c>
      <c r="B24" s="1" t="s">
        <v>128</v>
      </c>
      <c r="C24" s="7" t="s">
        <v>129</v>
      </c>
      <c r="D24" s="25">
        <v>959</v>
      </c>
      <c r="E24" s="25">
        <f>SUMIFS('BT-9'!$D:$D,'BT-9'!$B:$B,$B24)+SUMIFS('BT-9'!$E:$E,'BT-9'!$B:$B,$B24)</f>
        <v>0</v>
      </c>
      <c r="F24" s="25">
        <f t="shared" si="3"/>
        <v>959</v>
      </c>
    </row>
    <row r="25" spans="1:6" ht="15" customHeight="1">
      <c r="A25" s="1">
        <f t="shared" si="2"/>
        <v>19</v>
      </c>
      <c r="B25" s="1" t="s">
        <v>130</v>
      </c>
      <c r="C25" s="7" t="s">
        <v>131</v>
      </c>
      <c r="D25" s="25">
        <v>2440</v>
      </c>
      <c r="E25" s="25">
        <f>SUMIFS('BT-9'!$D:$D,'BT-9'!$B:$B,$B25)+SUMIFS('BT-9'!$E:$E,'BT-9'!$B:$B,$B25)</f>
        <v>0</v>
      </c>
      <c r="F25" s="25">
        <f t="shared" si="3"/>
        <v>2440</v>
      </c>
    </row>
    <row r="26" spans="1:6" ht="15" customHeight="1">
      <c r="A26" s="1">
        <f t="shared" si="2"/>
        <v>20</v>
      </c>
      <c r="B26" s="1" t="s">
        <v>132</v>
      </c>
      <c r="C26" s="7" t="s">
        <v>133</v>
      </c>
      <c r="D26" s="25">
        <v>0</v>
      </c>
      <c r="E26" s="25">
        <f>SUMIFS('BT-9'!$D:$D,'BT-9'!$B:$B,$B26)+SUMIFS('BT-9'!$E:$E,'BT-9'!$B:$B,$B26)</f>
        <v>0</v>
      </c>
      <c r="F26" s="25">
        <f t="shared" si="3"/>
        <v>0</v>
      </c>
    </row>
    <row r="27" spans="1:6" ht="15" customHeight="1">
      <c r="A27" s="1">
        <f t="shared" si="2"/>
        <v>21</v>
      </c>
      <c r="B27" s="1" t="s">
        <v>134</v>
      </c>
      <c r="C27" s="7" t="s">
        <v>135</v>
      </c>
      <c r="D27" s="25">
        <v>0</v>
      </c>
      <c r="E27" s="25">
        <f>SUMIFS('BT-9'!$D:$D,'BT-9'!$B:$B,$B27)+SUMIFS('BT-9'!$E:$E,'BT-9'!$B:$B,$B27)</f>
        <v>0</v>
      </c>
      <c r="F27" s="25">
        <f t="shared" si="3"/>
        <v>0</v>
      </c>
    </row>
    <row r="28" spans="1:6" ht="15" customHeight="1">
      <c r="A28" s="1">
        <f t="shared" si="2"/>
        <v>22</v>
      </c>
      <c r="B28" s="1" t="s">
        <v>136</v>
      </c>
      <c r="C28" s="7" t="s">
        <v>137</v>
      </c>
      <c r="D28" s="25">
        <v>160266.16999999998</v>
      </c>
      <c r="E28" s="25">
        <f>SUMIFS('BT-9'!$D:$D,'BT-9'!$B:$B,$B28)+SUMIFS('BT-9'!$E:$E,'BT-9'!$B:$B,$B28)</f>
        <v>0</v>
      </c>
      <c r="F28" s="25">
        <f t="shared" si="3"/>
        <v>160266.16999999998</v>
      </c>
    </row>
    <row r="29" spans="1:6" ht="15" customHeight="1">
      <c r="A29" s="1">
        <f t="shared" si="2"/>
        <v>23</v>
      </c>
      <c r="B29" s="1" t="s">
        <v>138</v>
      </c>
      <c r="C29" s="7" t="s">
        <v>139</v>
      </c>
      <c r="D29" s="25">
        <v>0</v>
      </c>
      <c r="E29" s="25">
        <f>SUMIFS('BT-9'!$D:$D,'BT-9'!$B:$B,$B29)+SUMIFS('BT-9'!$E:$E,'BT-9'!$B:$B,$B29)</f>
        <v>0</v>
      </c>
      <c r="F29" s="25">
        <f t="shared" si="3"/>
        <v>0</v>
      </c>
    </row>
    <row r="30" spans="1:6" ht="15" customHeight="1">
      <c r="A30" s="1">
        <f t="shared" si="2"/>
        <v>24</v>
      </c>
      <c r="B30" s="1" t="s">
        <v>140</v>
      </c>
      <c r="C30" s="7" t="s">
        <v>141</v>
      </c>
      <c r="D30" s="25">
        <v>5000</v>
      </c>
      <c r="E30" s="25">
        <f>SUMIFS('BT-9'!$D:$D,'BT-9'!$B:$B,$B30)+SUMIFS('BT-9'!$E:$E,'BT-9'!$B:$B,$B30)</f>
        <v>0</v>
      </c>
      <c r="F30" s="25">
        <f t="shared" si="3"/>
        <v>5000</v>
      </c>
    </row>
    <row r="31" spans="1:6" ht="15" customHeight="1">
      <c r="A31" s="1">
        <f t="shared" si="2"/>
        <v>25</v>
      </c>
      <c r="B31" s="1" t="s">
        <v>413</v>
      </c>
      <c r="C31" s="7" t="s">
        <v>413</v>
      </c>
      <c r="D31" s="25" t="s">
        <v>413</v>
      </c>
      <c r="E31" s="25"/>
      <c r="F31" s="25"/>
    </row>
    <row r="32" spans="1:6" ht="15" customHeight="1">
      <c r="A32" s="1">
        <f t="shared" si="2"/>
        <v>26</v>
      </c>
      <c r="B32" s="1" t="s">
        <v>413</v>
      </c>
      <c r="C32" s="7" t="s">
        <v>413</v>
      </c>
      <c r="D32" s="25" t="s">
        <v>413</v>
      </c>
      <c r="E32" s="25" t="s">
        <v>413</v>
      </c>
      <c r="F32" s="25"/>
    </row>
    <row r="33" spans="1:6" ht="15" customHeight="1">
      <c r="A33" s="1">
        <f t="shared" si="2"/>
        <v>27</v>
      </c>
      <c r="B33" s="1" t="s">
        <v>413</v>
      </c>
      <c r="C33" s="7" t="s">
        <v>413</v>
      </c>
      <c r="D33" s="25" t="s">
        <v>413</v>
      </c>
      <c r="E33" s="25" t="s">
        <v>413</v>
      </c>
      <c r="F33" s="25"/>
    </row>
    <row r="34" spans="1:6" ht="15" customHeight="1" thickBot="1">
      <c r="A34" s="1">
        <f t="shared" si="2"/>
        <v>28</v>
      </c>
      <c r="B34" s="1" t="s">
        <v>413</v>
      </c>
      <c r="C34" s="17" t="s">
        <v>352</v>
      </c>
      <c r="D34" s="36">
        <f>SUM(D8:D33)</f>
        <v>8460922.4600000009</v>
      </c>
      <c r="E34" s="36">
        <f t="shared" ref="E34" si="4">SUM(E8:E33)</f>
        <v>559512</v>
      </c>
      <c r="F34" s="36">
        <f>SUM(F8:F33)</f>
        <v>9020434.459999999</v>
      </c>
    </row>
    <row r="35" spans="1:6" ht="15" customHeight="1" thickTop="1">
      <c r="A35" s="1">
        <f t="shared" si="2"/>
        <v>29</v>
      </c>
      <c r="D35" s="25"/>
      <c r="E35" s="25"/>
      <c r="F35" s="25"/>
    </row>
    <row r="36" spans="1:6" ht="15" customHeight="1">
      <c r="A36" s="1">
        <f t="shared" si="2"/>
        <v>30</v>
      </c>
      <c r="D36" s="25"/>
      <c r="E36" s="25"/>
      <c r="F36" s="25"/>
    </row>
    <row r="37" spans="1:6" ht="15" customHeight="1">
      <c r="A37" s="1">
        <f>A36+1</f>
        <v>31</v>
      </c>
      <c r="D37" s="25"/>
      <c r="E37" s="25"/>
      <c r="F37" s="25"/>
    </row>
    <row r="38" spans="1:6" ht="15" customHeight="1">
      <c r="D38" s="25"/>
      <c r="E38" s="25"/>
      <c r="F38" s="25"/>
    </row>
    <row r="39" spans="1:6" ht="15" customHeight="1">
      <c r="D39" s="25"/>
      <c r="E39" s="25"/>
      <c r="F39" s="25"/>
    </row>
    <row r="40" spans="1:6" ht="15" customHeight="1">
      <c r="D40" s="25"/>
      <c r="E40" s="25"/>
      <c r="F40" s="25"/>
    </row>
    <row r="41" spans="1:6" ht="15" customHeight="1">
      <c r="D41" s="25"/>
      <c r="E41" s="25"/>
      <c r="F41" s="25"/>
    </row>
    <row r="42" spans="1:6" ht="15" customHeight="1">
      <c r="D42" s="25"/>
      <c r="E42" s="25"/>
      <c r="F42" s="25"/>
    </row>
    <row r="43" spans="1:6" ht="15" customHeight="1">
      <c r="D43" s="25"/>
      <c r="E43" s="25"/>
      <c r="F43" s="25"/>
    </row>
    <row r="44" spans="1:6" ht="15" customHeight="1">
      <c r="D44" s="25"/>
      <c r="E44" s="25"/>
      <c r="F44" s="25"/>
    </row>
    <row r="45" spans="1:6" ht="15" customHeight="1">
      <c r="D45" s="25"/>
      <c r="E45" s="25"/>
      <c r="F45" s="25"/>
    </row>
    <row r="46" spans="1:6" ht="15" customHeight="1">
      <c r="D46" s="25"/>
      <c r="E46" s="25"/>
      <c r="F46" s="25"/>
    </row>
    <row r="47" spans="1:6" ht="15" customHeight="1">
      <c r="D47" s="25"/>
      <c r="E47" s="25"/>
      <c r="F47" s="25"/>
    </row>
    <row r="48" spans="1:6" ht="15" customHeight="1">
      <c r="D48" s="25"/>
      <c r="E48" s="25"/>
      <c r="F48" s="25"/>
    </row>
    <row r="49" spans="4:8" ht="15" customHeight="1">
      <c r="D49" s="25"/>
      <c r="E49" s="25"/>
      <c r="F49" s="25"/>
    </row>
    <row r="50" spans="4:8" ht="15" customHeight="1">
      <c r="D50" s="25"/>
      <c r="E50" s="25"/>
      <c r="F50" s="25"/>
    </row>
    <row r="51" spans="4:8" ht="15" customHeight="1">
      <c r="D51" s="25"/>
      <c r="E51" s="25"/>
      <c r="F51" s="25"/>
    </row>
    <row r="52" spans="4:8" ht="15" customHeight="1">
      <c r="D52" s="25"/>
      <c r="E52" s="25"/>
      <c r="F52" s="25"/>
    </row>
    <row r="53" spans="4:8" ht="15" customHeight="1">
      <c r="D53" s="25"/>
      <c r="E53" s="25"/>
      <c r="F53" s="25"/>
    </row>
    <row r="54" spans="4:8" ht="15" customHeight="1">
      <c r="D54" s="25"/>
      <c r="E54" s="25"/>
      <c r="F54" s="25"/>
    </row>
    <row r="55" spans="4:8" ht="15" customHeight="1">
      <c r="D55" s="25"/>
      <c r="E55" s="25"/>
      <c r="F55" s="25"/>
    </row>
    <row r="56" spans="4:8" ht="15" customHeight="1">
      <c r="D56" s="25"/>
      <c r="E56" s="25"/>
      <c r="F56" s="25"/>
    </row>
    <row r="57" spans="4:8" ht="15" customHeight="1">
      <c r="D57" s="25"/>
      <c r="E57" s="25"/>
      <c r="F57" s="25"/>
    </row>
    <row r="58" spans="4:8" ht="15" customHeight="1">
      <c r="D58" s="25"/>
      <c r="E58" s="25"/>
      <c r="F58" s="25"/>
    </row>
    <row r="59" spans="4:8" ht="15" customHeight="1">
      <c r="D59" s="25"/>
      <c r="E59" s="25"/>
      <c r="F59" s="25"/>
    </row>
    <row r="60" spans="4:8" ht="15" customHeight="1">
      <c r="D60" s="25"/>
      <c r="E60" s="25"/>
      <c r="F60" s="25"/>
    </row>
    <row r="61" spans="4:8" ht="15" customHeight="1">
      <c r="D61" s="25"/>
      <c r="E61" s="25"/>
      <c r="F61" s="25"/>
      <c r="H61" s="37"/>
    </row>
    <row r="62" spans="4:8" ht="15" customHeight="1">
      <c r="D62" s="25"/>
      <c r="E62" s="25"/>
      <c r="F62" s="25"/>
    </row>
    <row r="63" spans="4:8" ht="15" customHeight="1">
      <c r="D63" s="38"/>
      <c r="E63" s="38"/>
      <c r="F63" s="38"/>
    </row>
    <row r="64" spans="4:8" ht="15" customHeight="1">
      <c r="E64" s="25"/>
    </row>
    <row r="71" spans="7:7" ht="15" customHeight="1">
      <c r="G71" s="37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71" orientation="portrait" verticalDpi="300" r:id="rId1"/>
  <headerFooter>
    <oddHeader>&amp;R&amp;"Times New Roman,Regular"&amp;10&amp;A</oddHeader>
    <oddFooter xml:space="preserve">&amp;R&amp;8Case No. 2022-00432
Bluegrass Water’s Response to PSC 2-17
Exhibit PSC 2-17&amp;11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70"/>
  <sheetViews>
    <sheetView showGridLines="0" view="pageLayout" topLeftCell="F55" zoomScaleNormal="85" zoomScaleSheetLayoutView="100" workbookViewId="0">
      <selection activeCell="Q56" sqref="Q56"/>
    </sheetView>
  </sheetViews>
  <sheetFormatPr defaultColWidth="9.140625" defaultRowHeight="15" customHeight="1"/>
  <cols>
    <col min="1" max="2" width="10.5703125" style="1" customWidth="1"/>
    <col min="3" max="3" width="45.5703125" style="7" customWidth="1"/>
    <col min="4" max="6" width="20.7109375" style="7" customWidth="1"/>
    <col min="7" max="7" width="9.140625" style="12"/>
    <col min="8" max="8" width="13.42578125" style="12" bestFit="1" customWidth="1"/>
    <col min="9" max="16384" width="9.140625" style="12"/>
  </cols>
  <sheetData>
    <row r="1" spans="1:6" ht="15" customHeight="1">
      <c r="A1" s="262" t="e">
        <f>#REF!</f>
        <v>#REF!</v>
      </c>
      <c r="B1" s="262"/>
      <c r="C1" s="262"/>
      <c r="D1" s="262"/>
      <c r="E1" s="262"/>
      <c r="F1" s="262"/>
    </row>
    <row r="2" spans="1:6" ht="15" customHeight="1">
      <c r="A2" s="262" t="e">
        <f>#REF!</f>
        <v>#REF!</v>
      </c>
      <c r="B2" s="262"/>
      <c r="C2" s="262"/>
      <c r="D2" s="262"/>
      <c r="E2" s="262"/>
      <c r="F2" s="262"/>
    </row>
    <row r="3" spans="1:6" ht="15" customHeight="1">
      <c r="A3" s="262" t="s">
        <v>421</v>
      </c>
      <c r="B3" s="262"/>
      <c r="C3" s="262"/>
      <c r="D3" s="262"/>
      <c r="E3" s="262"/>
      <c r="F3" s="262"/>
    </row>
    <row r="4" spans="1:6" ht="15" customHeight="1">
      <c r="A4" s="262" t="e">
        <f>#REF!</f>
        <v>#REF!</v>
      </c>
      <c r="B4" s="262"/>
      <c r="C4" s="262"/>
      <c r="D4" s="262"/>
      <c r="E4" s="262"/>
      <c r="F4" s="262"/>
    </row>
    <row r="5" spans="1:6" ht="38.25">
      <c r="A5" s="11" t="s">
        <v>3</v>
      </c>
      <c r="B5" s="11" t="s">
        <v>38</v>
      </c>
      <c r="C5" s="14" t="s">
        <v>142</v>
      </c>
      <c r="D5" s="11" t="s">
        <v>22</v>
      </c>
      <c r="E5" s="11" t="s">
        <v>23</v>
      </c>
      <c r="F5" s="11" t="s">
        <v>24</v>
      </c>
    </row>
    <row r="6" spans="1:6" ht="15" customHeight="1">
      <c r="A6" s="2" t="s">
        <v>6</v>
      </c>
      <c r="B6" s="2" t="s">
        <v>7</v>
      </c>
      <c r="C6" s="3" t="s">
        <v>8</v>
      </c>
      <c r="D6" s="3" t="s">
        <v>25</v>
      </c>
      <c r="E6" s="6" t="s">
        <v>26</v>
      </c>
      <c r="F6" s="6" t="s">
        <v>46</v>
      </c>
    </row>
    <row r="7" spans="1:6" ht="15" customHeight="1">
      <c r="A7" s="1">
        <v>1</v>
      </c>
      <c r="C7" s="17"/>
    </row>
    <row r="8" spans="1:6" ht="15" customHeight="1">
      <c r="A8" s="1">
        <f>A7+1</f>
        <v>2</v>
      </c>
      <c r="B8" s="1" t="s">
        <v>103</v>
      </c>
      <c r="C8" s="7" t="s">
        <v>104</v>
      </c>
      <c r="D8" s="25">
        <v>0</v>
      </c>
      <c r="E8" s="25">
        <f>-SUMIFS('BT-9'!$E:$E,'BT-9'!$B:$B,$B8)</f>
        <v>0</v>
      </c>
      <c r="F8" s="25">
        <f t="shared" ref="F8:F29" si="0">SUM(D8:E8)</f>
        <v>0</v>
      </c>
    </row>
    <row r="9" spans="1:6" ht="15" customHeight="1">
      <c r="A9" s="1">
        <f t="shared" ref="A9:A35" si="1">A8+1</f>
        <v>3</v>
      </c>
      <c r="B9" s="1" t="s">
        <v>105</v>
      </c>
      <c r="C9" s="7" t="s">
        <v>106</v>
      </c>
      <c r="D9" s="25">
        <v>0</v>
      </c>
      <c r="E9" s="25">
        <f>-SUMIFS('BT-9'!$E:$E,'BT-9'!$B:$B,$B9)</f>
        <v>0</v>
      </c>
      <c r="F9" s="25">
        <f t="shared" si="0"/>
        <v>0</v>
      </c>
    </row>
    <row r="10" spans="1:6" ht="15" customHeight="1">
      <c r="A10" s="1">
        <f t="shared" si="1"/>
        <v>4</v>
      </c>
      <c r="B10" s="1" t="s">
        <v>107</v>
      </c>
      <c r="C10" s="7" t="s">
        <v>106</v>
      </c>
      <c r="D10" s="25">
        <v>0</v>
      </c>
      <c r="E10" s="25">
        <f>-SUMIFS('BT-9'!$E:$E,'BT-9'!$B:$B,$B10)</f>
        <v>0</v>
      </c>
      <c r="F10" s="25">
        <f t="shared" si="0"/>
        <v>0</v>
      </c>
    </row>
    <row r="11" spans="1:6" ht="15" customHeight="1">
      <c r="A11" s="1">
        <f t="shared" si="1"/>
        <v>5</v>
      </c>
      <c r="B11" s="1" t="s">
        <v>55</v>
      </c>
      <c r="C11" s="7" t="s">
        <v>108</v>
      </c>
      <c r="D11" s="25">
        <v>-93272.319999999992</v>
      </c>
      <c r="E11" s="25">
        <f>-SUMIFS('BT-9'!$E:$E,'BT-9'!$B:$B,$B11)</f>
        <v>0</v>
      </c>
      <c r="F11" s="25">
        <f t="shared" si="0"/>
        <v>-93272.319999999992</v>
      </c>
    </row>
    <row r="12" spans="1:6" ht="15" customHeight="1">
      <c r="A12" s="1">
        <f t="shared" si="1"/>
        <v>6</v>
      </c>
      <c r="B12" s="1" t="s">
        <v>109</v>
      </c>
      <c r="C12" s="7" t="s">
        <v>110</v>
      </c>
      <c r="D12" s="25">
        <v>-73499.69</v>
      </c>
      <c r="E12" s="25">
        <f>-SUMIFS('BT-9'!$E:$E,'BT-9'!$B:$B,$B12)</f>
        <v>0</v>
      </c>
      <c r="F12" s="25">
        <f t="shared" si="0"/>
        <v>-73499.69</v>
      </c>
    </row>
    <row r="13" spans="1:6" ht="15" customHeight="1">
      <c r="A13" s="1">
        <f t="shared" si="1"/>
        <v>7</v>
      </c>
      <c r="B13" s="1" t="s">
        <v>111</v>
      </c>
      <c r="C13" s="7" t="s">
        <v>112</v>
      </c>
      <c r="D13" s="25">
        <v>-1235236.02</v>
      </c>
      <c r="E13" s="25">
        <f>-367</f>
        <v>-367</v>
      </c>
      <c r="F13" s="25">
        <f t="shared" si="0"/>
        <v>-1235603.02</v>
      </c>
    </row>
    <row r="14" spans="1:6" ht="15" customHeight="1">
      <c r="A14" s="1">
        <f t="shared" si="1"/>
        <v>8</v>
      </c>
      <c r="B14" s="1" t="s">
        <v>113</v>
      </c>
      <c r="C14" s="7" t="s">
        <v>114</v>
      </c>
      <c r="D14" s="25">
        <v>-481021.28</v>
      </c>
      <c r="E14" s="25">
        <f>-SUMIFS('BT-9'!$E:$E,'BT-9'!$B:$B,$B14)</f>
        <v>0</v>
      </c>
      <c r="F14" s="25">
        <f t="shared" si="0"/>
        <v>-481021.28</v>
      </c>
    </row>
    <row r="15" spans="1:6" ht="15" customHeight="1">
      <c r="A15" s="1">
        <f t="shared" si="1"/>
        <v>9</v>
      </c>
      <c r="B15" s="1" t="s">
        <v>115</v>
      </c>
      <c r="C15" s="7" t="s">
        <v>116</v>
      </c>
      <c r="D15" s="25">
        <v>-2042.5900000000001</v>
      </c>
      <c r="E15" s="25">
        <f>-SUMIFS('BT-9'!$E:$E,'BT-9'!$B:$B,$B15)</f>
        <v>0</v>
      </c>
      <c r="F15" s="25">
        <f t="shared" si="0"/>
        <v>-2042.5900000000001</v>
      </c>
    </row>
    <row r="16" spans="1:6" ht="15" customHeight="1">
      <c r="A16" s="1">
        <f t="shared" si="1"/>
        <v>10</v>
      </c>
      <c r="B16" s="1" t="s">
        <v>69</v>
      </c>
      <c r="C16" s="7" t="s">
        <v>117</v>
      </c>
      <c r="D16" s="25">
        <v>-41326.880000000005</v>
      </c>
      <c r="E16" s="25">
        <f>-SUMIFS('BT-9'!$E:$E,'BT-9'!$B:$B,$B16)</f>
        <v>0</v>
      </c>
      <c r="F16" s="25">
        <f t="shared" si="0"/>
        <v>-41326.880000000005</v>
      </c>
    </row>
    <row r="17" spans="1:6" ht="15" customHeight="1">
      <c r="A17" s="1">
        <f t="shared" si="1"/>
        <v>11</v>
      </c>
      <c r="B17" s="1" t="s">
        <v>118</v>
      </c>
      <c r="C17" s="7" t="s">
        <v>106</v>
      </c>
      <c r="D17" s="25">
        <v>0</v>
      </c>
      <c r="E17" s="25">
        <f>-SUMIFS('BT-9'!$E:$E,'BT-9'!$B:$B,$B17)</f>
        <v>0</v>
      </c>
      <c r="F17" s="25">
        <f t="shared" si="0"/>
        <v>0</v>
      </c>
    </row>
    <row r="18" spans="1:6" ht="15" customHeight="1">
      <c r="A18" s="1">
        <f t="shared" si="1"/>
        <v>12</v>
      </c>
      <c r="B18" s="1" t="s">
        <v>119</v>
      </c>
      <c r="C18" s="7" t="s">
        <v>120</v>
      </c>
      <c r="D18" s="25">
        <v>0</v>
      </c>
      <c r="E18" s="25">
        <f>-SUMIFS('BT-9'!$E:$E,'BT-9'!$B:$B,$B18)</f>
        <v>0</v>
      </c>
      <c r="F18" s="25">
        <f t="shared" si="0"/>
        <v>0</v>
      </c>
    </row>
    <row r="19" spans="1:6" ht="15" customHeight="1">
      <c r="A19" s="1">
        <f t="shared" si="1"/>
        <v>13</v>
      </c>
      <c r="B19" s="1" t="s">
        <v>52</v>
      </c>
      <c r="C19" s="7" t="s">
        <v>121</v>
      </c>
      <c r="D19" s="25">
        <v>-947025.1</v>
      </c>
      <c r="E19" s="25">
        <f>-SUMIFS('BT-9'!$E:$E,'BT-9'!$B:$B,$B19)</f>
        <v>15000</v>
      </c>
      <c r="F19" s="25">
        <f t="shared" si="0"/>
        <v>-932025.1</v>
      </c>
    </row>
    <row r="20" spans="1:6" ht="15" customHeight="1">
      <c r="A20" s="1">
        <f t="shared" si="1"/>
        <v>14</v>
      </c>
      <c r="B20" s="1" t="s">
        <v>122</v>
      </c>
      <c r="C20" s="7" t="s">
        <v>123</v>
      </c>
      <c r="D20" s="25">
        <v>-187255.27</v>
      </c>
      <c r="E20" s="25">
        <v>186797</v>
      </c>
      <c r="F20" s="25">
        <f t="shared" si="0"/>
        <v>-458.26999999998952</v>
      </c>
    </row>
    <row r="21" spans="1:6" ht="15" customHeight="1">
      <c r="A21" s="1">
        <f t="shared" si="1"/>
        <v>15</v>
      </c>
      <c r="B21" s="1" t="s">
        <v>124</v>
      </c>
      <c r="C21" s="7" t="s">
        <v>125</v>
      </c>
      <c r="D21" s="25">
        <v>-333.6</v>
      </c>
      <c r="E21" s="25">
        <f>-SUMIFS('BT-9'!$E:$E,'BT-9'!$B:$B,$B21)</f>
        <v>0</v>
      </c>
      <c r="F21" s="25">
        <f t="shared" si="0"/>
        <v>-333.6</v>
      </c>
    </row>
    <row r="22" spans="1:6" ht="15" customHeight="1">
      <c r="A22" s="1">
        <f t="shared" si="1"/>
        <v>16</v>
      </c>
      <c r="B22" s="1" t="s">
        <v>126</v>
      </c>
      <c r="C22" s="7" t="s">
        <v>127</v>
      </c>
      <c r="D22" s="25">
        <v>-55845.59</v>
      </c>
      <c r="E22" s="25">
        <f>-SUMIFS('BT-9'!$E:$E,'BT-9'!$B:$B,$B22)</f>
        <v>0</v>
      </c>
      <c r="F22" s="25">
        <f t="shared" si="0"/>
        <v>-55845.59</v>
      </c>
    </row>
    <row r="23" spans="1:6" ht="15" customHeight="1">
      <c r="A23" s="1">
        <f t="shared" si="1"/>
        <v>17</v>
      </c>
      <c r="B23" s="1" t="s">
        <v>128</v>
      </c>
      <c r="C23" s="7" t="s">
        <v>129</v>
      </c>
      <c r="D23" s="25">
        <v>-826.31000000000006</v>
      </c>
      <c r="E23" s="25">
        <f>-SUMIFS('BT-9'!$E:$E,'BT-9'!$B:$B,$B23)</f>
        <v>0</v>
      </c>
      <c r="F23" s="25">
        <f t="shared" si="0"/>
        <v>-826.31000000000006</v>
      </c>
    </row>
    <row r="24" spans="1:6" ht="15" customHeight="1">
      <c r="A24" s="1">
        <f t="shared" si="1"/>
        <v>18</v>
      </c>
      <c r="B24" s="1" t="s">
        <v>130</v>
      </c>
      <c r="C24" s="7" t="s">
        <v>131</v>
      </c>
      <c r="D24" s="25">
        <v>-1324.56</v>
      </c>
      <c r="E24" s="25">
        <f>-SUMIFS('BT-9'!$E:$E,'BT-9'!$B:$B,$B24)</f>
        <v>0</v>
      </c>
      <c r="F24" s="25">
        <f t="shared" si="0"/>
        <v>-1324.56</v>
      </c>
    </row>
    <row r="25" spans="1:6" ht="15" customHeight="1">
      <c r="A25" s="1">
        <f t="shared" si="1"/>
        <v>19</v>
      </c>
      <c r="B25" s="1" t="s">
        <v>132</v>
      </c>
      <c r="C25" s="7" t="s">
        <v>133</v>
      </c>
      <c r="D25" s="25">
        <v>0</v>
      </c>
      <c r="E25" s="25">
        <f>-SUMIFS('BT-9'!$E:$E,'BT-9'!$B:$B,$B25)</f>
        <v>0</v>
      </c>
      <c r="F25" s="25">
        <f t="shared" si="0"/>
        <v>0</v>
      </c>
    </row>
    <row r="26" spans="1:6" ht="15" customHeight="1">
      <c r="A26" s="1">
        <f t="shared" si="1"/>
        <v>20</v>
      </c>
      <c r="B26" s="1" t="s">
        <v>134</v>
      </c>
      <c r="C26" s="7" t="s">
        <v>135</v>
      </c>
      <c r="D26" s="25">
        <v>0</v>
      </c>
      <c r="E26" s="25">
        <f>-SUMIFS('BT-9'!$E:$E,'BT-9'!$B:$B,$B26)</f>
        <v>0</v>
      </c>
      <c r="F26" s="25">
        <f t="shared" si="0"/>
        <v>0</v>
      </c>
    </row>
    <row r="27" spans="1:6" ht="15" customHeight="1">
      <c r="A27" s="1">
        <f t="shared" si="1"/>
        <v>21</v>
      </c>
      <c r="B27" s="1" t="s">
        <v>136</v>
      </c>
      <c r="C27" s="7" t="s">
        <v>137</v>
      </c>
      <c r="D27" s="25">
        <v>-15638.84</v>
      </c>
      <c r="E27" s="25">
        <f>-SUMIFS('BT-9'!$E:$E,'BT-9'!$B:$B,$B27)</f>
        <v>0</v>
      </c>
      <c r="F27" s="25">
        <f t="shared" si="0"/>
        <v>-15638.84</v>
      </c>
    </row>
    <row r="28" spans="1:6" ht="15" customHeight="1">
      <c r="A28" s="1">
        <f t="shared" si="1"/>
        <v>22</v>
      </c>
      <c r="B28" s="1" t="s">
        <v>138</v>
      </c>
      <c r="C28" s="7" t="s">
        <v>139</v>
      </c>
      <c r="D28" s="25">
        <v>0</v>
      </c>
      <c r="E28" s="25">
        <f>-SUMIFS('BT-9'!$E:$E,'BT-9'!$B:$B,$B28)</f>
        <v>0</v>
      </c>
      <c r="F28" s="25">
        <f t="shared" si="0"/>
        <v>0</v>
      </c>
    </row>
    <row r="29" spans="1:6" ht="15" customHeight="1">
      <c r="A29" s="1">
        <f t="shared" si="1"/>
        <v>23</v>
      </c>
      <c r="B29" s="1" t="s">
        <v>140</v>
      </c>
      <c r="C29" s="7" t="s">
        <v>141</v>
      </c>
      <c r="D29" s="25">
        <v>-305.56</v>
      </c>
      <c r="E29" s="25">
        <f>-SUMIFS('BT-9'!$E:$E,'BT-9'!$B:$B,$B29)</f>
        <v>0</v>
      </c>
      <c r="F29" s="25">
        <f t="shared" si="0"/>
        <v>-305.56</v>
      </c>
    </row>
    <row r="30" spans="1:6" ht="15" customHeight="1">
      <c r="A30" s="1">
        <f t="shared" si="1"/>
        <v>24</v>
      </c>
      <c r="B30" s="1" t="s">
        <v>413</v>
      </c>
      <c r="C30" s="7" t="s">
        <v>413</v>
      </c>
      <c r="D30" s="25" t="s">
        <v>413</v>
      </c>
      <c r="E30" s="25" t="s">
        <v>413</v>
      </c>
      <c r="F30" s="25"/>
    </row>
    <row r="31" spans="1:6" ht="15" customHeight="1">
      <c r="A31" s="1">
        <f t="shared" si="1"/>
        <v>25</v>
      </c>
      <c r="D31" s="25"/>
      <c r="E31" s="25"/>
      <c r="F31" s="25"/>
    </row>
    <row r="32" spans="1:6" ht="15" customHeight="1">
      <c r="A32" s="1">
        <f t="shared" si="1"/>
        <v>26</v>
      </c>
      <c r="B32" s="1" t="s">
        <v>413</v>
      </c>
      <c r="C32" s="7" t="s">
        <v>413</v>
      </c>
      <c r="D32" s="25" t="s">
        <v>413</v>
      </c>
      <c r="E32" s="25" t="s">
        <v>413</v>
      </c>
      <c r="F32" s="25"/>
    </row>
    <row r="33" spans="1:6" ht="15" customHeight="1" thickBot="1">
      <c r="A33" s="1">
        <f t="shared" si="1"/>
        <v>27</v>
      </c>
      <c r="B33" s="1" t="s">
        <v>413</v>
      </c>
      <c r="C33" s="17" t="s">
        <v>352</v>
      </c>
      <c r="D33" s="36">
        <f>SUM(D8:D32)</f>
        <v>-3134953.6100000003</v>
      </c>
      <c r="E33" s="36">
        <f>SUM(E8:E32)</f>
        <v>201430</v>
      </c>
      <c r="F33" s="36">
        <f>SUM(F8:F32)</f>
        <v>-2933523.6100000003</v>
      </c>
    </row>
    <row r="34" spans="1:6" ht="15" customHeight="1" thickTop="1">
      <c r="A34" s="1">
        <f t="shared" si="1"/>
        <v>28</v>
      </c>
      <c r="D34" s="25"/>
      <c r="E34" s="25"/>
      <c r="F34" s="25"/>
    </row>
    <row r="35" spans="1:6" ht="15" customHeight="1">
      <c r="A35" s="1">
        <f t="shared" si="1"/>
        <v>29</v>
      </c>
      <c r="D35" s="25"/>
      <c r="E35" s="25"/>
      <c r="F35" s="25"/>
    </row>
    <row r="36" spans="1:6" ht="15" customHeight="1">
      <c r="A36" s="1">
        <f>A35+1</f>
        <v>30</v>
      </c>
      <c r="D36" s="25"/>
      <c r="E36" s="25"/>
      <c r="F36" s="25"/>
    </row>
    <row r="37" spans="1:6" ht="15" customHeight="1">
      <c r="D37" s="25"/>
      <c r="E37" s="25"/>
      <c r="F37" s="25"/>
    </row>
    <row r="38" spans="1:6" ht="15" customHeight="1">
      <c r="D38" s="25"/>
      <c r="E38" s="25"/>
      <c r="F38" s="25"/>
    </row>
    <row r="39" spans="1:6" ht="15" customHeight="1">
      <c r="D39" s="25"/>
      <c r="E39" s="25"/>
      <c r="F39" s="25"/>
    </row>
    <row r="40" spans="1:6" ht="15" customHeight="1">
      <c r="D40" s="25"/>
      <c r="E40" s="25"/>
      <c r="F40" s="25"/>
    </row>
    <row r="41" spans="1:6" ht="15" customHeight="1">
      <c r="D41" s="25"/>
      <c r="E41" s="25"/>
      <c r="F41" s="25"/>
    </row>
    <row r="42" spans="1:6" ht="15" customHeight="1">
      <c r="D42" s="25"/>
      <c r="E42" s="25"/>
      <c r="F42" s="25"/>
    </row>
    <row r="43" spans="1:6" ht="15" customHeight="1">
      <c r="D43" s="25"/>
      <c r="E43" s="25"/>
      <c r="F43" s="25"/>
    </row>
    <row r="44" spans="1:6" ht="15" customHeight="1">
      <c r="D44" s="25"/>
      <c r="E44" s="25"/>
      <c r="F44" s="25"/>
    </row>
    <row r="45" spans="1:6" ht="15" customHeight="1">
      <c r="D45" s="25"/>
      <c r="E45" s="25"/>
      <c r="F45" s="25"/>
    </row>
    <row r="46" spans="1:6" ht="15" customHeight="1">
      <c r="D46" s="25"/>
      <c r="E46" s="25"/>
      <c r="F46" s="25"/>
    </row>
    <row r="47" spans="1:6" ht="15" customHeight="1">
      <c r="D47" s="25"/>
      <c r="E47" s="25"/>
      <c r="F47" s="25"/>
    </row>
    <row r="48" spans="1:6" ht="15" customHeight="1">
      <c r="D48" s="25"/>
      <c r="E48" s="25"/>
      <c r="F48" s="25"/>
    </row>
    <row r="49" spans="4:8" ht="15" customHeight="1">
      <c r="D49" s="25"/>
      <c r="E49" s="25"/>
      <c r="F49" s="25"/>
    </row>
    <row r="50" spans="4:8" ht="15" customHeight="1">
      <c r="D50" s="25"/>
      <c r="E50" s="25"/>
      <c r="F50" s="25"/>
    </row>
    <row r="51" spans="4:8" ht="15" customHeight="1">
      <c r="D51" s="25"/>
      <c r="E51" s="25"/>
      <c r="F51" s="25"/>
    </row>
    <row r="52" spans="4:8" ht="15" customHeight="1">
      <c r="D52" s="25"/>
      <c r="E52" s="25"/>
      <c r="F52" s="25"/>
    </row>
    <row r="53" spans="4:8" ht="15" customHeight="1">
      <c r="D53" s="25"/>
      <c r="E53" s="25"/>
      <c r="F53" s="25"/>
    </row>
    <row r="54" spans="4:8" ht="15" customHeight="1">
      <c r="D54" s="25"/>
      <c r="E54" s="25"/>
      <c r="F54" s="25"/>
    </row>
    <row r="55" spans="4:8" ht="15" customHeight="1">
      <c r="D55" s="25"/>
      <c r="E55" s="25"/>
      <c r="F55" s="25"/>
    </row>
    <row r="56" spans="4:8" ht="15" customHeight="1">
      <c r="D56" s="25"/>
      <c r="E56" s="25"/>
      <c r="F56" s="25"/>
    </row>
    <row r="57" spans="4:8" ht="15" customHeight="1">
      <c r="D57" s="25"/>
      <c r="E57" s="25"/>
      <c r="F57" s="25"/>
    </row>
    <row r="58" spans="4:8" ht="15" customHeight="1">
      <c r="D58" s="25"/>
      <c r="E58" s="25"/>
      <c r="F58" s="25"/>
    </row>
    <row r="59" spans="4:8" ht="15" customHeight="1">
      <c r="D59" s="25"/>
      <c r="E59" s="25"/>
      <c r="F59" s="25"/>
    </row>
    <row r="60" spans="4:8" ht="15" customHeight="1">
      <c r="D60" s="25"/>
      <c r="E60" s="25"/>
      <c r="F60" s="25"/>
      <c r="H60" s="37"/>
    </row>
    <row r="61" spans="4:8" ht="15" customHeight="1">
      <c r="D61" s="25"/>
      <c r="E61" s="25"/>
      <c r="F61" s="25"/>
    </row>
    <row r="62" spans="4:8" ht="15" customHeight="1">
      <c r="D62" s="38"/>
      <c r="E62" s="38"/>
      <c r="F62" s="38"/>
    </row>
    <row r="63" spans="4:8" ht="15" customHeight="1">
      <c r="E63" s="25"/>
    </row>
    <row r="70" spans="7:7" ht="15" customHeight="1">
      <c r="G70" s="37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71" orientation="portrait" verticalDpi="300" r:id="rId1"/>
  <headerFooter>
    <oddHeader>&amp;R&amp;"Times New Roman,Regular"&amp;10&amp;A</oddHeader>
    <oddFooter xml:space="preserve">&amp;R&amp;8Case No. 2022-00432
Bluegrass Water’s Response to PSC 2-17
Exhibit PSC 2-17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27"/>
  <sheetViews>
    <sheetView showGridLines="0" view="pageLayout" topLeftCell="A22" zoomScaleNormal="100" zoomScaleSheetLayoutView="100" workbookViewId="0">
      <selection activeCell="C36" sqref="C36"/>
    </sheetView>
  </sheetViews>
  <sheetFormatPr defaultColWidth="9.140625" defaultRowHeight="15" customHeight="1"/>
  <cols>
    <col min="1" max="1" width="10.5703125" style="1" customWidth="1"/>
    <col min="2" max="2" width="45.5703125" style="7" customWidth="1"/>
    <col min="3" max="4" width="15.7109375" style="7" customWidth="1"/>
    <col min="5" max="5" width="11.5703125" style="7" bestFit="1" customWidth="1"/>
    <col min="6" max="16384" width="9.140625" style="7"/>
  </cols>
  <sheetData>
    <row r="1" spans="1:7" ht="15" customHeight="1">
      <c r="A1" s="262" t="e">
        <f>#REF!</f>
        <v>#REF!</v>
      </c>
      <c r="B1" s="262"/>
      <c r="C1" s="262"/>
      <c r="D1" s="262"/>
    </row>
    <row r="2" spans="1:7" ht="15" customHeight="1">
      <c r="A2" s="262" t="e">
        <f>#REF!</f>
        <v>#REF!</v>
      </c>
      <c r="B2" s="262"/>
      <c r="C2" s="262"/>
      <c r="D2" s="262"/>
    </row>
    <row r="3" spans="1:7" ht="15" customHeight="1">
      <c r="A3" s="262" t="s">
        <v>424</v>
      </c>
      <c r="B3" s="262"/>
      <c r="C3" s="262"/>
      <c r="D3" s="262"/>
    </row>
    <row r="4" spans="1:7" ht="15" customHeight="1">
      <c r="A4" s="262" t="e">
        <f>#REF!</f>
        <v>#REF!</v>
      </c>
      <c r="B4" s="262"/>
      <c r="C4" s="262"/>
      <c r="D4" s="262"/>
    </row>
    <row r="5" spans="1:7" ht="25.5">
      <c r="A5" s="11" t="s">
        <v>3</v>
      </c>
      <c r="B5" s="11" t="s">
        <v>4</v>
      </c>
      <c r="C5" s="11" t="s">
        <v>353</v>
      </c>
      <c r="D5" s="11" t="s">
        <v>5</v>
      </c>
    </row>
    <row r="6" spans="1:7" ht="15" customHeight="1">
      <c r="A6" s="6" t="s">
        <v>6</v>
      </c>
      <c r="B6" s="6" t="s">
        <v>7</v>
      </c>
      <c r="C6" s="6" t="s">
        <v>8</v>
      </c>
      <c r="D6" s="6" t="s">
        <v>25</v>
      </c>
    </row>
    <row r="7" spans="1:7" ht="15" customHeight="1">
      <c r="A7" s="1">
        <v>1</v>
      </c>
      <c r="C7" s="27"/>
      <c r="D7" s="18"/>
    </row>
    <row r="8" spans="1:7" ht="15" customHeight="1">
      <c r="A8" s="1">
        <f>A7+1</f>
        <v>2</v>
      </c>
      <c r="B8" s="17" t="s">
        <v>338</v>
      </c>
      <c r="C8" s="27"/>
      <c r="D8" s="18" t="e">
        <f>'BT-2'!G17</f>
        <v>#REF!</v>
      </c>
    </row>
    <row r="9" spans="1:7" ht="15" customHeight="1">
      <c r="A9" s="1">
        <f t="shared" ref="A9:A23" si="0">A8+1</f>
        <v>3</v>
      </c>
      <c r="B9" s="17"/>
      <c r="C9" s="27"/>
      <c r="D9" s="18"/>
    </row>
    <row r="10" spans="1:7" ht="15" customHeight="1">
      <c r="A10" s="1">
        <f t="shared" si="0"/>
        <v>4</v>
      </c>
      <c r="B10" s="17" t="s">
        <v>288</v>
      </c>
      <c r="C10" s="27"/>
      <c r="D10" s="18" t="e">
        <f>'BT-2'!G19</f>
        <v>#REF!</v>
      </c>
    </row>
    <row r="11" spans="1:7" ht="15" customHeight="1">
      <c r="A11" s="1">
        <f t="shared" si="0"/>
        <v>5</v>
      </c>
      <c r="B11" s="17"/>
      <c r="C11" s="27"/>
      <c r="D11" s="18"/>
    </row>
    <row r="12" spans="1:7" ht="15" customHeight="1">
      <c r="A12" s="1">
        <f t="shared" si="0"/>
        <v>6</v>
      </c>
      <c r="B12" s="17" t="s">
        <v>354</v>
      </c>
      <c r="D12" s="28" t="e">
        <f>D8+D10</f>
        <v>#REF!</v>
      </c>
    </row>
    <row r="13" spans="1:7" ht="15" customHeight="1">
      <c r="A13" s="1">
        <f t="shared" si="0"/>
        <v>7</v>
      </c>
      <c r="B13" s="17"/>
      <c r="D13" s="29"/>
    </row>
    <row r="14" spans="1:7" ht="15" customHeight="1">
      <c r="A14" s="1">
        <f t="shared" si="0"/>
        <v>8</v>
      </c>
      <c r="B14" s="17" t="s">
        <v>355</v>
      </c>
      <c r="C14" s="88">
        <v>0.05</v>
      </c>
      <c r="D14" s="169" t="e">
        <f>D12*(C14)</f>
        <v>#REF!</v>
      </c>
      <c r="E14" s="25"/>
      <c r="F14" s="72"/>
      <c r="G14" s="72"/>
    </row>
    <row r="15" spans="1:7" ht="15" customHeight="1">
      <c r="A15" s="1">
        <f t="shared" si="0"/>
        <v>9</v>
      </c>
      <c r="B15" s="17"/>
      <c r="C15" s="30"/>
      <c r="D15" s="31"/>
    </row>
    <row r="16" spans="1:7" ht="15" customHeight="1">
      <c r="A16" s="1">
        <f t="shared" si="0"/>
        <v>10</v>
      </c>
      <c r="B16" s="17" t="s">
        <v>356</v>
      </c>
      <c r="C16" s="30"/>
      <c r="D16" s="28" t="e">
        <f>D12-D14</f>
        <v>#REF!</v>
      </c>
    </row>
    <row r="17" spans="1:5" ht="15" customHeight="1">
      <c r="A17" s="1">
        <f t="shared" si="0"/>
        <v>11</v>
      </c>
      <c r="B17" s="17"/>
      <c r="C17" s="30"/>
      <c r="D17" s="29"/>
    </row>
    <row r="18" spans="1:5" ht="15" customHeight="1">
      <c r="A18" s="1">
        <f t="shared" si="0"/>
        <v>12</v>
      </c>
      <c r="B18" s="17" t="s">
        <v>357</v>
      </c>
      <c r="C18" s="30">
        <v>0.21</v>
      </c>
      <c r="D18" s="29" t="e">
        <f>D16*C18</f>
        <v>#REF!</v>
      </c>
    </row>
    <row r="19" spans="1:5" ht="15" customHeight="1">
      <c r="A19" s="1">
        <f t="shared" si="0"/>
        <v>13</v>
      </c>
      <c r="C19" s="1"/>
      <c r="D19" s="32"/>
    </row>
    <row r="20" spans="1:5" ht="15" customHeight="1" thickBot="1">
      <c r="A20" s="1">
        <f t="shared" si="0"/>
        <v>14</v>
      </c>
      <c r="B20" s="17" t="s">
        <v>358</v>
      </c>
      <c r="C20" s="1"/>
      <c r="D20" s="33" t="e">
        <f>D14+D18</f>
        <v>#REF!</v>
      </c>
      <c r="E20" s="34"/>
    </row>
    <row r="21" spans="1:5" ht="15" customHeight="1" thickTop="1">
      <c r="A21" s="1">
        <f t="shared" si="0"/>
        <v>15</v>
      </c>
      <c r="D21" s="35"/>
    </row>
    <row r="22" spans="1:5" ht="15" customHeight="1">
      <c r="A22" s="1">
        <f t="shared" si="0"/>
        <v>16</v>
      </c>
      <c r="D22" s="35"/>
    </row>
    <row r="23" spans="1:5" ht="15" customHeight="1">
      <c r="A23" s="1">
        <f t="shared" si="0"/>
        <v>17</v>
      </c>
    </row>
    <row r="27" spans="1:5" ht="15" customHeight="1">
      <c r="D27" s="35" t="e">
        <f>'BT-1'!C22-'BT-2'!G26</f>
        <v>#REF!</v>
      </c>
    </row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scale="97" orientation="portrait" verticalDpi="300" r:id="rId1"/>
  <headerFooter>
    <oddHeader>&amp;R&amp;"Times New Roman,Regular"&amp;10&amp;A</oddHeader>
    <oddFooter xml:space="preserve">&amp;R&amp;8Case No. 2022-00432
Bluegrass Water’s Response to PSC 2-17
Exhibit PSC 2-17&amp;11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42"/>
  <sheetViews>
    <sheetView showGridLines="0" view="pageLayout" topLeftCell="A43" zoomScaleNormal="100" zoomScaleSheetLayoutView="100" workbookViewId="0">
      <selection activeCell="F37" sqref="F37"/>
    </sheetView>
  </sheetViews>
  <sheetFormatPr defaultColWidth="9.140625" defaultRowHeight="15" customHeight="1"/>
  <cols>
    <col min="1" max="2" width="10.5703125" style="106" customWidth="1"/>
    <col min="3" max="3" width="35.85546875" style="106" customWidth="1"/>
    <col min="4" max="4" width="20.7109375" style="106" customWidth="1"/>
    <col min="5" max="5" width="3.140625" style="106" customWidth="1"/>
    <col min="6" max="16384" width="9.140625" style="106"/>
  </cols>
  <sheetData>
    <row r="1" spans="1:9" s="105" customFormat="1" ht="15" customHeight="1">
      <c r="A1" s="262" t="e">
        <f>#REF!</f>
        <v>#REF!</v>
      </c>
      <c r="B1" s="262"/>
      <c r="C1" s="262"/>
      <c r="D1" s="262"/>
      <c r="E1" s="104"/>
    </row>
    <row r="2" spans="1:9" ht="15" customHeight="1">
      <c r="A2" s="262" t="e">
        <f>#REF!</f>
        <v>#REF!</v>
      </c>
      <c r="B2" s="262"/>
      <c r="C2" s="262"/>
      <c r="D2" s="262"/>
    </row>
    <row r="3" spans="1:9" ht="15" customHeight="1">
      <c r="A3" s="262" t="s">
        <v>359</v>
      </c>
      <c r="B3" s="262"/>
      <c r="C3" s="262"/>
      <c r="D3" s="262"/>
    </row>
    <row r="4" spans="1:9" ht="15" customHeight="1">
      <c r="A4" s="262" t="e">
        <f>#REF!</f>
        <v>#REF!</v>
      </c>
      <c r="B4" s="262"/>
      <c r="C4" s="262"/>
      <c r="D4" s="262"/>
    </row>
    <row r="5" spans="1:9" ht="25.5">
      <c r="A5" s="11" t="s">
        <v>3</v>
      </c>
      <c r="B5" s="11" t="s">
        <v>38</v>
      </c>
      <c r="C5" s="14" t="s">
        <v>142</v>
      </c>
      <c r="D5" s="11" t="s">
        <v>22</v>
      </c>
      <c r="E5" s="107"/>
    </row>
    <row r="6" spans="1:9" s="109" customFormat="1" ht="15" customHeight="1">
      <c r="A6" s="2" t="s">
        <v>6</v>
      </c>
      <c r="B6" s="2" t="s">
        <v>7</v>
      </c>
      <c r="C6" s="3" t="s">
        <v>8</v>
      </c>
      <c r="D6" s="3" t="s">
        <v>25</v>
      </c>
      <c r="E6" s="110"/>
    </row>
    <row r="7" spans="1:9" ht="15" customHeight="1">
      <c r="A7" s="1">
        <v>1</v>
      </c>
      <c r="B7" s="17"/>
      <c r="C7" s="118"/>
      <c r="D7" s="119"/>
      <c r="E7" s="111"/>
    </row>
    <row r="8" spans="1:9" ht="15" customHeight="1">
      <c r="A8" s="1">
        <v>2</v>
      </c>
      <c r="B8" s="120" t="s">
        <v>360</v>
      </c>
      <c r="C8" s="4" t="s">
        <v>361</v>
      </c>
      <c r="D8" s="168">
        <v>-749759</v>
      </c>
      <c r="E8" s="111"/>
      <c r="I8" s="124"/>
    </row>
    <row r="9" spans="1:9" ht="15" customHeight="1">
      <c r="A9" s="1">
        <v>3</v>
      </c>
      <c r="B9" s="4"/>
      <c r="C9" s="4"/>
      <c r="D9" s="167"/>
      <c r="E9" s="111"/>
    </row>
    <row r="10" spans="1:9" ht="15" customHeight="1">
      <c r="A10" s="1">
        <v>4</v>
      </c>
      <c r="B10" s="120" t="s">
        <v>362</v>
      </c>
      <c r="C10" s="4" t="s">
        <v>363</v>
      </c>
      <c r="D10" s="167">
        <v>645460</v>
      </c>
      <c r="E10" s="111"/>
    </row>
    <row r="11" spans="1:9" ht="15" customHeight="1">
      <c r="A11" s="1">
        <v>5</v>
      </c>
      <c r="B11" s="4"/>
      <c r="C11" s="4"/>
      <c r="D11" s="167"/>
      <c r="E11" s="111"/>
    </row>
    <row r="12" spans="1:9" ht="15" customHeight="1" thickBot="1">
      <c r="A12" s="1">
        <v>6</v>
      </c>
      <c r="B12" s="122"/>
      <c r="C12" s="4"/>
      <c r="D12" s="36">
        <f>D8+D10</f>
        <v>-104299</v>
      </c>
      <c r="E12" s="114"/>
    </row>
    <row r="13" spans="1:9" ht="15" customHeight="1" thickTop="1">
      <c r="A13" s="1">
        <v>7</v>
      </c>
      <c r="B13" s="122"/>
      <c r="C13" s="4"/>
      <c r="D13" s="123"/>
    </row>
    <row r="14" spans="1:9" ht="15" customHeight="1">
      <c r="A14" s="1">
        <v>8</v>
      </c>
      <c r="B14" s="122"/>
      <c r="C14" s="4"/>
      <c r="D14" s="7"/>
      <c r="E14" s="111"/>
    </row>
    <row r="15" spans="1:9" ht="15" customHeight="1">
      <c r="A15" s="1">
        <v>9</v>
      </c>
      <c r="B15" s="122"/>
      <c r="C15" s="4"/>
      <c r="D15" s="121"/>
      <c r="E15" s="111"/>
    </row>
    <row r="16" spans="1:9" ht="15" customHeight="1">
      <c r="A16" s="108"/>
      <c r="B16" s="112"/>
      <c r="C16" s="113"/>
      <c r="D16" s="111"/>
      <c r="E16" s="111"/>
    </row>
    <row r="17" spans="1:5" ht="15" customHeight="1">
      <c r="A17" s="108"/>
      <c r="B17" s="115"/>
      <c r="C17" s="113"/>
      <c r="D17" s="111"/>
      <c r="E17" s="111"/>
    </row>
    <row r="18" spans="1:5" ht="15" customHeight="1">
      <c r="A18" s="108"/>
      <c r="B18" s="112"/>
      <c r="D18" s="111"/>
      <c r="E18" s="111"/>
    </row>
    <row r="19" spans="1:5" ht="15" customHeight="1">
      <c r="A19" s="108"/>
      <c r="B19" s="116"/>
      <c r="D19" s="111"/>
      <c r="E19" s="111"/>
    </row>
    <row r="20" spans="1:5" ht="15" customHeight="1">
      <c r="A20" s="108"/>
      <c r="B20" s="112"/>
      <c r="C20" s="113"/>
      <c r="D20" s="111"/>
      <c r="E20" s="111"/>
    </row>
    <row r="21" spans="1:5" ht="15" customHeight="1">
      <c r="A21" s="108"/>
      <c r="B21" s="112"/>
      <c r="C21" s="113"/>
      <c r="D21" s="111"/>
      <c r="E21" s="111"/>
    </row>
    <row r="22" spans="1:5" ht="15" customHeight="1">
      <c r="A22" s="108"/>
      <c r="B22" s="112"/>
      <c r="C22" s="113"/>
      <c r="D22" s="111"/>
      <c r="E22" s="111"/>
    </row>
    <row r="23" spans="1:5" ht="15" customHeight="1">
      <c r="A23" s="108"/>
      <c r="B23" s="116"/>
      <c r="D23" s="111"/>
      <c r="E23" s="111"/>
    </row>
    <row r="24" spans="1:5" ht="15" customHeight="1">
      <c r="A24" s="108"/>
      <c r="B24" s="112"/>
      <c r="D24" s="114"/>
      <c r="E24" s="114"/>
    </row>
    <row r="25" spans="1:5" ht="15" customHeight="1">
      <c r="A25" s="108"/>
      <c r="B25" s="112"/>
    </row>
    <row r="26" spans="1:5" ht="15" customHeight="1">
      <c r="A26" s="108"/>
      <c r="B26" s="116"/>
      <c r="D26" s="111"/>
      <c r="E26" s="111"/>
    </row>
    <row r="27" spans="1:5" ht="15" customHeight="1">
      <c r="A27" s="108"/>
      <c r="B27" s="112"/>
      <c r="D27" s="111"/>
      <c r="E27" s="111"/>
    </row>
    <row r="28" spans="1:5" ht="15" customHeight="1">
      <c r="A28" s="108"/>
      <c r="D28" s="111"/>
      <c r="E28" s="111"/>
    </row>
    <row r="29" spans="1:5" ht="15" customHeight="1">
      <c r="A29" s="108"/>
      <c r="B29" s="109"/>
    </row>
    <row r="30" spans="1:5" ht="15" customHeight="1">
      <c r="A30" s="108"/>
      <c r="D30" s="111"/>
      <c r="E30" s="111"/>
    </row>
    <row r="31" spans="1:5" ht="15" customHeight="1">
      <c r="A31" s="108"/>
      <c r="B31" s="109"/>
    </row>
    <row r="32" spans="1:5" ht="15" customHeight="1">
      <c r="A32" s="108"/>
    </row>
    <row r="33" spans="1:5" ht="15" customHeight="1">
      <c r="A33" s="108"/>
      <c r="B33" s="109"/>
      <c r="D33" s="111"/>
      <c r="E33" s="111"/>
    </row>
    <row r="34" spans="1:5" ht="15" customHeight="1">
      <c r="A34" s="108"/>
      <c r="B34" s="109"/>
    </row>
    <row r="35" spans="1:5" ht="15" customHeight="1">
      <c r="A35" s="108"/>
      <c r="B35" s="109"/>
      <c r="D35" s="111"/>
      <c r="E35" s="111"/>
    </row>
    <row r="36" spans="1:5" ht="15" customHeight="1">
      <c r="A36" s="108"/>
      <c r="B36" s="109"/>
    </row>
    <row r="37" spans="1:5" ht="15" customHeight="1">
      <c r="A37" s="108"/>
      <c r="B37" s="109"/>
      <c r="D37" s="114"/>
      <c r="E37" s="114"/>
    </row>
    <row r="38" spans="1:5" ht="15" customHeight="1">
      <c r="A38" s="108"/>
      <c r="C38" s="109"/>
    </row>
    <row r="39" spans="1:5" ht="15" customHeight="1">
      <c r="A39" s="108"/>
      <c r="D39" s="114"/>
      <c r="E39" s="114"/>
    </row>
    <row r="40" spans="1:5" ht="15" customHeight="1">
      <c r="A40" s="108"/>
      <c r="D40" s="117"/>
      <c r="E40" s="117"/>
    </row>
    <row r="41" spans="1:5" ht="15" customHeight="1">
      <c r="A41" s="108"/>
    </row>
    <row r="42" spans="1:5" ht="15" customHeight="1">
      <c r="A42" s="108"/>
    </row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orientation="portrait" verticalDpi="1200" r:id="rId1"/>
  <headerFooter>
    <oddHeader>&amp;R&amp;"Times New Roman,Regular"&amp;10&amp;A</oddHeader>
    <oddFooter xml:space="preserve">&amp;R&amp;8Case No. 2022-00432
Bluegrass Water’s Response to PSC 2-17
Exhibit PSC 2-17&amp;11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13"/>
  <sheetViews>
    <sheetView showGridLines="0" view="pageLayout" topLeftCell="A22" zoomScaleNormal="100" zoomScaleSheetLayoutView="100" workbookViewId="0">
      <selection activeCell="E38" sqref="E38"/>
    </sheetView>
  </sheetViews>
  <sheetFormatPr defaultColWidth="9.140625" defaultRowHeight="15" customHeight="1"/>
  <cols>
    <col min="1" max="1" width="10.5703125" style="15" customWidth="1"/>
    <col min="2" max="2" width="45.5703125" style="12" customWidth="1"/>
    <col min="3" max="5" width="15.7109375" style="12" customWidth="1"/>
    <col min="6" max="16384" width="9.140625" style="12"/>
  </cols>
  <sheetData>
    <row r="1" spans="1:5" ht="15" customHeight="1">
      <c r="A1" s="262" t="e">
        <f>#REF!</f>
        <v>#REF!</v>
      </c>
      <c r="B1" s="262"/>
      <c r="C1" s="262"/>
      <c r="D1" s="262"/>
      <c r="E1" s="262"/>
    </row>
    <row r="2" spans="1:5" ht="15" customHeight="1">
      <c r="A2" s="262" t="e">
        <f>#REF!</f>
        <v>#REF!</v>
      </c>
      <c r="B2" s="262"/>
      <c r="C2" s="262"/>
      <c r="D2" s="262"/>
      <c r="E2" s="262"/>
    </row>
    <row r="3" spans="1:5" ht="15" customHeight="1">
      <c r="A3" s="262" t="s">
        <v>364</v>
      </c>
      <c r="B3" s="262"/>
      <c r="C3" s="262"/>
      <c r="D3" s="262"/>
      <c r="E3" s="262"/>
    </row>
    <row r="4" spans="1:5" ht="15" customHeight="1">
      <c r="A4" s="262" t="e">
        <f>#REF!</f>
        <v>#REF!</v>
      </c>
      <c r="B4" s="262"/>
      <c r="C4" s="262"/>
      <c r="D4" s="262"/>
      <c r="E4" s="262"/>
    </row>
    <row r="5" spans="1:5" ht="25.5">
      <c r="A5" s="11" t="s">
        <v>3</v>
      </c>
      <c r="B5" s="11" t="s">
        <v>4</v>
      </c>
      <c r="C5" s="11" t="s">
        <v>365</v>
      </c>
      <c r="D5" s="11" t="s">
        <v>366</v>
      </c>
      <c r="E5" s="11" t="s">
        <v>367</v>
      </c>
    </row>
    <row r="6" spans="1:5" ht="15" customHeight="1">
      <c r="A6" s="2" t="s">
        <v>6</v>
      </c>
      <c r="B6" s="2" t="s">
        <v>7</v>
      </c>
      <c r="C6" s="3" t="s">
        <v>8</v>
      </c>
      <c r="D6" s="3" t="s">
        <v>25</v>
      </c>
      <c r="E6" s="6" t="s">
        <v>26</v>
      </c>
    </row>
    <row r="7" spans="1:5" ht="15" customHeight="1">
      <c r="A7" s="1">
        <v>1</v>
      </c>
      <c r="B7" s="7"/>
      <c r="C7" s="16"/>
      <c r="D7" s="16"/>
      <c r="E7" s="16"/>
    </row>
    <row r="8" spans="1:5" ht="15" customHeight="1">
      <c r="A8" s="1">
        <f>A7+1</f>
        <v>2</v>
      </c>
      <c r="B8" s="17" t="s">
        <v>368</v>
      </c>
      <c r="C8" s="18">
        <f>-'Exhibit-25'!$H$49</f>
        <v>1832282.8673388006</v>
      </c>
      <c r="D8" s="19">
        <v>45</v>
      </c>
      <c r="E8" s="18">
        <f>(C8/365)*D8</f>
        <v>225897.88775409872</v>
      </c>
    </row>
    <row r="9" spans="1:5" ht="15" customHeight="1">
      <c r="A9" s="1">
        <f t="shared" ref="A9:A13" si="0">A8+1</f>
        <v>3</v>
      </c>
      <c r="B9" s="17"/>
      <c r="C9" s="18"/>
      <c r="D9" s="19"/>
      <c r="E9" s="18"/>
    </row>
    <row r="10" spans="1:5" ht="15" customHeight="1" thickBot="1">
      <c r="A10" s="1">
        <f t="shared" si="0"/>
        <v>4</v>
      </c>
      <c r="B10" s="17" t="s">
        <v>369</v>
      </c>
      <c r="C10" s="20">
        <f>C8</f>
        <v>1832282.8673388006</v>
      </c>
      <c r="D10" s="21">
        <f>D8</f>
        <v>45</v>
      </c>
      <c r="E10" s="20">
        <f>E8</f>
        <v>225897.88775409872</v>
      </c>
    </row>
    <row r="11" spans="1:5" ht="15" customHeight="1" thickTop="1">
      <c r="A11" s="1">
        <f t="shared" si="0"/>
        <v>5</v>
      </c>
      <c r="B11" s="17"/>
      <c r="C11" s="16"/>
      <c r="D11" s="16"/>
      <c r="E11" s="16"/>
    </row>
    <row r="12" spans="1:5" ht="15" customHeight="1">
      <c r="A12" s="1">
        <f t="shared" si="0"/>
        <v>6</v>
      </c>
      <c r="B12" s="17"/>
      <c r="C12" s="22"/>
      <c r="D12" s="22"/>
      <c r="E12" s="22"/>
    </row>
    <row r="13" spans="1:5" ht="15" customHeight="1">
      <c r="A13" s="1">
        <f t="shared" si="0"/>
        <v>7</v>
      </c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verticalDpi="300" r:id="rId1"/>
  <headerFooter>
    <oddHeader>&amp;R&amp;"Times New Roman,Regular"&amp;10&amp;A</oddHeader>
    <oddFooter xml:space="preserve">&amp;R&amp;8Case No. 2022-00432
Bluegrass Water’s Response to PSC 2-17
Exhibit PSC 2-17&amp;11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33"/>
  <sheetViews>
    <sheetView showGridLines="0" view="pageLayout" topLeftCell="A25" zoomScaleNormal="100" zoomScaleSheetLayoutView="100" workbookViewId="0">
      <selection activeCell="F37" sqref="F37"/>
    </sheetView>
  </sheetViews>
  <sheetFormatPr defaultColWidth="8.85546875" defaultRowHeight="15" customHeight="1"/>
  <cols>
    <col min="1" max="2" width="10.5703125" style="89" customWidth="1"/>
    <col min="3" max="6" width="20.7109375" style="89" customWidth="1"/>
    <col min="7" max="16384" width="8.85546875" style="89"/>
  </cols>
  <sheetData>
    <row r="1" spans="1:11" ht="15" customHeight="1">
      <c r="A1" s="266" t="e">
        <f>#REF!</f>
        <v>#REF!</v>
      </c>
      <c r="B1" s="266"/>
      <c r="C1" s="266"/>
      <c r="D1" s="266"/>
      <c r="E1" s="266"/>
      <c r="F1" s="266"/>
      <c r="G1" s="171"/>
      <c r="H1" s="171"/>
      <c r="I1" s="171"/>
      <c r="J1" s="171"/>
      <c r="K1" s="139"/>
    </row>
    <row r="2" spans="1:11" ht="15" customHeight="1">
      <c r="A2" s="266" t="e">
        <f>#REF!</f>
        <v>#REF!</v>
      </c>
      <c r="B2" s="266"/>
      <c r="C2" s="266"/>
      <c r="D2" s="266"/>
      <c r="E2" s="266"/>
      <c r="F2" s="266"/>
      <c r="G2" s="171"/>
      <c r="H2" s="171"/>
      <c r="I2" s="171"/>
      <c r="J2" s="171"/>
      <c r="K2" s="139"/>
    </row>
    <row r="3" spans="1:11" ht="15" customHeight="1">
      <c r="A3" s="266" t="s">
        <v>425</v>
      </c>
      <c r="B3" s="266"/>
      <c r="C3" s="266"/>
      <c r="D3" s="266"/>
      <c r="E3" s="266"/>
      <c r="F3" s="266"/>
      <c r="G3" s="171"/>
      <c r="H3" s="171"/>
      <c r="I3" s="171"/>
      <c r="J3" s="171"/>
      <c r="K3" s="139"/>
    </row>
    <row r="4" spans="1:11" ht="38.25">
      <c r="A4" s="202" t="s">
        <v>3</v>
      </c>
      <c r="B4" s="202" t="s">
        <v>38</v>
      </c>
      <c r="C4" s="202" t="s">
        <v>370</v>
      </c>
      <c r="D4" s="203" t="s">
        <v>371</v>
      </c>
      <c r="E4" s="203" t="s">
        <v>372</v>
      </c>
      <c r="F4" s="202" t="s">
        <v>24</v>
      </c>
      <c r="G4" s="139"/>
      <c r="H4" s="139"/>
      <c r="I4" s="139"/>
      <c r="J4" s="139"/>
      <c r="K4" s="139"/>
    </row>
    <row r="5" spans="1:11" ht="15" customHeight="1">
      <c r="A5" s="170" t="s">
        <v>6</v>
      </c>
      <c r="B5" s="170" t="s">
        <v>7</v>
      </c>
      <c r="C5" s="170" t="s">
        <v>8</v>
      </c>
      <c r="D5" s="170" t="s">
        <v>25</v>
      </c>
      <c r="E5" s="170" t="s">
        <v>26</v>
      </c>
      <c r="F5" s="170" t="s">
        <v>46</v>
      </c>
      <c r="G5" s="139"/>
      <c r="H5" s="139"/>
      <c r="I5" s="139"/>
      <c r="J5" s="139"/>
      <c r="K5" s="139"/>
    </row>
    <row r="6" spans="1:11" ht="15" customHeight="1">
      <c r="A6" s="172">
        <v>1</v>
      </c>
      <c r="B6" s="108"/>
      <c r="C6" s="175"/>
      <c r="D6" s="175"/>
      <c r="E6" s="175"/>
      <c r="F6" s="175"/>
      <c r="G6" s="139"/>
      <c r="H6" s="178"/>
      <c r="I6" s="139"/>
      <c r="J6" s="139"/>
      <c r="K6" s="139"/>
    </row>
    <row r="7" spans="1:11" ht="15" customHeight="1">
      <c r="A7" s="172">
        <f>A6+1</f>
        <v>2</v>
      </c>
      <c r="B7" s="108" t="s">
        <v>103</v>
      </c>
      <c r="C7" s="175">
        <v>20323</v>
      </c>
      <c r="D7" s="175">
        <f>SUMIFS('Exhibit-18'!$G:$G,'Exhibit-18'!$B:$B,$B7)</f>
        <v>0</v>
      </c>
      <c r="E7" s="175">
        <v>0</v>
      </c>
      <c r="F7" s="175">
        <f t="shared" ref="F7:F25" si="0">SUM(C7:E7)</f>
        <v>20323</v>
      </c>
      <c r="G7" s="139"/>
      <c r="H7" s="178"/>
      <c r="I7" s="139"/>
      <c r="J7" s="139"/>
      <c r="K7" s="139"/>
    </row>
    <row r="8" spans="1:11" ht="15" customHeight="1">
      <c r="A8" s="172">
        <f t="shared" ref="A8:A31" si="1">A7+1</f>
        <v>3</v>
      </c>
      <c r="B8" s="108" t="s">
        <v>105</v>
      </c>
      <c r="C8" s="175">
        <v>22000</v>
      </c>
      <c r="D8" s="175">
        <f>SUMIFS('Exhibit-18'!$G:$G,'Exhibit-18'!$B:$B,$B8)</f>
        <v>0</v>
      </c>
      <c r="E8" s="175">
        <v>0</v>
      </c>
      <c r="F8" s="175">
        <f t="shared" si="0"/>
        <v>22000</v>
      </c>
      <c r="G8" s="139"/>
      <c r="H8" s="178"/>
      <c r="I8" s="139"/>
      <c r="J8" s="139"/>
      <c r="K8" s="139"/>
    </row>
    <row r="9" spans="1:11" ht="15" customHeight="1">
      <c r="A9" s="172">
        <f t="shared" si="1"/>
        <v>4</v>
      </c>
      <c r="B9" s="108" t="s">
        <v>107</v>
      </c>
      <c r="C9" s="175">
        <v>762540.13</v>
      </c>
      <c r="D9" s="175">
        <f>SUMIFS('Exhibit-18'!$G:$G,'Exhibit-18'!$B:$B,$B9)</f>
        <v>0</v>
      </c>
      <c r="E9" s="175">
        <v>0</v>
      </c>
      <c r="F9" s="175">
        <f t="shared" si="0"/>
        <v>762540.13</v>
      </c>
      <c r="G9" s="139"/>
      <c r="H9" s="178"/>
      <c r="I9" s="139"/>
      <c r="J9" s="139"/>
      <c r="K9" s="139"/>
    </row>
    <row r="10" spans="1:11" ht="15" customHeight="1">
      <c r="A10" s="172">
        <f t="shared" si="1"/>
        <v>5</v>
      </c>
      <c r="B10" s="108" t="s">
        <v>55</v>
      </c>
      <c r="C10" s="175">
        <v>929974.79</v>
      </c>
      <c r="D10" s="175">
        <f>SUMIFS('Exhibit-18'!$G:$G,'Exhibit-18'!$B:$B,$B10)</f>
        <v>192650</v>
      </c>
      <c r="E10" s="175">
        <v>0</v>
      </c>
      <c r="F10" s="175">
        <f t="shared" si="0"/>
        <v>1122624.79</v>
      </c>
      <c r="G10" s="139"/>
      <c r="H10" s="178"/>
      <c r="I10" s="139"/>
      <c r="J10" s="139"/>
      <c r="K10" s="139"/>
    </row>
    <row r="11" spans="1:11" ht="15" customHeight="1">
      <c r="A11" s="172">
        <f t="shared" si="1"/>
        <v>6</v>
      </c>
      <c r="B11" s="108" t="s">
        <v>109</v>
      </c>
      <c r="C11" s="175">
        <v>1547407.65</v>
      </c>
      <c r="D11" s="175">
        <f>SUMIFS('Exhibit-18'!$G:$G,'Exhibit-18'!$B:$B,$B11)</f>
        <v>0</v>
      </c>
      <c r="E11" s="175">
        <v>0</v>
      </c>
      <c r="F11" s="175">
        <f t="shared" si="0"/>
        <v>1547407.65</v>
      </c>
      <c r="G11" s="139"/>
      <c r="H11" s="178"/>
      <c r="I11" s="139"/>
      <c r="J11" s="139"/>
      <c r="K11" s="139"/>
    </row>
    <row r="12" spans="1:11" ht="15" customHeight="1">
      <c r="A12" s="172">
        <f t="shared" si="1"/>
        <v>7</v>
      </c>
      <c r="B12" s="108" t="s">
        <v>111</v>
      </c>
      <c r="C12" s="175">
        <v>1973073.98</v>
      </c>
      <c r="D12" s="175">
        <f>SUMIFS('Exhibit-18'!$G:$G,'Exhibit-18'!$B:$B,$B12)</f>
        <v>0</v>
      </c>
      <c r="E12" s="175">
        <v>0</v>
      </c>
      <c r="F12" s="175">
        <f t="shared" si="0"/>
        <v>1973073.98</v>
      </c>
      <c r="G12" s="139"/>
      <c r="H12" s="178"/>
      <c r="I12" s="139"/>
      <c r="J12" s="139"/>
      <c r="K12" s="139"/>
    </row>
    <row r="13" spans="1:11" ht="15" customHeight="1">
      <c r="A13" s="172">
        <f t="shared" si="1"/>
        <v>8</v>
      </c>
      <c r="B13" s="108" t="s">
        <v>113</v>
      </c>
      <c r="C13" s="175">
        <v>707286.77</v>
      </c>
      <c r="D13" s="175">
        <f>SUMIFS('Exhibit-18'!$G:$G,'Exhibit-18'!$B:$B,$B13)</f>
        <v>0</v>
      </c>
      <c r="E13" s="175">
        <v>0</v>
      </c>
      <c r="F13" s="175">
        <f t="shared" si="0"/>
        <v>707286.77</v>
      </c>
      <c r="G13" s="139"/>
      <c r="H13" s="178"/>
      <c r="I13" s="139"/>
      <c r="J13" s="139"/>
      <c r="K13" s="139"/>
    </row>
    <row r="14" spans="1:11" ht="15" customHeight="1">
      <c r="A14" s="172">
        <f t="shared" si="1"/>
        <v>9</v>
      </c>
      <c r="B14" s="108" t="s">
        <v>115</v>
      </c>
      <c r="C14" s="175">
        <v>13814.08</v>
      </c>
      <c r="D14" s="175">
        <f>SUMIFS('Exhibit-18'!$G:$G,'Exhibit-18'!$B:$B,$B14)</f>
        <v>0</v>
      </c>
      <c r="E14" s="175">
        <v>0</v>
      </c>
      <c r="F14" s="175">
        <f t="shared" si="0"/>
        <v>13814.08</v>
      </c>
      <c r="G14" s="139"/>
      <c r="H14" s="178"/>
      <c r="I14" s="139"/>
      <c r="J14" s="139"/>
      <c r="K14" s="139"/>
    </row>
    <row r="15" spans="1:11" ht="15" customHeight="1">
      <c r="A15" s="172">
        <f t="shared" si="1"/>
        <v>10</v>
      </c>
      <c r="B15" s="108" t="s">
        <v>69</v>
      </c>
      <c r="C15" s="175">
        <v>202124.84</v>
      </c>
      <c r="D15" s="175">
        <f>SUMIFS('Exhibit-18'!$G:$G,'Exhibit-18'!$B:$B,$B15)</f>
        <v>10000</v>
      </c>
      <c r="E15" s="175">
        <v>0</v>
      </c>
      <c r="F15" s="175">
        <f t="shared" si="0"/>
        <v>212124.84</v>
      </c>
      <c r="G15" s="139"/>
      <c r="H15" s="178"/>
      <c r="I15" s="139"/>
      <c r="J15" s="139"/>
      <c r="K15" s="139"/>
    </row>
    <row r="16" spans="1:11" ht="15" customHeight="1">
      <c r="A16" s="172">
        <f t="shared" si="1"/>
        <v>11</v>
      </c>
      <c r="B16" s="108" t="s">
        <v>118</v>
      </c>
      <c r="C16" s="175">
        <v>68496.540000000008</v>
      </c>
      <c r="D16" s="175">
        <f>SUMIFS('Exhibit-18'!$G:$G,'Exhibit-18'!$B:$B,$B16)</f>
        <v>0</v>
      </c>
      <c r="E16" s="175">
        <v>0</v>
      </c>
      <c r="F16" s="175">
        <f t="shared" si="0"/>
        <v>68496.540000000008</v>
      </c>
      <c r="G16" s="139"/>
      <c r="H16" s="178"/>
      <c r="I16" s="139"/>
      <c r="J16" s="139"/>
      <c r="K16" s="139"/>
    </row>
    <row r="17" spans="1:11" ht="15" customHeight="1">
      <c r="A17" s="172">
        <f t="shared" si="1"/>
        <v>12</v>
      </c>
      <c r="B17" s="108" t="s">
        <v>119</v>
      </c>
      <c r="C17" s="175">
        <v>38753.730000000003</v>
      </c>
      <c r="D17" s="175">
        <f>SUMIFS('Exhibit-18'!$G:$G,'Exhibit-18'!$B:$B,$B17)</f>
        <v>0</v>
      </c>
      <c r="E17" s="175">
        <v>0</v>
      </c>
      <c r="F17" s="175">
        <f t="shared" si="0"/>
        <v>38753.730000000003</v>
      </c>
      <c r="G17" s="139"/>
      <c r="H17" s="178"/>
      <c r="I17" s="139"/>
      <c r="J17" s="139"/>
      <c r="K17" s="139"/>
    </row>
    <row r="18" spans="1:11" ht="15" customHeight="1">
      <c r="A18" s="172">
        <f t="shared" si="1"/>
        <v>13</v>
      </c>
      <c r="B18" s="108" t="s">
        <v>52</v>
      </c>
      <c r="C18" s="175">
        <v>1628754.5699999998</v>
      </c>
      <c r="D18" s="175">
        <f>SUMIFS('Exhibit-18'!$G:$G,'Exhibit-18'!$B:$B,$B18)</f>
        <v>554150</v>
      </c>
      <c r="E18" s="175">
        <v>-15000</v>
      </c>
      <c r="F18" s="175">
        <f t="shared" si="0"/>
        <v>2167904.5699999998</v>
      </c>
      <c r="G18" s="139"/>
      <c r="H18" s="178"/>
      <c r="I18" s="139"/>
      <c r="J18" s="139"/>
      <c r="K18" s="139"/>
    </row>
    <row r="19" spans="1:11" ht="15" customHeight="1">
      <c r="A19" s="172">
        <f t="shared" si="1"/>
        <v>14</v>
      </c>
      <c r="B19" s="108" t="s">
        <v>122</v>
      </c>
      <c r="C19" s="175">
        <v>205734</v>
      </c>
      <c r="D19" s="175">
        <f>SUMIFS('Exhibit-18'!$G:$G,'Exhibit-18'!$B:$B,$B19)</f>
        <v>0</v>
      </c>
      <c r="E19" s="175">
        <v>-192288</v>
      </c>
      <c r="F19" s="175">
        <f t="shared" si="0"/>
        <v>13446</v>
      </c>
      <c r="G19" s="139"/>
      <c r="H19" s="178"/>
      <c r="I19" s="139"/>
      <c r="J19" s="139"/>
      <c r="K19" s="139"/>
    </row>
    <row r="20" spans="1:11" ht="15" customHeight="1">
      <c r="A20" s="172">
        <f t="shared" si="1"/>
        <v>15</v>
      </c>
      <c r="B20" s="108" t="s">
        <v>124</v>
      </c>
      <c r="C20" s="175">
        <v>22240</v>
      </c>
      <c r="D20" s="175">
        <f>SUMIFS('Exhibit-18'!$G:$G,'Exhibit-18'!$B:$B,$B20)</f>
        <v>0</v>
      </c>
      <c r="E20" s="175">
        <v>0</v>
      </c>
      <c r="F20" s="175">
        <f t="shared" si="0"/>
        <v>22240</v>
      </c>
      <c r="G20" s="139"/>
      <c r="H20" s="178"/>
      <c r="I20" s="139"/>
      <c r="J20" s="139"/>
      <c r="K20" s="139"/>
    </row>
    <row r="21" spans="1:11" ht="15" customHeight="1">
      <c r="A21" s="172">
        <f t="shared" si="1"/>
        <v>16</v>
      </c>
      <c r="B21" s="108" t="s">
        <v>126</v>
      </c>
      <c r="C21" s="175">
        <v>69562.040000000008</v>
      </c>
      <c r="D21" s="175">
        <f>SUMIFS('Exhibit-18'!$G:$G,'Exhibit-18'!$B:$B,$B21)</f>
        <v>0</v>
      </c>
      <c r="E21" s="175">
        <v>0</v>
      </c>
      <c r="F21" s="175">
        <f t="shared" si="0"/>
        <v>69562.040000000008</v>
      </c>
      <c r="G21" s="139"/>
      <c r="H21" s="178"/>
      <c r="I21" s="139"/>
      <c r="J21" s="139"/>
      <c r="K21" s="139"/>
    </row>
    <row r="22" spans="1:11" ht="15" customHeight="1">
      <c r="A22" s="172">
        <f t="shared" si="1"/>
        <v>17</v>
      </c>
      <c r="B22" s="108" t="s">
        <v>128</v>
      </c>
      <c r="C22" s="175">
        <v>959</v>
      </c>
      <c r="D22" s="175">
        <f>SUMIFS('Exhibit-18'!$G:$G,'Exhibit-18'!$B:$B,$B22)</f>
        <v>0</v>
      </c>
      <c r="E22" s="175">
        <v>0</v>
      </c>
      <c r="F22" s="175">
        <f t="shared" si="0"/>
        <v>959</v>
      </c>
      <c r="G22" s="139"/>
      <c r="H22" s="178"/>
      <c r="I22" s="139"/>
      <c r="J22" s="139"/>
      <c r="K22" s="139"/>
    </row>
    <row r="23" spans="1:11" ht="15" customHeight="1">
      <c r="A23" s="172">
        <f t="shared" si="1"/>
        <v>18</v>
      </c>
      <c r="B23" s="108" t="s">
        <v>130</v>
      </c>
      <c r="C23" s="175">
        <v>2440</v>
      </c>
      <c r="D23" s="175">
        <f>SUMIFS('Exhibit-18'!$G:$G,'Exhibit-18'!$B:$B,$B23)</f>
        <v>0</v>
      </c>
      <c r="E23" s="175">
        <v>0</v>
      </c>
      <c r="F23" s="175">
        <f t="shared" si="0"/>
        <v>2440</v>
      </c>
      <c r="G23" s="139"/>
      <c r="H23" s="178"/>
      <c r="I23" s="139"/>
      <c r="J23" s="139"/>
      <c r="K23" s="139"/>
    </row>
    <row r="24" spans="1:11" ht="15" customHeight="1">
      <c r="A24" s="172">
        <f t="shared" si="1"/>
        <v>19</v>
      </c>
      <c r="B24" s="108" t="s">
        <v>136</v>
      </c>
      <c r="C24" s="175">
        <v>160266.16999999998</v>
      </c>
      <c r="D24" s="175">
        <f>SUMIFS('Exhibit-18'!$G:$G,'Exhibit-18'!$B:$B,$B24)</f>
        <v>0</v>
      </c>
      <c r="E24" s="175">
        <v>0</v>
      </c>
      <c r="F24" s="175">
        <f t="shared" si="0"/>
        <v>160266.16999999998</v>
      </c>
      <c r="G24" s="139"/>
      <c r="H24" s="178"/>
      <c r="I24" s="139"/>
      <c r="J24" s="139"/>
      <c r="K24" s="139"/>
    </row>
    <row r="25" spans="1:11" ht="15" customHeight="1">
      <c r="A25" s="172">
        <f t="shared" si="1"/>
        <v>20</v>
      </c>
      <c r="B25" s="108" t="s">
        <v>140</v>
      </c>
      <c r="C25" s="175">
        <v>5000</v>
      </c>
      <c r="D25" s="175">
        <f>SUMIFS('Exhibit-18'!$G:$G,'Exhibit-18'!$B:$B,$B25)</f>
        <v>0</v>
      </c>
      <c r="E25" s="175">
        <v>0</v>
      </c>
      <c r="F25" s="175">
        <f t="shared" si="0"/>
        <v>5000</v>
      </c>
      <c r="G25" s="139"/>
      <c r="H25" s="139"/>
      <c r="I25" s="139"/>
      <c r="J25" s="139"/>
      <c r="K25" s="139"/>
    </row>
    <row r="26" spans="1:11" ht="15" customHeight="1">
      <c r="A26" s="172">
        <f t="shared" si="1"/>
        <v>21</v>
      </c>
      <c r="B26" s="174"/>
      <c r="C26" s="175"/>
      <c r="D26" s="175"/>
      <c r="E26" s="175"/>
      <c r="F26" s="175"/>
      <c r="G26" s="139"/>
      <c r="H26" s="139"/>
      <c r="I26" s="139"/>
      <c r="J26" s="139"/>
      <c r="K26" s="139"/>
    </row>
    <row r="27" spans="1:11" ht="15" customHeight="1">
      <c r="A27" s="172">
        <f t="shared" si="1"/>
        <v>22</v>
      </c>
      <c r="B27" s="174"/>
      <c r="C27" s="175"/>
      <c r="D27" s="175"/>
      <c r="E27" s="175"/>
      <c r="F27" s="175"/>
      <c r="G27" s="139"/>
      <c r="H27" s="139"/>
      <c r="I27" s="139"/>
      <c r="J27" s="139"/>
      <c r="K27" s="139"/>
    </row>
    <row r="28" spans="1:11" ht="15" customHeight="1" thickBot="1">
      <c r="A28" s="172">
        <f t="shared" si="1"/>
        <v>23</v>
      </c>
      <c r="B28" s="173"/>
      <c r="C28" s="177">
        <f>SUM(C6:C27)</f>
        <v>8380751.29</v>
      </c>
      <c r="D28" s="177">
        <f t="shared" ref="D28:F28" si="2">SUM(D6:D27)</f>
        <v>756800</v>
      </c>
      <c r="E28" s="177">
        <f t="shared" si="2"/>
        <v>-207288</v>
      </c>
      <c r="F28" s="177">
        <f t="shared" si="2"/>
        <v>8930263.2899999991</v>
      </c>
      <c r="G28" s="139"/>
      <c r="H28" s="139"/>
      <c r="I28" s="139"/>
      <c r="J28" s="139"/>
      <c r="K28" s="139"/>
    </row>
    <row r="29" spans="1:11" ht="15" customHeight="1" thickTop="1">
      <c r="A29" s="172">
        <f t="shared" si="1"/>
        <v>24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</row>
    <row r="30" spans="1:11" ht="15" customHeight="1">
      <c r="A30" s="172">
        <f t="shared" si="1"/>
        <v>25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5" customHeight="1">
      <c r="A31" s="172">
        <f t="shared" si="1"/>
        <v>26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11" ht="15" customHeight="1">
      <c r="A32" s="172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 ht="1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87" orientation="portrait" verticalDpi="1200" r:id="rId1"/>
  <headerFooter>
    <oddHeader>&amp;R&amp;"Times New Roman,Regular"&amp;10&amp;A</oddHeader>
    <oddFooter xml:space="preserve">&amp;R&amp;8Case No. 2022-00432
Bluegrass Water’s Response to PSC 2-17
Exhibit PSC 2-17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23"/>
  <sheetViews>
    <sheetView showGridLines="0" view="pageLayout" topLeftCell="A22" zoomScaleNormal="100" zoomScaleSheetLayoutView="115" workbookViewId="0">
      <selection activeCell="E28" sqref="E28"/>
    </sheetView>
  </sheetViews>
  <sheetFormatPr defaultColWidth="8.85546875" defaultRowHeight="15" customHeight="1"/>
  <cols>
    <col min="1" max="1" width="10.5703125" style="7" customWidth="1"/>
    <col min="2" max="2" width="48.5703125" style="7" customWidth="1"/>
    <col min="3" max="5" width="15.7109375" style="7" customWidth="1"/>
    <col min="6" max="16384" width="8.85546875" style="7"/>
  </cols>
  <sheetData>
    <row r="1" spans="1:5" ht="15" customHeight="1">
      <c r="A1" s="262" t="e">
        <f>#REF!</f>
        <v>#REF!</v>
      </c>
      <c r="B1" s="262"/>
      <c r="C1" s="262"/>
      <c r="D1" s="262"/>
      <c r="E1" s="262"/>
    </row>
    <row r="2" spans="1:5" ht="15" customHeight="1">
      <c r="A2" s="262" t="e">
        <f>#REF!</f>
        <v>#REF!</v>
      </c>
      <c r="B2" s="262"/>
      <c r="C2" s="262"/>
      <c r="D2" s="262"/>
      <c r="E2" s="262"/>
    </row>
    <row r="3" spans="1:5" ht="15" customHeight="1">
      <c r="A3" s="262" t="s">
        <v>426</v>
      </c>
      <c r="B3" s="262"/>
      <c r="C3" s="262"/>
      <c r="D3" s="262"/>
      <c r="E3" s="262"/>
    </row>
    <row r="4" spans="1:5" ht="15" customHeight="1">
      <c r="A4" s="262" t="e">
        <f>#REF!</f>
        <v>#REF!</v>
      </c>
      <c r="B4" s="262"/>
      <c r="C4" s="262"/>
      <c r="D4" s="262"/>
      <c r="E4" s="262"/>
    </row>
    <row r="5" spans="1:5" ht="25.5">
      <c r="A5" s="11" t="s">
        <v>3</v>
      </c>
      <c r="B5" s="11" t="s">
        <v>373</v>
      </c>
      <c r="C5" s="11" t="s">
        <v>374</v>
      </c>
      <c r="D5" s="11" t="s">
        <v>375</v>
      </c>
      <c r="E5" s="11" t="s">
        <v>376</v>
      </c>
    </row>
    <row r="6" spans="1:5" ht="15" customHeight="1">
      <c r="A6" s="6" t="s">
        <v>6</v>
      </c>
      <c r="B6" s="6" t="s">
        <v>7</v>
      </c>
      <c r="C6" s="6" t="s">
        <v>8</v>
      </c>
      <c r="D6" s="6" t="s">
        <v>25</v>
      </c>
      <c r="E6" s="6" t="s">
        <v>26</v>
      </c>
    </row>
    <row r="7" spans="1:5" ht="15" customHeight="1">
      <c r="A7" s="76">
        <v>1</v>
      </c>
      <c r="B7" s="77"/>
      <c r="C7" s="77"/>
      <c r="D7" s="77"/>
      <c r="E7" s="77"/>
    </row>
    <row r="8" spans="1:5" ht="15" customHeight="1">
      <c r="A8" s="1">
        <f>A7+1</f>
        <v>2</v>
      </c>
      <c r="B8" s="84" t="s">
        <v>377</v>
      </c>
      <c r="C8" s="71"/>
      <c r="D8" s="191">
        <v>1</v>
      </c>
      <c r="E8" s="191"/>
    </row>
    <row r="9" spans="1:5" ht="15" customHeight="1">
      <c r="A9" s="1">
        <f t="shared" ref="A9:A23" si="0">A8+1</f>
        <v>3</v>
      </c>
      <c r="B9" s="84" t="s">
        <v>378</v>
      </c>
      <c r="C9" s="192">
        <v>0.01</v>
      </c>
      <c r="D9" s="191">
        <f>C9</f>
        <v>0.01</v>
      </c>
      <c r="E9" s="193">
        <f>ROUND(D9/(D$8-D$18),6)</f>
        <v>3.891E-2</v>
      </c>
    </row>
    <row r="10" spans="1:5" ht="15" customHeight="1" thickBot="1">
      <c r="A10" s="1">
        <f t="shared" si="0"/>
        <v>4</v>
      </c>
      <c r="B10" s="84" t="s">
        <v>379</v>
      </c>
      <c r="C10" s="194"/>
      <c r="D10" s="195">
        <f>D8-D9</f>
        <v>0.99</v>
      </c>
      <c r="E10" s="196"/>
    </row>
    <row r="11" spans="1:5" ht="15" customHeight="1" thickTop="1">
      <c r="A11" s="1">
        <f t="shared" si="0"/>
        <v>5</v>
      </c>
      <c r="B11" s="84"/>
      <c r="C11" s="197"/>
      <c r="D11" s="196"/>
      <c r="E11" s="196"/>
    </row>
    <row r="12" spans="1:5" ht="15" customHeight="1">
      <c r="A12" s="1">
        <f t="shared" si="0"/>
        <v>6</v>
      </c>
      <c r="B12" s="84"/>
      <c r="C12" s="197"/>
      <c r="D12" s="196"/>
      <c r="E12" s="193"/>
    </row>
    <row r="13" spans="1:5" ht="15" customHeight="1">
      <c r="A13" s="1">
        <f t="shared" si="0"/>
        <v>7</v>
      </c>
      <c r="B13" s="84" t="s">
        <v>380</v>
      </c>
      <c r="C13" s="194">
        <f>'BT-6'!C14</f>
        <v>0.05</v>
      </c>
      <c r="D13" s="191">
        <f>C13*D10</f>
        <v>4.9500000000000002E-2</v>
      </c>
      <c r="E13" s="193">
        <f>ROUND(D13/(D$8-D$18),6)</f>
        <v>0.192603</v>
      </c>
    </row>
    <row r="14" spans="1:5" ht="15" customHeight="1" thickBot="1">
      <c r="A14" s="1">
        <f t="shared" si="0"/>
        <v>8</v>
      </c>
      <c r="B14" s="84" t="s">
        <v>381</v>
      </c>
      <c r="C14" s="197"/>
      <c r="D14" s="198">
        <f>D10-D13</f>
        <v>0.9405</v>
      </c>
      <c r="E14" s="193"/>
    </row>
    <row r="15" spans="1:5" ht="15" customHeight="1" thickTop="1">
      <c r="A15" s="1">
        <f t="shared" si="0"/>
        <v>9</v>
      </c>
      <c r="B15" s="84"/>
      <c r="C15" s="197"/>
      <c r="D15" s="193"/>
      <c r="E15" s="193"/>
    </row>
    <row r="16" spans="1:5" ht="15" customHeight="1">
      <c r="A16" s="1">
        <f t="shared" si="0"/>
        <v>10</v>
      </c>
      <c r="B16" s="84" t="s">
        <v>382</v>
      </c>
      <c r="C16" s="194">
        <f>'BT-6'!C18</f>
        <v>0.21</v>
      </c>
      <c r="D16" s="199">
        <f>C16*D14</f>
        <v>0.19750499999999999</v>
      </c>
      <c r="E16" s="199">
        <f>ROUND(D16/(D$8-D$18),6)</f>
        <v>0.76848700000000003</v>
      </c>
    </row>
    <row r="17" spans="1:5" ht="15" customHeight="1">
      <c r="A17" s="1">
        <f t="shared" si="0"/>
        <v>11</v>
      </c>
      <c r="B17" s="84"/>
      <c r="C17" s="197"/>
      <c r="D17" s="193"/>
      <c r="E17" s="193"/>
    </row>
    <row r="18" spans="1:5" ht="15" customHeight="1" thickBot="1">
      <c r="A18" s="1">
        <f t="shared" si="0"/>
        <v>12</v>
      </c>
      <c r="B18" s="85" t="s">
        <v>383</v>
      </c>
      <c r="C18" s="71"/>
      <c r="D18" s="200">
        <f>D14-D16</f>
        <v>0.74299500000000007</v>
      </c>
      <c r="E18" s="200">
        <f>SUM(E9:E9,E13,E16)</f>
        <v>1</v>
      </c>
    </row>
    <row r="19" spans="1:5" ht="15" customHeight="1" thickTop="1">
      <c r="A19" s="1">
        <f t="shared" si="0"/>
        <v>13</v>
      </c>
      <c r="B19" s="84"/>
      <c r="C19" s="128"/>
      <c r="D19" s="126"/>
      <c r="E19" s="86"/>
    </row>
    <row r="20" spans="1:5" ht="15" customHeight="1" thickBot="1">
      <c r="A20" s="1">
        <f t="shared" si="0"/>
        <v>14</v>
      </c>
      <c r="B20" s="7" t="s">
        <v>384</v>
      </c>
      <c r="C20" s="130"/>
      <c r="D20" s="182">
        <f>1/D18</f>
        <v>1.3459040774164024</v>
      </c>
    </row>
    <row r="21" spans="1:5" ht="15" customHeight="1" thickTop="1">
      <c r="A21" s="1">
        <f t="shared" si="0"/>
        <v>15</v>
      </c>
    </row>
    <row r="22" spans="1:5" ht="15" customHeight="1">
      <c r="A22" s="1">
        <f t="shared" si="0"/>
        <v>16</v>
      </c>
    </row>
    <row r="23" spans="1:5" ht="15" customHeight="1">
      <c r="A23" s="1">
        <f t="shared" si="0"/>
        <v>17</v>
      </c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verticalDpi="300" r:id="rId1"/>
  <headerFooter>
    <oddHeader>&amp;R&amp;"Times New Roman,Regular"&amp;10&amp;A</oddHeader>
    <oddFooter xml:space="preserve">&amp;R&amp;8Case No. 2022-00432
Bluegrass Water’s Response to PSC 2-17
Exhibit PSC 2-17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15"/>
  <sheetViews>
    <sheetView showGridLines="0" view="pageLayout" topLeftCell="A19" zoomScaleNormal="100" zoomScaleSheetLayoutView="115" workbookViewId="0">
      <selection activeCell="F28" sqref="F28"/>
    </sheetView>
  </sheetViews>
  <sheetFormatPr defaultColWidth="8.85546875" defaultRowHeight="15" customHeight="1"/>
  <cols>
    <col min="1" max="1" width="10.5703125" style="7" customWidth="1"/>
    <col min="2" max="2" width="48.5703125" style="7" customWidth="1"/>
    <col min="3" max="5" width="15.7109375" style="7" customWidth="1"/>
    <col min="6" max="16384" width="8.85546875" style="7"/>
  </cols>
  <sheetData>
    <row r="1" spans="1:5" ht="15" customHeight="1">
      <c r="A1" s="262" t="e">
        <f>#REF!</f>
        <v>#REF!</v>
      </c>
      <c r="B1" s="262"/>
      <c r="C1" s="262"/>
      <c r="D1" s="262"/>
      <c r="E1" s="262"/>
    </row>
    <row r="2" spans="1:5" ht="15" customHeight="1">
      <c r="A2" s="262" t="e">
        <f>#REF!</f>
        <v>#REF!</v>
      </c>
      <c r="B2" s="262"/>
      <c r="C2" s="262"/>
      <c r="D2" s="262"/>
      <c r="E2" s="262"/>
    </row>
    <row r="3" spans="1:5" ht="15" customHeight="1">
      <c r="A3" s="262" t="s">
        <v>427</v>
      </c>
      <c r="B3" s="262"/>
      <c r="C3" s="262"/>
      <c r="D3" s="262"/>
      <c r="E3" s="262"/>
    </row>
    <row r="4" spans="1:5" ht="15" customHeight="1">
      <c r="A4" s="262" t="e">
        <f>#REF!</f>
        <v>#REF!</v>
      </c>
      <c r="B4" s="262"/>
      <c r="C4" s="262"/>
      <c r="D4" s="262"/>
      <c r="E4" s="262"/>
    </row>
    <row r="5" spans="1:5" ht="25.5">
      <c r="A5" s="11" t="s">
        <v>3</v>
      </c>
      <c r="B5" s="11" t="s">
        <v>385</v>
      </c>
      <c r="C5" s="11" t="s">
        <v>374</v>
      </c>
      <c r="D5" s="11" t="s">
        <v>375</v>
      </c>
      <c r="E5" s="11" t="s">
        <v>376</v>
      </c>
    </row>
    <row r="6" spans="1:5" s="1" customFormat="1" ht="15" customHeight="1">
      <c r="A6" s="6" t="s">
        <v>6</v>
      </c>
      <c r="B6" s="6" t="s">
        <v>7</v>
      </c>
      <c r="C6" s="6" t="s">
        <v>8</v>
      </c>
      <c r="D6" s="6" t="s">
        <v>25</v>
      </c>
      <c r="E6" s="2" t="s">
        <v>26</v>
      </c>
    </row>
    <row r="7" spans="1:5" ht="15" customHeight="1">
      <c r="A7" s="76">
        <v>1</v>
      </c>
      <c r="B7" s="77"/>
      <c r="C7" s="77"/>
      <c r="D7" s="77"/>
      <c r="E7" s="77"/>
    </row>
    <row r="8" spans="1:5" ht="15" customHeight="1">
      <c r="A8" s="1">
        <f>A7+1</f>
        <v>2</v>
      </c>
      <c r="B8" s="78" t="s">
        <v>377</v>
      </c>
      <c r="C8" s="71"/>
      <c r="D8" s="191">
        <v>1</v>
      </c>
      <c r="E8" s="191"/>
    </row>
    <row r="9" spans="1:5" ht="15" customHeight="1">
      <c r="A9" s="1">
        <f t="shared" ref="A9:A16" si="0">A8+1</f>
        <v>3</v>
      </c>
      <c r="B9" s="78" t="s">
        <v>378</v>
      </c>
      <c r="C9" s="192">
        <v>0.01</v>
      </c>
      <c r="D9" s="191">
        <f>C9</f>
        <v>0.01</v>
      </c>
      <c r="E9" s="193">
        <f>ROUND(D9/(D$8-D10),6)</f>
        <v>1</v>
      </c>
    </row>
    <row r="10" spans="1:5" ht="15" customHeight="1" thickBot="1">
      <c r="A10" s="1">
        <f t="shared" si="0"/>
        <v>4</v>
      </c>
      <c r="B10" s="78" t="s">
        <v>386</v>
      </c>
      <c r="C10" s="194"/>
      <c r="D10" s="195">
        <f>D8-D9</f>
        <v>0.99</v>
      </c>
      <c r="E10" s="196"/>
    </row>
    <row r="11" spans="1:5" ht="15" customHeight="1" thickTop="1">
      <c r="A11" s="1">
        <f t="shared" si="0"/>
        <v>5</v>
      </c>
      <c r="B11" s="78"/>
      <c r="C11" s="129"/>
      <c r="D11" s="127"/>
      <c r="E11" s="127"/>
    </row>
    <row r="12" spans="1:5" ht="15" customHeight="1">
      <c r="A12" s="1">
        <f t="shared" si="0"/>
        <v>6</v>
      </c>
      <c r="B12" s="78"/>
      <c r="C12" s="79"/>
      <c r="D12" s="80"/>
      <c r="E12" s="80"/>
    </row>
    <row r="13" spans="1:5" ht="15" customHeight="1" thickBot="1">
      <c r="A13" s="1">
        <f t="shared" si="0"/>
        <v>7</v>
      </c>
      <c r="B13" s="17" t="s">
        <v>387</v>
      </c>
      <c r="C13" s="82"/>
      <c r="D13" s="182">
        <f>1/D10</f>
        <v>1.0101010101010102</v>
      </c>
      <c r="E13" s="82"/>
    </row>
    <row r="14" spans="1:5" ht="15" customHeight="1" thickTop="1">
      <c r="A14" s="1">
        <f t="shared" si="0"/>
        <v>8</v>
      </c>
    </row>
    <row r="15" spans="1:5" ht="15" customHeight="1">
      <c r="A15" s="1">
        <f t="shared" si="0"/>
        <v>9</v>
      </c>
    </row>
    <row r="16" spans="1:5" ht="15" customHeight="1">
      <c r="A16" s="1">
        <f t="shared" si="0"/>
        <v>10</v>
      </c>
    </row>
    <row r="115" spans="6:6" ht="15" customHeight="1">
      <c r="F115" s="8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verticalDpi="300" r:id="rId1"/>
  <headerFooter>
    <oddHeader>&amp;R&amp;"Times New Roman,Regular"&amp;10&amp;A</oddHeader>
    <oddFooter xml:space="preserve">&amp;R&amp;8Case No. 2022-00432
Bluegrass Water’s Response to PSC 2-17
Exhibit PSC 2-17&amp;11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116"/>
  <sheetViews>
    <sheetView showGridLines="0" view="pageLayout" topLeftCell="A22" zoomScaleNormal="100" zoomScaleSheetLayoutView="85" workbookViewId="0">
      <selection activeCell="E31" sqref="E31"/>
    </sheetView>
  </sheetViews>
  <sheetFormatPr defaultColWidth="8.85546875" defaultRowHeight="12.75"/>
  <cols>
    <col min="1" max="1" width="10.5703125" style="7" customWidth="1"/>
    <col min="2" max="2" width="37.42578125" style="7" bestFit="1" customWidth="1"/>
    <col min="3" max="3" width="31.85546875" style="7" bestFit="1" customWidth="1"/>
    <col min="4" max="6" width="15.7109375" style="7" customWidth="1"/>
    <col min="7" max="9" width="8.85546875" style="7" customWidth="1"/>
    <col min="10" max="10" width="8.85546875" style="7" hidden="1" customWidth="1"/>
    <col min="11" max="16384" width="8.85546875" style="7"/>
  </cols>
  <sheetData>
    <row r="1" spans="1:10" ht="15" customHeight="1">
      <c r="A1" s="262" t="e">
        <f>#REF!</f>
        <v>#REF!</v>
      </c>
      <c r="B1" s="262"/>
      <c r="C1" s="262"/>
      <c r="D1" s="262"/>
      <c r="E1" s="262"/>
      <c r="F1" s="262"/>
    </row>
    <row r="2" spans="1:10" ht="15" customHeight="1">
      <c r="A2" s="262" t="e">
        <f>#REF!</f>
        <v>#REF!</v>
      </c>
      <c r="B2" s="262"/>
      <c r="C2" s="262"/>
      <c r="D2" s="262"/>
      <c r="E2" s="262"/>
      <c r="F2" s="262"/>
    </row>
    <row r="3" spans="1:10" ht="15" customHeight="1">
      <c r="A3" s="262" t="s">
        <v>428</v>
      </c>
      <c r="B3" s="262"/>
      <c r="C3" s="262"/>
      <c r="D3" s="262"/>
      <c r="E3" s="262"/>
      <c r="F3" s="262"/>
    </row>
    <row r="4" spans="1:10" ht="15" customHeight="1">
      <c r="A4" s="262" t="e">
        <f>#REF!</f>
        <v>#REF!</v>
      </c>
      <c r="B4" s="262"/>
      <c r="C4" s="262"/>
      <c r="D4" s="262"/>
      <c r="E4" s="262"/>
      <c r="F4" s="262"/>
    </row>
    <row r="5" spans="1:10" ht="25.5">
      <c r="A5" s="11" t="s">
        <v>3</v>
      </c>
      <c r="B5" s="11" t="s">
        <v>388</v>
      </c>
      <c r="C5" s="11" t="s">
        <v>389</v>
      </c>
      <c r="D5" s="11" t="s">
        <v>390</v>
      </c>
      <c r="E5" s="11" t="s">
        <v>391</v>
      </c>
      <c r="F5" s="11" t="s">
        <v>392</v>
      </c>
    </row>
    <row r="6" spans="1:10" s="1" customFormat="1" ht="15" customHeight="1">
      <c r="A6" s="6" t="s">
        <v>6</v>
      </c>
      <c r="B6" s="6" t="s">
        <v>7</v>
      </c>
      <c r="C6" s="6" t="s">
        <v>8</v>
      </c>
      <c r="D6" s="6" t="s">
        <v>25</v>
      </c>
      <c r="E6" s="2" t="s">
        <v>26</v>
      </c>
      <c r="F6" s="2" t="s">
        <v>46</v>
      </c>
      <c r="J6" s="180"/>
    </row>
    <row r="7" spans="1:10" ht="15" customHeight="1">
      <c r="A7" s="76">
        <v>1</v>
      </c>
      <c r="B7" s="77"/>
      <c r="C7" s="77"/>
      <c r="D7" s="77"/>
      <c r="E7" s="77"/>
      <c r="F7" s="77"/>
      <c r="J7" s="180"/>
    </row>
    <row r="8" spans="1:10" ht="15" customHeight="1">
      <c r="A8" s="1">
        <f>A7+1</f>
        <v>2</v>
      </c>
      <c r="B8" s="84" t="s">
        <v>393</v>
      </c>
      <c r="C8" s="81" t="s">
        <v>394</v>
      </c>
      <c r="D8" s="188">
        <v>28224.799999999999</v>
      </c>
      <c r="E8" s="188">
        <v>0</v>
      </c>
      <c r="F8" s="188">
        <f>D8+E8</f>
        <v>28224.799999999999</v>
      </c>
    </row>
    <row r="9" spans="1:10" ht="15" customHeight="1">
      <c r="A9" s="1">
        <f t="shared" ref="A9:A10" si="0">A8+1</f>
        <v>3</v>
      </c>
      <c r="B9" s="84" t="s">
        <v>395</v>
      </c>
      <c r="C9" s="81" t="s">
        <v>396</v>
      </c>
      <c r="D9" s="188">
        <v>5300</v>
      </c>
      <c r="E9" s="188">
        <v>0</v>
      </c>
      <c r="F9" s="188">
        <f>D9+E9</f>
        <v>5300</v>
      </c>
    </row>
    <row r="10" spans="1:10" ht="15" customHeight="1">
      <c r="A10" s="1">
        <f t="shared" si="0"/>
        <v>4</v>
      </c>
      <c r="B10" s="84" t="s">
        <v>397</v>
      </c>
      <c r="C10" s="81" t="s">
        <v>396</v>
      </c>
      <c r="D10" s="188">
        <v>5000</v>
      </c>
      <c r="E10" s="188">
        <v>15000</v>
      </c>
      <c r="F10" s="188">
        <f>D10+E10</f>
        <v>20000</v>
      </c>
    </row>
    <row r="11" spans="1:10" ht="15" customHeight="1">
      <c r="A11" s="1">
        <f t="shared" ref="A11:A17" si="1">A10+1</f>
        <v>5</v>
      </c>
      <c r="B11" s="84" t="s">
        <v>398</v>
      </c>
      <c r="C11" s="81" t="s">
        <v>399</v>
      </c>
      <c r="D11" s="188">
        <v>84033.19</v>
      </c>
      <c r="E11" s="188">
        <v>42000</v>
      </c>
      <c r="F11" s="188">
        <f>D11+E11</f>
        <v>126033.19</v>
      </c>
    </row>
    <row r="12" spans="1:10" ht="15" customHeight="1">
      <c r="A12" s="1">
        <f t="shared" si="1"/>
        <v>6</v>
      </c>
      <c r="B12" s="84"/>
      <c r="C12" s="81"/>
      <c r="D12" s="188"/>
      <c r="E12" s="188"/>
      <c r="F12" s="188"/>
    </row>
    <row r="13" spans="1:10" ht="15" customHeight="1">
      <c r="A13" s="1">
        <f t="shared" si="1"/>
        <v>7</v>
      </c>
      <c r="B13" s="84"/>
      <c r="C13" s="81"/>
      <c r="D13" s="188"/>
      <c r="E13" s="188"/>
      <c r="F13" s="188"/>
    </row>
    <row r="14" spans="1:10" ht="15" customHeight="1" thickBot="1">
      <c r="A14" s="1">
        <f t="shared" si="1"/>
        <v>8</v>
      </c>
      <c r="B14" s="78"/>
      <c r="C14" s="81"/>
      <c r="D14" s="189">
        <f>SUM(D8:D11)</f>
        <v>122557.99</v>
      </c>
      <c r="E14" s="189">
        <f>SUM(E8:E11)</f>
        <v>57000</v>
      </c>
      <c r="F14" s="189">
        <f>SUM(F8:F11)</f>
        <v>179557.99</v>
      </c>
      <c r="H14" s="131"/>
    </row>
    <row r="15" spans="1:10" ht="15" customHeight="1" thickTop="1">
      <c r="A15" s="1">
        <f t="shared" si="1"/>
        <v>9</v>
      </c>
      <c r="B15" s="84"/>
      <c r="C15" s="81"/>
      <c r="D15" s="80"/>
      <c r="E15" s="80"/>
      <c r="F15" s="80"/>
    </row>
    <row r="16" spans="1:10" ht="15" customHeight="1">
      <c r="A16" s="1">
        <f t="shared" si="1"/>
        <v>10</v>
      </c>
    </row>
    <row r="17" spans="1:6" ht="15" customHeight="1">
      <c r="A17" s="1">
        <f t="shared" si="1"/>
        <v>11</v>
      </c>
    </row>
    <row r="19" spans="1:6">
      <c r="F19" s="34"/>
    </row>
    <row r="116" spans="6:6" ht="15" customHeight="1">
      <c r="F116" s="83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6" orientation="landscape" verticalDpi="300" r:id="rId1"/>
  <headerFooter>
    <oddHeader>&amp;R&amp;"Times New Roman,Regular"&amp;10&amp;A</oddHeader>
    <oddFooter xml:space="preserve">&amp;R&amp;8Case No. 2022-00432
Bluegrass Water’s Response to PSC 2-17
Exhibit PSC 2-17&amp;11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78"/>
  <sheetViews>
    <sheetView showGridLines="0" view="pageLayout" topLeftCell="A104" zoomScaleNormal="100" zoomScaleSheetLayoutView="100" workbookViewId="0">
      <selection activeCell="E111" sqref="E111"/>
    </sheetView>
  </sheetViews>
  <sheetFormatPr defaultColWidth="9.140625" defaultRowHeight="15" customHeight="1"/>
  <cols>
    <col min="1" max="1" width="10.5703125" style="1" customWidth="1"/>
    <col min="2" max="2" width="44" style="7" bestFit="1" customWidth="1"/>
    <col min="3" max="5" width="20.7109375" style="7" customWidth="1"/>
    <col min="6" max="6" width="13.42578125" style="7" bestFit="1" customWidth="1"/>
    <col min="7" max="7" width="14.140625" style="7" customWidth="1"/>
    <col min="8" max="8" width="9.140625" style="7"/>
    <col min="9" max="9" width="48.140625" style="7" bestFit="1" customWidth="1"/>
    <col min="10" max="10" width="11" style="7" bestFit="1" customWidth="1"/>
    <col min="11" max="16384" width="9.140625" style="7"/>
  </cols>
  <sheetData>
    <row r="1" spans="1:7" ht="15" customHeight="1">
      <c r="A1" s="262" t="e">
        <f>#REF!</f>
        <v>#REF!</v>
      </c>
      <c r="B1" s="262"/>
      <c r="C1" s="262"/>
      <c r="D1" s="262"/>
      <c r="E1" s="262"/>
    </row>
    <row r="2" spans="1:7" ht="15" customHeight="1">
      <c r="A2" s="262" t="e">
        <f>#REF!</f>
        <v>#REF!</v>
      </c>
      <c r="B2" s="262"/>
      <c r="C2" s="262"/>
      <c r="D2" s="262"/>
      <c r="E2" s="262"/>
    </row>
    <row r="3" spans="1:7" ht="15" customHeight="1">
      <c r="A3" s="262" t="s">
        <v>416</v>
      </c>
      <c r="B3" s="262"/>
      <c r="C3" s="262"/>
      <c r="D3" s="262"/>
      <c r="E3" s="262"/>
    </row>
    <row r="4" spans="1:7" s="140" customFormat="1" ht="36" customHeight="1">
      <c r="A4" s="11" t="s">
        <v>3</v>
      </c>
      <c r="B4" s="11" t="s">
        <v>4</v>
      </c>
      <c r="C4" s="11">
        <v>2023</v>
      </c>
      <c r="D4" s="11">
        <v>2024</v>
      </c>
      <c r="E4" s="11">
        <v>2025</v>
      </c>
    </row>
    <row r="5" spans="1:7" ht="15" customHeight="1">
      <c r="A5" s="2" t="s">
        <v>6</v>
      </c>
      <c r="B5" s="2" t="s">
        <v>7</v>
      </c>
      <c r="C5" s="3" t="s">
        <v>8</v>
      </c>
      <c r="D5" s="3" t="s">
        <v>25</v>
      </c>
      <c r="E5" s="6" t="s">
        <v>26</v>
      </c>
    </row>
    <row r="6" spans="1:7" ht="15" customHeight="1">
      <c r="A6" s="1">
        <v>1</v>
      </c>
      <c r="B6" s="17"/>
      <c r="C6" s="17"/>
    </row>
    <row r="7" spans="1:7" ht="15" customHeight="1">
      <c r="A7" s="1">
        <f>A6+1</f>
        <v>2</v>
      </c>
      <c r="B7" s="17" t="s">
        <v>97</v>
      </c>
      <c r="C7" s="176">
        <v>229139.28496666666</v>
      </c>
      <c r="D7" s="176">
        <v>158126.08496666665</v>
      </c>
      <c r="E7" s="176">
        <v>152129.65496666668</v>
      </c>
    </row>
    <row r="8" spans="1:7" ht="15" customHeight="1">
      <c r="A8" s="1">
        <f t="shared" ref="A8:A19" si="0">A7+1</f>
        <v>3</v>
      </c>
      <c r="B8" s="17"/>
      <c r="C8" s="149"/>
      <c r="D8" s="149"/>
      <c r="E8" s="149"/>
    </row>
    <row r="9" spans="1:7" ht="15" customHeight="1">
      <c r="A9" s="1">
        <f t="shared" si="0"/>
        <v>4</v>
      </c>
      <c r="B9" s="17" t="s">
        <v>98</v>
      </c>
      <c r="C9" s="148">
        <f>SUM(C11:C14)</f>
        <v>302720</v>
      </c>
      <c r="D9" s="148">
        <f>SUM(D11:D14)</f>
        <v>454080</v>
      </c>
      <c r="E9" s="148">
        <f>SUM(E11:E14)</f>
        <v>0</v>
      </c>
    </row>
    <row r="10" spans="1:7" ht="15" customHeight="1">
      <c r="A10" s="1">
        <f t="shared" si="0"/>
        <v>5</v>
      </c>
      <c r="B10" s="17"/>
      <c r="C10" s="150"/>
      <c r="D10" s="150"/>
      <c r="E10" s="150"/>
    </row>
    <row r="11" spans="1:7" ht="15" customHeight="1">
      <c r="A11" s="1">
        <f t="shared" si="0"/>
        <v>6</v>
      </c>
      <c r="B11" s="7" t="s">
        <v>99</v>
      </c>
      <c r="C11" s="74">
        <f>SUM('Exhibit-18'!H9:H22)</f>
        <v>118900</v>
      </c>
      <c r="D11" s="74">
        <f>SUM('Exhibit-18'!I9:I22)</f>
        <v>178350</v>
      </c>
      <c r="E11" s="74">
        <f>SUM('Exhibit-18'!J9:J22)</f>
        <v>0</v>
      </c>
    </row>
    <row r="12" spans="1:7" ht="15" customHeight="1">
      <c r="A12" s="1">
        <f t="shared" si="0"/>
        <v>7</v>
      </c>
      <c r="B12" s="7" t="s">
        <v>100</v>
      </c>
      <c r="C12" s="74">
        <f>SUM('Exhibit-18'!H25:H30)</f>
        <v>101200</v>
      </c>
      <c r="D12" s="74">
        <f>SUM('Exhibit-18'!I25:I30)</f>
        <v>151800</v>
      </c>
      <c r="E12" s="74">
        <f>SUM('Exhibit-18'!J25:J30)</f>
        <v>0</v>
      </c>
    </row>
    <row r="13" spans="1:7" ht="15" customHeight="1">
      <c r="A13" s="1">
        <f t="shared" si="0"/>
        <v>8</v>
      </c>
      <c r="B13" s="7" t="s">
        <v>101</v>
      </c>
      <c r="C13" s="74">
        <f>SUM('Exhibit-18'!H33:H47)</f>
        <v>82620</v>
      </c>
      <c r="D13" s="74">
        <f>SUM('Exhibit-18'!I33:I47)</f>
        <v>123930</v>
      </c>
      <c r="E13" s="74">
        <f>SUM('Exhibit-18'!J33:J47)</f>
        <v>0</v>
      </c>
    </row>
    <row r="14" spans="1:7" ht="15" customHeight="1">
      <c r="A14" s="1">
        <f t="shared" si="0"/>
        <v>9</v>
      </c>
      <c r="C14" s="74"/>
      <c r="D14" s="74"/>
      <c r="E14" s="74"/>
    </row>
    <row r="15" spans="1:7" ht="15" customHeight="1">
      <c r="A15" s="1">
        <f t="shared" si="0"/>
        <v>10</v>
      </c>
      <c r="C15" s="74"/>
      <c r="D15" s="74"/>
      <c r="E15" s="74"/>
    </row>
    <row r="16" spans="1:7" ht="15" customHeight="1" thickBot="1">
      <c r="A16" s="1">
        <f t="shared" si="0"/>
        <v>11</v>
      </c>
      <c r="B16" s="17" t="s">
        <v>102</v>
      </c>
      <c r="C16" s="75">
        <f>C7+C9</f>
        <v>531859.28496666672</v>
      </c>
      <c r="D16" s="75">
        <f>D7+D9</f>
        <v>612206.08496666665</v>
      </c>
      <c r="E16" s="75">
        <f>E7+E9</f>
        <v>152129.65496666668</v>
      </c>
      <c r="G16" s="146"/>
    </row>
    <row r="17" spans="1:7" ht="15" customHeight="1" thickTop="1">
      <c r="A17" s="1">
        <f t="shared" si="0"/>
        <v>12</v>
      </c>
      <c r="B17" s="42"/>
      <c r="C17" s="25"/>
      <c r="D17" s="25"/>
      <c r="E17" s="25"/>
    </row>
    <row r="18" spans="1:7" ht="15" customHeight="1">
      <c r="A18" s="1">
        <f t="shared" si="0"/>
        <v>13</v>
      </c>
    </row>
    <row r="19" spans="1:7" ht="15" customHeight="1">
      <c r="A19" s="1">
        <f t="shared" si="0"/>
        <v>14</v>
      </c>
      <c r="B19" s="41"/>
    </row>
    <row r="20" spans="1:7" ht="15" customHeight="1">
      <c r="C20" s="43"/>
      <c r="D20" s="43"/>
      <c r="E20" s="43"/>
    </row>
    <row r="22" spans="1:7" ht="15" customHeight="1">
      <c r="B22" s="5"/>
      <c r="C22" s="118"/>
      <c r="D22" s="118"/>
      <c r="E22" s="118"/>
      <c r="F22" s="118"/>
      <c r="G22" s="118"/>
    </row>
    <row r="23" spans="1:7" ht="15" customHeight="1">
      <c r="C23" s="102"/>
      <c r="D23" s="138"/>
      <c r="E23" s="102"/>
      <c r="F23" s="204"/>
      <c r="G23" s="131"/>
    </row>
    <row r="24" spans="1:7" ht="15" customHeight="1">
      <c r="C24" s="102"/>
      <c r="D24" s="138"/>
      <c r="E24" s="102"/>
      <c r="F24" s="204"/>
      <c r="G24" s="131"/>
    </row>
    <row r="25" spans="1:7" ht="15" customHeight="1">
      <c r="C25" s="102"/>
      <c r="D25" s="138"/>
      <c r="E25" s="102"/>
      <c r="F25" s="204"/>
      <c r="G25" s="131"/>
    </row>
    <row r="26" spans="1:7" ht="15" customHeight="1">
      <c r="C26" s="102"/>
      <c r="D26" s="138"/>
      <c r="E26" s="102"/>
      <c r="F26" s="204"/>
      <c r="G26" s="131"/>
    </row>
    <row r="27" spans="1:7" ht="15" customHeight="1">
      <c r="C27" s="102"/>
      <c r="D27" s="138"/>
      <c r="E27" s="102"/>
      <c r="F27" s="204"/>
      <c r="G27" s="131"/>
    </row>
    <row r="28" spans="1:7" ht="15" customHeight="1">
      <c r="C28" s="102"/>
      <c r="D28" s="138"/>
      <c r="E28" s="102"/>
      <c r="F28" s="204"/>
      <c r="G28" s="131"/>
    </row>
    <row r="29" spans="1:7" ht="15" customHeight="1">
      <c r="C29" s="102"/>
      <c r="D29" s="138"/>
      <c r="E29" s="102"/>
      <c r="F29" s="204"/>
      <c r="G29" s="131"/>
    </row>
    <row r="30" spans="1:7" ht="15" customHeight="1">
      <c r="C30" s="102"/>
      <c r="D30" s="138"/>
      <c r="E30" s="102"/>
      <c r="F30" s="204"/>
      <c r="G30" s="131"/>
    </row>
    <row r="31" spans="1:7" ht="15" customHeight="1">
      <c r="C31" s="102"/>
      <c r="D31" s="138"/>
      <c r="E31" s="102"/>
      <c r="F31" s="204"/>
      <c r="G31" s="131"/>
    </row>
    <row r="32" spans="1:7" ht="15" customHeight="1">
      <c r="C32" s="102"/>
      <c r="D32" s="138"/>
      <c r="E32" s="102"/>
      <c r="F32" s="204"/>
      <c r="G32" s="131"/>
    </row>
    <row r="33" spans="3:7" ht="15" customHeight="1">
      <c r="C33" s="102"/>
      <c r="D33" s="138"/>
      <c r="E33" s="102"/>
      <c r="F33" s="204"/>
      <c r="G33" s="131"/>
    </row>
    <row r="34" spans="3:7" ht="15" customHeight="1">
      <c r="C34" s="102"/>
      <c r="D34" s="138"/>
      <c r="E34" s="102"/>
      <c r="F34" s="204"/>
      <c r="G34" s="131"/>
    </row>
    <row r="35" spans="3:7" ht="15" customHeight="1">
      <c r="C35" s="102"/>
      <c r="D35" s="138"/>
      <c r="E35" s="102"/>
      <c r="F35" s="204"/>
      <c r="G35" s="131"/>
    </row>
    <row r="36" spans="3:7" ht="15" customHeight="1">
      <c r="C36" s="102"/>
      <c r="D36" s="138"/>
      <c r="E36" s="102"/>
      <c r="F36" s="204"/>
      <c r="G36" s="131"/>
    </row>
    <row r="37" spans="3:7" ht="15" customHeight="1">
      <c r="C37" s="102"/>
      <c r="D37" s="138"/>
      <c r="E37" s="102"/>
      <c r="F37" s="204"/>
      <c r="G37" s="131"/>
    </row>
    <row r="38" spans="3:7" ht="15" customHeight="1">
      <c r="C38" s="102"/>
      <c r="D38" s="138"/>
      <c r="E38" s="102"/>
      <c r="F38" s="204"/>
      <c r="G38" s="131"/>
    </row>
    <row r="39" spans="3:7" ht="15" customHeight="1">
      <c r="C39" s="102"/>
      <c r="D39" s="138"/>
      <c r="E39" s="102"/>
      <c r="F39" s="204"/>
      <c r="G39" s="131"/>
    </row>
    <row r="40" spans="3:7" ht="15" customHeight="1">
      <c r="C40" s="102"/>
      <c r="D40" s="138"/>
      <c r="E40" s="102"/>
      <c r="F40" s="204"/>
      <c r="G40" s="131"/>
    </row>
    <row r="41" spans="3:7" ht="15" customHeight="1">
      <c r="C41" s="102"/>
      <c r="D41" s="138"/>
      <c r="E41" s="102"/>
      <c r="F41" s="204"/>
      <c r="G41" s="131"/>
    </row>
    <row r="42" spans="3:7" ht="15" customHeight="1">
      <c r="C42" s="102"/>
      <c r="D42" s="138"/>
      <c r="E42" s="102"/>
      <c r="F42" s="204"/>
      <c r="G42" s="131"/>
    </row>
    <row r="43" spans="3:7" ht="15" customHeight="1">
      <c r="C43" s="102"/>
      <c r="D43" s="138"/>
      <c r="E43" s="102"/>
      <c r="F43" s="204"/>
      <c r="G43" s="131"/>
    </row>
    <row r="44" spans="3:7" ht="15" customHeight="1">
      <c r="C44" s="102"/>
      <c r="D44" s="138"/>
      <c r="E44" s="102"/>
      <c r="F44" s="204"/>
      <c r="G44" s="131"/>
    </row>
    <row r="50" spans="1:3" ht="15" customHeight="1">
      <c r="A50" s="17"/>
      <c r="B50" s="118"/>
      <c r="C50" s="118"/>
    </row>
    <row r="51" spans="1:3" ht="15" customHeight="1">
      <c r="A51" s="135"/>
    </row>
    <row r="52" spans="1:3" ht="15" customHeight="1">
      <c r="A52" s="135"/>
    </row>
    <row r="53" spans="1:3" ht="15" customHeight="1">
      <c r="A53" s="135"/>
    </row>
    <row r="54" spans="1:3" ht="15" customHeight="1">
      <c r="A54" s="135"/>
    </row>
    <row r="55" spans="1:3" ht="15" customHeight="1">
      <c r="A55" s="135"/>
    </row>
    <row r="56" spans="1:3" ht="15" customHeight="1">
      <c r="A56" s="135"/>
    </row>
    <row r="57" spans="1:3" ht="15" customHeight="1">
      <c r="A57" s="135"/>
    </row>
    <row r="58" spans="1:3" ht="15" customHeight="1">
      <c r="A58" s="135"/>
    </row>
    <row r="59" spans="1:3" ht="15" customHeight="1">
      <c r="A59" s="135"/>
    </row>
    <row r="60" spans="1:3" ht="15" customHeight="1">
      <c r="A60" s="135"/>
    </row>
    <row r="61" spans="1:3" ht="15" customHeight="1">
      <c r="A61" s="135"/>
    </row>
    <row r="62" spans="1:3" ht="15" customHeight="1">
      <c r="A62" s="135"/>
    </row>
    <row r="63" spans="1:3" ht="15" customHeight="1">
      <c r="A63" s="135"/>
    </row>
    <row r="64" spans="1:3" ht="15" customHeight="1">
      <c r="A64" s="135"/>
    </row>
    <row r="65" spans="1:1" ht="15" customHeight="1">
      <c r="A65" s="135"/>
    </row>
    <row r="66" spans="1:1" ht="15" customHeight="1">
      <c r="A66" s="135"/>
    </row>
    <row r="67" spans="1:1" ht="15" customHeight="1">
      <c r="A67" s="135"/>
    </row>
    <row r="68" spans="1:1" ht="15" customHeight="1">
      <c r="A68" s="135"/>
    </row>
    <row r="69" spans="1:1" ht="15" customHeight="1">
      <c r="A69" s="135"/>
    </row>
    <row r="70" spans="1:1" ht="15" customHeight="1">
      <c r="A70" s="135"/>
    </row>
    <row r="71" spans="1:1" ht="15" customHeight="1">
      <c r="A71" s="135"/>
    </row>
    <row r="72" spans="1:1" ht="15" customHeight="1">
      <c r="A72" s="135"/>
    </row>
    <row r="73" spans="1:1" ht="15" customHeight="1">
      <c r="A73" s="135"/>
    </row>
    <row r="74" spans="1:1" ht="15" customHeight="1">
      <c r="A74" s="135"/>
    </row>
    <row r="75" spans="1:1" ht="15" customHeight="1">
      <c r="A75" s="135"/>
    </row>
    <row r="76" spans="1:1" ht="15" customHeight="1">
      <c r="A76" s="135"/>
    </row>
    <row r="77" spans="1:1" ht="15" customHeight="1">
      <c r="A77" s="135"/>
    </row>
    <row r="78" spans="1:1" ht="15" customHeight="1">
      <c r="A78" s="135"/>
    </row>
    <row r="79" spans="1:1" ht="15" customHeight="1">
      <c r="A79" s="135"/>
    </row>
    <row r="80" spans="1:1" ht="15" customHeight="1">
      <c r="A80" s="135"/>
    </row>
    <row r="81" spans="1:1" ht="15" customHeight="1">
      <c r="A81" s="135"/>
    </row>
    <row r="82" spans="1:1" ht="15" customHeight="1">
      <c r="A82" s="135"/>
    </row>
    <row r="83" spans="1:1" ht="15" customHeight="1">
      <c r="A83" s="135"/>
    </row>
    <row r="84" spans="1:1" ht="15" customHeight="1">
      <c r="A84" s="135"/>
    </row>
    <row r="85" spans="1:1" ht="15" customHeight="1">
      <c r="A85" s="135"/>
    </row>
    <row r="86" spans="1:1" ht="15" customHeight="1">
      <c r="A86" s="135"/>
    </row>
    <row r="87" spans="1:1" ht="15" customHeight="1">
      <c r="A87" s="135"/>
    </row>
    <row r="88" spans="1:1" ht="15" customHeight="1">
      <c r="A88" s="135"/>
    </row>
    <row r="89" spans="1:1" ht="15" customHeight="1">
      <c r="A89" s="135"/>
    </row>
    <row r="90" spans="1:1" ht="15" customHeight="1">
      <c r="A90" s="135"/>
    </row>
    <row r="91" spans="1:1" ht="15" customHeight="1">
      <c r="A91" s="135"/>
    </row>
    <row r="92" spans="1:1" ht="15" customHeight="1">
      <c r="A92" s="135"/>
    </row>
    <row r="93" spans="1:1" ht="15" customHeight="1">
      <c r="A93" s="135"/>
    </row>
    <row r="94" spans="1:1" ht="15" customHeight="1">
      <c r="A94" s="135"/>
    </row>
    <row r="95" spans="1:1" ht="15" customHeight="1">
      <c r="A95" s="135"/>
    </row>
    <row r="96" spans="1:1" ht="15" customHeight="1">
      <c r="A96" s="135"/>
    </row>
    <row r="97" spans="1:1" ht="15" customHeight="1">
      <c r="A97" s="135"/>
    </row>
    <row r="98" spans="1:1" ht="15" customHeight="1">
      <c r="A98" s="135"/>
    </row>
    <row r="99" spans="1:1" ht="15" customHeight="1">
      <c r="A99" s="135"/>
    </row>
    <row r="100" spans="1:1" ht="15" customHeight="1">
      <c r="A100" s="135"/>
    </row>
    <row r="101" spans="1:1" ht="15" customHeight="1">
      <c r="A101" s="135"/>
    </row>
    <row r="102" spans="1:1" ht="15" customHeight="1">
      <c r="A102" s="135"/>
    </row>
    <row r="103" spans="1:1" ht="15" customHeight="1">
      <c r="A103" s="135"/>
    </row>
    <row r="104" spans="1:1" ht="15" customHeight="1">
      <c r="A104" s="135"/>
    </row>
    <row r="105" spans="1:1" ht="15" customHeight="1">
      <c r="A105" s="135"/>
    </row>
    <row r="106" spans="1:1" ht="15" customHeight="1">
      <c r="A106" s="135"/>
    </row>
    <row r="107" spans="1:1" ht="15" customHeight="1">
      <c r="A107" s="135"/>
    </row>
    <row r="108" spans="1:1" ht="15" customHeight="1">
      <c r="A108" s="135"/>
    </row>
    <row r="109" spans="1:1" ht="15" customHeight="1">
      <c r="A109" s="135"/>
    </row>
    <row r="110" spans="1:1" ht="15" customHeight="1">
      <c r="A110" s="135"/>
    </row>
    <row r="111" spans="1:1" ht="15" customHeight="1">
      <c r="A111" s="135"/>
    </row>
    <row r="112" spans="1:1" ht="15" customHeight="1">
      <c r="A112" s="135"/>
    </row>
    <row r="113" spans="1:1" ht="15" customHeight="1">
      <c r="A113" s="135"/>
    </row>
    <row r="114" spans="1:1" ht="15" customHeight="1">
      <c r="A114" s="135"/>
    </row>
    <row r="115" spans="1:1" ht="15" customHeight="1">
      <c r="A115" s="135"/>
    </row>
    <row r="116" spans="1:1" ht="15" customHeight="1">
      <c r="A116" s="135"/>
    </row>
    <row r="117" spans="1:1" ht="15" customHeight="1">
      <c r="A117" s="135"/>
    </row>
    <row r="118" spans="1:1" ht="15" customHeight="1">
      <c r="A118" s="135"/>
    </row>
    <row r="119" spans="1:1" ht="15" customHeight="1">
      <c r="A119" s="135"/>
    </row>
    <row r="120" spans="1:1" ht="15" customHeight="1">
      <c r="A120" s="135"/>
    </row>
    <row r="121" spans="1:1" ht="15" customHeight="1">
      <c r="A121" s="135"/>
    </row>
    <row r="122" spans="1:1" ht="15" customHeight="1">
      <c r="A122" s="135"/>
    </row>
    <row r="123" spans="1:1" ht="15" customHeight="1">
      <c r="A123" s="135"/>
    </row>
    <row r="124" spans="1:1" ht="15" customHeight="1">
      <c r="A124" s="135"/>
    </row>
    <row r="125" spans="1:1" ht="15" customHeight="1">
      <c r="A125" s="135"/>
    </row>
    <row r="126" spans="1:1" ht="15" customHeight="1">
      <c r="A126" s="135"/>
    </row>
    <row r="127" spans="1:1" ht="15" customHeight="1">
      <c r="A127" s="135"/>
    </row>
    <row r="128" spans="1:1" ht="15" customHeight="1">
      <c r="A128" s="135"/>
    </row>
    <row r="129" spans="1:1" ht="15" customHeight="1">
      <c r="A129" s="135"/>
    </row>
    <row r="130" spans="1:1" ht="15" customHeight="1">
      <c r="A130" s="135"/>
    </row>
    <row r="131" spans="1:1" ht="15" customHeight="1">
      <c r="A131" s="135"/>
    </row>
    <row r="132" spans="1:1" ht="15" customHeight="1">
      <c r="A132" s="135"/>
    </row>
    <row r="133" spans="1:1" ht="15" customHeight="1">
      <c r="A133" s="135"/>
    </row>
    <row r="134" spans="1:1" ht="15" customHeight="1">
      <c r="A134" s="135"/>
    </row>
    <row r="135" spans="1:1" ht="15" customHeight="1">
      <c r="A135" s="135"/>
    </row>
    <row r="136" spans="1:1" ht="15" customHeight="1">
      <c r="A136" s="135"/>
    </row>
    <row r="137" spans="1:1" ht="15" customHeight="1">
      <c r="A137" s="135"/>
    </row>
    <row r="138" spans="1:1" ht="15" customHeight="1">
      <c r="A138" s="135"/>
    </row>
    <row r="139" spans="1:1" ht="15" customHeight="1">
      <c r="A139" s="135"/>
    </row>
    <row r="140" spans="1:1" ht="15" customHeight="1">
      <c r="A140" s="135"/>
    </row>
    <row r="141" spans="1:1" ht="15" customHeight="1">
      <c r="A141" s="135"/>
    </row>
    <row r="142" spans="1:1" ht="15" customHeight="1">
      <c r="A142" s="135"/>
    </row>
    <row r="143" spans="1:1" ht="15" customHeight="1">
      <c r="A143" s="135"/>
    </row>
    <row r="144" spans="1:1" ht="15" customHeight="1">
      <c r="A144" s="135"/>
    </row>
    <row r="145" spans="1:1" ht="15" customHeight="1">
      <c r="A145" s="135"/>
    </row>
    <row r="146" spans="1:1" ht="15" customHeight="1">
      <c r="A146" s="135"/>
    </row>
    <row r="147" spans="1:1" ht="15" customHeight="1">
      <c r="A147" s="135"/>
    </row>
    <row r="148" spans="1:1" ht="15" customHeight="1">
      <c r="A148" s="135"/>
    </row>
    <row r="149" spans="1:1" ht="15" customHeight="1">
      <c r="A149" s="135"/>
    </row>
    <row r="150" spans="1:1" ht="15" customHeight="1">
      <c r="A150" s="135"/>
    </row>
    <row r="151" spans="1:1" ht="15" customHeight="1">
      <c r="A151" s="135"/>
    </row>
    <row r="152" spans="1:1" ht="15" customHeight="1">
      <c r="A152" s="135"/>
    </row>
    <row r="153" spans="1:1" ht="15" customHeight="1">
      <c r="A153" s="135"/>
    </row>
    <row r="154" spans="1:1" ht="15" customHeight="1">
      <c r="A154" s="135"/>
    </row>
    <row r="155" spans="1:1" ht="15" customHeight="1">
      <c r="A155" s="135"/>
    </row>
    <row r="156" spans="1:1" ht="15" customHeight="1">
      <c r="A156" s="135"/>
    </row>
    <row r="157" spans="1:1" ht="15" customHeight="1">
      <c r="A157" s="135"/>
    </row>
    <row r="158" spans="1:1" ht="15" customHeight="1">
      <c r="A158" s="135"/>
    </row>
    <row r="159" spans="1:1" ht="15" customHeight="1">
      <c r="A159" s="135"/>
    </row>
    <row r="160" spans="1:1" ht="15" customHeight="1">
      <c r="A160" s="135"/>
    </row>
    <row r="161" spans="1:1" ht="15" customHeight="1">
      <c r="A161" s="135"/>
    </row>
    <row r="162" spans="1:1" ht="15" customHeight="1">
      <c r="A162" s="135"/>
    </row>
    <row r="163" spans="1:1" ht="15" customHeight="1">
      <c r="A163" s="135"/>
    </row>
    <row r="164" spans="1:1" ht="15" customHeight="1">
      <c r="A164" s="135"/>
    </row>
    <row r="165" spans="1:1" ht="15" customHeight="1">
      <c r="A165" s="135"/>
    </row>
    <row r="166" spans="1:1" ht="15" customHeight="1">
      <c r="A166" s="135"/>
    </row>
    <row r="167" spans="1:1" ht="15" customHeight="1">
      <c r="A167" s="135"/>
    </row>
    <row r="168" spans="1:1" ht="15" customHeight="1">
      <c r="A168" s="135"/>
    </row>
    <row r="169" spans="1:1" ht="15" customHeight="1">
      <c r="A169" s="135"/>
    </row>
    <row r="170" spans="1:1" ht="15" customHeight="1">
      <c r="A170" s="135"/>
    </row>
    <row r="171" spans="1:1" ht="15" customHeight="1">
      <c r="A171" s="135"/>
    </row>
    <row r="172" spans="1:1" ht="15" customHeight="1">
      <c r="A172" s="135"/>
    </row>
    <row r="173" spans="1:1" ht="15" customHeight="1">
      <c r="A173" s="135"/>
    </row>
    <row r="174" spans="1:1" ht="15" customHeight="1">
      <c r="A174" s="135"/>
    </row>
    <row r="175" spans="1:1" ht="15" customHeight="1">
      <c r="A175" s="135"/>
    </row>
    <row r="176" spans="1:1" ht="15" customHeight="1">
      <c r="A176" s="135"/>
    </row>
    <row r="177" spans="1:1" ht="15" customHeight="1">
      <c r="A177" s="135"/>
    </row>
    <row r="178" spans="1:1" ht="15" customHeight="1">
      <c r="A178" s="135"/>
    </row>
    <row r="179" spans="1:1" ht="15" customHeight="1">
      <c r="A179" s="135"/>
    </row>
    <row r="180" spans="1:1" ht="15" customHeight="1">
      <c r="A180" s="135"/>
    </row>
    <row r="181" spans="1:1" ht="15" customHeight="1">
      <c r="A181" s="135"/>
    </row>
    <row r="182" spans="1:1" ht="15" customHeight="1">
      <c r="A182" s="135"/>
    </row>
    <row r="183" spans="1:1" ht="15" customHeight="1">
      <c r="A183" s="135"/>
    </row>
    <row r="184" spans="1:1" ht="15" customHeight="1">
      <c r="A184" s="135"/>
    </row>
    <row r="185" spans="1:1" ht="15" customHeight="1">
      <c r="A185" s="135"/>
    </row>
    <row r="186" spans="1:1" ht="15" customHeight="1">
      <c r="A186" s="135"/>
    </row>
    <row r="187" spans="1:1" ht="15" customHeight="1">
      <c r="A187" s="135"/>
    </row>
    <row r="188" spans="1:1" ht="15" customHeight="1">
      <c r="A188" s="135"/>
    </row>
    <row r="189" spans="1:1" ht="15" customHeight="1">
      <c r="A189" s="135"/>
    </row>
    <row r="190" spans="1:1" ht="15" customHeight="1">
      <c r="A190" s="135"/>
    </row>
    <row r="191" spans="1:1" ht="15" customHeight="1">
      <c r="A191" s="135"/>
    </row>
    <row r="192" spans="1:1" ht="15" customHeight="1">
      <c r="A192" s="135"/>
    </row>
    <row r="193" spans="1:1" ht="15" customHeight="1">
      <c r="A193" s="135"/>
    </row>
    <row r="194" spans="1:1" ht="15" customHeight="1">
      <c r="A194" s="135"/>
    </row>
    <row r="195" spans="1:1" ht="15" customHeight="1">
      <c r="A195" s="135"/>
    </row>
    <row r="196" spans="1:1" ht="15" customHeight="1">
      <c r="A196" s="135"/>
    </row>
    <row r="197" spans="1:1" ht="15" customHeight="1">
      <c r="A197" s="135"/>
    </row>
    <row r="198" spans="1:1" ht="15" customHeight="1">
      <c r="A198" s="135"/>
    </row>
    <row r="199" spans="1:1" ht="15" customHeight="1">
      <c r="A199" s="135"/>
    </row>
    <row r="200" spans="1:1" ht="15" customHeight="1">
      <c r="A200" s="135"/>
    </row>
    <row r="201" spans="1:1" ht="15" customHeight="1">
      <c r="A201" s="135"/>
    </row>
    <row r="202" spans="1:1" ht="15" customHeight="1">
      <c r="A202" s="135"/>
    </row>
    <row r="203" spans="1:1" ht="15" customHeight="1">
      <c r="A203" s="135"/>
    </row>
    <row r="204" spans="1:1" ht="15" customHeight="1">
      <c r="A204" s="135"/>
    </row>
    <row r="205" spans="1:1" ht="15" customHeight="1">
      <c r="A205" s="135"/>
    </row>
    <row r="206" spans="1:1" ht="15" customHeight="1">
      <c r="A206" s="135"/>
    </row>
    <row r="207" spans="1:1" ht="15" customHeight="1">
      <c r="A207" s="135"/>
    </row>
    <row r="208" spans="1:1" ht="15" customHeight="1">
      <c r="A208" s="135"/>
    </row>
    <row r="209" spans="1:1" ht="15" customHeight="1">
      <c r="A209" s="135"/>
    </row>
    <row r="210" spans="1:1" ht="15" customHeight="1">
      <c r="A210" s="135"/>
    </row>
    <row r="211" spans="1:1" ht="15" customHeight="1">
      <c r="A211" s="135"/>
    </row>
    <row r="212" spans="1:1" ht="15" customHeight="1">
      <c r="A212" s="135"/>
    </row>
    <row r="213" spans="1:1" ht="15" customHeight="1">
      <c r="A213" s="135"/>
    </row>
    <row r="214" spans="1:1" ht="15" customHeight="1">
      <c r="A214" s="135"/>
    </row>
    <row r="215" spans="1:1" ht="15" customHeight="1">
      <c r="A215" s="135"/>
    </row>
    <row r="216" spans="1:1" ht="15" customHeight="1">
      <c r="A216" s="135"/>
    </row>
    <row r="217" spans="1:1" ht="15" customHeight="1">
      <c r="A217" s="135"/>
    </row>
    <row r="218" spans="1:1" ht="15" customHeight="1">
      <c r="A218" s="135"/>
    </row>
    <row r="219" spans="1:1" ht="15" customHeight="1">
      <c r="A219" s="135"/>
    </row>
    <row r="220" spans="1:1" ht="15" customHeight="1">
      <c r="A220" s="135"/>
    </row>
    <row r="221" spans="1:1" ht="15" customHeight="1">
      <c r="A221" s="135"/>
    </row>
    <row r="222" spans="1:1" ht="15" customHeight="1">
      <c r="A222" s="135"/>
    </row>
    <row r="223" spans="1:1" ht="15" customHeight="1">
      <c r="A223" s="135"/>
    </row>
    <row r="224" spans="1:1" ht="15" customHeight="1">
      <c r="A224" s="135"/>
    </row>
    <row r="225" spans="1:1" ht="15" customHeight="1">
      <c r="A225" s="135"/>
    </row>
    <row r="226" spans="1:1" ht="15" customHeight="1">
      <c r="A226" s="135"/>
    </row>
    <row r="227" spans="1:1" ht="15" customHeight="1">
      <c r="A227" s="135"/>
    </row>
    <row r="228" spans="1:1" ht="15" customHeight="1">
      <c r="A228" s="135"/>
    </row>
    <row r="229" spans="1:1" ht="15" customHeight="1">
      <c r="A229" s="135"/>
    </row>
    <row r="230" spans="1:1" ht="15" customHeight="1">
      <c r="A230" s="135"/>
    </row>
    <row r="231" spans="1:1" ht="15" customHeight="1">
      <c r="A231" s="135"/>
    </row>
    <row r="232" spans="1:1" ht="15" customHeight="1">
      <c r="A232" s="135"/>
    </row>
    <row r="233" spans="1:1" ht="15" customHeight="1">
      <c r="A233" s="135"/>
    </row>
    <row r="234" spans="1:1" ht="15" customHeight="1">
      <c r="A234" s="135"/>
    </row>
    <row r="235" spans="1:1" ht="15" customHeight="1">
      <c r="A235" s="135"/>
    </row>
    <row r="236" spans="1:1" ht="15" customHeight="1">
      <c r="A236" s="135"/>
    </row>
    <row r="237" spans="1:1" ht="15" customHeight="1">
      <c r="A237" s="135"/>
    </row>
    <row r="238" spans="1:1" ht="15" customHeight="1">
      <c r="A238" s="135"/>
    </row>
    <row r="239" spans="1:1" ht="15" customHeight="1">
      <c r="A239" s="135"/>
    </row>
    <row r="240" spans="1:1" ht="15" customHeight="1">
      <c r="A240" s="135"/>
    </row>
    <row r="241" spans="1:1" ht="15" customHeight="1">
      <c r="A241" s="135"/>
    </row>
    <row r="242" spans="1:1" ht="15" customHeight="1">
      <c r="A242" s="135"/>
    </row>
    <row r="243" spans="1:1" ht="15" customHeight="1">
      <c r="A243" s="135"/>
    </row>
    <row r="244" spans="1:1" ht="15" customHeight="1">
      <c r="A244" s="135"/>
    </row>
    <row r="245" spans="1:1" ht="15" customHeight="1">
      <c r="A245" s="135"/>
    </row>
    <row r="246" spans="1:1" ht="15" customHeight="1">
      <c r="A246" s="135"/>
    </row>
    <row r="247" spans="1:1" ht="15" customHeight="1">
      <c r="A247" s="135"/>
    </row>
    <row r="248" spans="1:1" ht="15" customHeight="1">
      <c r="A248" s="135"/>
    </row>
    <row r="249" spans="1:1" ht="15" customHeight="1">
      <c r="A249" s="135"/>
    </row>
    <row r="250" spans="1:1" ht="15" customHeight="1">
      <c r="A250" s="135"/>
    </row>
    <row r="251" spans="1:1" ht="15" customHeight="1">
      <c r="A251" s="135"/>
    </row>
    <row r="252" spans="1:1" ht="15" customHeight="1">
      <c r="A252" s="135"/>
    </row>
    <row r="253" spans="1:1" ht="15" customHeight="1">
      <c r="A253" s="135"/>
    </row>
    <row r="254" spans="1:1" ht="15" customHeight="1">
      <c r="A254" s="135"/>
    </row>
    <row r="255" spans="1:1" ht="15" customHeight="1">
      <c r="A255" s="135"/>
    </row>
    <row r="256" spans="1:1" ht="15" customHeight="1">
      <c r="A256" s="135"/>
    </row>
    <row r="257" spans="1:1" ht="15" customHeight="1">
      <c r="A257" s="135"/>
    </row>
    <row r="258" spans="1:1" ht="15" customHeight="1">
      <c r="A258" s="135"/>
    </row>
    <row r="259" spans="1:1" ht="15" customHeight="1">
      <c r="A259" s="135"/>
    </row>
    <row r="260" spans="1:1" ht="15" customHeight="1">
      <c r="A260" s="135"/>
    </row>
    <row r="261" spans="1:1" ht="15" customHeight="1">
      <c r="A261" s="135"/>
    </row>
    <row r="262" spans="1:1" ht="15" customHeight="1">
      <c r="A262" s="135"/>
    </row>
    <row r="263" spans="1:1" ht="15" customHeight="1">
      <c r="A263" s="135"/>
    </row>
    <row r="264" spans="1:1" ht="15" customHeight="1">
      <c r="A264" s="135"/>
    </row>
    <row r="265" spans="1:1" ht="15" customHeight="1">
      <c r="A265" s="135"/>
    </row>
    <row r="266" spans="1:1" ht="15" customHeight="1">
      <c r="A266" s="135"/>
    </row>
    <row r="267" spans="1:1" ht="15" customHeight="1">
      <c r="A267" s="135"/>
    </row>
    <row r="268" spans="1:1" ht="15" customHeight="1">
      <c r="A268" s="135"/>
    </row>
    <row r="269" spans="1:1" ht="15" customHeight="1">
      <c r="A269" s="135"/>
    </row>
    <row r="270" spans="1:1" ht="15" customHeight="1">
      <c r="A270" s="135"/>
    </row>
    <row r="271" spans="1:1" ht="15" customHeight="1">
      <c r="A271" s="135"/>
    </row>
    <row r="272" spans="1:1" ht="15" customHeight="1">
      <c r="A272" s="135"/>
    </row>
    <row r="273" spans="1:1" ht="15" customHeight="1">
      <c r="A273" s="135"/>
    </row>
    <row r="274" spans="1:1" ht="15" customHeight="1">
      <c r="A274" s="135"/>
    </row>
    <row r="275" spans="1:1" ht="15" customHeight="1">
      <c r="A275" s="135"/>
    </row>
    <row r="276" spans="1:1" ht="15" customHeight="1">
      <c r="A276" s="135"/>
    </row>
    <row r="277" spans="1:1" ht="15" customHeight="1">
      <c r="A277" s="135"/>
    </row>
    <row r="278" spans="1:1" ht="15" customHeight="1">
      <c r="A278" s="135"/>
    </row>
  </sheetData>
  <sortState ref="M9:M14">
    <sortCondition ref="M9:M14"/>
  </sortState>
  <mergeCells count="3">
    <mergeCell ref="A1:E1"/>
    <mergeCell ref="A2:E2"/>
    <mergeCell ref="A3:E3"/>
  </mergeCells>
  <printOptions horizontalCentered="1"/>
  <pageMargins left="0.7" right="0.7" top="0.75" bottom="0.75" header="0.3" footer="0.3"/>
  <pageSetup scale="77" orientation="portrait" verticalDpi="1200" r:id="rId1"/>
  <headerFooter>
    <oddHeader>&amp;R&amp;"Times New Roman,Regular"&amp;10&amp;A</oddHeader>
    <oddFooter xml:space="preserve">&amp;R&amp;8Case No. 2022-00432
Bluegrass Water’s Response to PSC 2-17
Exhibit PSC 2-17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75"/>
  <sheetViews>
    <sheetView showGridLines="0" tabSelected="1" view="pageLayout" topLeftCell="D1" zoomScaleNormal="70" workbookViewId="0">
      <selection activeCell="K5" sqref="K5"/>
    </sheetView>
  </sheetViews>
  <sheetFormatPr defaultColWidth="23.85546875" defaultRowHeight="12.75"/>
  <cols>
    <col min="1" max="1" width="10.7109375" style="254" customWidth="1"/>
    <col min="2" max="2" width="23.85546875" style="205"/>
    <col min="3" max="3" width="24.7109375" style="205" customWidth="1"/>
    <col min="4" max="4" width="19.140625" style="205" customWidth="1"/>
    <col min="5" max="5" width="23.85546875" style="250"/>
    <col min="6" max="7" width="23.85546875" style="205"/>
    <col min="8" max="8" width="26" style="205" customWidth="1"/>
    <col min="9" max="9" width="22.140625" style="205" customWidth="1"/>
    <col min="10" max="16384" width="23.85546875" style="205"/>
  </cols>
  <sheetData>
    <row r="1" spans="1:11">
      <c r="A1" s="267" t="s">
        <v>430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>
      <c r="A2" s="268" t="s">
        <v>431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>
      <c r="A3" s="267" t="s">
        <v>432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>
      <c r="A4" s="267" t="s">
        <v>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s="209" customFormat="1" ht="38.25">
      <c r="A5" s="206" t="s">
        <v>3</v>
      </c>
      <c r="B5" s="206" t="s">
        <v>433</v>
      </c>
      <c r="C5" s="206" t="s">
        <v>434</v>
      </c>
      <c r="D5" s="206" t="s">
        <v>435</v>
      </c>
      <c r="E5" s="207" t="s">
        <v>436</v>
      </c>
      <c r="F5" s="208" t="s">
        <v>437</v>
      </c>
      <c r="G5" s="208" t="s">
        <v>438</v>
      </c>
      <c r="H5" s="208" t="s">
        <v>258</v>
      </c>
      <c r="I5" s="208" t="s">
        <v>439</v>
      </c>
      <c r="J5" s="206" t="s">
        <v>24</v>
      </c>
    </row>
    <row r="6" spans="1:11" s="209" customFormat="1">
      <c r="A6" s="210" t="s">
        <v>6</v>
      </c>
      <c r="B6" s="210" t="s">
        <v>7</v>
      </c>
      <c r="C6" s="211" t="s">
        <v>8</v>
      </c>
      <c r="D6" s="210" t="s">
        <v>25</v>
      </c>
      <c r="E6" s="210" t="s">
        <v>26</v>
      </c>
      <c r="F6" s="212" t="s">
        <v>46</v>
      </c>
      <c r="G6" s="212" t="s">
        <v>47</v>
      </c>
      <c r="H6" s="212" t="s">
        <v>48</v>
      </c>
      <c r="I6" s="212" t="s">
        <v>49</v>
      </c>
      <c r="J6" s="210" t="s">
        <v>50</v>
      </c>
    </row>
    <row r="7" spans="1:11">
      <c r="A7" s="213">
        <v>1</v>
      </c>
      <c r="B7" s="214" t="s">
        <v>440</v>
      </c>
      <c r="C7" s="214" t="s">
        <v>440</v>
      </c>
      <c r="D7" s="214" t="s">
        <v>5</v>
      </c>
      <c r="E7" s="255"/>
      <c r="F7" s="216">
        <v>274701.46999999997</v>
      </c>
      <c r="G7" s="216">
        <v>125197.95000000001</v>
      </c>
      <c r="H7" s="216">
        <v>-23531.71</v>
      </c>
      <c r="I7" s="215"/>
      <c r="J7" s="215">
        <v>376817.70999999996</v>
      </c>
      <c r="K7" s="217"/>
    </row>
    <row r="8" spans="1:11">
      <c r="A8" s="218">
        <v>2</v>
      </c>
      <c r="B8" s="214" t="s">
        <v>441</v>
      </c>
      <c r="C8" s="214" t="s">
        <v>442</v>
      </c>
      <c r="D8" s="214" t="s">
        <v>5</v>
      </c>
      <c r="E8" s="255"/>
      <c r="F8" s="216"/>
      <c r="G8" s="216">
        <v>79580.320000000007</v>
      </c>
      <c r="H8" s="216">
        <v>-2224.4699999999998</v>
      </c>
      <c r="I8" s="215"/>
      <c r="J8" s="215">
        <v>92355.85</v>
      </c>
      <c r="K8" s="217"/>
    </row>
    <row r="9" spans="1:11">
      <c r="A9" s="218">
        <v>3</v>
      </c>
      <c r="B9" s="214" t="s">
        <v>443</v>
      </c>
      <c r="C9" s="214" t="s">
        <v>443</v>
      </c>
      <c r="D9" s="214" t="s">
        <v>5</v>
      </c>
      <c r="E9" s="255"/>
      <c r="F9" s="216">
        <v>314347.03999999998</v>
      </c>
      <c r="G9" s="216">
        <v>88414.98</v>
      </c>
      <c r="H9" s="216">
        <v>-23687.99</v>
      </c>
      <c r="I9" s="215"/>
      <c r="J9" s="215">
        <v>391846.97</v>
      </c>
      <c r="K9" s="217"/>
    </row>
    <row r="10" spans="1:11">
      <c r="A10" s="218">
        <v>4</v>
      </c>
      <c r="B10" s="214" t="s">
        <v>444</v>
      </c>
      <c r="C10" s="214" t="s">
        <v>444</v>
      </c>
      <c r="D10" s="214" t="s">
        <v>5</v>
      </c>
      <c r="E10" s="255"/>
      <c r="F10" s="216">
        <v>13403</v>
      </c>
      <c r="G10" s="216">
        <v>74703.150000000009</v>
      </c>
      <c r="H10" s="216">
        <v>-1992.41</v>
      </c>
      <c r="I10" s="215"/>
      <c r="J10" s="215">
        <v>91938.74</v>
      </c>
      <c r="K10" s="217"/>
    </row>
    <row r="11" spans="1:11">
      <c r="A11" s="218">
        <v>5</v>
      </c>
      <c r="B11" s="214" t="s">
        <v>445</v>
      </c>
      <c r="C11" s="214" t="s">
        <v>445</v>
      </c>
      <c r="D11" s="214" t="s">
        <v>5</v>
      </c>
      <c r="E11" s="255"/>
      <c r="F11" s="216">
        <v>143469.81</v>
      </c>
      <c r="G11" s="216">
        <v>128354.12000000001</v>
      </c>
      <c r="H11" s="216">
        <v>-15091.73</v>
      </c>
      <c r="I11" s="215"/>
      <c r="J11" s="215">
        <v>259421.24000000002</v>
      </c>
      <c r="K11" s="217"/>
    </row>
    <row r="12" spans="1:11">
      <c r="A12" s="218">
        <v>6</v>
      </c>
      <c r="B12" s="269" t="s">
        <v>446</v>
      </c>
      <c r="C12" s="219" t="s">
        <v>447</v>
      </c>
      <c r="D12" s="219" t="s">
        <v>5</v>
      </c>
      <c r="E12" s="256"/>
      <c r="F12" s="221">
        <v>112825.60000000001</v>
      </c>
      <c r="G12" s="221">
        <v>103379.79999999999</v>
      </c>
      <c r="H12" s="221">
        <v>-13801.6</v>
      </c>
      <c r="I12" s="220"/>
      <c r="J12" s="220">
        <v>205854.86499999999</v>
      </c>
      <c r="K12" s="217"/>
    </row>
    <row r="13" spans="1:11">
      <c r="A13" s="218">
        <v>7</v>
      </c>
      <c r="B13" s="270"/>
      <c r="C13" s="222" t="s">
        <v>448</v>
      </c>
      <c r="D13" s="222" t="s">
        <v>5</v>
      </c>
      <c r="E13" s="257"/>
      <c r="F13" s="224">
        <v>153304.98000000001</v>
      </c>
      <c r="G13" s="224">
        <v>83240.97</v>
      </c>
      <c r="H13" s="224">
        <v>-16107.9</v>
      </c>
      <c r="I13" s="223"/>
      <c r="J13" s="223">
        <v>223889.11500000002</v>
      </c>
      <c r="K13" s="217"/>
    </row>
    <row r="14" spans="1:11">
      <c r="A14" s="218">
        <v>8</v>
      </c>
      <c r="B14" s="214" t="s">
        <v>449</v>
      </c>
      <c r="C14" s="222" t="s">
        <v>449</v>
      </c>
      <c r="D14" s="222" t="s">
        <v>5</v>
      </c>
      <c r="E14" s="257"/>
      <c r="F14" s="224">
        <v>8965.7000000000007</v>
      </c>
      <c r="G14" s="224">
        <v>62042.64</v>
      </c>
      <c r="H14" s="224">
        <v>-1431.7</v>
      </c>
      <c r="I14" s="223"/>
      <c r="J14" s="223">
        <v>84576.639999999999</v>
      </c>
      <c r="K14" s="217"/>
    </row>
    <row r="15" spans="1:11">
      <c r="A15" s="218">
        <v>9</v>
      </c>
      <c r="B15" s="214" t="s">
        <v>450</v>
      </c>
      <c r="C15" s="214" t="s">
        <v>450</v>
      </c>
      <c r="D15" s="214" t="s">
        <v>5</v>
      </c>
      <c r="E15" s="255"/>
      <c r="F15" s="216">
        <v>119540.01</v>
      </c>
      <c r="G15" s="216">
        <v>101398.88</v>
      </c>
      <c r="H15" s="216">
        <v>-22160.43</v>
      </c>
      <c r="I15" s="215"/>
      <c r="J15" s="215">
        <v>303516.46342465753</v>
      </c>
      <c r="K15" s="217"/>
    </row>
    <row r="16" spans="1:11">
      <c r="A16" s="218">
        <v>10</v>
      </c>
      <c r="B16" s="214" t="s">
        <v>451</v>
      </c>
      <c r="C16" s="214" t="s">
        <v>451</v>
      </c>
      <c r="D16" s="214" t="s">
        <v>5</v>
      </c>
      <c r="E16" s="255"/>
      <c r="F16" s="216">
        <v>158669.53999999998</v>
      </c>
      <c r="G16" s="216">
        <v>88734.93</v>
      </c>
      <c r="H16" s="216">
        <v>-16388.509999999998</v>
      </c>
      <c r="I16" s="215"/>
      <c r="J16" s="215">
        <v>233704.99999999997</v>
      </c>
      <c r="K16" s="217"/>
    </row>
    <row r="17" spans="1:12">
      <c r="A17" s="218">
        <v>11</v>
      </c>
      <c r="B17" s="214" t="s">
        <v>452</v>
      </c>
      <c r="C17" s="214" t="s">
        <v>452</v>
      </c>
      <c r="D17" s="214" t="s">
        <v>5</v>
      </c>
      <c r="E17" s="255"/>
      <c r="F17" s="216">
        <v>64104.73</v>
      </c>
      <c r="G17" s="216">
        <v>169480.11999999997</v>
      </c>
      <c r="H17" s="216">
        <v>-51414.79</v>
      </c>
      <c r="I17" s="215">
        <v>-12708.74</v>
      </c>
      <c r="J17" s="215">
        <v>398524.51999999996</v>
      </c>
      <c r="K17" s="217"/>
    </row>
    <row r="18" spans="1:12">
      <c r="A18" s="218">
        <v>12</v>
      </c>
      <c r="B18" s="214" t="s">
        <v>453</v>
      </c>
      <c r="C18" s="214" t="s">
        <v>454</v>
      </c>
      <c r="D18" s="214" t="s">
        <v>5</v>
      </c>
      <c r="E18" s="255"/>
      <c r="F18" s="216"/>
      <c r="G18" s="216">
        <v>66344.39</v>
      </c>
      <c r="H18" s="216">
        <v>-2084.64</v>
      </c>
      <c r="I18" s="215">
        <v>-493.05</v>
      </c>
      <c r="J18" s="215">
        <v>81766.7</v>
      </c>
      <c r="K18" s="217"/>
    </row>
    <row r="19" spans="1:12">
      <c r="A19" s="218">
        <v>13</v>
      </c>
      <c r="B19" s="225" t="s">
        <v>100</v>
      </c>
      <c r="C19" s="214" t="s">
        <v>100</v>
      </c>
      <c r="D19" s="214" t="s">
        <v>5</v>
      </c>
      <c r="E19" s="255"/>
      <c r="F19" s="216">
        <v>161026.5</v>
      </c>
      <c r="G19" s="216">
        <v>248053.25</v>
      </c>
      <c r="H19" s="216">
        <v>-31825.5</v>
      </c>
      <c r="I19" s="215"/>
      <c r="J19" s="215">
        <v>448551.81</v>
      </c>
      <c r="K19" s="217"/>
    </row>
    <row r="20" spans="1:12">
      <c r="A20" s="218">
        <v>14</v>
      </c>
      <c r="B20" s="225" t="s">
        <v>455</v>
      </c>
      <c r="C20" s="214" t="s">
        <v>455</v>
      </c>
      <c r="D20" s="214" t="s">
        <v>5</v>
      </c>
      <c r="E20" s="255"/>
      <c r="F20" s="216">
        <v>13598.48</v>
      </c>
      <c r="G20" s="216">
        <v>90774.07</v>
      </c>
      <c r="H20" s="216">
        <v>-3349.83</v>
      </c>
      <c r="I20" s="215"/>
      <c r="J20" s="215">
        <v>121022.72</v>
      </c>
      <c r="K20" s="217"/>
    </row>
    <row r="21" spans="1:12">
      <c r="A21" s="218">
        <v>15</v>
      </c>
      <c r="B21" s="225" t="s">
        <v>456</v>
      </c>
      <c r="C21" s="214" t="s">
        <v>456</v>
      </c>
      <c r="D21" s="214" t="s">
        <v>5</v>
      </c>
      <c r="E21" s="255"/>
      <c r="F21" s="216">
        <v>293045.73000000004</v>
      </c>
      <c r="G21" s="216">
        <v>99553.19</v>
      </c>
      <c r="H21" s="216">
        <v>-25029.18</v>
      </c>
      <c r="I21" s="215">
        <v>-17542.169999999998</v>
      </c>
      <c r="J21" s="215">
        <v>622461.47155251098</v>
      </c>
      <c r="K21" s="217"/>
    </row>
    <row r="22" spans="1:12">
      <c r="A22" s="218">
        <v>16</v>
      </c>
      <c r="B22" s="214" t="s">
        <v>457</v>
      </c>
      <c r="C22" s="214" t="s">
        <v>457</v>
      </c>
      <c r="D22" s="214" t="s">
        <v>5</v>
      </c>
      <c r="E22" s="255"/>
      <c r="F22" s="216">
        <v>8409.14</v>
      </c>
      <c r="G22" s="216">
        <v>46737.06</v>
      </c>
      <c r="H22" s="216">
        <v>-1050.3599999999999</v>
      </c>
      <c r="I22" s="215"/>
      <c r="J22" s="215">
        <v>69095.839999999997</v>
      </c>
      <c r="K22" s="217"/>
    </row>
    <row r="23" spans="1:12">
      <c r="A23" s="218">
        <v>17</v>
      </c>
      <c r="B23" s="214" t="s">
        <v>458</v>
      </c>
      <c r="C23" s="214" t="s">
        <v>459</v>
      </c>
      <c r="D23" s="214" t="s">
        <v>5</v>
      </c>
      <c r="E23" s="255"/>
      <c r="F23" s="216">
        <v>144439.73000000001</v>
      </c>
      <c r="G23" s="216">
        <v>65764.490000000005</v>
      </c>
      <c r="H23" s="216">
        <v>-8827.02</v>
      </c>
      <c r="I23" s="215"/>
      <c r="J23" s="215">
        <v>203343.3957534247</v>
      </c>
      <c r="K23" s="217"/>
    </row>
    <row r="24" spans="1:12">
      <c r="A24" s="218">
        <v>18</v>
      </c>
      <c r="B24" s="225" t="s">
        <v>99</v>
      </c>
      <c r="C24" s="214" t="s">
        <v>99</v>
      </c>
      <c r="D24" s="214" t="s">
        <v>5</v>
      </c>
      <c r="E24" s="255"/>
      <c r="F24" s="216">
        <v>5855.7000000000007</v>
      </c>
      <c r="G24" s="216">
        <v>62066.65</v>
      </c>
      <c r="H24" s="216">
        <v>-1015.69</v>
      </c>
      <c r="I24" s="215"/>
      <c r="J24" s="215">
        <v>76906.66</v>
      </c>
      <c r="K24" s="217"/>
    </row>
    <row r="25" spans="1:12">
      <c r="A25" s="218">
        <v>19</v>
      </c>
      <c r="B25" s="214" t="s">
        <v>460</v>
      </c>
      <c r="C25" s="214" t="s">
        <v>460</v>
      </c>
      <c r="D25" s="214" t="s">
        <v>5</v>
      </c>
      <c r="E25" s="255"/>
      <c r="F25" s="216">
        <v>63954.929999999978</v>
      </c>
      <c r="G25" s="216">
        <v>73409.59</v>
      </c>
      <c r="H25" s="216">
        <v>-71027.34</v>
      </c>
      <c r="I25" s="215">
        <v>-73555.039999999994</v>
      </c>
      <c r="J25" s="215">
        <v>841782.1399999999</v>
      </c>
      <c r="K25" s="217"/>
    </row>
    <row r="26" spans="1:12">
      <c r="A26" s="218">
        <v>20</v>
      </c>
      <c r="B26" s="214" t="s">
        <v>461</v>
      </c>
      <c r="C26" s="214" t="s">
        <v>461</v>
      </c>
      <c r="D26" s="214" t="s">
        <v>5</v>
      </c>
      <c r="E26" s="255"/>
      <c r="F26" s="216"/>
      <c r="G26" s="216">
        <v>4120</v>
      </c>
      <c r="H26" s="216"/>
      <c r="I26" s="215"/>
      <c r="J26" s="215">
        <v>4121</v>
      </c>
      <c r="K26" s="217"/>
    </row>
    <row r="27" spans="1:12">
      <c r="A27" s="218">
        <v>21</v>
      </c>
      <c r="D27" s="226"/>
      <c r="E27" s="227"/>
      <c r="F27" s="228"/>
      <c r="G27" s="228"/>
      <c r="H27" s="228"/>
      <c r="I27" s="228"/>
      <c r="J27" s="229"/>
      <c r="K27" s="217"/>
    </row>
    <row r="28" spans="1:12">
      <c r="A28" s="218">
        <v>22</v>
      </c>
      <c r="C28" s="226"/>
      <c r="D28" s="226"/>
      <c r="E28" s="227"/>
      <c r="F28" s="228"/>
      <c r="G28" s="228"/>
      <c r="H28" s="228"/>
      <c r="I28" s="228"/>
      <c r="J28" s="229"/>
      <c r="K28" s="217"/>
    </row>
    <row r="29" spans="1:12">
      <c r="A29" s="218">
        <v>23</v>
      </c>
      <c r="D29" s="226"/>
      <c r="E29" s="230">
        <v>1652828.0107305932</v>
      </c>
      <c r="F29" s="230">
        <f t="shared" ref="F29:J29" si="0">SUM(F7:F28)</f>
        <v>2053662.0899999996</v>
      </c>
      <c r="G29" s="230">
        <f t="shared" si="0"/>
        <v>1861350.5499999998</v>
      </c>
      <c r="H29" s="230">
        <f t="shared" si="0"/>
        <v>-332042.8</v>
      </c>
      <c r="I29" s="230">
        <f t="shared" si="0"/>
        <v>-104299</v>
      </c>
      <c r="J29" s="230">
        <f t="shared" si="0"/>
        <v>5131498.8507305933</v>
      </c>
      <c r="K29" s="217"/>
    </row>
    <row r="30" spans="1:12">
      <c r="A30" s="218">
        <f t="shared" ref="A30:A43" si="1">+A29+1</f>
        <v>24</v>
      </c>
      <c r="C30" s="226"/>
      <c r="D30" s="226"/>
      <c r="E30" s="227"/>
      <c r="F30" s="229"/>
      <c r="G30" s="228"/>
      <c r="H30" s="228"/>
      <c r="I30" s="228"/>
      <c r="J30" s="228"/>
      <c r="K30" s="217"/>
    </row>
    <row r="31" spans="1:12">
      <c r="A31" s="218">
        <f t="shared" si="1"/>
        <v>25</v>
      </c>
      <c r="C31" s="226"/>
      <c r="D31" s="226"/>
      <c r="E31" s="227"/>
      <c r="F31" s="229"/>
      <c r="G31" s="228"/>
      <c r="H31" s="228"/>
      <c r="I31" s="228"/>
      <c r="J31" s="228"/>
      <c r="K31" s="229"/>
      <c r="L31" s="217"/>
    </row>
    <row r="32" spans="1:12">
      <c r="A32" s="218">
        <f t="shared" si="1"/>
        <v>26</v>
      </c>
      <c r="C32" s="226"/>
      <c r="D32" s="226"/>
      <c r="E32" s="231"/>
      <c r="F32" s="231"/>
      <c r="G32" s="231"/>
      <c r="H32" s="232"/>
      <c r="I32" s="228"/>
      <c r="J32" s="228"/>
      <c r="K32" s="229"/>
      <c r="L32" s="217"/>
    </row>
    <row r="33" spans="1:12">
      <c r="A33" s="218">
        <f t="shared" si="1"/>
        <v>27</v>
      </c>
      <c r="B33" s="226"/>
      <c r="C33" s="226"/>
      <c r="D33" s="233"/>
      <c r="E33" s="234"/>
      <c r="F33" s="235"/>
      <c r="G33" s="235"/>
      <c r="H33" s="228"/>
      <c r="I33" s="232"/>
      <c r="J33" s="232"/>
      <c r="K33" s="236"/>
      <c r="L33" s="217"/>
    </row>
    <row r="34" spans="1:12">
      <c r="A34" s="218">
        <f t="shared" si="1"/>
        <v>28</v>
      </c>
      <c r="B34" s="226"/>
      <c r="C34" s="226"/>
      <c r="D34" s="233"/>
      <c r="E34" s="234"/>
      <c r="F34" s="235"/>
      <c r="G34" s="235"/>
      <c r="H34" s="228"/>
      <c r="I34" s="232"/>
      <c r="J34" s="237"/>
      <c r="K34" s="238"/>
    </row>
    <row r="35" spans="1:12">
      <c r="A35" s="218">
        <f t="shared" si="1"/>
        <v>29</v>
      </c>
      <c r="C35" s="226"/>
      <c r="D35" s="233"/>
      <c r="E35" s="235"/>
      <c r="F35" s="239"/>
      <c r="G35" s="235"/>
      <c r="H35" s="228"/>
      <c r="I35" s="228"/>
      <c r="J35" s="229"/>
      <c r="K35" s="217"/>
    </row>
    <row r="36" spans="1:12">
      <c r="A36" s="218">
        <f t="shared" si="1"/>
        <v>30</v>
      </c>
      <c r="C36" s="226"/>
      <c r="D36" s="233"/>
      <c r="E36" s="240"/>
      <c r="F36" s="241"/>
      <c r="G36" s="235"/>
      <c r="H36" s="228"/>
      <c r="I36" s="228"/>
      <c r="K36" s="217"/>
    </row>
    <row r="37" spans="1:12">
      <c r="A37" s="218">
        <f t="shared" si="1"/>
        <v>31</v>
      </c>
      <c r="C37" s="226"/>
      <c r="D37" s="226"/>
      <c r="E37" s="227"/>
      <c r="F37" s="229"/>
      <c r="G37" s="228"/>
      <c r="I37" s="228"/>
      <c r="J37" s="229"/>
      <c r="K37" s="217"/>
    </row>
    <row r="38" spans="1:12">
      <c r="A38" s="218">
        <f t="shared" si="1"/>
        <v>32</v>
      </c>
      <c r="C38" s="226"/>
      <c r="D38" s="226"/>
      <c r="E38" s="227"/>
      <c r="F38" s="229"/>
      <c r="G38" s="229"/>
      <c r="I38" s="228"/>
      <c r="J38" s="229"/>
      <c r="K38" s="217"/>
    </row>
    <row r="39" spans="1:12">
      <c r="A39" s="218">
        <f t="shared" si="1"/>
        <v>33</v>
      </c>
      <c r="C39" s="226"/>
      <c r="D39" s="226"/>
      <c r="E39" s="227"/>
      <c r="H39" s="228"/>
      <c r="I39" s="228"/>
      <c r="J39" s="228"/>
      <c r="K39" s="229"/>
      <c r="L39" s="217"/>
    </row>
    <row r="40" spans="1:12">
      <c r="A40" s="218">
        <f t="shared" si="1"/>
        <v>34</v>
      </c>
      <c r="C40" s="226"/>
      <c r="E40" s="242"/>
      <c r="G40" s="228"/>
      <c r="I40" s="228"/>
      <c r="J40" s="228"/>
      <c r="K40" s="229"/>
      <c r="L40" s="217"/>
    </row>
    <row r="41" spans="1:12">
      <c r="A41" s="218">
        <f t="shared" si="1"/>
        <v>35</v>
      </c>
      <c r="C41" s="226"/>
      <c r="E41" s="242"/>
      <c r="I41" s="228"/>
      <c r="J41" s="228"/>
      <c r="K41" s="229"/>
      <c r="L41" s="217"/>
    </row>
    <row r="42" spans="1:12">
      <c r="A42" s="218">
        <f t="shared" si="1"/>
        <v>36</v>
      </c>
      <c r="C42" s="226"/>
      <c r="D42" s="226"/>
      <c r="E42" s="227"/>
      <c r="F42" s="229"/>
      <c r="G42" s="228"/>
      <c r="H42" s="243"/>
      <c r="I42" s="228"/>
      <c r="J42" s="228"/>
      <c r="K42" s="229"/>
      <c r="L42" s="217"/>
    </row>
    <row r="43" spans="1:12">
      <c r="A43" s="218">
        <f t="shared" si="1"/>
        <v>37</v>
      </c>
      <c r="C43" s="226"/>
      <c r="D43" s="226"/>
      <c r="E43" s="227"/>
      <c r="F43" s="229"/>
      <c r="G43" s="228"/>
      <c r="H43" s="228"/>
      <c r="I43" s="228"/>
      <c r="J43" s="228"/>
      <c r="K43" s="229"/>
      <c r="L43" s="217"/>
    </row>
    <row r="44" spans="1:12">
      <c r="A44" s="244"/>
      <c r="C44" s="226"/>
      <c r="D44" s="226"/>
      <c r="E44" s="227"/>
      <c r="F44" s="229"/>
      <c r="G44" s="228"/>
      <c r="H44" s="228"/>
      <c r="I44" s="228"/>
      <c r="J44" s="228"/>
      <c r="K44" s="229"/>
      <c r="L44" s="217"/>
    </row>
    <row r="45" spans="1:12">
      <c r="A45" s="244"/>
      <c r="C45" s="226"/>
      <c r="D45" s="226"/>
      <c r="E45" s="227"/>
      <c r="F45" s="229"/>
      <c r="G45" s="228"/>
      <c r="H45" s="228"/>
      <c r="I45" s="228"/>
      <c r="J45" s="228"/>
      <c r="K45" s="229"/>
      <c r="L45" s="217"/>
    </row>
    <row r="46" spans="1:12">
      <c r="A46" s="244"/>
      <c r="C46" s="226"/>
      <c r="D46" s="226"/>
      <c r="E46" s="227"/>
      <c r="F46" s="229"/>
      <c r="G46" s="243"/>
      <c r="H46" s="243"/>
      <c r="I46" s="228"/>
      <c r="J46" s="228"/>
      <c r="K46" s="229"/>
      <c r="L46" s="217"/>
    </row>
    <row r="47" spans="1:12">
      <c r="A47" s="244"/>
      <c r="D47" s="226"/>
      <c r="E47" s="227"/>
      <c r="F47" s="229"/>
      <c r="G47" s="228"/>
      <c r="H47" s="228"/>
      <c r="I47" s="228"/>
      <c r="J47" s="228"/>
      <c r="K47" s="229"/>
      <c r="L47" s="217"/>
    </row>
    <row r="48" spans="1:12">
      <c r="A48" s="244"/>
      <c r="C48" s="226"/>
      <c r="D48" s="226"/>
      <c r="E48" s="227"/>
      <c r="F48" s="229"/>
      <c r="G48" s="228"/>
      <c r="H48" s="228"/>
      <c r="I48" s="228"/>
      <c r="J48" s="228"/>
      <c r="K48" s="229"/>
      <c r="L48" s="217"/>
    </row>
    <row r="49" spans="1:12">
      <c r="A49" s="244"/>
      <c r="C49" s="226"/>
      <c r="D49" s="226"/>
      <c r="E49" s="227"/>
      <c r="F49" s="229"/>
      <c r="I49" s="228"/>
      <c r="J49" s="228"/>
      <c r="K49" s="229"/>
      <c r="L49" s="217"/>
    </row>
    <row r="50" spans="1:12">
      <c r="A50" s="244"/>
      <c r="C50" s="226"/>
      <c r="D50" s="226"/>
      <c r="E50" s="227"/>
      <c r="F50" s="229"/>
      <c r="G50" s="228"/>
      <c r="H50" s="228"/>
      <c r="I50" s="228"/>
      <c r="J50" s="228"/>
      <c r="K50" s="229"/>
      <c r="L50" s="217"/>
    </row>
    <row r="51" spans="1:12">
      <c r="A51" s="244"/>
      <c r="C51" s="226"/>
      <c r="D51" s="226"/>
      <c r="E51" s="227"/>
      <c r="F51" s="229"/>
      <c r="I51" s="228"/>
      <c r="J51" s="228"/>
      <c r="K51" s="229"/>
      <c r="L51" s="217"/>
    </row>
    <row r="52" spans="1:12">
      <c r="A52" s="244"/>
      <c r="C52" s="226"/>
      <c r="D52" s="226"/>
      <c r="E52" s="227"/>
      <c r="F52" s="229"/>
      <c r="H52" s="228"/>
      <c r="I52" s="228"/>
      <c r="J52" s="228"/>
      <c r="K52" s="229"/>
      <c r="L52" s="217"/>
    </row>
    <row r="53" spans="1:12">
      <c r="A53" s="244"/>
      <c r="C53" s="226"/>
      <c r="D53" s="226"/>
      <c r="E53" s="227"/>
      <c r="F53" s="229"/>
      <c r="G53" s="228"/>
      <c r="H53" s="228"/>
      <c r="I53" s="228"/>
      <c r="J53" s="228"/>
      <c r="K53" s="229"/>
      <c r="L53" s="217"/>
    </row>
    <row r="54" spans="1:12">
      <c r="A54" s="244"/>
      <c r="C54" s="226"/>
      <c r="D54" s="226"/>
      <c r="E54" s="227"/>
      <c r="F54" s="229"/>
      <c r="G54" s="228"/>
      <c r="H54" s="228"/>
      <c r="I54" s="228"/>
      <c r="J54" s="228"/>
      <c r="K54" s="229"/>
      <c r="L54" s="217"/>
    </row>
    <row r="55" spans="1:12">
      <c r="A55" s="244"/>
      <c r="B55" s="226"/>
      <c r="C55" s="226"/>
      <c r="D55" s="226"/>
      <c r="E55" s="227"/>
      <c r="F55" s="229"/>
      <c r="G55" s="228"/>
      <c r="H55" s="228"/>
      <c r="I55" s="228"/>
      <c r="J55" s="228"/>
      <c r="K55" s="229"/>
      <c r="L55" s="217"/>
    </row>
    <row r="56" spans="1:12">
      <c r="A56" s="218"/>
      <c r="C56" s="226"/>
      <c r="D56" s="226"/>
      <c r="E56" s="227"/>
      <c r="F56" s="245"/>
      <c r="G56" s="228"/>
      <c r="H56" s="228"/>
      <c r="I56" s="228"/>
      <c r="J56" s="228"/>
      <c r="K56" s="229"/>
      <c r="L56" s="217"/>
    </row>
    <row r="57" spans="1:12">
      <c r="A57" s="244"/>
      <c r="C57" s="226"/>
      <c r="D57" s="226"/>
      <c r="E57" s="227"/>
      <c r="F57" s="245"/>
      <c r="G57" s="228"/>
      <c r="H57" s="228"/>
      <c r="I57" s="228"/>
      <c r="J57" s="228"/>
      <c r="K57" s="229"/>
      <c r="L57" s="217"/>
    </row>
    <row r="58" spans="1:12">
      <c r="A58" s="244"/>
      <c r="C58" s="226"/>
      <c r="D58" s="226"/>
      <c r="E58" s="227"/>
      <c r="F58" s="245"/>
      <c r="G58" s="228"/>
      <c r="H58" s="228"/>
      <c r="I58" s="228"/>
      <c r="J58" s="228"/>
      <c r="K58" s="229"/>
      <c r="L58" s="217"/>
    </row>
    <row r="59" spans="1:12">
      <c r="A59" s="244"/>
      <c r="B59" s="246"/>
      <c r="C59" s="226"/>
      <c r="D59" s="226"/>
      <c r="E59" s="227"/>
      <c r="F59" s="229"/>
      <c r="G59" s="228"/>
      <c r="H59" s="228"/>
      <c r="I59" s="228"/>
      <c r="J59" s="228"/>
      <c r="K59" s="229"/>
      <c r="L59" s="217"/>
    </row>
    <row r="60" spans="1:12">
      <c r="A60" s="244"/>
      <c r="B60" s="246"/>
      <c r="C60" s="226"/>
      <c r="D60" s="226"/>
      <c r="E60" s="227"/>
      <c r="F60" s="229"/>
      <c r="G60" s="228"/>
      <c r="H60" s="228"/>
      <c r="I60" s="228"/>
      <c r="J60" s="228"/>
      <c r="K60" s="229"/>
      <c r="L60" s="217"/>
    </row>
    <row r="61" spans="1:12">
      <c r="A61" s="244"/>
      <c r="B61" s="246"/>
      <c r="C61" s="226"/>
      <c r="D61" s="226"/>
      <c r="E61" s="227"/>
      <c r="F61" s="229"/>
      <c r="G61" s="228"/>
      <c r="H61" s="228"/>
      <c r="I61" s="228"/>
      <c r="J61" s="228"/>
      <c r="K61" s="229"/>
      <c r="L61" s="217"/>
    </row>
    <row r="62" spans="1:12">
      <c r="A62" s="244"/>
      <c r="B62" s="246"/>
      <c r="C62" s="226"/>
      <c r="D62" s="226"/>
      <c r="E62" s="227"/>
      <c r="F62" s="229"/>
      <c r="G62" s="228"/>
      <c r="H62" s="228"/>
      <c r="I62" s="228"/>
      <c r="J62" s="228"/>
      <c r="K62" s="229"/>
      <c r="L62" s="217"/>
    </row>
    <row r="63" spans="1:12">
      <c r="A63" s="244"/>
      <c r="B63" s="246"/>
      <c r="C63" s="226"/>
      <c r="D63" s="226"/>
      <c r="E63" s="227"/>
      <c r="F63" s="229"/>
      <c r="G63" s="228"/>
      <c r="H63" s="228"/>
      <c r="I63" s="228"/>
      <c r="J63" s="228"/>
      <c r="K63" s="229"/>
      <c r="L63" s="217"/>
    </row>
    <row r="64" spans="1:12">
      <c r="A64" s="244"/>
      <c r="B64" s="246"/>
      <c r="C64" s="226"/>
      <c r="D64" s="226"/>
      <c r="E64" s="227"/>
      <c r="F64" s="229"/>
      <c r="G64" s="228"/>
      <c r="H64" s="228"/>
      <c r="I64" s="228"/>
      <c r="J64" s="228"/>
      <c r="K64" s="229"/>
      <c r="L64" s="217"/>
    </row>
    <row r="65" spans="1:12">
      <c r="A65" s="244"/>
      <c r="B65" s="246"/>
      <c r="C65" s="226"/>
      <c r="D65" s="226"/>
      <c r="E65" s="227"/>
      <c r="F65" s="229"/>
      <c r="G65" s="228"/>
      <c r="H65" s="228"/>
      <c r="I65" s="228"/>
      <c r="J65" s="228"/>
      <c r="K65" s="229"/>
      <c r="L65" s="217"/>
    </row>
    <row r="66" spans="1:12">
      <c r="A66" s="244"/>
      <c r="B66" s="246"/>
      <c r="C66" s="226"/>
      <c r="D66" s="226"/>
      <c r="E66" s="227"/>
      <c r="F66" s="229"/>
      <c r="G66" s="228"/>
      <c r="H66" s="228"/>
      <c r="I66" s="228"/>
      <c r="J66" s="228"/>
      <c r="K66" s="229"/>
      <c r="L66" s="217"/>
    </row>
    <row r="67" spans="1:12">
      <c r="A67" s="244"/>
      <c r="C67" s="226"/>
      <c r="D67" s="226"/>
      <c r="E67" s="227"/>
      <c r="F67" s="245"/>
      <c r="G67" s="228"/>
      <c r="H67" s="228"/>
      <c r="I67" s="228"/>
      <c r="J67" s="228"/>
      <c r="K67" s="229"/>
      <c r="L67" s="217"/>
    </row>
    <row r="68" spans="1:12">
      <c r="A68" s="244"/>
      <c r="C68" s="226"/>
      <c r="D68" s="226"/>
      <c r="E68" s="227"/>
      <c r="F68" s="245"/>
      <c r="G68" s="228"/>
      <c r="H68" s="228"/>
      <c r="I68" s="228"/>
      <c r="J68" s="228"/>
      <c r="K68" s="229"/>
      <c r="L68" s="217"/>
    </row>
    <row r="69" spans="1:12">
      <c r="A69" s="244"/>
      <c r="C69" s="226"/>
      <c r="D69" s="226"/>
      <c r="E69" s="227"/>
      <c r="F69" s="245"/>
      <c r="G69" s="228"/>
      <c r="H69" s="228"/>
      <c r="I69" s="228"/>
      <c r="J69" s="228"/>
      <c r="K69" s="229"/>
      <c r="L69" s="217"/>
    </row>
    <row r="70" spans="1:12">
      <c r="A70" s="244"/>
      <c r="E70" s="247"/>
      <c r="F70" s="248"/>
      <c r="G70" s="249"/>
      <c r="H70" s="249"/>
      <c r="I70" s="249"/>
      <c r="J70" s="249"/>
      <c r="K70" s="229"/>
      <c r="L70" s="217"/>
    </row>
    <row r="71" spans="1:12">
      <c r="A71" s="244"/>
      <c r="K71" s="248"/>
    </row>
    <row r="72" spans="1:12">
      <c r="A72" s="244"/>
      <c r="B72" s="251"/>
    </row>
    <row r="73" spans="1:12">
      <c r="A73" s="244"/>
      <c r="I73" s="252"/>
      <c r="K73" s="253"/>
    </row>
    <row r="74" spans="1:12">
      <c r="A74" s="244"/>
      <c r="J74" s="217"/>
    </row>
    <row r="75" spans="1:12">
      <c r="A75" s="244"/>
      <c r="K75" s="217"/>
    </row>
  </sheetData>
  <mergeCells count="5">
    <mergeCell ref="A1:K1"/>
    <mergeCell ref="A2:K2"/>
    <mergeCell ref="A3:K3"/>
    <mergeCell ref="A4:K4"/>
    <mergeCell ref="B12:B13"/>
  </mergeCells>
  <pageMargins left="0.7" right="0.7" top="0.75" bottom="0.75" header="0.3" footer="0.3"/>
  <pageSetup scale="36" orientation="portrait" verticalDpi="0" r:id="rId1"/>
  <headerFooter>
    <oddHeader>&amp;R&amp;KFF0000REDACTED</oddHeader>
    <oddFooter xml:space="preserve">&amp;R&amp;8Case No. 2022-00432
Bluegrass Water’s Response to PSC 2-17
Exhibit PSC 2-17&amp;11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36"/>
  <sheetViews>
    <sheetView showGridLines="0" view="pageLayout" topLeftCell="E58" zoomScaleNormal="100" zoomScaleSheetLayoutView="100" workbookViewId="0">
      <selection activeCell="L48" sqref="L48"/>
    </sheetView>
  </sheetViews>
  <sheetFormatPr defaultColWidth="9.140625" defaultRowHeight="15"/>
  <cols>
    <col min="1" max="1" width="10.5703125" style="7" customWidth="1"/>
    <col min="2" max="2" width="40.5703125" style="7" customWidth="1"/>
    <col min="3" max="5" width="20.7109375" style="7" customWidth="1"/>
    <col min="6" max="6" width="14.42578125" style="90" bestFit="1" customWidth="1"/>
    <col min="7" max="7" width="12.42578125" style="90" bestFit="1" customWidth="1"/>
    <col min="8" max="8" width="9.140625" style="89"/>
    <col min="9" max="16384" width="9.140625" style="90"/>
  </cols>
  <sheetData>
    <row r="1" spans="1:8" ht="15" customHeight="1">
      <c r="A1" s="262" t="e">
        <f>#REF!</f>
        <v>#REF!</v>
      </c>
      <c r="B1" s="262"/>
      <c r="C1" s="262"/>
      <c r="D1" s="262"/>
      <c r="E1" s="262"/>
      <c r="H1" s="90"/>
    </row>
    <row r="2" spans="1:8" ht="15" customHeight="1">
      <c r="A2" s="262" t="e">
        <f>#REF!</f>
        <v>#REF!</v>
      </c>
      <c r="B2" s="262"/>
      <c r="C2" s="262"/>
      <c r="D2" s="262"/>
      <c r="E2" s="262"/>
      <c r="H2" s="90"/>
    </row>
    <row r="3" spans="1:8" ht="15" customHeight="1">
      <c r="A3" s="262" t="s">
        <v>423</v>
      </c>
      <c r="B3" s="262"/>
      <c r="C3" s="262"/>
      <c r="D3" s="262"/>
      <c r="E3" s="262"/>
      <c r="H3" s="90"/>
    </row>
    <row r="4" spans="1:8" ht="15" customHeight="1">
      <c r="A4" s="262" t="e">
        <f>#REF!</f>
        <v>#REF!</v>
      </c>
      <c r="B4" s="262"/>
      <c r="C4" s="262"/>
      <c r="D4" s="262"/>
      <c r="E4" s="262"/>
      <c r="H4" s="90"/>
    </row>
    <row r="5" spans="1:8" ht="44.25" customHeight="1">
      <c r="A5" s="11" t="s">
        <v>3</v>
      </c>
      <c r="B5" s="14" t="s">
        <v>4</v>
      </c>
      <c r="C5" s="11" t="s">
        <v>22</v>
      </c>
      <c r="D5" s="11" t="s">
        <v>23</v>
      </c>
      <c r="E5" s="11" t="s">
        <v>24</v>
      </c>
      <c r="H5" s="90"/>
    </row>
    <row r="6" spans="1:8" ht="15" customHeight="1">
      <c r="A6" s="2" t="s">
        <v>6</v>
      </c>
      <c r="B6" s="2" t="s">
        <v>7</v>
      </c>
      <c r="C6" s="3" t="s">
        <v>8</v>
      </c>
      <c r="D6" s="3" t="s">
        <v>25</v>
      </c>
      <c r="E6" s="6" t="s">
        <v>26</v>
      </c>
      <c r="F6" s="10"/>
      <c r="H6" s="90"/>
    </row>
    <row r="7" spans="1:8" ht="15" customHeight="1">
      <c r="A7" s="1">
        <v>1</v>
      </c>
      <c r="C7" s="16"/>
      <c r="D7" s="16"/>
      <c r="E7" s="16"/>
      <c r="F7" s="24"/>
      <c r="H7" s="90"/>
    </row>
    <row r="8" spans="1:8" ht="15" customHeight="1">
      <c r="A8" s="1">
        <f>A7+1</f>
        <v>2</v>
      </c>
      <c r="B8" s="7" t="s">
        <v>27</v>
      </c>
      <c r="C8" s="32">
        <f>'BT-4'!D34</f>
        <v>8460922.4600000009</v>
      </c>
      <c r="D8" s="32">
        <f>'BT-4'!E34</f>
        <v>559512</v>
      </c>
      <c r="E8" s="32">
        <f>'BT-4'!F34</f>
        <v>9020434.459999999</v>
      </c>
      <c r="F8" s="91"/>
      <c r="G8" s="92"/>
      <c r="H8" s="90"/>
    </row>
    <row r="9" spans="1:8" ht="15" customHeight="1">
      <c r="A9" s="1">
        <f t="shared" ref="A9:A32" si="0">A8+1</f>
        <v>3</v>
      </c>
      <c r="C9" s="32"/>
      <c r="D9" s="32"/>
      <c r="E9" s="32"/>
      <c r="F9" s="91"/>
      <c r="H9" s="90"/>
    </row>
    <row r="10" spans="1:8" ht="15" customHeight="1">
      <c r="A10" s="1">
        <f t="shared" si="0"/>
        <v>4</v>
      </c>
      <c r="B10" s="7" t="s">
        <v>28</v>
      </c>
      <c r="C10" s="32">
        <f>'BT-5'!D33</f>
        <v>-3134953.6100000003</v>
      </c>
      <c r="D10" s="32">
        <f>'BT-5'!E33</f>
        <v>201430</v>
      </c>
      <c r="E10" s="32">
        <f>'BT-5'!F33</f>
        <v>-2933523.6100000003</v>
      </c>
      <c r="F10" s="91"/>
      <c r="G10" s="93"/>
      <c r="H10" s="90"/>
    </row>
    <row r="11" spans="1:8" ht="15" customHeight="1">
      <c r="A11" s="1">
        <f t="shared" si="0"/>
        <v>5</v>
      </c>
      <c r="C11" s="32"/>
      <c r="D11" s="32"/>
      <c r="E11" s="32"/>
      <c r="F11" s="91"/>
      <c r="H11" s="90"/>
    </row>
    <row r="12" spans="1:8" ht="15" customHeight="1">
      <c r="A12" s="1">
        <f t="shared" si="0"/>
        <v>6</v>
      </c>
      <c r="B12" s="7" t="s">
        <v>29</v>
      </c>
      <c r="C12" s="32">
        <v>0</v>
      </c>
      <c r="D12" s="32">
        <v>0</v>
      </c>
      <c r="E12" s="32">
        <f>C12+D12</f>
        <v>0</v>
      </c>
      <c r="F12" s="91"/>
      <c r="H12" s="90"/>
    </row>
    <row r="13" spans="1:8" ht="15" customHeight="1">
      <c r="A13" s="1">
        <f t="shared" si="0"/>
        <v>7</v>
      </c>
      <c r="C13" s="32"/>
      <c r="D13" s="32"/>
      <c r="E13" s="32"/>
      <c r="F13" s="91"/>
      <c r="H13" s="90"/>
    </row>
    <row r="14" spans="1:8" ht="15" customHeight="1">
      <c r="A14" s="1">
        <f t="shared" si="0"/>
        <v>8</v>
      </c>
      <c r="B14" s="7" t="s">
        <v>30</v>
      </c>
      <c r="C14" s="94">
        <v>0</v>
      </c>
      <c r="D14" s="94">
        <v>0</v>
      </c>
      <c r="E14" s="94">
        <f>C14+D14</f>
        <v>0</v>
      </c>
      <c r="F14" s="95"/>
      <c r="H14" s="90"/>
    </row>
    <row r="15" spans="1:8" ht="15" customHeight="1">
      <c r="A15" s="1">
        <f t="shared" si="0"/>
        <v>9</v>
      </c>
      <c r="C15" s="94"/>
      <c r="D15" s="94"/>
      <c r="E15" s="94"/>
      <c r="F15" s="95"/>
      <c r="H15" s="90"/>
    </row>
    <row r="16" spans="1:8" ht="15" customHeight="1">
      <c r="A16" s="1">
        <f t="shared" si="0"/>
        <v>10</v>
      </c>
      <c r="B16" s="7" t="s">
        <v>31</v>
      </c>
      <c r="C16" s="96">
        <f>SUM(C8:C14)</f>
        <v>5325968.8500000006</v>
      </c>
      <c r="D16" s="96">
        <f>SUM(D8:D14)</f>
        <v>760942</v>
      </c>
      <c r="E16" s="96">
        <f>SUM(E8:E14)</f>
        <v>6086910.8499999987</v>
      </c>
      <c r="F16" s="95"/>
      <c r="H16" s="90"/>
    </row>
    <row r="17" spans="1:9" ht="15" customHeight="1">
      <c r="A17" s="1">
        <f t="shared" si="0"/>
        <v>11</v>
      </c>
      <c r="C17" s="94"/>
      <c r="D17" s="94"/>
      <c r="E17" s="94"/>
      <c r="F17" s="95"/>
      <c r="H17" s="90"/>
    </row>
    <row r="18" spans="1:9" ht="15" customHeight="1">
      <c r="A18" s="1">
        <f t="shared" si="0"/>
        <v>12</v>
      </c>
      <c r="B18" s="17" t="s">
        <v>32</v>
      </c>
      <c r="C18" s="94"/>
      <c r="D18" s="94"/>
      <c r="E18" s="94"/>
      <c r="F18" s="95"/>
      <c r="H18" s="90"/>
    </row>
    <row r="19" spans="1:9" ht="15" customHeight="1">
      <c r="A19" s="1">
        <f t="shared" si="0"/>
        <v>13</v>
      </c>
      <c r="B19" s="7" t="s">
        <v>33</v>
      </c>
      <c r="C19" s="94">
        <f>'BT-7'!D12</f>
        <v>-104299</v>
      </c>
      <c r="D19" s="94">
        <v>0</v>
      </c>
      <c r="E19" s="94">
        <f>C19+D19</f>
        <v>-104299</v>
      </c>
      <c r="F19" s="95"/>
      <c r="G19" s="92"/>
      <c r="H19" s="90"/>
    </row>
    <row r="20" spans="1:9" ht="15" customHeight="1">
      <c r="A20" s="1">
        <f t="shared" si="0"/>
        <v>14</v>
      </c>
      <c r="C20" s="94"/>
      <c r="D20" s="94"/>
      <c r="E20" s="94"/>
      <c r="F20" s="95"/>
      <c r="G20" s="97"/>
      <c r="H20" s="90"/>
    </row>
    <row r="21" spans="1:9" ht="15" customHeight="1">
      <c r="A21" s="1">
        <f t="shared" si="0"/>
        <v>15</v>
      </c>
      <c r="B21" s="7" t="s">
        <v>34</v>
      </c>
      <c r="C21" s="98">
        <f>SUM(C19:C19)</f>
        <v>-104299</v>
      </c>
      <c r="D21" s="98">
        <f>SUM(D19:D19)</f>
        <v>0</v>
      </c>
      <c r="E21" s="98">
        <f>SUM(E19:E19)</f>
        <v>-104299</v>
      </c>
      <c r="F21" s="95"/>
      <c r="H21" s="90"/>
    </row>
    <row r="22" spans="1:9" ht="15" customHeight="1">
      <c r="A22" s="1">
        <f t="shared" si="0"/>
        <v>16</v>
      </c>
      <c r="C22" s="94"/>
      <c r="D22" s="94"/>
      <c r="E22" s="94"/>
      <c r="F22" s="95"/>
      <c r="H22" s="90"/>
    </row>
    <row r="23" spans="1:9" ht="15" customHeight="1">
      <c r="A23" s="1">
        <f t="shared" si="0"/>
        <v>17</v>
      </c>
      <c r="B23" s="17" t="s">
        <v>35</v>
      </c>
      <c r="C23" s="94"/>
      <c r="D23" s="94"/>
      <c r="E23" s="94"/>
      <c r="F23" s="95"/>
      <c r="H23" s="90"/>
    </row>
    <row r="24" spans="1:9" ht="15" customHeight="1">
      <c r="A24" s="1">
        <f t="shared" si="0"/>
        <v>18</v>
      </c>
      <c r="B24" s="7" t="s">
        <v>36</v>
      </c>
      <c r="C24" s="94">
        <v>0</v>
      </c>
      <c r="D24" s="94">
        <f>'BT-8'!E10</f>
        <v>225897.88775409872</v>
      </c>
      <c r="E24" s="94">
        <f>C24+D24</f>
        <v>225897.88775409872</v>
      </c>
      <c r="F24" s="95"/>
      <c r="H24" s="90"/>
    </row>
    <row r="25" spans="1:9" ht="15" customHeight="1">
      <c r="A25" s="1">
        <f t="shared" si="0"/>
        <v>19</v>
      </c>
      <c r="B25" s="7" t="s">
        <v>37</v>
      </c>
      <c r="C25" s="94">
        <v>0</v>
      </c>
      <c r="D25" s="94">
        <f>'BT-12'!F14</f>
        <v>179557.99</v>
      </c>
      <c r="E25" s="94">
        <f>C25+D25</f>
        <v>179557.99</v>
      </c>
      <c r="F25" s="95"/>
      <c r="H25" s="90"/>
    </row>
    <row r="26" spans="1:9" ht="15" customHeight="1">
      <c r="A26" s="1">
        <f t="shared" si="0"/>
        <v>20</v>
      </c>
      <c r="C26" s="94"/>
      <c r="D26" s="94"/>
      <c r="E26" s="94"/>
      <c r="F26" s="95"/>
      <c r="H26" s="90"/>
    </row>
    <row r="27" spans="1:9" ht="15" customHeight="1">
      <c r="A27" s="1">
        <f t="shared" si="0"/>
        <v>21</v>
      </c>
      <c r="B27" s="7" t="s">
        <v>34</v>
      </c>
      <c r="C27" s="98">
        <f>SUM(C24:C25)</f>
        <v>0</v>
      </c>
      <c r="D27" s="98">
        <f>SUM(D24:D25)</f>
        <v>405455.87775409874</v>
      </c>
      <c r="E27" s="98">
        <f>SUM(E24:E25)</f>
        <v>405455.87775409874</v>
      </c>
      <c r="F27" s="95"/>
      <c r="H27" s="90"/>
    </row>
    <row r="28" spans="1:9" ht="15" customHeight="1">
      <c r="A28" s="1">
        <f t="shared" si="0"/>
        <v>22</v>
      </c>
      <c r="C28" s="94"/>
      <c r="D28" s="94"/>
      <c r="E28" s="94"/>
      <c r="F28" s="95"/>
      <c r="H28" s="90"/>
    </row>
    <row r="29" spans="1:9" s="101" customFormat="1" ht="15" customHeight="1" thickBot="1">
      <c r="A29" s="1">
        <f t="shared" si="0"/>
        <v>23</v>
      </c>
      <c r="B29" s="17" t="s">
        <v>9</v>
      </c>
      <c r="C29" s="99">
        <f>C16+C21+C27</f>
        <v>5221669.8500000006</v>
      </c>
      <c r="D29" s="99">
        <f>D16+D21+D27</f>
        <v>1166397.8777540987</v>
      </c>
      <c r="E29" s="99">
        <f>E16+E21+E27</f>
        <v>6388067.7277540974</v>
      </c>
      <c r="F29" s="100"/>
      <c r="I29" s="181"/>
    </row>
    <row r="30" spans="1:9" ht="15" customHeight="1" thickTop="1">
      <c r="A30" s="1">
        <f t="shared" si="0"/>
        <v>24</v>
      </c>
      <c r="C30" s="94"/>
      <c r="D30" s="94"/>
      <c r="E30" s="94"/>
      <c r="F30" s="95"/>
      <c r="H30" s="90"/>
    </row>
    <row r="31" spans="1:9" ht="15" customHeight="1">
      <c r="A31" s="1">
        <f t="shared" si="0"/>
        <v>25</v>
      </c>
      <c r="C31" s="102"/>
      <c r="D31" s="102"/>
      <c r="E31" s="102"/>
      <c r="F31" s="95"/>
      <c r="H31" s="90"/>
    </row>
    <row r="32" spans="1:9" ht="15" customHeight="1">
      <c r="A32" s="1">
        <f t="shared" si="0"/>
        <v>26</v>
      </c>
      <c r="C32" s="103"/>
      <c r="D32" s="103"/>
      <c r="E32" s="103"/>
      <c r="F32" s="95"/>
      <c r="H32" s="90"/>
    </row>
    <row r="33" spans="1:8" ht="15" customHeight="1">
      <c r="A33" s="1"/>
      <c r="H33" s="90"/>
    </row>
    <row r="34" spans="1:8" ht="15" customHeight="1">
      <c r="A34" s="1"/>
      <c r="H34" s="90"/>
    </row>
    <row r="35" spans="1:8" ht="15" customHeight="1">
      <c r="A35" s="1"/>
      <c r="H35" s="90"/>
    </row>
    <row r="36" spans="1:8" ht="15" customHeight="1">
      <c r="A36" s="1"/>
      <c r="H36" s="90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80" orientation="portrait" verticalDpi="300" r:id="rId1"/>
  <headerFooter>
    <oddHeader>&amp;R&amp;"Times New Roman,Regular"&amp;10&amp;A</oddHeader>
    <oddFooter xml:space="preserve">&amp;R&amp;8Case No. 2022-00432
Bluegrass Water’s Response to PSC 2-17
Exhibit PSC 2-17&amp;11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5"/>
  <sheetViews>
    <sheetView showGridLines="0" view="pageLayout" topLeftCell="D46" zoomScaleNormal="85" zoomScaleSheetLayoutView="85" workbookViewId="0">
      <selection activeCell="G58" sqref="G58"/>
    </sheetView>
  </sheetViews>
  <sheetFormatPr defaultColWidth="9.140625" defaultRowHeight="15" customHeight="1"/>
  <cols>
    <col min="1" max="2" width="10.5703125" style="1" customWidth="1"/>
    <col min="3" max="3" width="44" style="7" bestFit="1" customWidth="1"/>
    <col min="4" max="4" width="49.42578125" style="7" bestFit="1" customWidth="1"/>
    <col min="5" max="11" width="15.7109375" style="7" customWidth="1"/>
    <col min="12" max="12" width="48.140625" style="7" bestFit="1" customWidth="1"/>
    <col min="13" max="13" width="11" style="7" bestFit="1" customWidth="1"/>
    <col min="14" max="16384" width="9.140625" style="7"/>
  </cols>
  <sheetData>
    <row r="1" spans="1:11" ht="15" customHeight="1">
      <c r="A1" s="262" t="e">
        <f>#REF!</f>
        <v>#REF!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5" customHeight="1">
      <c r="A2" s="262" t="e">
        <f>#REF!</f>
        <v>#REF!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5" customHeight="1">
      <c r="A3" s="263" t="s">
        <v>418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s="140" customFormat="1" ht="36" customHeight="1">
      <c r="A4" s="261" t="s">
        <v>3</v>
      </c>
      <c r="B4" s="261" t="s">
        <v>38</v>
      </c>
      <c r="C4" s="261" t="s">
        <v>39</v>
      </c>
      <c r="D4" s="261" t="s">
        <v>40</v>
      </c>
      <c r="E4" s="261" t="s">
        <v>41</v>
      </c>
      <c r="F4" s="261" t="s">
        <v>42</v>
      </c>
      <c r="G4" s="261" t="s">
        <v>43</v>
      </c>
      <c r="H4" s="265" t="s">
        <v>44</v>
      </c>
      <c r="I4" s="265"/>
      <c r="J4" s="265"/>
      <c r="K4" s="261" t="s">
        <v>45</v>
      </c>
    </row>
    <row r="5" spans="1:11" s="140" customFormat="1" ht="15" customHeight="1">
      <c r="A5" s="264"/>
      <c r="B5" s="264"/>
      <c r="C5" s="264"/>
      <c r="D5" s="264"/>
      <c r="E5" s="264"/>
      <c r="F5" s="264"/>
      <c r="G5" s="264"/>
      <c r="H5" s="10">
        <v>2023</v>
      </c>
      <c r="I5" s="10">
        <v>2024</v>
      </c>
      <c r="J5" s="10">
        <v>2025</v>
      </c>
      <c r="K5" s="264"/>
    </row>
    <row r="6" spans="1:11" ht="15" customHeight="1">
      <c r="A6" s="2" t="s">
        <v>6</v>
      </c>
      <c r="B6" s="2" t="s">
        <v>7</v>
      </c>
      <c r="C6" s="3" t="s">
        <v>8</v>
      </c>
      <c r="D6" s="3" t="s">
        <v>25</v>
      </c>
      <c r="E6" s="6" t="s">
        <v>26</v>
      </c>
      <c r="F6" s="6" t="s">
        <v>26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</row>
    <row r="7" spans="1:11" ht="15" customHeight="1">
      <c r="A7" s="1">
        <v>1</v>
      </c>
      <c r="C7" s="17"/>
      <c r="D7" s="17"/>
      <c r="E7" s="17"/>
      <c r="F7" s="17"/>
      <c r="G7" s="17"/>
      <c r="H7" s="17"/>
      <c r="K7" s="17"/>
    </row>
    <row r="8" spans="1:11" ht="15" customHeight="1">
      <c r="A8" s="1">
        <f>A7+1</f>
        <v>2</v>
      </c>
      <c r="C8" s="151" t="s">
        <v>51</v>
      </c>
      <c r="E8" s="152"/>
      <c r="F8" s="152"/>
      <c r="G8" s="152"/>
      <c r="H8" s="137"/>
      <c r="I8" s="137"/>
      <c r="J8" s="137"/>
      <c r="K8" s="137"/>
    </row>
    <row r="9" spans="1:11" ht="15" customHeight="1">
      <c r="A9" s="1">
        <f t="shared" ref="A9:A54" si="0">A8+1</f>
        <v>3</v>
      </c>
      <c r="B9" s="44" t="s">
        <v>52</v>
      </c>
      <c r="C9" s="7" t="s">
        <v>53</v>
      </c>
      <c r="D9" s="7" t="s">
        <v>54</v>
      </c>
      <c r="E9" s="152">
        <v>45169</v>
      </c>
      <c r="F9" s="152">
        <v>45473</v>
      </c>
      <c r="G9" s="137">
        <v>74300</v>
      </c>
      <c r="H9" s="137">
        <f>$G9*(12-MONTH(E9))/(ROUND((F9-E9)/30,0))</f>
        <v>29720</v>
      </c>
      <c r="I9" s="137">
        <f>G9-H9</f>
        <v>44580</v>
      </c>
      <c r="J9" s="137">
        <v>0</v>
      </c>
      <c r="K9" s="137">
        <v>0</v>
      </c>
    </row>
    <row r="10" spans="1:11" ht="15" customHeight="1">
      <c r="A10" s="1">
        <f t="shared" si="0"/>
        <v>4</v>
      </c>
      <c r="B10" s="44" t="s">
        <v>55</v>
      </c>
      <c r="C10" s="7" t="s">
        <v>53</v>
      </c>
      <c r="D10" s="7" t="s">
        <v>56</v>
      </c>
      <c r="E10" s="152">
        <v>45169</v>
      </c>
      <c r="F10" s="152">
        <v>45473</v>
      </c>
      <c r="G10" s="137">
        <v>1500</v>
      </c>
      <c r="H10" s="137">
        <f t="shared" ref="H10:H22" si="1">$G10*(12-MONTH(E10))/(ROUND((F10-E10)/30,0))</f>
        <v>600</v>
      </c>
      <c r="I10" s="137">
        <f t="shared" ref="I10:I22" si="2">G10-H10</f>
        <v>900</v>
      </c>
      <c r="J10" s="137">
        <v>0</v>
      </c>
      <c r="K10" s="137">
        <v>0</v>
      </c>
    </row>
    <row r="11" spans="1:11" ht="15" customHeight="1">
      <c r="A11" s="1">
        <f t="shared" si="0"/>
        <v>5</v>
      </c>
      <c r="B11" s="44" t="s">
        <v>52</v>
      </c>
      <c r="C11" s="7" t="s">
        <v>53</v>
      </c>
      <c r="D11" s="7" t="s">
        <v>57</v>
      </c>
      <c r="E11" s="152">
        <v>45169</v>
      </c>
      <c r="F11" s="152">
        <v>45473</v>
      </c>
      <c r="G11" s="137">
        <v>10000</v>
      </c>
      <c r="H11" s="137">
        <f t="shared" si="1"/>
        <v>4000</v>
      </c>
      <c r="I11" s="137">
        <f t="shared" si="2"/>
        <v>6000</v>
      </c>
      <c r="J11" s="137">
        <v>0</v>
      </c>
      <c r="K11" s="137">
        <v>0</v>
      </c>
    </row>
    <row r="12" spans="1:11" ht="15" customHeight="1">
      <c r="A12" s="1">
        <f t="shared" si="0"/>
        <v>6</v>
      </c>
      <c r="B12" s="44" t="s">
        <v>52</v>
      </c>
      <c r="C12" s="7" t="s">
        <v>53</v>
      </c>
      <c r="D12" s="7" t="s">
        <v>58</v>
      </c>
      <c r="E12" s="152">
        <v>45169</v>
      </c>
      <c r="F12" s="152">
        <v>45473</v>
      </c>
      <c r="G12" s="137">
        <v>98500</v>
      </c>
      <c r="H12" s="137">
        <f t="shared" si="1"/>
        <v>39400</v>
      </c>
      <c r="I12" s="137">
        <f t="shared" si="2"/>
        <v>59100</v>
      </c>
      <c r="J12" s="137">
        <v>0</v>
      </c>
      <c r="K12" s="137">
        <v>0</v>
      </c>
    </row>
    <row r="13" spans="1:11" ht="15" customHeight="1">
      <c r="A13" s="1">
        <f t="shared" si="0"/>
        <v>7</v>
      </c>
      <c r="B13" s="44" t="s">
        <v>55</v>
      </c>
      <c r="C13" s="7" t="s">
        <v>53</v>
      </c>
      <c r="D13" s="7" t="s">
        <v>59</v>
      </c>
      <c r="E13" s="152">
        <v>45169</v>
      </c>
      <c r="F13" s="152">
        <v>45473</v>
      </c>
      <c r="G13" s="137">
        <v>20000</v>
      </c>
      <c r="H13" s="137">
        <f t="shared" si="1"/>
        <v>8000</v>
      </c>
      <c r="I13" s="137">
        <f t="shared" si="2"/>
        <v>12000</v>
      </c>
      <c r="J13" s="137">
        <v>0</v>
      </c>
      <c r="K13" s="137">
        <v>0</v>
      </c>
    </row>
    <row r="14" spans="1:11" ht="15" customHeight="1">
      <c r="A14" s="1">
        <f t="shared" si="0"/>
        <v>8</v>
      </c>
      <c r="B14" s="44" t="s">
        <v>52</v>
      </c>
      <c r="C14" s="7" t="s">
        <v>60</v>
      </c>
      <c r="D14" s="7" t="s">
        <v>61</v>
      </c>
      <c r="E14" s="152">
        <v>45169</v>
      </c>
      <c r="F14" s="152">
        <v>45473</v>
      </c>
      <c r="G14" s="137">
        <v>17250</v>
      </c>
      <c r="H14" s="137">
        <f t="shared" si="1"/>
        <v>6900</v>
      </c>
      <c r="I14" s="137">
        <f t="shared" si="2"/>
        <v>10350</v>
      </c>
      <c r="J14" s="137">
        <v>0</v>
      </c>
      <c r="K14" s="137">
        <v>0</v>
      </c>
    </row>
    <row r="15" spans="1:11" ht="15" customHeight="1">
      <c r="A15" s="1">
        <f t="shared" si="0"/>
        <v>9</v>
      </c>
      <c r="B15" s="44" t="s">
        <v>55</v>
      </c>
      <c r="C15" s="7" t="s">
        <v>60</v>
      </c>
      <c r="D15" s="7" t="s">
        <v>62</v>
      </c>
      <c r="E15" s="152">
        <v>45169</v>
      </c>
      <c r="F15" s="152">
        <v>45473</v>
      </c>
      <c r="G15" s="137">
        <v>5000</v>
      </c>
      <c r="H15" s="137">
        <f t="shared" si="1"/>
        <v>2000</v>
      </c>
      <c r="I15" s="137">
        <f t="shared" si="2"/>
        <v>3000</v>
      </c>
      <c r="J15" s="137">
        <v>0</v>
      </c>
      <c r="K15" s="137">
        <v>0</v>
      </c>
    </row>
    <row r="16" spans="1:11" ht="15" customHeight="1">
      <c r="A16" s="1">
        <f t="shared" si="0"/>
        <v>10</v>
      </c>
      <c r="B16" s="44" t="s">
        <v>55</v>
      </c>
      <c r="C16" s="7" t="s">
        <v>63</v>
      </c>
      <c r="D16" s="7" t="s">
        <v>64</v>
      </c>
      <c r="E16" s="152">
        <v>45169</v>
      </c>
      <c r="F16" s="152">
        <v>45473</v>
      </c>
      <c r="G16" s="137">
        <v>16700</v>
      </c>
      <c r="H16" s="137">
        <f t="shared" si="1"/>
        <v>6680</v>
      </c>
      <c r="I16" s="137">
        <f t="shared" si="2"/>
        <v>10020</v>
      </c>
      <c r="J16" s="137">
        <v>0</v>
      </c>
      <c r="K16" s="137">
        <v>0</v>
      </c>
    </row>
    <row r="17" spans="1:13" ht="15" customHeight="1">
      <c r="A17" s="1">
        <f t="shared" si="0"/>
        <v>11</v>
      </c>
      <c r="B17" s="44" t="s">
        <v>55</v>
      </c>
      <c r="C17" s="141" t="s">
        <v>63</v>
      </c>
      <c r="D17" s="141" t="s">
        <v>65</v>
      </c>
      <c r="E17" s="152">
        <v>45169</v>
      </c>
      <c r="F17" s="152">
        <v>45473</v>
      </c>
      <c r="G17" s="137">
        <v>15000</v>
      </c>
      <c r="H17" s="137">
        <f t="shared" si="1"/>
        <v>6000</v>
      </c>
      <c r="I17" s="137">
        <f t="shared" si="2"/>
        <v>9000</v>
      </c>
      <c r="J17" s="137">
        <v>0</v>
      </c>
      <c r="K17" s="137">
        <v>0</v>
      </c>
    </row>
    <row r="18" spans="1:13" ht="15" customHeight="1">
      <c r="A18" s="1">
        <f t="shared" si="0"/>
        <v>12</v>
      </c>
      <c r="B18" s="44" t="s">
        <v>52</v>
      </c>
      <c r="C18" s="141" t="s">
        <v>63</v>
      </c>
      <c r="D18" s="141" t="s">
        <v>66</v>
      </c>
      <c r="E18" s="152">
        <v>45169</v>
      </c>
      <c r="F18" s="152">
        <v>45473</v>
      </c>
      <c r="G18" s="137">
        <v>6000</v>
      </c>
      <c r="H18" s="137">
        <f t="shared" si="1"/>
        <v>2400</v>
      </c>
      <c r="I18" s="137">
        <f t="shared" si="2"/>
        <v>3600</v>
      </c>
      <c r="J18" s="137">
        <v>0</v>
      </c>
      <c r="K18" s="137">
        <v>0</v>
      </c>
    </row>
    <row r="19" spans="1:13" ht="15" customHeight="1">
      <c r="A19" s="1">
        <f t="shared" si="0"/>
        <v>13</v>
      </c>
      <c r="B19" s="44" t="s">
        <v>52</v>
      </c>
      <c r="C19" s="141" t="s">
        <v>63</v>
      </c>
      <c r="D19" s="141" t="s">
        <v>67</v>
      </c>
      <c r="E19" s="152">
        <v>45169</v>
      </c>
      <c r="F19" s="152">
        <v>45473</v>
      </c>
      <c r="G19" s="137">
        <v>10000</v>
      </c>
      <c r="H19" s="137">
        <f t="shared" si="1"/>
        <v>4000</v>
      </c>
      <c r="I19" s="137">
        <f t="shared" si="2"/>
        <v>6000</v>
      </c>
      <c r="J19" s="137">
        <v>0</v>
      </c>
      <c r="K19" s="137">
        <v>0</v>
      </c>
    </row>
    <row r="20" spans="1:13" ht="15" customHeight="1">
      <c r="A20" s="1">
        <f t="shared" si="0"/>
        <v>14</v>
      </c>
      <c r="B20" s="44" t="s">
        <v>55</v>
      </c>
      <c r="C20" s="141" t="s">
        <v>63</v>
      </c>
      <c r="D20" s="141" t="s">
        <v>68</v>
      </c>
      <c r="E20" s="152">
        <v>45169</v>
      </c>
      <c r="F20" s="152">
        <v>45473</v>
      </c>
      <c r="G20" s="137">
        <v>3000</v>
      </c>
      <c r="H20" s="137">
        <f t="shared" si="1"/>
        <v>1200</v>
      </c>
      <c r="I20" s="137">
        <f t="shared" si="2"/>
        <v>1800</v>
      </c>
      <c r="J20" s="137">
        <v>0</v>
      </c>
      <c r="K20" s="137">
        <v>0</v>
      </c>
      <c r="L20" s="141"/>
      <c r="M20" s="145"/>
    </row>
    <row r="21" spans="1:13" ht="15" customHeight="1">
      <c r="A21" s="1">
        <f t="shared" si="0"/>
        <v>15</v>
      </c>
      <c r="B21" s="44" t="s">
        <v>69</v>
      </c>
      <c r="C21" s="141" t="s">
        <v>63</v>
      </c>
      <c r="D21" s="141" t="s">
        <v>70</v>
      </c>
      <c r="E21" s="152">
        <v>45169</v>
      </c>
      <c r="F21" s="152">
        <v>45473</v>
      </c>
      <c r="G21" s="137">
        <v>5000</v>
      </c>
      <c r="H21" s="137">
        <f t="shared" si="1"/>
        <v>2000</v>
      </c>
      <c r="I21" s="137">
        <f t="shared" si="2"/>
        <v>3000</v>
      </c>
      <c r="J21" s="137">
        <v>0</v>
      </c>
      <c r="K21" s="137">
        <v>0</v>
      </c>
      <c r="L21" s="141"/>
      <c r="M21" s="145"/>
    </row>
    <row r="22" spans="1:13" ht="15" customHeight="1">
      <c r="A22" s="1">
        <f t="shared" si="0"/>
        <v>16</v>
      </c>
      <c r="B22" s="44" t="s">
        <v>55</v>
      </c>
      <c r="C22" s="141" t="s">
        <v>63</v>
      </c>
      <c r="D22" s="141" t="s">
        <v>71</v>
      </c>
      <c r="E22" s="152">
        <v>45169</v>
      </c>
      <c r="F22" s="152">
        <v>45473</v>
      </c>
      <c r="G22" s="137">
        <v>15000</v>
      </c>
      <c r="H22" s="137">
        <f t="shared" si="1"/>
        <v>6000</v>
      </c>
      <c r="I22" s="137">
        <f t="shared" si="2"/>
        <v>9000</v>
      </c>
      <c r="J22" s="137">
        <v>0</v>
      </c>
      <c r="K22" s="137">
        <v>0</v>
      </c>
      <c r="L22" s="141"/>
      <c r="M22" s="145"/>
    </row>
    <row r="23" spans="1:13" ht="15" customHeight="1">
      <c r="A23" s="1">
        <f t="shared" si="0"/>
        <v>17</v>
      </c>
      <c r="B23" s="44"/>
      <c r="C23" s="141"/>
      <c r="D23" s="141"/>
      <c r="E23" s="152"/>
      <c r="F23" s="152"/>
      <c r="G23" s="137"/>
      <c r="H23" s="137"/>
      <c r="I23" s="137"/>
      <c r="J23" s="137"/>
      <c r="K23" s="137"/>
      <c r="L23" s="141"/>
      <c r="M23" s="145"/>
    </row>
    <row r="24" spans="1:13" ht="15" customHeight="1">
      <c r="A24" s="1">
        <f t="shared" si="0"/>
        <v>18</v>
      </c>
      <c r="B24" s="44"/>
      <c r="C24" s="151" t="s">
        <v>72</v>
      </c>
      <c r="D24" s="141"/>
      <c r="E24" s="152"/>
      <c r="F24" s="152"/>
      <c r="G24" s="137"/>
      <c r="H24" s="137"/>
      <c r="I24" s="137"/>
      <c r="J24" s="137"/>
      <c r="K24" s="137"/>
      <c r="L24" s="141"/>
      <c r="M24" s="145"/>
    </row>
    <row r="25" spans="1:13" ht="15" customHeight="1">
      <c r="A25" s="1">
        <f t="shared" si="0"/>
        <v>19</v>
      </c>
      <c r="B25" s="44" t="s">
        <v>52</v>
      </c>
      <c r="C25" s="141" t="s">
        <v>53</v>
      </c>
      <c r="D25" s="141" t="s">
        <v>73</v>
      </c>
      <c r="E25" s="152">
        <v>45169</v>
      </c>
      <c r="F25" s="152">
        <v>45473</v>
      </c>
      <c r="G25" s="137">
        <v>175000</v>
      </c>
      <c r="H25" s="137">
        <f t="shared" ref="H25:H30" si="3">$G25*(12-MONTH(E25))/(ROUND((F25-E25)/30,0))</f>
        <v>70000</v>
      </c>
      <c r="I25" s="137">
        <f t="shared" ref="I25:I30" si="4">G25-H25</f>
        <v>105000</v>
      </c>
      <c r="J25" s="137">
        <v>0</v>
      </c>
      <c r="K25" s="137">
        <v>0</v>
      </c>
      <c r="L25" s="141"/>
      <c r="M25" s="145"/>
    </row>
    <row r="26" spans="1:13" ht="15" customHeight="1">
      <c r="A26" s="1">
        <f t="shared" si="0"/>
        <v>20</v>
      </c>
      <c r="B26" s="44" t="s">
        <v>52</v>
      </c>
      <c r="C26" s="141" t="s">
        <v>53</v>
      </c>
      <c r="D26" s="141" t="s">
        <v>74</v>
      </c>
      <c r="E26" s="152">
        <v>45169</v>
      </c>
      <c r="F26" s="152">
        <v>45473</v>
      </c>
      <c r="G26" s="137">
        <v>20000</v>
      </c>
      <c r="H26" s="137">
        <f t="shared" si="3"/>
        <v>8000</v>
      </c>
      <c r="I26" s="137">
        <f t="shared" si="4"/>
        <v>12000</v>
      </c>
      <c r="J26" s="137">
        <v>0</v>
      </c>
      <c r="K26" s="137">
        <v>0</v>
      </c>
    </row>
    <row r="27" spans="1:13" ht="15" customHeight="1">
      <c r="A27" s="1">
        <f t="shared" si="0"/>
        <v>21</v>
      </c>
      <c r="B27" s="44" t="s">
        <v>55</v>
      </c>
      <c r="C27" s="141" t="s">
        <v>53</v>
      </c>
      <c r="D27" s="141" t="s">
        <v>75</v>
      </c>
      <c r="E27" s="152">
        <v>45169</v>
      </c>
      <c r="F27" s="152">
        <v>45473</v>
      </c>
      <c r="G27" s="137">
        <v>15000</v>
      </c>
      <c r="H27" s="137">
        <f t="shared" si="3"/>
        <v>6000</v>
      </c>
      <c r="I27" s="137">
        <f t="shared" si="4"/>
        <v>9000</v>
      </c>
      <c r="J27" s="137">
        <v>0</v>
      </c>
      <c r="K27" s="137">
        <v>0</v>
      </c>
    </row>
    <row r="28" spans="1:13" ht="15" customHeight="1">
      <c r="A28" s="1">
        <f t="shared" si="0"/>
        <v>22</v>
      </c>
      <c r="B28" s="44" t="s">
        <v>55</v>
      </c>
      <c r="C28" s="7" t="s">
        <v>53</v>
      </c>
      <c r="D28" s="7" t="s">
        <v>76</v>
      </c>
      <c r="E28" s="152">
        <v>45169</v>
      </c>
      <c r="F28" s="152">
        <v>45473</v>
      </c>
      <c r="G28" s="137">
        <v>10500</v>
      </c>
      <c r="H28" s="137">
        <f t="shared" si="3"/>
        <v>4200</v>
      </c>
      <c r="I28" s="137">
        <f t="shared" si="4"/>
        <v>6300</v>
      </c>
      <c r="J28" s="137">
        <v>0</v>
      </c>
      <c r="K28" s="137">
        <v>0</v>
      </c>
    </row>
    <row r="29" spans="1:13" ht="15" customHeight="1">
      <c r="A29" s="1">
        <f t="shared" si="0"/>
        <v>23</v>
      </c>
      <c r="B29" s="44" t="s">
        <v>52</v>
      </c>
      <c r="C29" s="7" t="s">
        <v>53</v>
      </c>
      <c r="D29" s="7" t="s">
        <v>73</v>
      </c>
      <c r="E29" s="152">
        <v>45169</v>
      </c>
      <c r="F29" s="152">
        <v>45473</v>
      </c>
      <c r="G29" s="137">
        <v>7500</v>
      </c>
      <c r="H29" s="137">
        <f t="shared" si="3"/>
        <v>3000</v>
      </c>
      <c r="I29" s="137">
        <f t="shared" si="4"/>
        <v>4500</v>
      </c>
      <c r="J29" s="137">
        <v>0</v>
      </c>
      <c r="K29" s="137">
        <v>0</v>
      </c>
    </row>
    <row r="30" spans="1:13" ht="15" customHeight="1">
      <c r="A30" s="1">
        <f t="shared" si="0"/>
        <v>24</v>
      </c>
      <c r="B30" s="44" t="s">
        <v>55</v>
      </c>
      <c r="C30" s="7" t="s">
        <v>77</v>
      </c>
      <c r="D30" s="7" t="s">
        <v>78</v>
      </c>
      <c r="E30" s="152">
        <v>45169</v>
      </c>
      <c r="F30" s="152">
        <v>45473</v>
      </c>
      <c r="G30" s="137">
        <v>25000</v>
      </c>
      <c r="H30" s="137">
        <f t="shared" si="3"/>
        <v>10000</v>
      </c>
      <c r="I30" s="137">
        <f t="shared" si="4"/>
        <v>15000</v>
      </c>
      <c r="J30" s="137">
        <v>0</v>
      </c>
      <c r="K30" s="137">
        <v>0</v>
      </c>
    </row>
    <row r="31" spans="1:13" ht="15" customHeight="1">
      <c r="A31" s="1">
        <f t="shared" si="0"/>
        <v>25</v>
      </c>
      <c r="B31" s="44"/>
      <c r="G31" s="137"/>
      <c r="H31" s="43"/>
      <c r="I31" s="43"/>
      <c r="J31" s="137"/>
      <c r="K31" s="137"/>
    </row>
    <row r="32" spans="1:13" ht="15" customHeight="1">
      <c r="A32" s="1">
        <f t="shared" si="0"/>
        <v>26</v>
      </c>
      <c r="B32" s="44"/>
      <c r="C32" s="151" t="s">
        <v>79</v>
      </c>
      <c r="G32" s="137"/>
      <c r="J32" s="137"/>
      <c r="K32" s="137"/>
    </row>
    <row r="33" spans="1:11" ht="15" customHeight="1">
      <c r="A33" s="1">
        <f t="shared" si="0"/>
        <v>27</v>
      </c>
      <c r="B33" s="44" t="s">
        <v>52</v>
      </c>
      <c r="C33" s="7" t="s">
        <v>53</v>
      </c>
      <c r="D33" s="7" t="s">
        <v>80</v>
      </c>
      <c r="E33" s="152">
        <v>45169</v>
      </c>
      <c r="F33" s="152">
        <v>45473</v>
      </c>
      <c r="G33" s="137">
        <v>30400</v>
      </c>
      <c r="H33" s="137">
        <f t="shared" ref="H33:H47" si="5">$G33*(12-MONTH(E33))/(ROUND((F33-E33)/30,0))</f>
        <v>12160</v>
      </c>
      <c r="I33" s="137">
        <f t="shared" ref="I33:I47" si="6">G33-H33</f>
        <v>18240</v>
      </c>
      <c r="J33" s="137">
        <v>0</v>
      </c>
      <c r="K33" s="137">
        <v>0</v>
      </c>
    </row>
    <row r="34" spans="1:11" ht="15" customHeight="1">
      <c r="A34" s="1">
        <f t="shared" si="0"/>
        <v>28</v>
      </c>
      <c r="B34" s="44" t="s">
        <v>55</v>
      </c>
      <c r="C34" s="7" t="s">
        <v>53</v>
      </c>
      <c r="D34" s="7" t="s">
        <v>56</v>
      </c>
      <c r="E34" s="152">
        <v>45169</v>
      </c>
      <c r="F34" s="152">
        <v>45473</v>
      </c>
      <c r="G34" s="137">
        <v>1500</v>
      </c>
      <c r="H34" s="137">
        <f t="shared" si="5"/>
        <v>600</v>
      </c>
      <c r="I34" s="137">
        <f t="shared" si="6"/>
        <v>900</v>
      </c>
      <c r="J34" s="137">
        <v>0</v>
      </c>
      <c r="K34" s="137">
        <v>0</v>
      </c>
    </row>
    <row r="35" spans="1:11" ht="15" customHeight="1">
      <c r="A35" s="1">
        <f t="shared" si="0"/>
        <v>29</v>
      </c>
      <c r="B35" s="44" t="s">
        <v>52</v>
      </c>
      <c r="C35" s="7" t="s">
        <v>53</v>
      </c>
      <c r="D35" s="7" t="s">
        <v>81</v>
      </c>
      <c r="E35" s="152">
        <v>45169</v>
      </c>
      <c r="F35" s="152">
        <v>45473</v>
      </c>
      <c r="G35" s="137">
        <v>3500</v>
      </c>
      <c r="H35" s="137">
        <f t="shared" si="5"/>
        <v>1400</v>
      </c>
      <c r="I35" s="137">
        <f t="shared" si="6"/>
        <v>2100</v>
      </c>
      <c r="J35" s="137">
        <v>0</v>
      </c>
      <c r="K35" s="137">
        <v>0</v>
      </c>
    </row>
    <row r="36" spans="1:11" ht="15" customHeight="1">
      <c r="A36" s="1">
        <f t="shared" si="0"/>
        <v>30</v>
      </c>
      <c r="B36" s="44" t="s">
        <v>52</v>
      </c>
      <c r="C36" s="7" t="s">
        <v>53</v>
      </c>
      <c r="D36" s="7" t="s">
        <v>82</v>
      </c>
      <c r="E36" s="152">
        <v>45169</v>
      </c>
      <c r="F36" s="152">
        <v>45473</v>
      </c>
      <c r="G36" s="137">
        <v>68450</v>
      </c>
      <c r="H36" s="137">
        <f t="shared" si="5"/>
        <v>27380</v>
      </c>
      <c r="I36" s="137">
        <f t="shared" si="6"/>
        <v>41070</v>
      </c>
      <c r="J36" s="137">
        <v>0</v>
      </c>
      <c r="K36" s="137">
        <v>0</v>
      </c>
    </row>
    <row r="37" spans="1:11" ht="15" customHeight="1">
      <c r="A37" s="1">
        <f t="shared" si="0"/>
        <v>31</v>
      </c>
      <c r="B37" s="44" t="s">
        <v>55</v>
      </c>
      <c r="C37" s="7" t="s">
        <v>53</v>
      </c>
      <c r="D37" s="7" t="s">
        <v>83</v>
      </c>
      <c r="E37" s="152">
        <v>45169</v>
      </c>
      <c r="F37" s="152">
        <v>45473</v>
      </c>
      <c r="G37" s="137">
        <v>7500</v>
      </c>
      <c r="H37" s="137">
        <f t="shared" si="5"/>
        <v>3000</v>
      </c>
      <c r="I37" s="137">
        <f t="shared" si="6"/>
        <v>4500</v>
      </c>
      <c r="J37" s="137">
        <v>0</v>
      </c>
      <c r="K37" s="137">
        <v>0</v>
      </c>
    </row>
    <row r="38" spans="1:11" ht="15" customHeight="1">
      <c r="A38" s="1">
        <f t="shared" si="0"/>
        <v>32</v>
      </c>
      <c r="B38" s="44" t="s">
        <v>52</v>
      </c>
      <c r="C38" s="7" t="s">
        <v>60</v>
      </c>
      <c r="D38" s="7" t="s">
        <v>84</v>
      </c>
      <c r="E38" s="152">
        <v>45169</v>
      </c>
      <c r="F38" s="152">
        <v>45473</v>
      </c>
      <c r="G38" s="137">
        <v>17250</v>
      </c>
      <c r="H38" s="137">
        <f t="shared" si="5"/>
        <v>6900</v>
      </c>
      <c r="I38" s="137">
        <f t="shared" si="6"/>
        <v>10350</v>
      </c>
      <c r="J38" s="137">
        <v>0</v>
      </c>
      <c r="K38" s="137">
        <v>0</v>
      </c>
    </row>
    <row r="39" spans="1:11" ht="15" customHeight="1">
      <c r="A39" s="1">
        <f t="shared" si="0"/>
        <v>33</v>
      </c>
      <c r="B39" s="44" t="s">
        <v>55</v>
      </c>
      <c r="C39" s="7" t="s">
        <v>60</v>
      </c>
      <c r="D39" s="7" t="s">
        <v>85</v>
      </c>
      <c r="E39" s="152">
        <v>45169</v>
      </c>
      <c r="F39" s="152">
        <v>45473</v>
      </c>
      <c r="G39" s="137">
        <v>5000</v>
      </c>
      <c r="H39" s="137">
        <f t="shared" si="5"/>
        <v>2000</v>
      </c>
      <c r="I39" s="137">
        <f t="shared" si="6"/>
        <v>3000</v>
      </c>
      <c r="J39" s="137">
        <v>0</v>
      </c>
      <c r="K39" s="137">
        <v>0</v>
      </c>
    </row>
    <row r="40" spans="1:11" ht="15" customHeight="1">
      <c r="A40" s="1">
        <f t="shared" si="0"/>
        <v>34</v>
      </c>
      <c r="B40" s="44" t="s">
        <v>55</v>
      </c>
      <c r="C40" s="7" t="s">
        <v>86</v>
      </c>
      <c r="D40" s="7" t="s">
        <v>87</v>
      </c>
      <c r="E40" s="152">
        <v>45169</v>
      </c>
      <c r="F40" s="152">
        <v>45473</v>
      </c>
      <c r="G40" s="137">
        <v>16450</v>
      </c>
      <c r="H40" s="137">
        <f t="shared" si="5"/>
        <v>6580</v>
      </c>
      <c r="I40" s="137">
        <f t="shared" si="6"/>
        <v>9870</v>
      </c>
      <c r="J40" s="137">
        <v>0</v>
      </c>
      <c r="K40" s="137">
        <v>0</v>
      </c>
    </row>
    <row r="41" spans="1:11" ht="15" customHeight="1">
      <c r="A41" s="1">
        <f t="shared" si="0"/>
        <v>35</v>
      </c>
      <c r="B41" s="44" t="s">
        <v>55</v>
      </c>
      <c r="C41" s="7" t="s">
        <v>86</v>
      </c>
      <c r="D41" s="7" t="s">
        <v>88</v>
      </c>
      <c r="E41" s="152">
        <v>45169</v>
      </c>
      <c r="F41" s="152">
        <v>45473</v>
      </c>
      <c r="G41" s="137">
        <v>15000</v>
      </c>
      <c r="H41" s="137">
        <f t="shared" si="5"/>
        <v>6000</v>
      </c>
      <c r="I41" s="137">
        <f t="shared" si="6"/>
        <v>9000</v>
      </c>
      <c r="J41" s="137">
        <v>0</v>
      </c>
      <c r="K41" s="137">
        <v>0</v>
      </c>
    </row>
    <row r="42" spans="1:11" ht="15" customHeight="1">
      <c r="A42" s="1">
        <f t="shared" si="0"/>
        <v>36</v>
      </c>
      <c r="B42" s="44" t="s">
        <v>52</v>
      </c>
      <c r="C42" s="7" t="s">
        <v>86</v>
      </c>
      <c r="D42" s="7" t="s">
        <v>89</v>
      </c>
      <c r="E42" s="152">
        <v>45169</v>
      </c>
      <c r="F42" s="152">
        <v>45473</v>
      </c>
      <c r="G42" s="137">
        <v>6000</v>
      </c>
      <c r="H42" s="137">
        <f t="shared" si="5"/>
        <v>2400</v>
      </c>
      <c r="I42" s="137">
        <f t="shared" si="6"/>
        <v>3600</v>
      </c>
      <c r="J42" s="137">
        <v>0</v>
      </c>
      <c r="K42" s="137">
        <v>0</v>
      </c>
    </row>
    <row r="43" spans="1:11" ht="15" customHeight="1">
      <c r="A43" s="1">
        <f t="shared" si="0"/>
        <v>37</v>
      </c>
      <c r="B43" s="44" t="s">
        <v>52</v>
      </c>
      <c r="C43" s="7" t="s">
        <v>86</v>
      </c>
      <c r="D43" s="7" t="s">
        <v>90</v>
      </c>
      <c r="E43" s="152">
        <v>45169</v>
      </c>
      <c r="F43" s="152">
        <v>45473</v>
      </c>
      <c r="G43" s="137">
        <v>10000</v>
      </c>
      <c r="H43" s="137">
        <f t="shared" si="5"/>
        <v>4000</v>
      </c>
      <c r="I43" s="137">
        <f t="shared" si="6"/>
        <v>6000</v>
      </c>
      <c r="J43" s="137">
        <v>0</v>
      </c>
      <c r="K43" s="137">
        <v>0</v>
      </c>
    </row>
    <row r="44" spans="1:11" ht="15" customHeight="1">
      <c r="A44" s="1">
        <f t="shared" si="0"/>
        <v>38</v>
      </c>
      <c r="B44" s="44" t="s">
        <v>55</v>
      </c>
      <c r="C44" s="7" t="s">
        <v>86</v>
      </c>
      <c r="D44" s="7" t="s">
        <v>91</v>
      </c>
      <c r="E44" s="152">
        <v>45169</v>
      </c>
      <c r="F44" s="152">
        <v>45473</v>
      </c>
      <c r="G44" s="137">
        <v>5000</v>
      </c>
      <c r="H44" s="137">
        <f t="shared" si="5"/>
        <v>2000</v>
      </c>
      <c r="I44" s="137">
        <f t="shared" si="6"/>
        <v>3000</v>
      </c>
      <c r="J44" s="137">
        <v>0</v>
      </c>
      <c r="K44" s="137">
        <v>0</v>
      </c>
    </row>
    <row r="45" spans="1:11" ht="15" customHeight="1">
      <c r="A45" s="1">
        <f t="shared" si="0"/>
        <v>39</v>
      </c>
      <c r="B45" s="44" t="s">
        <v>69</v>
      </c>
      <c r="C45" s="7" t="s">
        <v>86</v>
      </c>
      <c r="D45" s="7" t="s">
        <v>92</v>
      </c>
      <c r="E45" s="152">
        <v>45169</v>
      </c>
      <c r="F45" s="152">
        <v>45473</v>
      </c>
      <c r="G45" s="137">
        <v>5000</v>
      </c>
      <c r="H45" s="137">
        <f t="shared" si="5"/>
        <v>2000</v>
      </c>
      <c r="I45" s="137">
        <f t="shared" si="6"/>
        <v>3000</v>
      </c>
      <c r="J45" s="137">
        <v>0</v>
      </c>
      <c r="K45" s="137">
        <v>0</v>
      </c>
    </row>
    <row r="46" spans="1:11" ht="15" customHeight="1">
      <c r="A46" s="1">
        <f t="shared" si="0"/>
        <v>40</v>
      </c>
      <c r="B46" s="44" t="s">
        <v>55</v>
      </c>
      <c r="C46" s="7" t="s">
        <v>86</v>
      </c>
      <c r="D46" s="7" t="s">
        <v>93</v>
      </c>
      <c r="E46" s="152">
        <v>45169</v>
      </c>
      <c r="F46" s="152">
        <v>45473</v>
      </c>
      <c r="G46" s="137">
        <v>12500</v>
      </c>
      <c r="H46" s="137">
        <f t="shared" si="5"/>
        <v>5000</v>
      </c>
      <c r="I46" s="137">
        <f t="shared" si="6"/>
        <v>7500</v>
      </c>
      <c r="J46" s="137">
        <v>0</v>
      </c>
      <c r="K46" s="137">
        <v>0</v>
      </c>
    </row>
    <row r="47" spans="1:11" ht="15" customHeight="1">
      <c r="A47" s="1">
        <f t="shared" si="0"/>
        <v>41</v>
      </c>
      <c r="B47" s="44" t="s">
        <v>55</v>
      </c>
      <c r="C47" s="7" t="s">
        <v>94</v>
      </c>
      <c r="D47" s="7" t="s">
        <v>95</v>
      </c>
      <c r="E47" s="152">
        <v>45169</v>
      </c>
      <c r="F47" s="152">
        <v>45473</v>
      </c>
      <c r="G47" s="137">
        <v>3000</v>
      </c>
      <c r="H47" s="137">
        <f t="shared" si="5"/>
        <v>1200</v>
      </c>
      <c r="I47" s="137">
        <f t="shared" si="6"/>
        <v>1800</v>
      </c>
      <c r="J47" s="137">
        <v>0</v>
      </c>
      <c r="K47" s="137">
        <v>0</v>
      </c>
    </row>
    <row r="48" spans="1:11" ht="15" customHeight="1">
      <c r="A48" s="1">
        <f t="shared" si="0"/>
        <v>42</v>
      </c>
      <c r="H48" s="59"/>
      <c r="I48" s="136"/>
      <c r="J48" s="136"/>
    </row>
    <row r="49" spans="1:11" ht="15" customHeight="1">
      <c r="A49" s="1">
        <f t="shared" si="0"/>
        <v>43</v>
      </c>
      <c r="H49" s="59"/>
      <c r="I49" s="136"/>
      <c r="J49" s="136"/>
    </row>
    <row r="50" spans="1:11" ht="15" customHeight="1">
      <c r="A50" s="1">
        <f t="shared" si="0"/>
        <v>44</v>
      </c>
      <c r="H50" s="59"/>
      <c r="I50" s="136"/>
      <c r="J50" s="136"/>
    </row>
    <row r="51" spans="1:11" ht="15" customHeight="1" thickBot="1">
      <c r="A51" s="1">
        <f t="shared" si="0"/>
        <v>45</v>
      </c>
      <c r="D51" s="17" t="s">
        <v>96</v>
      </c>
      <c r="E51" s="187"/>
      <c r="F51" s="187"/>
      <c r="G51" s="153">
        <f>SUM(G7:G50)</f>
        <v>756800</v>
      </c>
      <c r="H51" s="153">
        <f t="shared" ref="H51:K51" si="7">SUM(H7:H50)</f>
        <v>302720</v>
      </c>
      <c r="I51" s="153">
        <f t="shared" si="7"/>
        <v>454080</v>
      </c>
      <c r="J51" s="153">
        <f t="shared" si="7"/>
        <v>0</v>
      </c>
      <c r="K51" s="153">
        <f t="shared" si="7"/>
        <v>0</v>
      </c>
    </row>
    <row r="52" spans="1:11" ht="15" customHeight="1" thickTop="1">
      <c r="A52" s="1">
        <f t="shared" si="0"/>
        <v>46</v>
      </c>
      <c r="H52" s="59"/>
      <c r="I52" s="136"/>
      <c r="J52" s="59"/>
    </row>
    <row r="53" spans="1:11" ht="15" customHeight="1">
      <c r="A53" s="1">
        <f t="shared" si="0"/>
        <v>47</v>
      </c>
      <c r="H53" s="59"/>
      <c r="I53" s="136"/>
      <c r="J53" s="59"/>
    </row>
    <row r="54" spans="1:11" ht="15" customHeight="1">
      <c r="A54" s="1">
        <f t="shared" si="0"/>
        <v>48</v>
      </c>
      <c r="H54" s="59"/>
      <c r="I54" s="136"/>
      <c r="J54" s="59"/>
    </row>
    <row r="55" spans="1:11" ht="15" customHeight="1">
      <c r="H55" s="59"/>
      <c r="I55" s="136"/>
      <c r="J55" s="59"/>
    </row>
  </sheetData>
  <mergeCells count="12">
    <mergeCell ref="B4:B5"/>
    <mergeCell ref="A4:A5"/>
    <mergeCell ref="D4:D5"/>
    <mergeCell ref="G4:G5"/>
    <mergeCell ref="A1:K1"/>
    <mergeCell ref="A2:K2"/>
    <mergeCell ref="A3:K3"/>
    <mergeCell ref="K4:K5"/>
    <mergeCell ref="H4:J4"/>
    <mergeCell ref="E4:E5"/>
    <mergeCell ref="F4:F5"/>
    <mergeCell ref="C4:C5"/>
  </mergeCells>
  <printOptions horizontalCentered="1"/>
  <pageMargins left="0.7" right="0.7" top="0.75" bottom="0.75" header="0.3" footer="0.3"/>
  <pageSetup scale="55" orientation="landscape" verticalDpi="1200" r:id="rId1"/>
  <headerFooter>
    <oddHeader>&amp;R&amp;"Times New Roman,Regular"&amp;10&amp;A</oddHeader>
    <oddFooter xml:space="preserve">&amp;RCase No. 2022-00432
Bluegrass Water’s Response to PSC 2-17
Exhibit PSC 2-17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86"/>
  <sheetViews>
    <sheetView showGridLines="0" view="pageLayout" topLeftCell="T57" zoomScaleNormal="85" zoomScaleSheetLayoutView="85" workbookViewId="0">
      <selection activeCell="AC66" sqref="AC65:AC66"/>
    </sheetView>
  </sheetViews>
  <sheetFormatPr defaultColWidth="9.140625" defaultRowHeight="12.75"/>
  <cols>
    <col min="1" max="2" width="10.5703125" style="1" customWidth="1"/>
    <col min="3" max="3" width="45.5703125" style="7" bestFit="1" customWidth="1"/>
    <col min="4" max="4" width="10.42578125" style="7" bestFit="1" customWidth="1"/>
    <col min="5" max="8" width="15.7109375" style="7" customWidth="1"/>
    <col min="9" max="9" width="15.7109375" style="43" customWidth="1"/>
    <col min="10" max="23" width="15.7109375" style="7" customWidth="1"/>
    <col min="24" max="16384" width="9.140625" style="7"/>
  </cols>
  <sheetData>
    <row r="1" spans="1:27" ht="15" customHeight="1">
      <c r="A1" s="17"/>
      <c r="B1" s="17"/>
      <c r="C1" s="17"/>
      <c r="D1" s="262" t="s">
        <v>0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Q1" s="262" t="s">
        <v>0</v>
      </c>
      <c r="R1" s="262"/>
      <c r="S1" s="262"/>
      <c r="T1" s="262"/>
      <c r="U1" s="262"/>
      <c r="V1" s="262"/>
      <c r="W1" s="262"/>
      <c r="X1" s="17"/>
      <c r="Y1" s="17"/>
      <c r="Z1" s="17"/>
      <c r="AA1" s="17"/>
    </row>
    <row r="2" spans="1:27" ht="15" customHeight="1">
      <c r="A2" s="17"/>
      <c r="B2" s="17"/>
      <c r="C2" s="17"/>
      <c r="D2" s="262" t="s">
        <v>1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Q2" s="262" t="s">
        <v>1</v>
      </c>
      <c r="R2" s="262"/>
      <c r="S2" s="262"/>
      <c r="T2" s="262"/>
      <c r="U2" s="262"/>
      <c r="V2" s="262"/>
      <c r="W2" s="262"/>
      <c r="X2" s="17"/>
      <c r="Y2" s="17"/>
      <c r="Z2" s="17"/>
      <c r="AA2" s="17"/>
    </row>
    <row r="3" spans="1:27" ht="15" customHeight="1">
      <c r="A3" s="17"/>
      <c r="B3" s="17"/>
      <c r="C3" s="17"/>
      <c r="D3" s="263" t="s">
        <v>417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Q3" s="263" t="s">
        <v>417</v>
      </c>
      <c r="R3" s="263"/>
      <c r="S3" s="263"/>
      <c r="T3" s="263"/>
      <c r="U3" s="263"/>
      <c r="V3" s="263"/>
      <c r="W3" s="263"/>
      <c r="X3" s="147"/>
      <c r="Y3" s="147"/>
      <c r="Z3" s="147"/>
      <c r="AA3" s="147"/>
    </row>
    <row r="4" spans="1:27" s="140" customFormat="1" ht="36" customHeight="1">
      <c r="A4" s="11" t="s">
        <v>3</v>
      </c>
      <c r="B4" s="11" t="s">
        <v>38</v>
      </c>
      <c r="C4" s="11" t="s">
        <v>142</v>
      </c>
      <c r="D4" s="11"/>
      <c r="E4" s="134">
        <v>44957</v>
      </c>
      <c r="F4" s="134">
        <f>EOMONTH(E4,1)</f>
        <v>44985</v>
      </c>
      <c r="G4" s="134">
        <f t="shared" ref="G4:P4" si="0">EOMONTH(F4,1)</f>
        <v>45016</v>
      </c>
      <c r="H4" s="134">
        <f t="shared" si="0"/>
        <v>45046</v>
      </c>
      <c r="I4" s="134">
        <f t="shared" si="0"/>
        <v>45077</v>
      </c>
      <c r="J4" s="134">
        <f t="shared" si="0"/>
        <v>45107</v>
      </c>
      <c r="K4" s="134">
        <f t="shared" si="0"/>
        <v>45138</v>
      </c>
      <c r="L4" s="134">
        <f t="shared" si="0"/>
        <v>45169</v>
      </c>
      <c r="M4" s="134">
        <f t="shared" si="0"/>
        <v>45199</v>
      </c>
      <c r="N4" s="134">
        <f t="shared" si="0"/>
        <v>45230</v>
      </c>
      <c r="O4" s="134">
        <f t="shared" si="0"/>
        <v>45260</v>
      </c>
      <c r="P4" s="134">
        <f t="shared" si="0"/>
        <v>45291</v>
      </c>
      <c r="Q4" s="134">
        <f t="shared" ref="Q4" si="1">EOMONTH(P4,1)</f>
        <v>45322</v>
      </c>
      <c r="R4" s="134">
        <f t="shared" ref="R4" si="2">EOMONTH(Q4,1)</f>
        <v>45351</v>
      </c>
      <c r="S4" s="134">
        <f t="shared" ref="S4" si="3">EOMONTH(R4,1)</f>
        <v>45382</v>
      </c>
      <c r="T4" s="134">
        <f t="shared" ref="T4" si="4">EOMONTH(S4,1)</f>
        <v>45412</v>
      </c>
      <c r="U4" s="134">
        <f t="shared" ref="U4" si="5">EOMONTH(T4,1)</f>
        <v>45443</v>
      </c>
      <c r="V4" s="134">
        <f t="shared" ref="V4" si="6">EOMONTH(U4,1)</f>
        <v>45473</v>
      </c>
      <c r="W4" s="134">
        <f t="shared" ref="W4" si="7">EOMONTH(V4,1)</f>
        <v>45504</v>
      </c>
    </row>
    <row r="5" spans="1:27" ht="15" customHeight="1">
      <c r="A5" s="2" t="s">
        <v>6</v>
      </c>
      <c r="B5" s="2" t="s">
        <v>7</v>
      </c>
      <c r="C5" s="3" t="s">
        <v>8</v>
      </c>
      <c r="D5" s="3"/>
      <c r="E5" s="3" t="s">
        <v>25</v>
      </c>
      <c r="F5" s="6" t="s">
        <v>26</v>
      </c>
      <c r="G5" s="6" t="s">
        <v>46</v>
      </c>
      <c r="H5" s="6" t="s">
        <v>47</v>
      </c>
      <c r="I5" s="8" t="s">
        <v>48</v>
      </c>
      <c r="J5" s="6" t="s">
        <v>49</v>
      </c>
      <c r="K5" s="6" t="s">
        <v>50</v>
      </c>
      <c r="L5" s="6" t="s">
        <v>243</v>
      </c>
      <c r="M5" s="6" t="s">
        <v>244</v>
      </c>
      <c r="N5" s="6" t="s">
        <v>245</v>
      </c>
      <c r="O5" s="6" t="s">
        <v>246</v>
      </c>
      <c r="P5" s="6" t="s">
        <v>247</v>
      </c>
      <c r="Q5" s="6" t="s">
        <v>248</v>
      </c>
      <c r="R5" s="6" t="s">
        <v>249</v>
      </c>
      <c r="S5" s="6" t="s">
        <v>250</v>
      </c>
      <c r="T5" s="6" t="s">
        <v>251</v>
      </c>
      <c r="U5" s="6" t="s">
        <v>252</v>
      </c>
      <c r="V5" s="6" t="s">
        <v>253</v>
      </c>
      <c r="W5" s="6" t="s">
        <v>254</v>
      </c>
    </row>
    <row r="6" spans="1:27" ht="15" customHeight="1">
      <c r="A6" s="1">
        <v>1</v>
      </c>
      <c r="C6" s="17" t="s">
        <v>147</v>
      </c>
      <c r="D6" s="17"/>
      <c r="E6" s="17"/>
      <c r="I6" s="39"/>
      <c r="J6" s="40"/>
    </row>
    <row r="7" spans="1:27" ht="15" customHeight="1">
      <c r="A7" s="1">
        <f>A6+1</f>
        <v>2</v>
      </c>
      <c r="B7" s="1" t="s">
        <v>151</v>
      </c>
      <c r="C7" s="7" t="s">
        <v>305</v>
      </c>
      <c r="E7" s="25">
        <f>INDEX('Exhibit-25'!$F:$F,MATCH($B7,'Exhibit-25'!$B:$B,0))/12</f>
        <v>166689.40666666665</v>
      </c>
      <c r="F7" s="25">
        <f>INDEX('Exhibit-25'!$F:$F,MATCH($B7,'Exhibit-25'!$B:$B,0))/12</f>
        <v>166689.40666666665</v>
      </c>
      <c r="G7" s="25">
        <f>INDEX('Exhibit-25'!$F:$F,MATCH($B7,'Exhibit-25'!$B:$B,0))/12</f>
        <v>166689.40666666665</v>
      </c>
      <c r="H7" s="25">
        <f>INDEX('Exhibit-25'!$F:$F,MATCH($B7,'Exhibit-25'!$B:$B,0))/12</f>
        <v>166689.40666666665</v>
      </c>
      <c r="I7" s="25">
        <f>INDEX('Exhibit-25'!$F:$F,MATCH($B7,'Exhibit-25'!$B:$B,0))/12</f>
        <v>166689.40666666665</v>
      </c>
      <c r="J7" s="25">
        <f>INDEX('Exhibit-25'!$F:$F,MATCH($B7,'Exhibit-25'!$B:$B,0))/12</f>
        <v>166689.40666666665</v>
      </c>
      <c r="K7" s="25">
        <f>INDEX('Exhibit-25'!$F:$F,MATCH($B7,'Exhibit-25'!$B:$B,0))/12</f>
        <v>166689.40666666665</v>
      </c>
      <c r="L7" s="25">
        <f>INDEX('Exhibit-25'!$F:$F,MATCH($B7,'Exhibit-25'!$B:$B,0))/12</f>
        <v>166689.40666666665</v>
      </c>
      <c r="M7" s="25">
        <f>INDEX('Exhibit-25'!$F:$F,MATCH($B7,'Exhibit-25'!$B:$B,0))/12</f>
        <v>166689.40666666665</v>
      </c>
      <c r="N7" s="25">
        <f>INDEX('Exhibit-25'!$F:$F,MATCH($B7,'Exhibit-25'!$B:$B,0))/12</f>
        <v>166689.40666666665</v>
      </c>
      <c r="O7" s="25">
        <f>INDEX('Exhibit-25'!$F:$F,MATCH($B7,'Exhibit-25'!$B:$B,0))/12</f>
        <v>166689.40666666665</v>
      </c>
      <c r="P7" s="25">
        <f>INDEX('Exhibit-25'!$F:$F,MATCH($B7,'Exhibit-25'!$B:$B,0))/12</f>
        <v>166689.40666666665</v>
      </c>
      <c r="Q7" s="25">
        <f>INDEX('Exhibit-25'!$F:$F,MATCH($B7,'Exhibit-25'!$B:$B,0))/12</f>
        <v>166689.40666666665</v>
      </c>
      <c r="R7" s="25">
        <f>INDEX('Exhibit-25'!$F:$F,MATCH($B7,'Exhibit-25'!$B:$B,0))/12</f>
        <v>166689.40666666665</v>
      </c>
      <c r="S7" s="25">
        <f>INDEX('Exhibit-25'!$F:$F,MATCH($B7,'Exhibit-25'!$B:$B,0))/12</f>
        <v>166689.40666666665</v>
      </c>
      <c r="T7" s="25">
        <f>INDEX('Exhibit-25'!$F:$F,MATCH($B7,'Exhibit-25'!$B:$B,0))/12</f>
        <v>166689.40666666665</v>
      </c>
      <c r="U7" s="25">
        <f>INDEX('Exhibit-25'!$F:$F,MATCH($B7,'Exhibit-25'!$B:$B,0))/12</f>
        <v>166689.40666666665</v>
      </c>
      <c r="V7" s="25">
        <f>INDEX('Exhibit-25'!$F:$F,MATCH($B7,'Exhibit-25'!$B:$B,0))/12</f>
        <v>166689.40666666665</v>
      </c>
      <c r="W7" s="25">
        <f>INDEX('Exhibit-25'!$F:$F,MATCH($B7,'Exhibit-25'!$B:$B,0))/12</f>
        <v>166689.40666666665</v>
      </c>
    </row>
    <row r="8" spans="1:27" ht="15" customHeight="1">
      <c r="A8" s="1">
        <f t="shared" ref="A8:A21" si="8">A7+1</f>
        <v>3</v>
      </c>
      <c r="B8" s="44" t="s">
        <v>152</v>
      </c>
      <c r="C8" s="7" t="s">
        <v>305</v>
      </c>
      <c r="E8" s="25">
        <f>INDEX('Exhibit-25'!$F:$F,MATCH($B8,'Exhibit-25'!$B:$B,0))/12</f>
        <v>35071.64916666667</v>
      </c>
      <c r="F8" s="25">
        <f>INDEX('Exhibit-25'!$F:$F,MATCH($B8,'Exhibit-25'!$B:$B,0))/12</f>
        <v>35071.64916666667</v>
      </c>
      <c r="G8" s="25">
        <f>INDEX('Exhibit-25'!$F:$F,MATCH($B8,'Exhibit-25'!$B:$B,0))/12</f>
        <v>35071.64916666667</v>
      </c>
      <c r="H8" s="25">
        <f>INDEX('Exhibit-25'!$F:$F,MATCH($B8,'Exhibit-25'!$B:$B,0))/12</f>
        <v>35071.64916666667</v>
      </c>
      <c r="I8" s="25">
        <f>INDEX('Exhibit-25'!$F:$F,MATCH($B8,'Exhibit-25'!$B:$B,0))/12</f>
        <v>35071.64916666667</v>
      </c>
      <c r="J8" s="25">
        <f>INDEX('Exhibit-25'!$F:$F,MATCH($B8,'Exhibit-25'!$B:$B,0))/12</f>
        <v>35071.64916666667</v>
      </c>
      <c r="K8" s="25">
        <f>INDEX('Exhibit-25'!$F:$F,MATCH($B8,'Exhibit-25'!$B:$B,0))/12</f>
        <v>35071.64916666667</v>
      </c>
      <c r="L8" s="25">
        <f>INDEX('Exhibit-25'!$F:$F,MATCH($B8,'Exhibit-25'!$B:$B,0))/12</f>
        <v>35071.64916666667</v>
      </c>
      <c r="M8" s="25">
        <f>INDEX('Exhibit-25'!$F:$F,MATCH($B8,'Exhibit-25'!$B:$B,0))/12</f>
        <v>35071.64916666667</v>
      </c>
      <c r="N8" s="25">
        <f>INDEX('Exhibit-25'!$F:$F,MATCH($B8,'Exhibit-25'!$B:$B,0))/12</f>
        <v>35071.64916666667</v>
      </c>
      <c r="O8" s="25">
        <f>INDEX('Exhibit-25'!$F:$F,MATCH($B8,'Exhibit-25'!$B:$B,0))/12</f>
        <v>35071.64916666667</v>
      </c>
      <c r="P8" s="25">
        <f>INDEX('Exhibit-25'!$F:$F,MATCH($B8,'Exhibit-25'!$B:$B,0))/12</f>
        <v>35071.64916666667</v>
      </c>
      <c r="Q8" s="25">
        <f>INDEX('Exhibit-25'!$F:$F,MATCH($B8,'Exhibit-25'!$B:$B,0))/12</f>
        <v>35071.64916666667</v>
      </c>
      <c r="R8" s="25">
        <f>INDEX('Exhibit-25'!$F:$F,MATCH($B8,'Exhibit-25'!$B:$B,0))/12</f>
        <v>35071.64916666667</v>
      </c>
      <c r="S8" s="25">
        <f>INDEX('Exhibit-25'!$F:$F,MATCH($B8,'Exhibit-25'!$B:$B,0))/12</f>
        <v>35071.64916666667</v>
      </c>
      <c r="T8" s="25">
        <f>INDEX('Exhibit-25'!$F:$F,MATCH($B8,'Exhibit-25'!$B:$B,0))/12</f>
        <v>35071.64916666667</v>
      </c>
      <c r="U8" s="25">
        <f>INDEX('Exhibit-25'!$F:$F,MATCH($B8,'Exhibit-25'!$B:$B,0))/12</f>
        <v>35071.64916666667</v>
      </c>
      <c r="V8" s="25">
        <f>INDEX('Exhibit-25'!$F:$F,MATCH($B8,'Exhibit-25'!$B:$B,0))/12</f>
        <v>35071.64916666667</v>
      </c>
      <c r="W8" s="25">
        <f>INDEX('Exhibit-25'!$F:$F,MATCH($B8,'Exhibit-25'!$B:$B,0))/12</f>
        <v>35071.64916666667</v>
      </c>
    </row>
    <row r="9" spans="1:27" ht="15" customHeight="1">
      <c r="A9" s="1">
        <f t="shared" si="8"/>
        <v>4</v>
      </c>
      <c r="B9" s="1" t="s">
        <v>153</v>
      </c>
      <c r="C9" s="7" t="s">
        <v>306</v>
      </c>
      <c r="E9" s="25">
        <f>INDEX('Exhibit-25'!$F:$F,MATCH($B9,'Exhibit-25'!$B:$B,0))/12</f>
        <v>1187.0291666666665</v>
      </c>
      <c r="F9" s="25">
        <f>INDEX('Exhibit-25'!$F:$F,MATCH($B9,'Exhibit-25'!$B:$B,0))/12</f>
        <v>1187.0291666666665</v>
      </c>
      <c r="G9" s="25">
        <f>INDEX('Exhibit-25'!$F:$F,MATCH($B9,'Exhibit-25'!$B:$B,0))/12</f>
        <v>1187.0291666666665</v>
      </c>
      <c r="H9" s="25">
        <f>INDEX('Exhibit-25'!$F:$F,MATCH($B9,'Exhibit-25'!$B:$B,0))/12</f>
        <v>1187.0291666666665</v>
      </c>
      <c r="I9" s="25">
        <f>INDEX('Exhibit-25'!$F:$F,MATCH($B9,'Exhibit-25'!$B:$B,0))/12</f>
        <v>1187.0291666666665</v>
      </c>
      <c r="J9" s="25">
        <f>INDEX('Exhibit-25'!$F:$F,MATCH($B9,'Exhibit-25'!$B:$B,0))/12</f>
        <v>1187.0291666666665</v>
      </c>
      <c r="K9" s="25">
        <f>INDEX('Exhibit-25'!$F:$F,MATCH($B9,'Exhibit-25'!$B:$B,0))/12</f>
        <v>1187.0291666666665</v>
      </c>
      <c r="L9" s="25">
        <f>INDEX('Exhibit-25'!$F:$F,MATCH($B9,'Exhibit-25'!$B:$B,0))/12</f>
        <v>1187.0291666666665</v>
      </c>
      <c r="M9" s="25">
        <f>INDEX('Exhibit-25'!$F:$F,MATCH($B9,'Exhibit-25'!$B:$B,0))/12</f>
        <v>1187.0291666666665</v>
      </c>
      <c r="N9" s="25">
        <f>INDEX('Exhibit-25'!$F:$F,MATCH($B9,'Exhibit-25'!$B:$B,0))/12</f>
        <v>1187.0291666666665</v>
      </c>
      <c r="O9" s="25">
        <f>INDEX('Exhibit-25'!$F:$F,MATCH($B9,'Exhibit-25'!$B:$B,0))/12</f>
        <v>1187.0291666666665</v>
      </c>
      <c r="P9" s="25">
        <f>INDEX('Exhibit-25'!$F:$F,MATCH($B9,'Exhibit-25'!$B:$B,0))/12</f>
        <v>1187.0291666666665</v>
      </c>
      <c r="Q9" s="25">
        <f>INDEX('Exhibit-25'!$F:$F,MATCH($B9,'Exhibit-25'!$B:$B,0))/12</f>
        <v>1187.0291666666665</v>
      </c>
      <c r="R9" s="25">
        <f>INDEX('Exhibit-25'!$F:$F,MATCH($B9,'Exhibit-25'!$B:$B,0))/12</f>
        <v>1187.0291666666665</v>
      </c>
      <c r="S9" s="25">
        <f>INDEX('Exhibit-25'!$F:$F,MATCH($B9,'Exhibit-25'!$B:$B,0))/12</f>
        <v>1187.0291666666665</v>
      </c>
      <c r="T9" s="25">
        <f>INDEX('Exhibit-25'!$F:$F,MATCH($B9,'Exhibit-25'!$B:$B,0))/12</f>
        <v>1187.0291666666665</v>
      </c>
      <c r="U9" s="25">
        <f>INDEX('Exhibit-25'!$F:$F,MATCH($B9,'Exhibit-25'!$B:$B,0))/12</f>
        <v>1187.0291666666665</v>
      </c>
      <c r="V9" s="25">
        <f>INDEX('Exhibit-25'!$F:$F,MATCH($B9,'Exhibit-25'!$B:$B,0))/12</f>
        <v>1187.0291666666665</v>
      </c>
      <c r="W9" s="25">
        <f>INDEX('Exhibit-25'!$F:$F,MATCH($B9,'Exhibit-25'!$B:$B,0))/12</f>
        <v>1187.0291666666665</v>
      </c>
    </row>
    <row r="10" spans="1:27" ht="15" customHeight="1">
      <c r="A10" s="1">
        <f t="shared" si="8"/>
        <v>5</v>
      </c>
      <c r="B10" s="1" t="s">
        <v>154</v>
      </c>
      <c r="C10" s="7" t="s">
        <v>306</v>
      </c>
      <c r="E10" s="25">
        <f>INDEX('Exhibit-25'!$F:$F,MATCH($B10,'Exhibit-25'!$B:$B,0))/12</f>
        <v>18.099166666666665</v>
      </c>
      <c r="F10" s="25">
        <f>INDEX('Exhibit-25'!$F:$F,MATCH($B10,'Exhibit-25'!$B:$B,0))/12</f>
        <v>18.099166666666665</v>
      </c>
      <c r="G10" s="25">
        <f>INDEX('Exhibit-25'!$F:$F,MATCH($B10,'Exhibit-25'!$B:$B,0))/12</f>
        <v>18.099166666666665</v>
      </c>
      <c r="H10" s="25">
        <f>INDEX('Exhibit-25'!$F:$F,MATCH($B10,'Exhibit-25'!$B:$B,0))/12</f>
        <v>18.099166666666665</v>
      </c>
      <c r="I10" s="25">
        <f>INDEX('Exhibit-25'!$F:$F,MATCH($B10,'Exhibit-25'!$B:$B,0))/12</f>
        <v>18.099166666666665</v>
      </c>
      <c r="J10" s="25">
        <f>INDEX('Exhibit-25'!$F:$F,MATCH($B10,'Exhibit-25'!$B:$B,0))/12</f>
        <v>18.099166666666665</v>
      </c>
      <c r="K10" s="25">
        <f>INDEX('Exhibit-25'!$F:$F,MATCH($B10,'Exhibit-25'!$B:$B,0))/12</f>
        <v>18.099166666666665</v>
      </c>
      <c r="L10" s="25">
        <f>INDEX('Exhibit-25'!$F:$F,MATCH($B10,'Exhibit-25'!$B:$B,0))/12</f>
        <v>18.099166666666665</v>
      </c>
      <c r="M10" s="25">
        <f>INDEX('Exhibit-25'!$F:$F,MATCH($B10,'Exhibit-25'!$B:$B,0))/12</f>
        <v>18.099166666666665</v>
      </c>
      <c r="N10" s="25">
        <f>INDEX('Exhibit-25'!$F:$F,MATCH($B10,'Exhibit-25'!$B:$B,0))/12</f>
        <v>18.099166666666665</v>
      </c>
      <c r="O10" s="25">
        <f>INDEX('Exhibit-25'!$F:$F,MATCH($B10,'Exhibit-25'!$B:$B,0))/12</f>
        <v>18.099166666666665</v>
      </c>
      <c r="P10" s="25">
        <f>INDEX('Exhibit-25'!$F:$F,MATCH($B10,'Exhibit-25'!$B:$B,0))/12</f>
        <v>18.099166666666665</v>
      </c>
      <c r="Q10" s="25">
        <f>INDEX('Exhibit-25'!$F:$F,MATCH($B10,'Exhibit-25'!$B:$B,0))/12</f>
        <v>18.099166666666665</v>
      </c>
      <c r="R10" s="25">
        <f>INDEX('Exhibit-25'!$F:$F,MATCH($B10,'Exhibit-25'!$B:$B,0))/12</f>
        <v>18.099166666666665</v>
      </c>
      <c r="S10" s="25">
        <f>INDEX('Exhibit-25'!$F:$F,MATCH($B10,'Exhibit-25'!$B:$B,0))/12</f>
        <v>18.099166666666665</v>
      </c>
      <c r="T10" s="25">
        <f>INDEX('Exhibit-25'!$F:$F,MATCH($B10,'Exhibit-25'!$B:$B,0))/12</f>
        <v>18.099166666666665</v>
      </c>
      <c r="U10" s="25">
        <f>INDEX('Exhibit-25'!$F:$F,MATCH($B10,'Exhibit-25'!$B:$B,0))/12</f>
        <v>18.099166666666665</v>
      </c>
      <c r="V10" s="25">
        <f>INDEX('Exhibit-25'!$F:$F,MATCH($B10,'Exhibit-25'!$B:$B,0))/12</f>
        <v>18.099166666666665</v>
      </c>
      <c r="W10" s="25">
        <f>INDEX('Exhibit-25'!$F:$F,MATCH($B10,'Exhibit-25'!$B:$B,0))/12</f>
        <v>18.099166666666665</v>
      </c>
    </row>
    <row r="11" spans="1:27" ht="15" customHeight="1">
      <c r="A11" s="1">
        <f t="shared" si="8"/>
        <v>6</v>
      </c>
      <c r="C11" s="7" t="s">
        <v>155</v>
      </c>
      <c r="E11" s="25">
        <f t="shared" ref="E11:W11" si="9">SUM(E7:E10)</f>
        <v>202966.18416666664</v>
      </c>
      <c r="F11" s="25">
        <f t="shared" si="9"/>
        <v>202966.18416666664</v>
      </c>
      <c r="G11" s="25">
        <f t="shared" si="9"/>
        <v>202966.18416666664</v>
      </c>
      <c r="H11" s="25">
        <f t="shared" si="9"/>
        <v>202966.18416666664</v>
      </c>
      <c r="I11" s="25">
        <f t="shared" si="9"/>
        <v>202966.18416666664</v>
      </c>
      <c r="J11" s="25">
        <f t="shared" si="9"/>
        <v>202966.18416666664</v>
      </c>
      <c r="K11" s="25">
        <f t="shared" si="9"/>
        <v>202966.18416666664</v>
      </c>
      <c r="L11" s="25">
        <f t="shared" si="9"/>
        <v>202966.18416666664</v>
      </c>
      <c r="M11" s="25">
        <f t="shared" si="9"/>
        <v>202966.18416666664</v>
      </c>
      <c r="N11" s="25">
        <f t="shared" si="9"/>
        <v>202966.18416666664</v>
      </c>
      <c r="O11" s="25">
        <f t="shared" si="9"/>
        <v>202966.18416666664</v>
      </c>
      <c r="P11" s="25">
        <f t="shared" si="9"/>
        <v>202966.18416666664</v>
      </c>
      <c r="Q11" s="25">
        <f t="shared" si="9"/>
        <v>202966.18416666664</v>
      </c>
      <c r="R11" s="25">
        <f t="shared" si="9"/>
        <v>202966.18416666664</v>
      </c>
      <c r="S11" s="25">
        <f t="shared" si="9"/>
        <v>202966.18416666664</v>
      </c>
      <c r="T11" s="25">
        <f t="shared" si="9"/>
        <v>202966.18416666664</v>
      </c>
      <c r="U11" s="25">
        <f t="shared" si="9"/>
        <v>202966.18416666664</v>
      </c>
      <c r="V11" s="25">
        <f t="shared" si="9"/>
        <v>202966.18416666664</v>
      </c>
      <c r="W11" s="25">
        <f t="shared" si="9"/>
        <v>202966.18416666664</v>
      </c>
    </row>
    <row r="12" spans="1:27" ht="15" customHeight="1">
      <c r="A12" s="1">
        <f t="shared" si="8"/>
        <v>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7" ht="15" customHeight="1">
      <c r="A13" s="1">
        <f t="shared" si="8"/>
        <v>8</v>
      </c>
      <c r="C13" s="17" t="s">
        <v>156</v>
      </c>
      <c r="D13" s="1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7" ht="15" customHeight="1">
      <c r="A14" s="1">
        <f t="shared" si="8"/>
        <v>9</v>
      </c>
      <c r="C14" s="41" t="s">
        <v>157</v>
      </c>
      <c r="D14" s="4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7" ht="15" customHeight="1">
      <c r="A15" s="1">
        <f t="shared" si="8"/>
        <v>10</v>
      </c>
      <c r="B15" s="1" t="s">
        <v>158</v>
      </c>
      <c r="C15" s="7" t="s">
        <v>298</v>
      </c>
      <c r="E15" s="25">
        <f>INDEX('Exhibit-25'!$F:$F,MATCH($B15,'Exhibit-25'!$B:$B,0))/12</f>
        <v>-220.57459053627463</v>
      </c>
      <c r="F15" s="25">
        <f>INDEX('Exhibit-25'!$F:$F,MATCH($B15,'Exhibit-25'!$B:$B,0))/12</f>
        <v>-220.57459053627463</v>
      </c>
      <c r="G15" s="25">
        <f>INDEX('Exhibit-25'!$F:$F,MATCH($B15,'Exhibit-25'!$B:$B,0))/12</f>
        <v>-220.57459053627463</v>
      </c>
      <c r="H15" s="25">
        <f>INDEX('Exhibit-25'!$F:$F,MATCH($B15,'Exhibit-25'!$B:$B,0))/12</f>
        <v>-220.57459053627463</v>
      </c>
      <c r="I15" s="25">
        <f>INDEX('Exhibit-25'!$F:$F,MATCH($B15,'Exhibit-25'!$B:$B,0))/12</f>
        <v>-220.57459053627463</v>
      </c>
      <c r="J15" s="25">
        <f>INDEX('Exhibit-25'!$F:$F,MATCH($B15,'Exhibit-25'!$B:$B,0))/12</f>
        <v>-220.57459053627463</v>
      </c>
      <c r="K15" s="25">
        <f>INDEX('Exhibit-25'!$F:$F,MATCH($B15,'Exhibit-25'!$B:$B,0))/12</f>
        <v>-220.57459053627463</v>
      </c>
      <c r="L15" s="25">
        <f>INDEX('Exhibit-25'!$F:$F,MATCH($B15,'Exhibit-25'!$B:$B,0))/12</f>
        <v>-220.57459053627463</v>
      </c>
      <c r="M15" s="25">
        <f>INDEX('Exhibit-25'!$F:$F,MATCH($B15,'Exhibit-25'!$B:$B,0))/12</f>
        <v>-220.57459053627463</v>
      </c>
      <c r="N15" s="25">
        <f>INDEX('Exhibit-25'!$F:$F,MATCH($B15,'Exhibit-25'!$B:$B,0))/12</f>
        <v>-220.57459053627463</v>
      </c>
      <c r="O15" s="25">
        <f>INDEX('Exhibit-25'!$F:$F,MATCH($B15,'Exhibit-25'!$B:$B,0))/12</f>
        <v>-220.57459053627463</v>
      </c>
      <c r="P15" s="25">
        <f>INDEX('Exhibit-25'!$F:$F,MATCH($B15,'Exhibit-25'!$B:$B,0))/12</f>
        <v>-220.57459053627463</v>
      </c>
      <c r="Q15" s="25">
        <f>INDEX('Exhibit-25'!$F:$F,MATCH($B15,'Exhibit-25'!$B:$B,0))/12</f>
        <v>-220.57459053627463</v>
      </c>
      <c r="R15" s="25">
        <f>INDEX('Exhibit-25'!$F:$F,MATCH($B15,'Exhibit-25'!$B:$B,0))/12</f>
        <v>-220.57459053627463</v>
      </c>
      <c r="S15" s="25">
        <f>INDEX('Exhibit-25'!$F:$F,MATCH($B15,'Exhibit-25'!$B:$B,0))/12</f>
        <v>-220.57459053627463</v>
      </c>
      <c r="T15" s="25">
        <f>INDEX('Exhibit-25'!$F:$F,MATCH($B15,'Exhibit-25'!$B:$B,0))/12</f>
        <v>-220.57459053627463</v>
      </c>
      <c r="U15" s="25">
        <f>INDEX('Exhibit-25'!$F:$F,MATCH($B15,'Exhibit-25'!$B:$B,0))/12</f>
        <v>-220.57459053627463</v>
      </c>
      <c r="V15" s="25">
        <f>INDEX('Exhibit-25'!$F:$F,MATCH($B15,'Exhibit-25'!$B:$B,0))/12</f>
        <v>-220.57459053627463</v>
      </c>
      <c r="W15" s="25">
        <f>INDEX('Exhibit-25'!$F:$F,MATCH($B15,'Exhibit-25'!$B:$B,0))/12</f>
        <v>-220.57459053627463</v>
      </c>
    </row>
    <row r="16" spans="1:27" ht="15" customHeight="1">
      <c r="A16" s="1">
        <f t="shared" si="8"/>
        <v>11</v>
      </c>
      <c r="B16" s="44" t="s">
        <v>159</v>
      </c>
      <c r="C16" s="7" t="s">
        <v>300</v>
      </c>
      <c r="E16" s="25">
        <f>INDEX('Exhibit-25'!$F:$F,MATCH($B16,'Exhibit-25'!$B:$B,0))/12</f>
        <v>-2311.3885562726823</v>
      </c>
      <c r="F16" s="25">
        <f>INDEX('Exhibit-25'!$F:$F,MATCH($B16,'Exhibit-25'!$B:$B,0))/12</f>
        <v>-2311.3885562726823</v>
      </c>
      <c r="G16" s="25">
        <f>INDEX('Exhibit-25'!$F:$F,MATCH($B16,'Exhibit-25'!$B:$B,0))/12</f>
        <v>-2311.3885562726823</v>
      </c>
      <c r="H16" s="25">
        <f>INDEX('Exhibit-25'!$F:$F,MATCH($B16,'Exhibit-25'!$B:$B,0))/12</f>
        <v>-2311.3885562726823</v>
      </c>
      <c r="I16" s="25">
        <f>INDEX('Exhibit-25'!$F:$F,MATCH($B16,'Exhibit-25'!$B:$B,0))/12</f>
        <v>-2311.3885562726823</v>
      </c>
      <c r="J16" s="25">
        <f>INDEX('Exhibit-25'!$F:$F,MATCH($B16,'Exhibit-25'!$B:$B,0))/12</f>
        <v>-2311.3885562726823</v>
      </c>
      <c r="K16" s="25">
        <f>INDEX('Exhibit-25'!$F:$F,MATCH($B16,'Exhibit-25'!$B:$B,0))/12</f>
        <v>-2311.3885562726823</v>
      </c>
      <c r="L16" s="25">
        <f>INDEX('Exhibit-25'!$F:$F,MATCH($B16,'Exhibit-25'!$B:$B,0))/12</f>
        <v>-2311.3885562726823</v>
      </c>
      <c r="M16" s="25">
        <f>INDEX('Exhibit-25'!$F:$F,MATCH($B16,'Exhibit-25'!$B:$B,0))/12</f>
        <v>-2311.3885562726823</v>
      </c>
      <c r="N16" s="25">
        <f>INDEX('Exhibit-25'!$F:$F,MATCH($B16,'Exhibit-25'!$B:$B,0))/12</f>
        <v>-2311.3885562726823</v>
      </c>
      <c r="O16" s="25">
        <f>INDEX('Exhibit-25'!$F:$F,MATCH($B16,'Exhibit-25'!$B:$B,0))/12</f>
        <v>-2311.3885562726823</v>
      </c>
      <c r="P16" s="25">
        <f>INDEX('Exhibit-25'!$F:$F,MATCH($B16,'Exhibit-25'!$B:$B,0))/12</f>
        <v>-2311.3885562726823</v>
      </c>
      <c r="Q16" s="25">
        <f>INDEX('Exhibit-25'!$F:$F,MATCH($B16,'Exhibit-25'!$B:$B,0))/12</f>
        <v>-2311.3885562726823</v>
      </c>
      <c r="R16" s="25">
        <f>INDEX('Exhibit-25'!$F:$F,MATCH($B16,'Exhibit-25'!$B:$B,0))/12</f>
        <v>-2311.3885562726823</v>
      </c>
      <c r="S16" s="25">
        <f>INDEX('Exhibit-25'!$F:$F,MATCH($B16,'Exhibit-25'!$B:$B,0))/12</f>
        <v>-2311.3885562726823</v>
      </c>
      <c r="T16" s="25">
        <f>INDEX('Exhibit-25'!$F:$F,MATCH($B16,'Exhibit-25'!$B:$B,0))/12</f>
        <v>-2311.3885562726823</v>
      </c>
      <c r="U16" s="25">
        <f>INDEX('Exhibit-25'!$F:$F,MATCH($B16,'Exhibit-25'!$B:$B,0))/12</f>
        <v>-2311.3885562726823</v>
      </c>
      <c r="V16" s="25">
        <f>INDEX('Exhibit-25'!$F:$F,MATCH($B16,'Exhibit-25'!$B:$B,0))/12</f>
        <v>-2311.3885562726823</v>
      </c>
      <c r="W16" s="25">
        <f>INDEX('Exhibit-25'!$F:$F,MATCH($B16,'Exhibit-25'!$B:$B,0))/12</f>
        <v>-2311.3885562726823</v>
      </c>
    </row>
    <row r="17" spans="1:23" ht="15" customHeight="1">
      <c r="A17" s="1">
        <f t="shared" si="8"/>
        <v>12</v>
      </c>
      <c r="B17" s="1" t="s">
        <v>160</v>
      </c>
      <c r="C17" s="7" t="s">
        <v>301</v>
      </c>
      <c r="E17" s="25">
        <f>INDEX('Exhibit-25'!$F:$F,MATCH($B17,'Exhibit-25'!$B:$B,0))/12</f>
        <v>-13.114872685185185</v>
      </c>
      <c r="F17" s="25">
        <f>INDEX('Exhibit-25'!$F:$F,MATCH($B17,'Exhibit-25'!$B:$B,0))/12</f>
        <v>-13.114872685185185</v>
      </c>
      <c r="G17" s="25">
        <f>INDEX('Exhibit-25'!$F:$F,MATCH($B17,'Exhibit-25'!$B:$B,0))/12</f>
        <v>-13.114872685185185</v>
      </c>
      <c r="H17" s="25">
        <f>INDEX('Exhibit-25'!$F:$F,MATCH($B17,'Exhibit-25'!$B:$B,0))/12</f>
        <v>-13.114872685185185</v>
      </c>
      <c r="I17" s="25">
        <f>INDEX('Exhibit-25'!$F:$F,MATCH($B17,'Exhibit-25'!$B:$B,0))/12</f>
        <v>-13.114872685185185</v>
      </c>
      <c r="J17" s="25">
        <f>INDEX('Exhibit-25'!$F:$F,MATCH($B17,'Exhibit-25'!$B:$B,0))/12</f>
        <v>-13.114872685185185</v>
      </c>
      <c r="K17" s="25">
        <f>INDEX('Exhibit-25'!$F:$F,MATCH($B17,'Exhibit-25'!$B:$B,0))/12</f>
        <v>-13.114872685185185</v>
      </c>
      <c r="L17" s="25">
        <f>INDEX('Exhibit-25'!$F:$F,MATCH($B17,'Exhibit-25'!$B:$B,0))/12</f>
        <v>-13.114872685185185</v>
      </c>
      <c r="M17" s="25">
        <f>INDEX('Exhibit-25'!$F:$F,MATCH($B17,'Exhibit-25'!$B:$B,0))/12</f>
        <v>-13.114872685185185</v>
      </c>
      <c r="N17" s="25">
        <f>INDEX('Exhibit-25'!$F:$F,MATCH($B17,'Exhibit-25'!$B:$B,0))/12</f>
        <v>-13.114872685185185</v>
      </c>
      <c r="O17" s="25">
        <f>INDEX('Exhibit-25'!$F:$F,MATCH($B17,'Exhibit-25'!$B:$B,0))/12</f>
        <v>-13.114872685185185</v>
      </c>
      <c r="P17" s="25">
        <f>INDEX('Exhibit-25'!$F:$F,MATCH($B17,'Exhibit-25'!$B:$B,0))/12</f>
        <v>-13.114872685185185</v>
      </c>
      <c r="Q17" s="25">
        <f>INDEX('Exhibit-25'!$F:$F,MATCH($B17,'Exhibit-25'!$B:$B,0))/12</f>
        <v>-13.114872685185185</v>
      </c>
      <c r="R17" s="25">
        <f>INDEX('Exhibit-25'!$F:$F,MATCH($B17,'Exhibit-25'!$B:$B,0))/12</f>
        <v>-13.114872685185185</v>
      </c>
      <c r="S17" s="25">
        <f>INDEX('Exhibit-25'!$F:$F,MATCH($B17,'Exhibit-25'!$B:$B,0))/12</f>
        <v>-13.114872685185185</v>
      </c>
      <c r="T17" s="25">
        <f>INDEX('Exhibit-25'!$F:$F,MATCH($B17,'Exhibit-25'!$B:$B,0))/12</f>
        <v>-13.114872685185185</v>
      </c>
      <c r="U17" s="25">
        <f>INDEX('Exhibit-25'!$F:$F,MATCH($B17,'Exhibit-25'!$B:$B,0))/12</f>
        <v>-13.114872685185185</v>
      </c>
      <c r="V17" s="25">
        <f>INDEX('Exhibit-25'!$F:$F,MATCH($B17,'Exhibit-25'!$B:$B,0))/12</f>
        <v>-13.114872685185185</v>
      </c>
      <c r="W17" s="25">
        <f>INDEX('Exhibit-25'!$F:$F,MATCH($B17,'Exhibit-25'!$B:$B,0))/12</f>
        <v>-13.114872685185185</v>
      </c>
    </row>
    <row r="18" spans="1:23" ht="15" customHeight="1">
      <c r="A18" s="1">
        <f t="shared" si="8"/>
        <v>13</v>
      </c>
      <c r="B18" s="1" t="s">
        <v>161</v>
      </c>
      <c r="C18" s="7" t="s">
        <v>319</v>
      </c>
      <c r="E18" s="25">
        <f>INDEX('Exhibit-25'!$F:$F,MATCH($B18,'Exhibit-25'!$B:$B,0))/12</f>
        <v>-6577.3737551330532</v>
      </c>
      <c r="F18" s="25">
        <f>INDEX('Exhibit-25'!$F:$F,MATCH($B18,'Exhibit-25'!$B:$B,0))/12</f>
        <v>-6577.3737551330532</v>
      </c>
      <c r="G18" s="25">
        <f>INDEX('Exhibit-25'!$F:$F,MATCH($B18,'Exhibit-25'!$B:$B,0))/12</f>
        <v>-6577.3737551330532</v>
      </c>
      <c r="H18" s="25">
        <f>INDEX('Exhibit-25'!$F:$F,MATCH($B18,'Exhibit-25'!$B:$B,0))/12</f>
        <v>-6577.3737551330532</v>
      </c>
      <c r="I18" s="25">
        <f>INDEX('Exhibit-25'!$F:$F,MATCH($B18,'Exhibit-25'!$B:$B,0))/12</f>
        <v>-6577.3737551330532</v>
      </c>
      <c r="J18" s="25">
        <f>INDEX('Exhibit-25'!$F:$F,MATCH($B18,'Exhibit-25'!$B:$B,0))/12</f>
        <v>-6577.3737551330532</v>
      </c>
      <c r="K18" s="25">
        <f>INDEX('Exhibit-25'!$F:$F,MATCH($B18,'Exhibit-25'!$B:$B,0))/12</f>
        <v>-6577.3737551330532</v>
      </c>
      <c r="L18" s="25">
        <f>INDEX('Exhibit-25'!$F:$F,MATCH($B18,'Exhibit-25'!$B:$B,0))/12</f>
        <v>-6577.3737551330532</v>
      </c>
      <c r="M18" s="25">
        <f>INDEX('Exhibit-25'!$F:$F,MATCH($B18,'Exhibit-25'!$B:$B,0))/12</f>
        <v>-6577.3737551330532</v>
      </c>
      <c r="N18" s="25">
        <f>INDEX('Exhibit-25'!$F:$F,MATCH($B18,'Exhibit-25'!$B:$B,0))/12</f>
        <v>-6577.3737551330532</v>
      </c>
      <c r="O18" s="25">
        <f>INDEX('Exhibit-25'!$F:$F,MATCH($B18,'Exhibit-25'!$B:$B,0))/12</f>
        <v>-6577.3737551330532</v>
      </c>
      <c r="P18" s="25">
        <f>INDEX('Exhibit-25'!$F:$F,MATCH($B18,'Exhibit-25'!$B:$B,0))/12</f>
        <v>-6577.3737551330532</v>
      </c>
      <c r="Q18" s="25">
        <f>INDEX('Exhibit-25'!$F:$F,MATCH($B18,'Exhibit-25'!$B:$B,0))/12</f>
        <v>-6577.3737551330532</v>
      </c>
      <c r="R18" s="25">
        <f>INDEX('Exhibit-25'!$F:$F,MATCH($B18,'Exhibit-25'!$B:$B,0))/12</f>
        <v>-6577.3737551330532</v>
      </c>
      <c r="S18" s="25">
        <f>INDEX('Exhibit-25'!$F:$F,MATCH($B18,'Exhibit-25'!$B:$B,0))/12</f>
        <v>-6577.3737551330532</v>
      </c>
      <c r="T18" s="25">
        <f>INDEX('Exhibit-25'!$F:$F,MATCH($B18,'Exhibit-25'!$B:$B,0))/12</f>
        <v>-6577.3737551330532</v>
      </c>
      <c r="U18" s="25">
        <f>INDEX('Exhibit-25'!$F:$F,MATCH($B18,'Exhibit-25'!$B:$B,0))/12</f>
        <v>-6577.3737551330532</v>
      </c>
      <c r="V18" s="25">
        <f>INDEX('Exhibit-25'!$F:$F,MATCH($B18,'Exhibit-25'!$B:$B,0))/12</f>
        <v>-6577.3737551330532</v>
      </c>
      <c r="W18" s="25">
        <f>INDEX('Exhibit-25'!$F:$F,MATCH($B18,'Exhibit-25'!$B:$B,0))/12</f>
        <v>-6577.3737551330532</v>
      </c>
    </row>
    <row r="19" spans="1:23" ht="15" customHeight="1">
      <c r="A19" s="1">
        <f t="shared" si="8"/>
        <v>14</v>
      </c>
      <c r="B19" s="44" t="s">
        <v>162</v>
      </c>
      <c r="C19" s="7" t="s">
        <v>400</v>
      </c>
      <c r="E19" s="25">
        <f>INDEX('Exhibit-25'!$F:$F,MATCH($B19,'Exhibit-25'!$B:$B,0))/12</f>
        <v>-933.91151693175868</v>
      </c>
      <c r="F19" s="25">
        <f>INDEX('Exhibit-25'!$F:$F,MATCH($B19,'Exhibit-25'!$B:$B,0))/12</f>
        <v>-933.91151693175868</v>
      </c>
      <c r="G19" s="25">
        <f>INDEX('Exhibit-25'!$F:$F,MATCH($B19,'Exhibit-25'!$B:$B,0))/12</f>
        <v>-933.91151693175868</v>
      </c>
      <c r="H19" s="25">
        <f>INDEX('Exhibit-25'!$F:$F,MATCH($B19,'Exhibit-25'!$B:$B,0))/12</f>
        <v>-933.91151693175868</v>
      </c>
      <c r="I19" s="25">
        <f>INDEX('Exhibit-25'!$F:$F,MATCH($B19,'Exhibit-25'!$B:$B,0))/12</f>
        <v>-933.91151693175868</v>
      </c>
      <c r="J19" s="25">
        <f>INDEX('Exhibit-25'!$F:$F,MATCH($B19,'Exhibit-25'!$B:$B,0))/12</f>
        <v>-933.91151693175868</v>
      </c>
      <c r="K19" s="25">
        <f>INDEX('Exhibit-25'!$F:$F,MATCH($B19,'Exhibit-25'!$B:$B,0))/12</f>
        <v>-933.91151693175868</v>
      </c>
      <c r="L19" s="25">
        <f>INDEX('Exhibit-25'!$F:$F,MATCH($B19,'Exhibit-25'!$B:$B,0))/12</f>
        <v>-933.91151693175868</v>
      </c>
      <c r="M19" s="25">
        <f>INDEX('Exhibit-25'!$F:$F,MATCH($B19,'Exhibit-25'!$B:$B,0))/12</f>
        <v>-933.91151693175868</v>
      </c>
      <c r="N19" s="25">
        <f>INDEX('Exhibit-25'!$F:$F,MATCH($B19,'Exhibit-25'!$B:$B,0))/12</f>
        <v>-933.91151693175868</v>
      </c>
      <c r="O19" s="25">
        <f>INDEX('Exhibit-25'!$F:$F,MATCH($B19,'Exhibit-25'!$B:$B,0))/12</f>
        <v>-933.91151693175868</v>
      </c>
      <c r="P19" s="25">
        <f>INDEX('Exhibit-25'!$F:$F,MATCH($B19,'Exhibit-25'!$B:$B,0))/12</f>
        <v>-933.91151693175868</v>
      </c>
      <c r="Q19" s="25">
        <f>INDEX('Exhibit-25'!$F:$F,MATCH($B19,'Exhibit-25'!$B:$B,0))/12</f>
        <v>-933.91151693175868</v>
      </c>
      <c r="R19" s="25">
        <f>INDEX('Exhibit-25'!$F:$F,MATCH($B19,'Exhibit-25'!$B:$B,0))/12</f>
        <v>-933.91151693175868</v>
      </c>
      <c r="S19" s="25">
        <f>INDEX('Exhibit-25'!$F:$F,MATCH($B19,'Exhibit-25'!$B:$B,0))/12</f>
        <v>-933.91151693175868</v>
      </c>
      <c r="T19" s="25">
        <f>INDEX('Exhibit-25'!$F:$F,MATCH($B19,'Exhibit-25'!$B:$B,0))/12</f>
        <v>-933.91151693175868</v>
      </c>
      <c r="U19" s="25">
        <f>INDEX('Exhibit-25'!$F:$F,MATCH($B19,'Exhibit-25'!$B:$B,0))/12</f>
        <v>-933.91151693175868</v>
      </c>
      <c r="V19" s="25">
        <f>INDEX('Exhibit-25'!$F:$F,MATCH($B19,'Exhibit-25'!$B:$B,0))/12</f>
        <v>-933.91151693175868</v>
      </c>
      <c r="W19" s="25">
        <f>INDEX('Exhibit-25'!$F:$F,MATCH($B19,'Exhibit-25'!$B:$B,0))/12</f>
        <v>-933.91151693175868</v>
      </c>
    </row>
    <row r="20" spans="1:23" ht="15" customHeight="1">
      <c r="A20" s="1">
        <f t="shared" si="8"/>
        <v>15</v>
      </c>
      <c r="B20" s="1" t="s">
        <v>163</v>
      </c>
      <c r="C20" s="7" t="s">
        <v>320</v>
      </c>
      <c r="E20" s="25">
        <f>INDEX('Exhibit-25'!$F:$F,MATCH($B20,'Exhibit-25'!$B:$B,0))/12</f>
        <v>-2781.798708766677</v>
      </c>
      <c r="F20" s="25">
        <f>INDEX('Exhibit-25'!$F:$F,MATCH($B20,'Exhibit-25'!$B:$B,0))/12</f>
        <v>-2781.798708766677</v>
      </c>
      <c r="G20" s="25">
        <f>INDEX('Exhibit-25'!$F:$F,MATCH($B20,'Exhibit-25'!$B:$B,0))/12</f>
        <v>-2781.798708766677</v>
      </c>
      <c r="H20" s="25">
        <f>INDEX('Exhibit-25'!$F:$F,MATCH($B20,'Exhibit-25'!$B:$B,0))/12</f>
        <v>-2781.798708766677</v>
      </c>
      <c r="I20" s="25">
        <f>INDEX('Exhibit-25'!$F:$F,MATCH($B20,'Exhibit-25'!$B:$B,0))/12</f>
        <v>-2781.798708766677</v>
      </c>
      <c r="J20" s="25">
        <f>INDEX('Exhibit-25'!$F:$F,MATCH($B20,'Exhibit-25'!$B:$B,0))/12</f>
        <v>-2781.798708766677</v>
      </c>
      <c r="K20" s="25">
        <f>INDEX('Exhibit-25'!$F:$F,MATCH($B20,'Exhibit-25'!$B:$B,0))/12</f>
        <v>-2781.798708766677</v>
      </c>
      <c r="L20" s="25">
        <f>INDEX('Exhibit-25'!$F:$F,MATCH($B20,'Exhibit-25'!$B:$B,0))/12</f>
        <v>-2781.798708766677</v>
      </c>
      <c r="M20" s="25">
        <f>INDEX('Exhibit-25'!$F:$F,MATCH($B20,'Exhibit-25'!$B:$B,0))/12</f>
        <v>-2781.798708766677</v>
      </c>
      <c r="N20" s="25">
        <f>INDEX('Exhibit-25'!$F:$F,MATCH($B20,'Exhibit-25'!$B:$B,0))/12</f>
        <v>-2781.798708766677</v>
      </c>
      <c r="O20" s="25">
        <f>INDEX('Exhibit-25'!$F:$F,MATCH($B20,'Exhibit-25'!$B:$B,0))/12</f>
        <v>-2781.798708766677</v>
      </c>
      <c r="P20" s="25">
        <f>INDEX('Exhibit-25'!$F:$F,MATCH($B20,'Exhibit-25'!$B:$B,0))/12</f>
        <v>-2781.798708766677</v>
      </c>
      <c r="Q20" s="25">
        <f>INDEX('Exhibit-25'!$F:$F,MATCH($B20,'Exhibit-25'!$B:$B,0))/12</f>
        <v>-2781.798708766677</v>
      </c>
      <c r="R20" s="25">
        <f>INDEX('Exhibit-25'!$F:$F,MATCH($B20,'Exhibit-25'!$B:$B,0))/12</f>
        <v>-2781.798708766677</v>
      </c>
      <c r="S20" s="25">
        <f>INDEX('Exhibit-25'!$F:$F,MATCH($B20,'Exhibit-25'!$B:$B,0))/12</f>
        <v>-2781.798708766677</v>
      </c>
      <c r="T20" s="25">
        <f>INDEX('Exhibit-25'!$F:$F,MATCH($B20,'Exhibit-25'!$B:$B,0))/12</f>
        <v>-2781.798708766677</v>
      </c>
      <c r="U20" s="25">
        <f>INDEX('Exhibit-25'!$F:$F,MATCH($B20,'Exhibit-25'!$B:$B,0))/12</f>
        <v>-2781.798708766677</v>
      </c>
      <c r="V20" s="25">
        <f>INDEX('Exhibit-25'!$F:$F,MATCH($B20,'Exhibit-25'!$B:$B,0))/12</f>
        <v>-2781.798708766677</v>
      </c>
      <c r="W20" s="25">
        <f>INDEX('Exhibit-25'!$F:$F,MATCH($B20,'Exhibit-25'!$B:$B,0))/12</f>
        <v>-2781.798708766677</v>
      </c>
    </row>
    <row r="21" spans="1:23" ht="15" customHeight="1">
      <c r="A21" s="1">
        <f t="shared" si="8"/>
        <v>16</v>
      </c>
      <c r="B21" s="1" t="s">
        <v>164</v>
      </c>
      <c r="C21" s="7" t="s">
        <v>401</v>
      </c>
      <c r="E21" s="25">
        <f>INDEX('Exhibit-25'!$F:$F,MATCH($B21,'Exhibit-25'!$B:$B,0))/12</f>
        <v>-34293.78790297165</v>
      </c>
      <c r="F21" s="25">
        <f>INDEX('Exhibit-25'!$F:$F,MATCH($B21,'Exhibit-25'!$B:$B,0))/12</f>
        <v>-34293.78790297165</v>
      </c>
      <c r="G21" s="25">
        <f>INDEX('Exhibit-25'!$F:$F,MATCH($B21,'Exhibit-25'!$B:$B,0))/12</f>
        <v>-34293.78790297165</v>
      </c>
      <c r="H21" s="25">
        <f>INDEX('Exhibit-25'!$F:$F,MATCH($B21,'Exhibit-25'!$B:$B,0))/12</f>
        <v>-34293.78790297165</v>
      </c>
      <c r="I21" s="25">
        <f>INDEX('Exhibit-25'!$F:$F,MATCH($B21,'Exhibit-25'!$B:$B,0))/12</f>
        <v>-34293.78790297165</v>
      </c>
      <c r="J21" s="25">
        <f>INDEX('Exhibit-25'!$F:$F,MATCH($B21,'Exhibit-25'!$B:$B,0))/12</f>
        <v>-34293.78790297165</v>
      </c>
      <c r="K21" s="25">
        <f>INDEX('Exhibit-25'!$F:$F,MATCH($B21,'Exhibit-25'!$B:$B,0))/12</f>
        <v>-34293.78790297165</v>
      </c>
      <c r="L21" s="25">
        <f>INDEX('Exhibit-25'!$F:$F,MATCH($B21,'Exhibit-25'!$B:$B,0))/12</f>
        <v>-34293.78790297165</v>
      </c>
      <c r="M21" s="25">
        <f>INDEX('Exhibit-25'!$F:$F,MATCH($B21,'Exhibit-25'!$B:$B,0))/12</f>
        <v>-34293.78790297165</v>
      </c>
      <c r="N21" s="25">
        <f>INDEX('Exhibit-25'!$F:$F,MATCH($B21,'Exhibit-25'!$B:$B,0))/12</f>
        <v>-34293.78790297165</v>
      </c>
      <c r="O21" s="25">
        <f>INDEX('Exhibit-25'!$F:$F,MATCH($B21,'Exhibit-25'!$B:$B,0))/12</f>
        <v>-34293.78790297165</v>
      </c>
      <c r="P21" s="25">
        <f>INDEX('Exhibit-25'!$F:$F,MATCH($B21,'Exhibit-25'!$B:$B,0))/12</f>
        <v>-34293.78790297165</v>
      </c>
      <c r="Q21" s="25">
        <f>INDEX('Exhibit-25'!$F:$F,MATCH($B21,'Exhibit-25'!$B:$B,0))/12</f>
        <v>-34293.78790297165</v>
      </c>
      <c r="R21" s="25">
        <f>INDEX('Exhibit-25'!$F:$F,MATCH($B21,'Exhibit-25'!$B:$B,0))/12</f>
        <v>-34293.78790297165</v>
      </c>
      <c r="S21" s="25">
        <f>INDEX('Exhibit-25'!$F:$F,MATCH($B21,'Exhibit-25'!$B:$B,0))/12</f>
        <v>-34293.78790297165</v>
      </c>
      <c r="T21" s="25">
        <f>INDEX('Exhibit-25'!$F:$F,MATCH($B21,'Exhibit-25'!$B:$B,0))/12</f>
        <v>-34293.78790297165</v>
      </c>
      <c r="U21" s="25">
        <f>INDEX('Exhibit-25'!$F:$F,MATCH($B21,'Exhibit-25'!$B:$B,0))/12</f>
        <v>-34293.78790297165</v>
      </c>
      <c r="V21" s="25">
        <f>INDEX('Exhibit-25'!$F:$F,MATCH($B21,'Exhibit-25'!$B:$B,0))/12</f>
        <v>-34293.78790297165</v>
      </c>
      <c r="W21" s="25">
        <f>INDEX('Exhibit-25'!$F:$F,MATCH($B21,'Exhibit-25'!$B:$B,0))/12</f>
        <v>-34293.78790297165</v>
      </c>
    </row>
    <row r="22" spans="1:23" ht="15" customHeight="1">
      <c r="A22" s="1">
        <f t="shared" ref="A22:A64" si="10">A21+1</f>
        <v>17</v>
      </c>
      <c r="B22" s="1" t="s">
        <v>165</v>
      </c>
      <c r="C22" s="7" t="s">
        <v>402</v>
      </c>
      <c r="E22" s="25">
        <f>INDEX('Exhibit-25'!$F:$F,MATCH($B22,'Exhibit-25'!$B:$B,0))/12</f>
        <v>-28.967893318640147</v>
      </c>
      <c r="F22" s="25">
        <f>INDEX('Exhibit-25'!$F:$F,MATCH($B22,'Exhibit-25'!$B:$B,0))/12</f>
        <v>-28.967893318640147</v>
      </c>
      <c r="G22" s="25">
        <f>INDEX('Exhibit-25'!$F:$F,MATCH($B22,'Exhibit-25'!$B:$B,0))/12</f>
        <v>-28.967893318640147</v>
      </c>
      <c r="H22" s="25">
        <f>INDEX('Exhibit-25'!$F:$F,MATCH($B22,'Exhibit-25'!$B:$B,0))/12</f>
        <v>-28.967893318640147</v>
      </c>
      <c r="I22" s="25">
        <f>INDEX('Exhibit-25'!$F:$F,MATCH($B22,'Exhibit-25'!$B:$B,0))/12</f>
        <v>-28.967893318640147</v>
      </c>
      <c r="J22" s="25">
        <f>INDEX('Exhibit-25'!$F:$F,MATCH($B22,'Exhibit-25'!$B:$B,0))/12</f>
        <v>-28.967893318640147</v>
      </c>
      <c r="K22" s="25">
        <f>INDEX('Exhibit-25'!$F:$F,MATCH($B22,'Exhibit-25'!$B:$B,0))/12</f>
        <v>-28.967893318640147</v>
      </c>
      <c r="L22" s="25">
        <f>INDEX('Exhibit-25'!$F:$F,MATCH($B22,'Exhibit-25'!$B:$B,0))/12</f>
        <v>-28.967893318640147</v>
      </c>
      <c r="M22" s="25">
        <f>INDEX('Exhibit-25'!$F:$F,MATCH($B22,'Exhibit-25'!$B:$B,0))/12</f>
        <v>-28.967893318640147</v>
      </c>
      <c r="N22" s="25">
        <f>INDEX('Exhibit-25'!$F:$F,MATCH($B22,'Exhibit-25'!$B:$B,0))/12</f>
        <v>-28.967893318640147</v>
      </c>
      <c r="O22" s="25">
        <f>INDEX('Exhibit-25'!$F:$F,MATCH($B22,'Exhibit-25'!$B:$B,0))/12</f>
        <v>-28.967893318640147</v>
      </c>
      <c r="P22" s="25">
        <f>INDEX('Exhibit-25'!$F:$F,MATCH($B22,'Exhibit-25'!$B:$B,0))/12</f>
        <v>-28.967893318640147</v>
      </c>
      <c r="Q22" s="25">
        <f>INDEX('Exhibit-25'!$F:$F,MATCH($B22,'Exhibit-25'!$B:$B,0))/12</f>
        <v>-28.967893318640147</v>
      </c>
      <c r="R22" s="25">
        <f>INDEX('Exhibit-25'!$F:$F,MATCH($B22,'Exhibit-25'!$B:$B,0))/12</f>
        <v>-28.967893318640147</v>
      </c>
      <c r="S22" s="25">
        <f>INDEX('Exhibit-25'!$F:$F,MATCH($B22,'Exhibit-25'!$B:$B,0))/12</f>
        <v>-28.967893318640147</v>
      </c>
      <c r="T22" s="25">
        <f>INDEX('Exhibit-25'!$F:$F,MATCH($B22,'Exhibit-25'!$B:$B,0))/12</f>
        <v>-28.967893318640147</v>
      </c>
      <c r="U22" s="25">
        <f>INDEX('Exhibit-25'!$F:$F,MATCH($B22,'Exhibit-25'!$B:$B,0))/12</f>
        <v>-28.967893318640147</v>
      </c>
      <c r="V22" s="25">
        <f>INDEX('Exhibit-25'!$F:$F,MATCH($B22,'Exhibit-25'!$B:$B,0))/12</f>
        <v>-28.967893318640147</v>
      </c>
      <c r="W22" s="25">
        <f>INDEX('Exhibit-25'!$F:$F,MATCH($B22,'Exhibit-25'!$B:$B,0))/12</f>
        <v>-28.967893318640147</v>
      </c>
    </row>
    <row r="23" spans="1:23" ht="15" customHeight="1">
      <c r="A23" s="1">
        <f t="shared" si="10"/>
        <v>18</v>
      </c>
      <c r="B23" s="1" t="s">
        <v>167</v>
      </c>
      <c r="C23" s="7" t="s">
        <v>325</v>
      </c>
      <c r="E23" s="25">
        <f>INDEX('Exhibit-25'!$F:$F,MATCH($B23,'Exhibit-25'!$B:$B,0))/12</f>
        <v>-4389.1765558090037</v>
      </c>
      <c r="F23" s="25">
        <f>INDEX('Exhibit-25'!$F:$F,MATCH($B23,'Exhibit-25'!$B:$B,0))/12</f>
        <v>-4389.1765558090037</v>
      </c>
      <c r="G23" s="25">
        <f>INDEX('Exhibit-25'!$F:$F,MATCH($B23,'Exhibit-25'!$B:$B,0))/12</f>
        <v>-4389.1765558090037</v>
      </c>
      <c r="H23" s="25">
        <f>INDEX('Exhibit-25'!$F:$F,MATCH($B23,'Exhibit-25'!$B:$B,0))/12</f>
        <v>-4389.1765558090037</v>
      </c>
      <c r="I23" s="25">
        <f>INDEX('Exhibit-25'!$F:$F,MATCH($B23,'Exhibit-25'!$B:$B,0))/12</f>
        <v>-4389.1765558090037</v>
      </c>
      <c r="J23" s="25">
        <f>INDEX('Exhibit-25'!$F:$F,MATCH($B23,'Exhibit-25'!$B:$B,0))/12</f>
        <v>-4389.1765558090037</v>
      </c>
      <c r="K23" s="25">
        <f>INDEX('Exhibit-25'!$F:$F,MATCH($B23,'Exhibit-25'!$B:$B,0))/12</f>
        <v>-4389.1765558090037</v>
      </c>
      <c r="L23" s="25">
        <f>INDEX('Exhibit-25'!$F:$F,MATCH($B23,'Exhibit-25'!$B:$B,0))/12</f>
        <v>-4389.1765558090037</v>
      </c>
      <c r="M23" s="25">
        <f>INDEX('Exhibit-25'!$F:$F,MATCH($B23,'Exhibit-25'!$B:$B,0))/12</f>
        <v>-4389.1765558090037</v>
      </c>
      <c r="N23" s="25">
        <f>INDEX('Exhibit-25'!$F:$F,MATCH($B23,'Exhibit-25'!$B:$B,0))/12</f>
        <v>-4389.1765558090037</v>
      </c>
      <c r="O23" s="25">
        <f>INDEX('Exhibit-25'!$F:$F,MATCH($B23,'Exhibit-25'!$B:$B,0))/12</f>
        <v>-4389.1765558090037</v>
      </c>
      <c r="P23" s="25">
        <f>INDEX('Exhibit-25'!$F:$F,MATCH($B23,'Exhibit-25'!$B:$B,0))/12</f>
        <v>-4389.1765558090037</v>
      </c>
      <c r="Q23" s="25">
        <f>INDEX('Exhibit-25'!$F:$F,MATCH($B23,'Exhibit-25'!$B:$B,0))/12</f>
        <v>-4389.1765558090037</v>
      </c>
      <c r="R23" s="25">
        <f>INDEX('Exhibit-25'!$F:$F,MATCH($B23,'Exhibit-25'!$B:$B,0))/12</f>
        <v>-4389.1765558090037</v>
      </c>
      <c r="S23" s="25">
        <f>INDEX('Exhibit-25'!$F:$F,MATCH($B23,'Exhibit-25'!$B:$B,0))/12</f>
        <v>-4389.1765558090037</v>
      </c>
      <c r="T23" s="25">
        <f>INDEX('Exhibit-25'!$F:$F,MATCH($B23,'Exhibit-25'!$B:$B,0))/12</f>
        <v>-4389.1765558090037</v>
      </c>
      <c r="U23" s="25">
        <f>INDEX('Exhibit-25'!$F:$F,MATCH($B23,'Exhibit-25'!$B:$B,0))/12</f>
        <v>-4389.1765558090037</v>
      </c>
      <c r="V23" s="25">
        <f>INDEX('Exhibit-25'!$F:$F,MATCH($B23,'Exhibit-25'!$B:$B,0))/12</f>
        <v>-4389.1765558090037</v>
      </c>
      <c r="W23" s="25">
        <f>INDEX('Exhibit-25'!$F:$F,MATCH($B23,'Exhibit-25'!$B:$B,0))/12</f>
        <v>-4389.1765558090037</v>
      </c>
    </row>
    <row r="24" spans="1:23" ht="15" customHeight="1">
      <c r="A24" s="1">
        <f t="shared" si="10"/>
        <v>19</v>
      </c>
      <c r="B24" s="1" t="s">
        <v>168</v>
      </c>
      <c r="C24" s="7" t="s">
        <v>326</v>
      </c>
      <c r="E24" s="25">
        <f>INDEX('Exhibit-25'!$F:$F,MATCH($B24,'Exhibit-25'!$B:$B,0))/12</f>
        <v>-919.97607032213489</v>
      </c>
      <c r="F24" s="25">
        <f>INDEX('Exhibit-25'!$F:$F,MATCH($B24,'Exhibit-25'!$B:$B,0))/12</f>
        <v>-919.97607032213489</v>
      </c>
      <c r="G24" s="25">
        <f>INDEX('Exhibit-25'!$F:$F,MATCH($B24,'Exhibit-25'!$B:$B,0))/12</f>
        <v>-919.97607032213489</v>
      </c>
      <c r="H24" s="25">
        <f>INDEX('Exhibit-25'!$F:$F,MATCH($B24,'Exhibit-25'!$B:$B,0))/12</f>
        <v>-919.97607032213489</v>
      </c>
      <c r="I24" s="25">
        <f>INDEX('Exhibit-25'!$F:$F,MATCH($B24,'Exhibit-25'!$B:$B,0))/12</f>
        <v>-919.97607032213489</v>
      </c>
      <c r="J24" s="25">
        <f>INDEX('Exhibit-25'!$F:$F,MATCH($B24,'Exhibit-25'!$B:$B,0))/12</f>
        <v>-919.97607032213489</v>
      </c>
      <c r="K24" s="25">
        <f>INDEX('Exhibit-25'!$F:$F,MATCH($B24,'Exhibit-25'!$B:$B,0))/12</f>
        <v>-919.97607032213489</v>
      </c>
      <c r="L24" s="25">
        <f>INDEX('Exhibit-25'!$F:$F,MATCH($B24,'Exhibit-25'!$B:$B,0))/12</f>
        <v>-919.97607032213489</v>
      </c>
      <c r="M24" s="25">
        <f>INDEX('Exhibit-25'!$F:$F,MATCH($B24,'Exhibit-25'!$B:$B,0))/12</f>
        <v>-919.97607032213489</v>
      </c>
      <c r="N24" s="25">
        <f>INDEX('Exhibit-25'!$F:$F,MATCH($B24,'Exhibit-25'!$B:$B,0))/12</f>
        <v>-919.97607032213489</v>
      </c>
      <c r="O24" s="25">
        <f>INDEX('Exhibit-25'!$F:$F,MATCH($B24,'Exhibit-25'!$B:$B,0))/12</f>
        <v>-919.97607032213489</v>
      </c>
      <c r="P24" s="25">
        <f>INDEX('Exhibit-25'!$F:$F,MATCH($B24,'Exhibit-25'!$B:$B,0))/12</f>
        <v>-919.97607032213489</v>
      </c>
      <c r="Q24" s="25">
        <f>INDEX('Exhibit-25'!$F:$F,MATCH($B24,'Exhibit-25'!$B:$B,0))/12</f>
        <v>-919.97607032213489</v>
      </c>
      <c r="R24" s="25">
        <f>INDEX('Exhibit-25'!$F:$F,MATCH($B24,'Exhibit-25'!$B:$B,0))/12</f>
        <v>-919.97607032213489</v>
      </c>
      <c r="S24" s="25">
        <f>INDEX('Exhibit-25'!$F:$F,MATCH($B24,'Exhibit-25'!$B:$B,0))/12</f>
        <v>-919.97607032213489</v>
      </c>
      <c r="T24" s="25">
        <f>INDEX('Exhibit-25'!$F:$F,MATCH($B24,'Exhibit-25'!$B:$B,0))/12</f>
        <v>-919.97607032213489</v>
      </c>
      <c r="U24" s="25">
        <f>INDEX('Exhibit-25'!$F:$F,MATCH($B24,'Exhibit-25'!$B:$B,0))/12</f>
        <v>-919.97607032213489</v>
      </c>
      <c r="V24" s="25">
        <f>INDEX('Exhibit-25'!$F:$F,MATCH($B24,'Exhibit-25'!$B:$B,0))/12</f>
        <v>-919.97607032213489</v>
      </c>
      <c r="W24" s="25">
        <f>INDEX('Exhibit-25'!$F:$F,MATCH($B24,'Exhibit-25'!$B:$B,0))/12</f>
        <v>-919.97607032213489</v>
      </c>
    </row>
    <row r="25" spans="1:23" ht="15" customHeight="1">
      <c r="A25" s="1">
        <f t="shared" si="10"/>
        <v>20</v>
      </c>
      <c r="B25" s="1" t="s">
        <v>169</v>
      </c>
      <c r="C25" s="7" t="s">
        <v>327</v>
      </c>
      <c r="E25" s="25">
        <f>INDEX('Exhibit-25'!$F:$F,MATCH($B25,'Exhibit-25'!$B:$B,0))/12</f>
        <v>-1177.0812719912622</v>
      </c>
      <c r="F25" s="25">
        <f>INDEX('Exhibit-25'!$F:$F,MATCH($B25,'Exhibit-25'!$B:$B,0))/12</f>
        <v>-1177.0812719912622</v>
      </c>
      <c r="G25" s="25">
        <f>INDEX('Exhibit-25'!$F:$F,MATCH($B25,'Exhibit-25'!$B:$B,0))/12</f>
        <v>-1177.0812719912622</v>
      </c>
      <c r="H25" s="25">
        <f>INDEX('Exhibit-25'!$F:$F,MATCH($B25,'Exhibit-25'!$B:$B,0))/12</f>
        <v>-1177.0812719912622</v>
      </c>
      <c r="I25" s="25">
        <f>INDEX('Exhibit-25'!$F:$F,MATCH($B25,'Exhibit-25'!$B:$B,0))/12</f>
        <v>-1177.0812719912622</v>
      </c>
      <c r="J25" s="25">
        <f>INDEX('Exhibit-25'!$F:$F,MATCH($B25,'Exhibit-25'!$B:$B,0))/12</f>
        <v>-1177.0812719912622</v>
      </c>
      <c r="K25" s="25">
        <f>INDEX('Exhibit-25'!$F:$F,MATCH($B25,'Exhibit-25'!$B:$B,0))/12</f>
        <v>-1177.0812719912622</v>
      </c>
      <c r="L25" s="25">
        <f>INDEX('Exhibit-25'!$F:$F,MATCH($B25,'Exhibit-25'!$B:$B,0))/12</f>
        <v>-1177.0812719912622</v>
      </c>
      <c r="M25" s="25">
        <f>INDEX('Exhibit-25'!$F:$F,MATCH($B25,'Exhibit-25'!$B:$B,0))/12</f>
        <v>-1177.0812719912622</v>
      </c>
      <c r="N25" s="25">
        <f>INDEX('Exhibit-25'!$F:$F,MATCH($B25,'Exhibit-25'!$B:$B,0))/12</f>
        <v>-1177.0812719912622</v>
      </c>
      <c r="O25" s="25">
        <f>INDEX('Exhibit-25'!$F:$F,MATCH($B25,'Exhibit-25'!$B:$B,0))/12</f>
        <v>-1177.0812719912622</v>
      </c>
      <c r="P25" s="25">
        <f>INDEX('Exhibit-25'!$F:$F,MATCH($B25,'Exhibit-25'!$B:$B,0))/12</f>
        <v>-1177.0812719912622</v>
      </c>
      <c r="Q25" s="25">
        <f>INDEX('Exhibit-25'!$F:$F,MATCH($B25,'Exhibit-25'!$B:$B,0))/12</f>
        <v>-1177.0812719912622</v>
      </c>
      <c r="R25" s="25">
        <f>INDEX('Exhibit-25'!$F:$F,MATCH($B25,'Exhibit-25'!$B:$B,0))/12</f>
        <v>-1177.0812719912622</v>
      </c>
      <c r="S25" s="25">
        <f>INDEX('Exhibit-25'!$F:$F,MATCH($B25,'Exhibit-25'!$B:$B,0))/12</f>
        <v>-1177.0812719912622</v>
      </c>
      <c r="T25" s="25">
        <f>INDEX('Exhibit-25'!$F:$F,MATCH($B25,'Exhibit-25'!$B:$B,0))/12</f>
        <v>-1177.0812719912622</v>
      </c>
      <c r="U25" s="25">
        <f>INDEX('Exhibit-25'!$F:$F,MATCH($B25,'Exhibit-25'!$B:$B,0))/12</f>
        <v>-1177.0812719912622</v>
      </c>
      <c r="V25" s="25">
        <f>INDEX('Exhibit-25'!$F:$F,MATCH($B25,'Exhibit-25'!$B:$B,0))/12</f>
        <v>-1177.0812719912622</v>
      </c>
      <c r="W25" s="25">
        <f>INDEX('Exhibit-25'!$F:$F,MATCH($B25,'Exhibit-25'!$B:$B,0))/12</f>
        <v>-1177.0812719912622</v>
      </c>
    </row>
    <row r="26" spans="1:23" ht="15" customHeight="1">
      <c r="A26" s="1">
        <f t="shared" si="10"/>
        <v>21</v>
      </c>
      <c r="B26" s="1" t="s">
        <v>170</v>
      </c>
      <c r="C26" s="7" t="s">
        <v>403</v>
      </c>
      <c r="E26" s="25">
        <f>INDEX('Exhibit-25'!$F:$F,MATCH($B26,'Exhibit-25'!$B:$B,0))/12</f>
        <v>-1638.5700314475487</v>
      </c>
      <c r="F26" s="25">
        <f>INDEX('Exhibit-25'!$F:$F,MATCH($B26,'Exhibit-25'!$B:$B,0))/12</f>
        <v>-1638.5700314475487</v>
      </c>
      <c r="G26" s="25">
        <f>INDEX('Exhibit-25'!$F:$F,MATCH($B26,'Exhibit-25'!$B:$B,0))/12</f>
        <v>-1638.5700314475487</v>
      </c>
      <c r="H26" s="25">
        <f>INDEX('Exhibit-25'!$F:$F,MATCH($B26,'Exhibit-25'!$B:$B,0))/12</f>
        <v>-1638.5700314475487</v>
      </c>
      <c r="I26" s="25">
        <f>INDEX('Exhibit-25'!$F:$F,MATCH($B26,'Exhibit-25'!$B:$B,0))/12</f>
        <v>-1638.5700314475487</v>
      </c>
      <c r="J26" s="25">
        <f>INDEX('Exhibit-25'!$F:$F,MATCH($B26,'Exhibit-25'!$B:$B,0))/12</f>
        <v>-1638.5700314475487</v>
      </c>
      <c r="K26" s="25">
        <f>INDEX('Exhibit-25'!$F:$F,MATCH($B26,'Exhibit-25'!$B:$B,0))/12</f>
        <v>-1638.5700314475487</v>
      </c>
      <c r="L26" s="25">
        <f>INDEX('Exhibit-25'!$F:$F,MATCH($B26,'Exhibit-25'!$B:$B,0))/12</f>
        <v>-1638.5700314475487</v>
      </c>
      <c r="M26" s="25">
        <f>INDEX('Exhibit-25'!$F:$F,MATCH($B26,'Exhibit-25'!$B:$B,0))/12</f>
        <v>-1638.5700314475487</v>
      </c>
      <c r="N26" s="25">
        <f>INDEX('Exhibit-25'!$F:$F,MATCH($B26,'Exhibit-25'!$B:$B,0))/12</f>
        <v>-1638.5700314475487</v>
      </c>
      <c r="O26" s="25">
        <f>INDEX('Exhibit-25'!$F:$F,MATCH($B26,'Exhibit-25'!$B:$B,0))/12</f>
        <v>-1638.5700314475487</v>
      </c>
      <c r="P26" s="25">
        <f>INDEX('Exhibit-25'!$F:$F,MATCH($B26,'Exhibit-25'!$B:$B,0))/12</f>
        <v>-1638.5700314475487</v>
      </c>
      <c r="Q26" s="25">
        <f>INDEX('Exhibit-25'!$F:$F,MATCH($B26,'Exhibit-25'!$B:$B,0))/12</f>
        <v>-1638.5700314475487</v>
      </c>
      <c r="R26" s="25">
        <f>INDEX('Exhibit-25'!$F:$F,MATCH($B26,'Exhibit-25'!$B:$B,0))/12</f>
        <v>-1638.5700314475487</v>
      </c>
      <c r="S26" s="25">
        <f>INDEX('Exhibit-25'!$F:$F,MATCH($B26,'Exhibit-25'!$B:$B,0))/12</f>
        <v>-1638.5700314475487</v>
      </c>
      <c r="T26" s="25">
        <f>INDEX('Exhibit-25'!$F:$F,MATCH($B26,'Exhibit-25'!$B:$B,0))/12</f>
        <v>-1638.5700314475487</v>
      </c>
      <c r="U26" s="25">
        <f>INDEX('Exhibit-25'!$F:$F,MATCH($B26,'Exhibit-25'!$B:$B,0))/12</f>
        <v>-1638.5700314475487</v>
      </c>
      <c r="V26" s="25">
        <f>INDEX('Exhibit-25'!$F:$F,MATCH($B26,'Exhibit-25'!$B:$B,0))/12</f>
        <v>-1638.5700314475487</v>
      </c>
      <c r="W26" s="25">
        <f>INDEX('Exhibit-25'!$F:$F,MATCH($B26,'Exhibit-25'!$B:$B,0))/12</f>
        <v>-1638.5700314475487</v>
      </c>
    </row>
    <row r="27" spans="1:23" ht="15" customHeight="1">
      <c r="A27" s="1">
        <f t="shared" si="10"/>
        <v>22</v>
      </c>
      <c r="B27" s="1" t="s">
        <v>172</v>
      </c>
      <c r="C27" s="7" t="s">
        <v>329</v>
      </c>
      <c r="E27" s="25">
        <f>INDEX('Exhibit-25'!$F:$F,MATCH($B27,'Exhibit-25'!$B:$B,0))/12</f>
        <v>-18736.365848435024</v>
      </c>
      <c r="F27" s="25">
        <f>INDEX('Exhibit-25'!$F:$F,MATCH($B27,'Exhibit-25'!$B:$B,0))/12</f>
        <v>-18736.365848435024</v>
      </c>
      <c r="G27" s="25">
        <f>INDEX('Exhibit-25'!$F:$F,MATCH($B27,'Exhibit-25'!$B:$B,0))/12</f>
        <v>-18736.365848435024</v>
      </c>
      <c r="H27" s="25">
        <f>INDEX('Exhibit-25'!$F:$F,MATCH($B27,'Exhibit-25'!$B:$B,0))/12</f>
        <v>-18736.365848435024</v>
      </c>
      <c r="I27" s="25">
        <f>INDEX('Exhibit-25'!$F:$F,MATCH($B27,'Exhibit-25'!$B:$B,0))/12</f>
        <v>-18736.365848435024</v>
      </c>
      <c r="J27" s="25">
        <f>INDEX('Exhibit-25'!$F:$F,MATCH($B27,'Exhibit-25'!$B:$B,0))/12</f>
        <v>-18736.365848435024</v>
      </c>
      <c r="K27" s="25">
        <f>INDEX('Exhibit-25'!$F:$F,MATCH($B27,'Exhibit-25'!$B:$B,0))/12</f>
        <v>-18736.365848435024</v>
      </c>
      <c r="L27" s="25">
        <f>INDEX('Exhibit-25'!$F:$F,MATCH($B27,'Exhibit-25'!$B:$B,0))/12</f>
        <v>-18736.365848435024</v>
      </c>
      <c r="M27" s="25">
        <f>INDEX('Exhibit-25'!$F:$F,MATCH($B27,'Exhibit-25'!$B:$B,0))/12</f>
        <v>-18736.365848435024</v>
      </c>
      <c r="N27" s="25">
        <f>INDEX('Exhibit-25'!$F:$F,MATCH($B27,'Exhibit-25'!$B:$B,0))/12</f>
        <v>-18736.365848435024</v>
      </c>
      <c r="O27" s="25">
        <f>INDEX('Exhibit-25'!$F:$F,MATCH($B27,'Exhibit-25'!$B:$B,0))/12</f>
        <v>-18736.365848435024</v>
      </c>
      <c r="P27" s="25">
        <f>INDEX('Exhibit-25'!$F:$F,MATCH($B27,'Exhibit-25'!$B:$B,0))/12</f>
        <v>-18736.365848435024</v>
      </c>
      <c r="Q27" s="25">
        <f>INDEX('Exhibit-25'!$F:$F,MATCH($B27,'Exhibit-25'!$B:$B,0))/12</f>
        <v>-18736.365848435024</v>
      </c>
      <c r="R27" s="25">
        <f>INDEX('Exhibit-25'!$F:$F,MATCH($B27,'Exhibit-25'!$B:$B,0))/12</f>
        <v>-18736.365848435024</v>
      </c>
      <c r="S27" s="25">
        <f>INDEX('Exhibit-25'!$F:$F,MATCH($B27,'Exhibit-25'!$B:$B,0))/12</f>
        <v>-18736.365848435024</v>
      </c>
      <c r="T27" s="25">
        <f>INDEX('Exhibit-25'!$F:$F,MATCH($B27,'Exhibit-25'!$B:$B,0))/12</f>
        <v>-18736.365848435024</v>
      </c>
      <c r="U27" s="25">
        <f>INDEX('Exhibit-25'!$F:$F,MATCH($B27,'Exhibit-25'!$B:$B,0))/12</f>
        <v>-18736.365848435024</v>
      </c>
      <c r="V27" s="25">
        <f>INDEX('Exhibit-25'!$F:$F,MATCH($B27,'Exhibit-25'!$B:$B,0))/12</f>
        <v>-18736.365848435024</v>
      </c>
      <c r="W27" s="25">
        <f>INDEX('Exhibit-25'!$F:$F,MATCH($B27,'Exhibit-25'!$B:$B,0))/12</f>
        <v>-18736.365848435024</v>
      </c>
    </row>
    <row r="28" spans="1:23" ht="15" customHeight="1">
      <c r="A28" s="1">
        <f t="shared" si="10"/>
        <v>23</v>
      </c>
      <c r="B28" s="1" t="s">
        <v>173</v>
      </c>
      <c r="C28" s="7" t="s">
        <v>404</v>
      </c>
      <c r="E28" s="25">
        <f>INDEX('Exhibit-25'!$F:$F,MATCH($B28,'Exhibit-25'!$B:$B,0))/12</f>
        <v>1327.8492592592593</v>
      </c>
      <c r="F28" s="25">
        <f>INDEX('Exhibit-25'!$F:$F,MATCH($B28,'Exhibit-25'!$B:$B,0))/12</f>
        <v>1327.8492592592593</v>
      </c>
      <c r="G28" s="25">
        <f>INDEX('Exhibit-25'!$F:$F,MATCH($B28,'Exhibit-25'!$B:$B,0))/12</f>
        <v>1327.8492592592593</v>
      </c>
      <c r="H28" s="25">
        <f>INDEX('Exhibit-25'!$F:$F,MATCH($B28,'Exhibit-25'!$B:$B,0))/12</f>
        <v>1327.8492592592593</v>
      </c>
      <c r="I28" s="25">
        <f>INDEX('Exhibit-25'!$F:$F,MATCH($B28,'Exhibit-25'!$B:$B,0))/12</f>
        <v>1327.8492592592593</v>
      </c>
      <c r="J28" s="25">
        <f>INDEX('Exhibit-25'!$F:$F,MATCH($B28,'Exhibit-25'!$B:$B,0))/12</f>
        <v>1327.8492592592593</v>
      </c>
      <c r="K28" s="25">
        <f>INDEX('Exhibit-25'!$F:$F,MATCH($B28,'Exhibit-25'!$B:$B,0))/12</f>
        <v>1327.8492592592593</v>
      </c>
      <c r="L28" s="25">
        <f>INDEX('Exhibit-25'!$F:$F,MATCH($B28,'Exhibit-25'!$B:$B,0))/12</f>
        <v>1327.8492592592593</v>
      </c>
      <c r="M28" s="25">
        <f>INDEX('Exhibit-25'!$F:$F,MATCH($B28,'Exhibit-25'!$B:$B,0))/12</f>
        <v>1327.8492592592593</v>
      </c>
      <c r="N28" s="25">
        <f>INDEX('Exhibit-25'!$F:$F,MATCH($B28,'Exhibit-25'!$B:$B,0))/12</f>
        <v>1327.8492592592593</v>
      </c>
      <c r="O28" s="25">
        <f>INDEX('Exhibit-25'!$F:$F,MATCH($B28,'Exhibit-25'!$B:$B,0))/12</f>
        <v>1327.8492592592593</v>
      </c>
      <c r="P28" s="25">
        <f>INDEX('Exhibit-25'!$F:$F,MATCH($B28,'Exhibit-25'!$B:$B,0))/12</f>
        <v>1327.8492592592593</v>
      </c>
      <c r="Q28" s="25">
        <f>INDEX('Exhibit-25'!$F:$F,MATCH($B28,'Exhibit-25'!$B:$B,0))/12</f>
        <v>1327.8492592592593</v>
      </c>
      <c r="R28" s="25">
        <f>INDEX('Exhibit-25'!$F:$F,MATCH($B28,'Exhibit-25'!$B:$B,0))/12</f>
        <v>1327.8492592592593</v>
      </c>
      <c r="S28" s="25">
        <f>INDEX('Exhibit-25'!$F:$F,MATCH($B28,'Exhibit-25'!$B:$B,0))/12</f>
        <v>1327.8492592592593</v>
      </c>
      <c r="T28" s="25">
        <f>INDEX('Exhibit-25'!$F:$F,MATCH($B28,'Exhibit-25'!$B:$B,0))/12</f>
        <v>1327.8492592592593</v>
      </c>
      <c r="U28" s="25">
        <f>INDEX('Exhibit-25'!$F:$F,MATCH($B28,'Exhibit-25'!$B:$B,0))/12</f>
        <v>1327.8492592592593</v>
      </c>
      <c r="V28" s="25">
        <f>INDEX('Exhibit-25'!$F:$F,MATCH($B28,'Exhibit-25'!$B:$B,0))/12</f>
        <v>1327.8492592592593</v>
      </c>
      <c r="W28" s="25">
        <f>INDEX('Exhibit-25'!$F:$F,MATCH($B28,'Exhibit-25'!$B:$B,0))/12</f>
        <v>1327.8492592592593</v>
      </c>
    </row>
    <row r="29" spans="1:23" ht="15" customHeight="1">
      <c r="A29" s="1">
        <f t="shared" si="10"/>
        <v>24</v>
      </c>
      <c r="B29" s="1" t="s">
        <v>175</v>
      </c>
      <c r="C29" s="7" t="s">
        <v>331</v>
      </c>
      <c r="E29" s="25">
        <f>INDEX('Exhibit-25'!$F:$F,MATCH($B29,'Exhibit-25'!$B:$B,0))/12</f>
        <v>-104.8297337962963</v>
      </c>
      <c r="F29" s="25">
        <f>INDEX('Exhibit-25'!$F:$F,MATCH($B29,'Exhibit-25'!$B:$B,0))/12</f>
        <v>-104.8297337962963</v>
      </c>
      <c r="G29" s="25">
        <f>INDEX('Exhibit-25'!$F:$F,MATCH($B29,'Exhibit-25'!$B:$B,0))/12</f>
        <v>-104.8297337962963</v>
      </c>
      <c r="H29" s="25">
        <f>INDEX('Exhibit-25'!$F:$F,MATCH($B29,'Exhibit-25'!$B:$B,0))/12</f>
        <v>-104.8297337962963</v>
      </c>
      <c r="I29" s="25">
        <f>INDEX('Exhibit-25'!$F:$F,MATCH($B29,'Exhibit-25'!$B:$B,0))/12</f>
        <v>-104.8297337962963</v>
      </c>
      <c r="J29" s="25">
        <f>INDEX('Exhibit-25'!$F:$F,MATCH($B29,'Exhibit-25'!$B:$B,0))/12</f>
        <v>-104.8297337962963</v>
      </c>
      <c r="K29" s="25">
        <f>INDEX('Exhibit-25'!$F:$F,MATCH($B29,'Exhibit-25'!$B:$B,0))/12</f>
        <v>-104.8297337962963</v>
      </c>
      <c r="L29" s="25">
        <f>INDEX('Exhibit-25'!$F:$F,MATCH($B29,'Exhibit-25'!$B:$B,0))/12</f>
        <v>-104.8297337962963</v>
      </c>
      <c r="M29" s="25">
        <f>INDEX('Exhibit-25'!$F:$F,MATCH($B29,'Exhibit-25'!$B:$B,0))/12</f>
        <v>-104.8297337962963</v>
      </c>
      <c r="N29" s="25">
        <f>INDEX('Exhibit-25'!$F:$F,MATCH($B29,'Exhibit-25'!$B:$B,0))/12</f>
        <v>-104.8297337962963</v>
      </c>
      <c r="O29" s="25">
        <f>INDEX('Exhibit-25'!$F:$F,MATCH($B29,'Exhibit-25'!$B:$B,0))/12</f>
        <v>-104.8297337962963</v>
      </c>
      <c r="P29" s="25">
        <f>INDEX('Exhibit-25'!$F:$F,MATCH($B29,'Exhibit-25'!$B:$B,0))/12</f>
        <v>-104.8297337962963</v>
      </c>
      <c r="Q29" s="25">
        <f>INDEX('Exhibit-25'!$F:$F,MATCH($B29,'Exhibit-25'!$B:$B,0))/12</f>
        <v>-104.8297337962963</v>
      </c>
      <c r="R29" s="25">
        <f>INDEX('Exhibit-25'!$F:$F,MATCH($B29,'Exhibit-25'!$B:$B,0))/12</f>
        <v>-104.8297337962963</v>
      </c>
      <c r="S29" s="25">
        <f>INDEX('Exhibit-25'!$F:$F,MATCH($B29,'Exhibit-25'!$B:$B,0))/12</f>
        <v>-104.8297337962963</v>
      </c>
      <c r="T29" s="25">
        <f>INDEX('Exhibit-25'!$F:$F,MATCH($B29,'Exhibit-25'!$B:$B,0))/12</f>
        <v>-104.8297337962963</v>
      </c>
      <c r="U29" s="25">
        <f>INDEX('Exhibit-25'!$F:$F,MATCH($B29,'Exhibit-25'!$B:$B,0))/12</f>
        <v>-104.8297337962963</v>
      </c>
      <c r="V29" s="25">
        <f>INDEX('Exhibit-25'!$F:$F,MATCH($B29,'Exhibit-25'!$B:$B,0))/12</f>
        <v>-104.8297337962963</v>
      </c>
      <c r="W29" s="25">
        <f>INDEX('Exhibit-25'!$F:$F,MATCH($B29,'Exhibit-25'!$B:$B,0))/12</f>
        <v>-104.8297337962963</v>
      </c>
    </row>
    <row r="30" spans="1:23" ht="15" customHeight="1">
      <c r="A30" s="1">
        <f t="shared" si="10"/>
        <v>25</v>
      </c>
      <c r="C30" s="42" t="s">
        <v>177</v>
      </c>
      <c r="D30" s="42"/>
      <c r="E30" s="25">
        <f t="shared" ref="E30:W30" si="11">SUM(E15:E29)</f>
        <v>-72799.068049157941</v>
      </c>
      <c r="F30" s="25">
        <f t="shared" si="11"/>
        <v>-72799.068049157941</v>
      </c>
      <c r="G30" s="25">
        <f t="shared" si="11"/>
        <v>-72799.068049157941</v>
      </c>
      <c r="H30" s="25">
        <f t="shared" si="11"/>
        <v>-72799.068049157941</v>
      </c>
      <c r="I30" s="25">
        <f t="shared" si="11"/>
        <v>-72799.068049157941</v>
      </c>
      <c r="J30" s="25">
        <f t="shared" si="11"/>
        <v>-72799.068049157941</v>
      </c>
      <c r="K30" s="25">
        <f t="shared" si="11"/>
        <v>-72799.068049157941</v>
      </c>
      <c r="L30" s="25">
        <f t="shared" si="11"/>
        <v>-72799.068049157941</v>
      </c>
      <c r="M30" s="25">
        <f t="shared" si="11"/>
        <v>-72799.068049157941</v>
      </c>
      <c r="N30" s="25">
        <f t="shared" si="11"/>
        <v>-72799.068049157941</v>
      </c>
      <c r="O30" s="25">
        <f t="shared" si="11"/>
        <v>-72799.068049157941</v>
      </c>
      <c r="P30" s="25">
        <f t="shared" si="11"/>
        <v>-72799.068049157941</v>
      </c>
      <c r="Q30" s="25">
        <f t="shared" si="11"/>
        <v>-72799.068049157941</v>
      </c>
      <c r="R30" s="25">
        <f t="shared" si="11"/>
        <v>-72799.068049157941</v>
      </c>
      <c r="S30" s="25">
        <f t="shared" si="11"/>
        <v>-72799.068049157941</v>
      </c>
      <c r="T30" s="25">
        <f t="shared" si="11"/>
        <v>-72799.068049157941</v>
      </c>
      <c r="U30" s="25">
        <f t="shared" si="11"/>
        <v>-72799.068049157941</v>
      </c>
      <c r="V30" s="25">
        <f t="shared" si="11"/>
        <v>-72799.068049157941</v>
      </c>
      <c r="W30" s="25">
        <f t="shared" si="11"/>
        <v>-72799.068049157941</v>
      </c>
    </row>
    <row r="31" spans="1:23" ht="15" customHeight="1">
      <c r="A31" s="1">
        <f t="shared" si="10"/>
        <v>26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5" customHeight="1">
      <c r="A32" s="1">
        <f t="shared" si="10"/>
        <v>27</v>
      </c>
      <c r="C32" s="41" t="s">
        <v>178</v>
      </c>
      <c r="D32" s="4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5" customHeight="1">
      <c r="A33" s="1">
        <f t="shared" si="10"/>
        <v>28</v>
      </c>
      <c r="B33" s="1" t="s">
        <v>201</v>
      </c>
      <c r="C33" s="7" t="s">
        <v>405</v>
      </c>
      <c r="E33" s="25">
        <f>INDEX('Exhibit-25'!$F:$F,MATCH($B33,'Exhibit-25'!$B:$B,0))/12</f>
        <v>-90627.861666666737</v>
      </c>
      <c r="F33" s="25">
        <f>INDEX('Exhibit-25'!$F:$F,MATCH($B33,'Exhibit-25'!$B:$B,0))/12</f>
        <v>-90627.861666666737</v>
      </c>
      <c r="G33" s="25">
        <f>INDEX('Exhibit-25'!$F:$F,MATCH($B33,'Exhibit-25'!$B:$B,0))/12</f>
        <v>-90627.861666666737</v>
      </c>
      <c r="H33" s="25">
        <f>INDEX('Exhibit-25'!$F:$F,MATCH($B33,'Exhibit-25'!$B:$B,0))/12</f>
        <v>-90627.861666666737</v>
      </c>
      <c r="I33" s="25">
        <f>INDEX('Exhibit-25'!$F:$F,MATCH($B33,'Exhibit-25'!$B:$B,0))/12</f>
        <v>-90627.861666666737</v>
      </c>
      <c r="J33" s="25">
        <f>INDEX('Exhibit-25'!$F:$F,MATCH($B33,'Exhibit-25'!$B:$B,0))/12</f>
        <v>-90627.861666666737</v>
      </c>
      <c r="K33" s="25">
        <f>INDEX('Exhibit-25'!$F:$F,MATCH($B33,'Exhibit-25'!$B:$B,0))/12</f>
        <v>-90627.861666666737</v>
      </c>
      <c r="L33" s="25">
        <f>INDEX('Exhibit-25'!$F:$F,MATCH($B33,'Exhibit-25'!$B:$B,0))/12</f>
        <v>-90627.861666666737</v>
      </c>
      <c r="M33" s="25">
        <f>INDEX('Exhibit-25'!$F:$F,MATCH($B33,'Exhibit-25'!$B:$B,0))/12</f>
        <v>-90627.861666666737</v>
      </c>
      <c r="N33" s="25">
        <f>INDEX('Exhibit-25'!$F:$F,MATCH($B33,'Exhibit-25'!$B:$B,0))/12</f>
        <v>-90627.861666666737</v>
      </c>
      <c r="O33" s="25">
        <f>INDEX('Exhibit-25'!$F:$F,MATCH($B33,'Exhibit-25'!$B:$B,0))/12</f>
        <v>-90627.861666666737</v>
      </c>
      <c r="P33" s="25">
        <f>INDEX('Exhibit-25'!$F:$F,MATCH($B33,'Exhibit-25'!$B:$B,0))/12</f>
        <v>-90627.861666666737</v>
      </c>
      <c r="Q33" s="25">
        <f>INDEX('Exhibit-25'!$F:$F,MATCH($B33,'Exhibit-25'!$B:$B,0))/12</f>
        <v>-90627.861666666737</v>
      </c>
      <c r="R33" s="25">
        <f>INDEX('Exhibit-25'!$F:$F,MATCH($B33,'Exhibit-25'!$B:$B,0))/12</f>
        <v>-90627.861666666737</v>
      </c>
      <c r="S33" s="25">
        <f>INDEX('Exhibit-25'!$F:$F,MATCH($B33,'Exhibit-25'!$B:$B,0))/12</f>
        <v>-90627.861666666737</v>
      </c>
      <c r="T33" s="25">
        <f>INDEX('Exhibit-25'!$F:$F,MATCH($B33,'Exhibit-25'!$B:$B,0))/12</f>
        <v>-90627.861666666737</v>
      </c>
      <c r="U33" s="25">
        <f>INDEX('Exhibit-25'!$F:$F,MATCH($B33,'Exhibit-25'!$B:$B,0))/12</f>
        <v>-90627.861666666737</v>
      </c>
      <c r="V33" s="25">
        <f>INDEX('Exhibit-25'!$F:$F,MATCH($B33,'Exhibit-25'!$B:$B,0))/12</f>
        <v>-90627.861666666737</v>
      </c>
      <c r="W33" s="25">
        <f>INDEX('Exhibit-25'!$F:$F,MATCH($B33,'Exhibit-25'!$B:$B,0))/12</f>
        <v>-90627.861666666737</v>
      </c>
    </row>
    <row r="34" spans="1:23" ht="15" customHeight="1">
      <c r="A34" s="1">
        <f t="shared" si="10"/>
        <v>29</v>
      </c>
      <c r="B34" s="1" t="s">
        <v>202</v>
      </c>
      <c r="C34" s="7" t="s">
        <v>316</v>
      </c>
      <c r="E34" s="25">
        <f>INDEX('Exhibit-25'!$F:$F,MATCH($B34,'Exhibit-25'!$B:$B,0))/12</f>
        <v>-166.66916666666665</v>
      </c>
      <c r="F34" s="25">
        <f>INDEX('Exhibit-25'!$F:$F,MATCH($B34,'Exhibit-25'!$B:$B,0))/12</f>
        <v>-166.66916666666665</v>
      </c>
      <c r="G34" s="25">
        <f>INDEX('Exhibit-25'!$F:$F,MATCH($B34,'Exhibit-25'!$B:$B,0))/12</f>
        <v>-166.66916666666665</v>
      </c>
      <c r="H34" s="25">
        <f>INDEX('Exhibit-25'!$F:$F,MATCH($B34,'Exhibit-25'!$B:$B,0))/12</f>
        <v>-166.66916666666665</v>
      </c>
      <c r="I34" s="25">
        <f>INDEX('Exhibit-25'!$F:$F,MATCH($B34,'Exhibit-25'!$B:$B,0))/12</f>
        <v>-166.66916666666665</v>
      </c>
      <c r="J34" s="25">
        <f>INDEX('Exhibit-25'!$F:$F,MATCH($B34,'Exhibit-25'!$B:$B,0))/12</f>
        <v>-166.66916666666665</v>
      </c>
      <c r="K34" s="25">
        <f>INDEX('Exhibit-25'!$F:$F,MATCH($B34,'Exhibit-25'!$B:$B,0))/12</f>
        <v>-166.66916666666665</v>
      </c>
      <c r="L34" s="25">
        <f>INDEX('Exhibit-25'!$F:$F,MATCH($B34,'Exhibit-25'!$B:$B,0))/12</f>
        <v>-166.66916666666665</v>
      </c>
      <c r="M34" s="25">
        <f>INDEX('Exhibit-25'!$F:$F,MATCH($B34,'Exhibit-25'!$B:$B,0))/12</f>
        <v>-166.66916666666665</v>
      </c>
      <c r="N34" s="25">
        <f>INDEX('Exhibit-25'!$F:$F,MATCH($B34,'Exhibit-25'!$B:$B,0))/12</f>
        <v>-166.66916666666665</v>
      </c>
      <c r="O34" s="25">
        <f>INDEX('Exhibit-25'!$F:$F,MATCH($B34,'Exhibit-25'!$B:$B,0))/12</f>
        <v>-166.66916666666665</v>
      </c>
      <c r="P34" s="25">
        <f>INDEX('Exhibit-25'!$F:$F,MATCH($B34,'Exhibit-25'!$B:$B,0))/12</f>
        <v>-166.66916666666665</v>
      </c>
      <c r="Q34" s="25">
        <f>INDEX('Exhibit-25'!$F:$F,MATCH($B34,'Exhibit-25'!$B:$B,0))/12</f>
        <v>-166.66916666666665</v>
      </c>
      <c r="R34" s="25">
        <f>INDEX('Exhibit-25'!$F:$F,MATCH($B34,'Exhibit-25'!$B:$B,0))/12</f>
        <v>-166.66916666666665</v>
      </c>
      <c r="S34" s="25">
        <f>INDEX('Exhibit-25'!$F:$F,MATCH($B34,'Exhibit-25'!$B:$B,0))/12</f>
        <v>-166.66916666666665</v>
      </c>
      <c r="T34" s="25">
        <f>INDEX('Exhibit-25'!$F:$F,MATCH($B34,'Exhibit-25'!$B:$B,0))/12</f>
        <v>-166.66916666666665</v>
      </c>
      <c r="U34" s="25">
        <f>INDEX('Exhibit-25'!$F:$F,MATCH($B34,'Exhibit-25'!$B:$B,0))/12</f>
        <v>-166.66916666666665</v>
      </c>
      <c r="V34" s="25">
        <f>INDEX('Exhibit-25'!$F:$F,MATCH($B34,'Exhibit-25'!$B:$B,0))/12</f>
        <v>-166.66916666666665</v>
      </c>
      <c r="W34" s="25">
        <f>INDEX('Exhibit-25'!$F:$F,MATCH($B34,'Exhibit-25'!$B:$B,0))/12</f>
        <v>-166.66916666666665</v>
      </c>
    </row>
    <row r="35" spans="1:23" ht="15" customHeight="1">
      <c r="A35" s="1">
        <f t="shared" si="10"/>
        <v>30</v>
      </c>
      <c r="B35" s="1" t="s">
        <v>203</v>
      </c>
      <c r="C35" s="7" t="s">
        <v>406</v>
      </c>
      <c r="E35" s="25">
        <f>INDEX('Exhibit-25'!$F:$F,MATCH($B35,'Exhibit-25'!$B:$B,0))/12+E71+E77+E83</f>
        <v>-15302.4925</v>
      </c>
      <c r="F35" s="25">
        <f>INDEX('Exhibit-25'!$F:$F,MATCH($B35,'Exhibit-25'!$B:$B,0))/12+F71+F77+F83</f>
        <v>-15302.4925</v>
      </c>
      <c r="G35" s="25">
        <f>INDEX('Exhibit-25'!$F:$F,MATCH($B35,'Exhibit-25'!$B:$B,0))/12+G71+G77+G83</f>
        <v>-15302.4925</v>
      </c>
      <c r="H35" s="25">
        <f>INDEX('Exhibit-25'!$F:$F,MATCH($B35,'Exhibit-25'!$B:$B,0))/12+H71+H77+H83</f>
        <v>-15302.4925</v>
      </c>
      <c r="I35" s="25">
        <f>INDEX('Exhibit-25'!$F:$F,MATCH($B35,'Exhibit-25'!$B:$B,0))/12+I71+I77+I83</f>
        <v>-15302.4925</v>
      </c>
      <c r="J35" s="25">
        <f>INDEX('Exhibit-25'!$F:$F,MATCH($B35,'Exhibit-25'!$B:$B,0))/12+J71+J77+J83</f>
        <v>-15302.4925</v>
      </c>
      <c r="K35" s="25">
        <f>INDEX('Exhibit-25'!$F:$F,MATCH($B35,'Exhibit-25'!$B:$B,0))/12+K71+K77+K83</f>
        <v>-15302.4925</v>
      </c>
      <c r="L35" s="25">
        <f>INDEX('Exhibit-25'!$F:$F,MATCH($B35,'Exhibit-25'!$B:$B,0))/12+L71+L77+L83</f>
        <v>-15302.4925</v>
      </c>
      <c r="M35" s="25">
        <f>INDEX('Exhibit-25'!$F:$F,MATCH($B35,'Exhibit-25'!$B:$B,0))/12+M71+M77+M83</f>
        <v>-15302.4925</v>
      </c>
      <c r="N35" s="25">
        <f>INDEX('Exhibit-25'!$F:$F,MATCH($B35,'Exhibit-25'!$B:$B,0))/12+N71+N77+N83</f>
        <v>-15302.4925</v>
      </c>
      <c r="O35" s="25">
        <f>INDEX('Exhibit-25'!$F:$F,MATCH($B35,'Exhibit-25'!$B:$B,0))/12+O71+O77+O83</f>
        <v>-15302.4925</v>
      </c>
      <c r="P35" s="25">
        <f>INDEX('Exhibit-25'!$F:$F,MATCH($B35,'Exhibit-25'!$B:$B,0))/12+P71+P77+P83</f>
        <v>-15302.4925</v>
      </c>
      <c r="Q35" s="25">
        <f>INDEX('Exhibit-25'!$F:$F,MATCH($B35,'Exhibit-25'!$B:$B,0))/12+Q71+Q77+Q83</f>
        <v>-15302.4925</v>
      </c>
      <c r="R35" s="25">
        <f>INDEX('Exhibit-25'!$F:$F,MATCH($B35,'Exhibit-25'!$B:$B,0))/12+R71+R77+R83</f>
        <v>-15302.4925</v>
      </c>
      <c r="S35" s="25">
        <f>INDEX('Exhibit-25'!$F:$F,MATCH($B35,'Exhibit-25'!$B:$B,0))/12+S71+S77+S83</f>
        <v>-15302.4925</v>
      </c>
      <c r="T35" s="25">
        <f>INDEX('Exhibit-25'!$F:$F,MATCH($B35,'Exhibit-25'!$B:$B,0))/12+T71+T77+T83</f>
        <v>-15302.4925</v>
      </c>
      <c r="U35" s="25">
        <f>INDEX('Exhibit-25'!$F:$F,MATCH($B35,'Exhibit-25'!$B:$B,0))/12+U71+U77+U83</f>
        <v>-15302.4925</v>
      </c>
      <c r="V35" s="25">
        <f>INDEX('Exhibit-25'!$F:$F,MATCH($B35,'Exhibit-25'!$B:$B,0))/12+V71+V77+V83</f>
        <v>-17408.5825</v>
      </c>
      <c r="W35" s="25">
        <f>INDEX('Exhibit-25'!$F:$F,MATCH($B35,'Exhibit-25'!$B:$B,0))/12+W71+W77+W83</f>
        <v>-17408.5825</v>
      </c>
    </row>
    <row r="36" spans="1:23" ht="15" customHeight="1">
      <c r="A36" s="1">
        <f t="shared" si="10"/>
        <v>31</v>
      </c>
      <c r="B36" s="1" t="s">
        <v>204</v>
      </c>
      <c r="C36" s="7" t="s">
        <v>257</v>
      </c>
      <c r="E36" s="25">
        <f>INDEX('Exhibit-25'!$F:$F,MATCH($B36,'Exhibit-25'!$B:$B,0))/12</f>
        <v>-8663.8466666666664</v>
      </c>
      <c r="F36" s="25">
        <f>INDEX('Exhibit-25'!$F:$F,MATCH($B36,'Exhibit-25'!$B:$B,0))/12</f>
        <v>-8663.8466666666664</v>
      </c>
      <c r="G36" s="25">
        <f>INDEX('Exhibit-25'!$F:$F,MATCH($B36,'Exhibit-25'!$B:$B,0))/12</f>
        <v>-8663.8466666666664</v>
      </c>
      <c r="H36" s="25">
        <f>INDEX('Exhibit-25'!$F:$F,MATCH($B36,'Exhibit-25'!$B:$B,0))/12</f>
        <v>-8663.8466666666664</v>
      </c>
      <c r="I36" s="25">
        <f>INDEX('Exhibit-25'!$F:$F,MATCH($B36,'Exhibit-25'!$B:$B,0))/12</f>
        <v>-8663.8466666666664</v>
      </c>
      <c r="J36" s="25">
        <f>INDEX('Exhibit-25'!$F:$F,MATCH($B36,'Exhibit-25'!$B:$B,0))/12</f>
        <v>-8663.8466666666664</v>
      </c>
      <c r="K36" s="25">
        <f>INDEX('Exhibit-25'!$F:$F,MATCH($B36,'Exhibit-25'!$B:$B,0))/12</f>
        <v>-8663.8466666666664</v>
      </c>
      <c r="L36" s="25">
        <f>INDEX('Exhibit-25'!$F:$F,MATCH($B36,'Exhibit-25'!$B:$B,0))/12</f>
        <v>-8663.8466666666664</v>
      </c>
      <c r="M36" s="25">
        <f>INDEX('Exhibit-25'!$F:$F,MATCH($B36,'Exhibit-25'!$B:$B,0))/12</f>
        <v>-8663.8466666666664</v>
      </c>
      <c r="N36" s="25">
        <f>INDEX('Exhibit-25'!$F:$F,MATCH($B36,'Exhibit-25'!$B:$B,0))/12</f>
        <v>-8663.8466666666664</v>
      </c>
      <c r="O36" s="25">
        <f>INDEX('Exhibit-25'!$F:$F,MATCH($B36,'Exhibit-25'!$B:$B,0))/12</f>
        <v>-8663.8466666666664</v>
      </c>
      <c r="P36" s="25">
        <f>INDEX('Exhibit-25'!$F:$F,MATCH($B36,'Exhibit-25'!$B:$B,0))/12</f>
        <v>-8663.8466666666664</v>
      </c>
      <c r="Q36" s="25">
        <f>INDEX('Exhibit-25'!$F:$F,MATCH($B36,'Exhibit-25'!$B:$B,0))/12</f>
        <v>-8663.8466666666664</v>
      </c>
      <c r="R36" s="25">
        <f>INDEX('Exhibit-25'!$F:$F,MATCH($B36,'Exhibit-25'!$B:$B,0))/12</f>
        <v>-8663.8466666666664</v>
      </c>
      <c r="S36" s="25">
        <f>INDEX('Exhibit-25'!$F:$F,MATCH($B36,'Exhibit-25'!$B:$B,0))/12</f>
        <v>-8663.8466666666664</v>
      </c>
      <c r="T36" s="25">
        <f>INDEX('Exhibit-25'!$F:$F,MATCH($B36,'Exhibit-25'!$B:$B,0))/12</f>
        <v>-8663.8466666666664</v>
      </c>
      <c r="U36" s="25">
        <f>INDEX('Exhibit-25'!$F:$F,MATCH($B36,'Exhibit-25'!$B:$B,0))/12</f>
        <v>-8663.8466666666664</v>
      </c>
      <c r="V36" s="25">
        <f>INDEX('Exhibit-25'!$F:$F,MATCH($B36,'Exhibit-25'!$B:$B,0))/12</f>
        <v>-8663.8466666666664</v>
      </c>
      <c r="W36" s="25">
        <f>INDEX('Exhibit-25'!$F:$F,MATCH($B36,'Exhibit-25'!$B:$B,0))/12</f>
        <v>-8663.8466666666664</v>
      </c>
    </row>
    <row r="37" spans="1:23" ht="15" customHeight="1">
      <c r="A37" s="1">
        <f t="shared" si="10"/>
        <v>32</v>
      </c>
      <c r="B37" s="1" t="s">
        <v>205</v>
      </c>
      <c r="C37" s="7" t="s">
        <v>316</v>
      </c>
      <c r="E37" s="25">
        <f>INDEX('Exhibit-25'!$F:$F,MATCH($B37,'Exhibit-25'!$B:$B,0))/12</f>
        <v>-15395.679353025218</v>
      </c>
      <c r="F37" s="25">
        <f>INDEX('Exhibit-25'!$F:$F,MATCH($B37,'Exhibit-25'!$B:$B,0))/12</f>
        <v>-15395.679353025218</v>
      </c>
      <c r="G37" s="25">
        <f>INDEX('Exhibit-25'!$F:$F,MATCH($B37,'Exhibit-25'!$B:$B,0))/12</f>
        <v>-15395.679353025218</v>
      </c>
      <c r="H37" s="25">
        <f>INDEX('Exhibit-25'!$F:$F,MATCH($B37,'Exhibit-25'!$B:$B,0))/12</f>
        <v>-15395.679353025218</v>
      </c>
      <c r="I37" s="25">
        <f>INDEX('Exhibit-25'!$F:$F,MATCH($B37,'Exhibit-25'!$B:$B,0))/12</f>
        <v>-15395.679353025218</v>
      </c>
      <c r="J37" s="25">
        <f>INDEX('Exhibit-25'!$F:$F,MATCH($B37,'Exhibit-25'!$B:$B,0))/12</f>
        <v>-15395.679353025218</v>
      </c>
      <c r="K37" s="25">
        <f>INDEX('Exhibit-25'!$F:$F,MATCH($B37,'Exhibit-25'!$B:$B,0))/12</f>
        <v>-15395.679353025218</v>
      </c>
      <c r="L37" s="25">
        <f>INDEX('Exhibit-25'!$F:$F,MATCH($B37,'Exhibit-25'!$B:$B,0))/12</f>
        <v>-15395.679353025218</v>
      </c>
      <c r="M37" s="25">
        <f>INDEX('Exhibit-25'!$F:$F,MATCH($B37,'Exhibit-25'!$B:$B,0))/12</f>
        <v>-15395.679353025218</v>
      </c>
      <c r="N37" s="25">
        <f>INDEX('Exhibit-25'!$F:$F,MATCH($B37,'Exhibit-25'!$B:$B,0))/12</f>
        <v>-15395.679353025218</v>
      </c>
      <c r="O37" s="25">
        <f>INDEX('Exhibit-25'!$F:$F,MATCH($B37,'Exhibit-25'!$B:$B,0))/12</f>
        <v>-15395.679353025218</v>
      </c>
      <c r="P37" s="25">
        <f>INDEX('Exhibit-25'!$F:$F,MATCH($B37,'Exhibit-25'!$B:$B,0))/12</f>
        <v>-15395.679353025218</v>
      </c>
      <c r="Q37" s="25">
        <f>INDEX('Exhibit-25'!$F:$F,MATCH($B37,'Exhibit-25'!$B:$B,0))/12</f>
        <v>-15395.679353025218</v>
      </c>
      <c r="R37" s="25">
        <f>INDEX('Exhibit-25'!$F:$F,MATCH($B37,'Exhibit-25'!$B:$B,0))/12</f>
        <v>-15395.679353025218</v>
      </c>
      <c r="S37" s="25">
        <f>INDEX('Exhibit-25'!$F:$F,MATCH($B37,'Exhibit-25'!$B:$B,0))/12</f>
        <v>-15395.679353025218</v>
      </c>
      <c r="T37" s="25">
        <f>INDEX('Exhibit-25'!$F:$F,MATCH($B37,'Exhibit-25'!$B:$B,0))/12</f>
        <v>-15395.679353025218</v>
      </c>
      <c r="U37" s="25">
        <f>INDEX('Exhibit-25'!$F:$F,MATCH($B37,'Exhibit-25'!$B:$B,0))/12</f>
        <v>-15395.679353025218</v>
      </c>
      <c r="V37" s="25">
        <f>INDEX('Exhibit-25'!$F:$F,MATCH($B37,'Exhibit-25'!$B:$B,0))/12</f>
        <v>-15395.679353025218</v>
      </c>
      <c r="W37" s="25">
        <f>INDEX('Exhibit-25'!$F:$F,MATCH($B37,'Exhibit-25'!$B:$B,0))/12</f>
        <v>-15395.679353025218</v>
      </c>
    </row>
    <row r="38" spans="1:23" ht="15" customHeight="1">
      <c r="A38" s="1">
        <f t="shared" si="10"/>
        <v>33</v>
      </c>
      <c r="B38" s="1" t="s">
        <v>206</v>
      </c>
      <c r="C38" s="7" t="s">
        <v>317</v>
      </c>
      <c r="E38" s="25">
        <f>INDEX('Exhibit-25'!$F:$F,MATCH($B38,'Exhibit-25'!$B:$B,0))/12</f>
        <v>-8216.7804252081023</v>
      </c>
      <c r="F38" s="25">
        <f>INDEX('Exhibit-25'!$F:$F,MATCH($B38,'Exhibit-25'!$B:$B,0))/12</f>
        <v>-8216.7804252081023</v>
      </c>
      <c r="G38" s="25">
        <f>INDEX('Exhibit-25'!$F:$F,MATCH($B38,'Exhibit-25'!$B:$B,0))/12</f>
        <v>-8216.7804252081023</v>
      </c>
      <c r="H38" s="25">
        <f>INDEX('Exhibit-25'!$F:$F,MATCH($B38,'Exhibit-25'!$B:$B,0))/12</f>
        <v>-8216.7804252081023</v>
      </c>
      <c r="I38" s="25">
        <f>INDEX('Exhibit-25'!$F:$F,MATCH($B38,'Exhibit-25'!$B:$B,0))/12</f>
        <v>-8216.7804252081023</v>
      </c>
      <c r="J38" s="25">
        <f>INDEX('Exhibit-25'!$F:$F,MATCH($B38,'Exhibit-25'!$B:$B,0))/12</f>
        <v>-8216.7804252081023</v>
      </c>
      <c r="K38" s="25">
        <f>INDEX('Exhibit-25'!$F:$F,MATCH($B38,'Exhibit-25'!$B:$B,0))/12</f>
        <v>-8216.7804252081023</v>
      </c>
      <c r="L38" s="25">
        <f>INDEX('Exhibit-25'!$F:$F,MATCH($B38,'Exhibit-25'!$B:$B,0))/12</f>
        <v>-8216.7804252081023</v>
      </c>
      <c r="M38" s="25">
        <f>INDEX('Exhibit-25'!$F:$F,MATCH($B38,'Exhibit-25'!$B:$B,0))/12</f>
        <v>-8216.7804252081023</v>
      </c>
      <c r="N38" s="25">
        <f>INDEX('Exhibit-25'!$F:$F,MATCH($B38,'Exhibit-25'!$B:$B,0))/12</f>
        <v>-8216.7804252081023</v>
      </c>
      <c r="O38" s="25">
        <f>INDEX('Exhibit-25'!$F:$F,MATCH($B38,'Exhibit-25'!$B:$B,0))/12</f>
        <v>-8216.7804252081023</v>
      </c>
      <c r="P38" s="25">
        <f>INDEX('Exhibit-25'!$F:$F,MATCH($B38,'Exhibit-25'!$B:$B,0))/12</f>
        <v>-8216.7804252081023</v>
      </c>
      <c r="Q38" s="25">
        <f>INDEX('Exhibit-25'!$F:$F,MATCH($B38,'Exhibit-25'!$B:$B,0))/12</f>
        <v>-8216.7804252081023</v>
      </c>
      <c r="R38" s="25">
        <f>INDEX('Exhibit-25'!$F:$F,MATCH($B38,'Exhibit-25'!$B:$B,0))/12</f>
        <v>-8216.7804252081023</v>
      </c>
      <c r="S38" s="25">
        <f>INDEX('Exhibit-25'!$F:$F,MATCH($B38,'Exhibit-25'!$B:$B,0))/12</f>
        <v>-8216.7804252081023</v>
      </c>
      <c r="T38" s="25">
        <f>INDEX('Exhibit-25'!$F:$F,MATCH($B38,'Exhibit-25'!$B:$B,0))/12</f>
        <v>-8216.7804252081023</v>
      </c>
      <c r="U38" s="25">
        <f>INDEX('Exhibit-25'!$F:$F,MATCH($B38,'Exhibit-25'!$B:$B,0))/12</f>
        <v>-8216.7804252081023</v>
      </c>
      <c r="V38" s="25">
        <f>INDEX('Exhibit-25'!$F:$F,MATCH($B38,'Exhibit-25'!$B:$B,0))/12</f>
        <v>-8216.7804252081023</v>
      </c>
      <c r="W38" s="25">
        <f>INDEX('Exhibit-25'!$F:$F,MATCH($B38,'Exhibit-25'!$B:$B,0))/12</f>
        <v>-8216.7804252081023</v>
      </c>
    </row>
    <row r="39" spans="1:23" ht="15" customHeight="1">
      <c r="A39" s="1">
        <f t="shared" si="10"/>
        <v>34</v>
      </c>
      <c r="B39" s="1" t="s">
        <v>207</v>
      </c>
      <c r="C39" s="7" t="s">
        <v>407</v>
      </c>
      <c r="E39" s="25">
        <f>INDEX('Exhibit-25'!$F:$F,MATCH($B39,'Exhibit-25'!$B:$B,0))/12</f>
        <v>-3302.4658333333336</v>
      </c>
      <c r="F39" s="25">
        <f>INDEX('Exhibit-25'!$F:$F,MATCH($B39,'Exhibit-25'!$B:$B,0))/12</f>
        <v>-3302.4658333333336</v>
      </c>
      <c r="G39" s="25">
        <f>INDEX('Exhibit-25'!$F:$F,MATCH($B39,'Exhibit-25'!$B:$B,0))/12</f>
        <v>-3302.4658333333336</v>
      </c>
      <c r="H39" s="25">
        <f>INDEX('Exhibit-25'!$F:$F,MATCH($B39,'Exhibit-25'!$B:$B,0))/12</f>
        <v>-3302.4658333333336</v>
      </c>
      <c r="I39" s="25">
        <f>INDEX('Exhibit-25'!$F:$F,MATCH($B39,'Exhibit-25'!$B:$B,0))/12</f>
        <v>-3302.4658333333336</v>
      </c>
      <c r="J39" s="25">
        <f>INDEX('Exhibit-25'!$F:$F,MATCH($B39,'Exhibit-25'!$B:$B,0))/12</f>
        <v>-3302.4658333333336</v>
      </c>
      <c r="K39" s="25">
        <f>INDEX('Exhibit-25'!$F:$F,MATCH($B39,'Exhibit-25'!$B:$B,0))/12</f>
        <v>-3302.4658333333336</v>
      </c>
      <c r="L39" s="25">
        <f>INDEX('Exhibit-25'!$F:$F,MATCH($B39,'Exhibit-25'!$B:$B,0))/12</f>
        <v>-3302.4658333333336</v>
      </c>
      <c r="M39" s="25">
        <f>INDEX('Exhibit-25'!$F:$F,MATCH($B39,'Exhibit-25'!$B:$B,0))/12</f>
        <v>-3302.4658333333336</v>
      </c>
      <c r="N39" s="25">
        <f>INDEX('Exhibit-25'!$F:$F,MATCH($B39,'Exhibit-25'!$B:$B,0))/12</f>
        <v>-3302.4658333333336</v>
      </c>
      <c r="O39" s="25">
        <f>INDEX('Exhibit-25'!$F:$F,MATCH($B39,'Exhibit-25'!$B:$B,0))/12</f>
        <v>-3302.4658333333336</v>
      </c>
      <c r="P39" s="25">
        <f>INDEX('Exhibit-25'!$F:$F,MATCH($B39,'Exhibit-25'!$B:$B,0))/12</f>
        <v>-3302.4658333333336</v>
      </c>
      <c r="Q39" s="25">
        <f>INDEX('Exhibit-25'!$F:$F,MATCH($B39,'Exhibit-25'!$B:$B,0))/12</f>
        <v>-3302.4658333333336</v>
      </c>
      <c r="R39" s="25">
        <f>INDEX('Exhibit-25'!$F:$F,MATCH($B39,'Exhibit-25'!$B:$B,0))/12</f>
        <v>-3302.4658333333336</v>
      </c>
      <c r="S39" s="25">
        <f>INDEX('Exhibit-25'!$F:$F,MATCH($B39,'Exhibit-25'!$B:$B,0))/12</f>
        <v>-3302.4658333333336</v>
      </c>
      <c r="T39" s="25">
        <f>INDEX('Exhibit-25'!$F:$F,MATCH($B39,'Exhibit-25'!$B:$B,0))/12</f>
        <v>-3302.4658333333336</v>
      </c>
      <c r="U39" s="25">
        <f>INDEX('Exhibit-25'!$F:$F,MATCH($B39,'Exhibit-25'!$B:$B,0))/12</f>
        <v>-3302.4658333333336</v>
      </c>
      <c r="V39" s="25">
        <f>INDEX('Exhibit-25'!$F:$F,MATCH($B39,'Exhibit-25'!$B:$B,0))/12</f>
        <v>-3302.4658333333336</v>
      </c>
      <c r="W39" s="25">
        <f>INDEX('Exhibit-25'!$F:$F,MATCH($B39,'Exhibit-25'!$B:$B,0))/12</f>
        <v>-3302.4658333333336</v>
      </c>
    </row>
    <row r="40" spans="1:23" ht="15" customHeight="1">
      <c r="A40" s="1">
        <f t="shared" si="10"/>
        <v>35</v>
      </c>
      <c r="B40" s="1" t="s">
        <v>208</v>
      </c>
      <c r="C40" s="7" t="s">
        <v>408</v>
      </c>
      <c r="E40" s="25">
        <f>INDEX('Exhibit-25'!$F:$F,MATCH($B40,'Exhibit-25'!$B:$B,0))/12</f>
        <v>-339.05166666666668</v>
      </c>
      <c r="F40" s="25">
        <f>INDEX('Exhibit-25'!$F:$F,MATCH($B40,'Exhibit-25'!$B:$B,0))/12</f>
        <v>-339.05166666666668</v>
      </c>
      <c r="G40" s="25">
        <f>INDEX('Exhibit-25'!$F:$F,MATCH($B40,'Exhibit-25'!$B:$B,0))/12</f>
        <v>-339.05166666666668</v>
      </c>
      <c r="H40" s="25">
        <f>INDEX('Exhibit-25'!$F:$F,MATCH($B40,'Exhibit-25'!$B:$B,0))/12</f>
        <v>-339.05166666666668</v>
      </c>
      <c r="I40" s="25">
        <f>INDEX('Exhibit-25'!$F:$F,MATCH($B40,'Exhibit-25'!$B:$B,0))/12</f>
        <v>-339.05166666666668</v>
      </c>
      <c r="J40" s="25">
        <f>INDEX('Exhibit-25'!$F:$F,MATCH($B40,'Exhibit-25'!$B:$B,0))/12</f>
        <v>-339.05166666666668</v>
      </c>
      <c r="K40" s="25">
        <f>INDEX('Exhibit-25'!$F:$F,MATCH($B40,'Exhibit-25'!$B:$B,0))/12</f>
        <v>-339.05166666666668</v>
      </c>
      <c r="L40" s="25">
        <f>INDEX('Exhibit-25'!$F:$F,MATCH($B40,'Exhibit-25'!$B:$B,0))/12</f>
        <v>-339.05166666666668</v>
      </c>
      <c r="M40" s="25">
        <f>INDEX('Exhibit-25'!$F:$F,MATCH($B40,'Exhibit-25'!$B:$B,0))/12</f>
        <v>-339.05166666666668</v>
      </c>
      <c r="N40" s="25">
        <f>INDEX('Exhibit-25'!$F:$F,MATCH($B40,'Exhibit-25'!$B:$B,0))/12</f>
        <v>-339.05166666666668</v>
      </c>
      <c r="O40" s="25">
        <f>INDEX('Exhibit-25'!$F:$F,MATCH($B40,'Exhibit-25'!$B:$B,0))/12</f>
        <v>-339.05166666666668</v>
      </c>
      <c r="P40" s="25">
        <f>INDEX('Exhibit-25'!$F:$F,MATCH($B40,'Exhibit-25'!$B:$B,0))/12</f>
        <v>-339.05166666666668</v>
      </c>
      <c r="Q40" s="25">
        <f>INDEX('Exhibit-25'!$F:$F,MATCH($B40,'Exhibit-25'!$B:$B,0))/12</f>
        <v>-339.05166666666668</v>
      </c>
      <c r="R40" s="25">
        <f>INDEX('Exhibit-25'!$F:$F,MATCH($B40,'Exhibit-25'!$B:$B,0))/12</f>
        <v>-339.05166666666668</v>
      </c>
      <c r="S40" s="25">
        <f>INDEX('Exhibit-25'!$F:$F,MATCH($B40,'Exhibit-25'!$B:$B,0))/12</f>
        <v>-339.05166666666668</v>
      </c>
      <c r="T40" s="25">
        <f>INDEX('Exhibit-25'!$F:$F,MATCH($B40,'Exhibit-25'!$B:$B,0))/12</f>
        <v>-339.05166666666668</v>
      </c>
      <c r="U40" s="25">
        <f>INDEX('Exhibit-25'!$F:$F,MATCH($B40,'Exhibit-25'!$B:$B,0))/12</f>
        <v>-339.05166666666668</v>
      </c>
      <c r="V40" s="25">
        <f>INDEX('Exhibit-25'!$F:$F,MATCH($B40,'Exhibit-25'!$B:$B,0))/12</f>
        <v>-339.05166666666668</v>
      </c>
      <c r="W40" s="25">
        <f>INDEX('Exhibit-25'!$F:$F,MATCH($B40,'Exhibit-25'!$B:$B,0))/12</f>
        <v>-339.05166666666668</v>
      </c>
    </row>
    <row r="41" spans="1:23" ht="15" customHeight="1">
      <c r="A41" s="1">
        <f t="shared" si="10"/>
        <v>36</v>
      </c>
      <c r="B41" s="1" t="s">
        <v>209</v>
      </c>
      <c r="C41" s="7" t="s">
        <v>409</v>
      </c>
      <c r="E41" s="25">
        <f>INDEX('Exhibit-25'!$F:$F,MATCH($B41,'Exhibit-25'!$B:$B,0))/12</f>
        <v>-4086.3508333333334</v>
      </c>
      <c r="F41" s="25">
        <f>INDEX('Exhibit-25'!$F:$F,MATCH($B41,'Exhibit-25'!$B:$B,0))/12</f>
        <v>-4086.3508333333334</v>
      </c>
      <c r="G41" s="25">
        <f>INDEX('Exhibit-25'!$F:$F,MATCH($B41,'Exhibit-25'!$B:$B,0))/12</f>
        <v>-4086.3508333333334</v>
      </c>
      <c r="H41" s="25">
        <f>INDEX('Exhibit-25'!$F:$F,MATCH($B41,'Exhibit-25'!$B:$B,0))/12</f>
        <v>-4086.3508333333334</v>
      </c>
      <c r="I41" s="25">
        <f>INDEX('Exhibit-25'!$F:$F,MATCH($B41,'Exhibit-25'!$B:$B,0))/12</f>
        <v>-4086.3508333333334</v>
      </c>
      <c r="J41" s="25">
        <f>INDEX('Exhibit-25'!$F:$F,MATCH($B41,'Exhibit-25'!$B:$B,0))/12</f>
        <v>-4086.3508333333334</v>
      </c>
      <c r="K41" s="25">
        <f>INDEX('Exhibit-25'!$F:$F,MATCH($B41,'Exhibit-25'!$B:$B,0))/12</f>
        <v>-4086.3508333333334</v>
      </c>
      <c r="L41" s="25">
        <f>INDEX('Exhibit-25'!$F:$F,MATCH($B41,'Exhibit-25'!$B:$B,0))/12</f>
        <v>-4086.3508333333334</v>
      </c>
      <c r="M41" s="25">
        <f>INDEX('Exhibit-25'!$F:$F,MATCH($B41,'Exhibit-25'!$B:$B,0))/12</f>
        <v>-4086.3508333333334</v>
      </c>
      <c r="N41" s="25">
        <f>INDEX('Exhibit-25'!$F:$F,MATCH($B41,'Exhibit-25'!$B:$B,0))/12</f>
        <v>-4086.3508333333334</v>
      </c>
      <c r="O41" s="25">
        <f>INDEX('Exhibit-25'!$F:$F,MATCH($B41,'Exhibit-25'!$B:$B,0))/12</f>
        <v>-4086.3508333333334</v>
      </c>
      <c r="P41" s="25">
        <f>INDEX('Exhibit-25'!$F:$F,MATCH($B41,'Exhibit-25'!$B:$B,0))/12</f>
        <v>-4086.3508333333334</v>
      </c>
      <c r="Q41" s="25">
        <f>INDEX('Exhibit-25'!$F:$F,MATCH($B41,'Exhibit-25'!$B:$B,0))/12</f>
        <v>-4086.3508333333334</v>
      </c>
      <c r="R41" s="25">
        <f>INDEX('Exhibit-25'!$F:$F,MATCH($B41,'Exhibit-25'!$B:$B,0))/12</f>
        <v>-4086.3508333333334</v>
      </c>
      <c r="S41" s="25">
        <f>INDEX('Exhibit-25'!$F:$F,MATCH($B41,'Exhibit-25'!$B:$B,0))/12</f>
        <v>-4086.3508333333334</v>
      </c>
      <c r="T41" s="25">
        <f>INDEX('Exhibit-25'!$F:$F,MATCH($B41,'Exhibit-25'!$B:$B,0))/12</f>
        <v>-4086.3508333333334</v>
      </c>
      <c r="U41" s="25">
        <f>INDEX('Exhibit-25'!$F:$F,MATCH($B41,'Exhibit-25'!$B:$B,0))/12</f>
        <v>-4086.3508333333334</v>
      </c>
      <c r="V41" s="25">
        <f>INDEX('Exhibit-25'!$F:$F,MATCH($B41,'Exhibit-25'!$B:$B,0))/12</f>
        <v>-4086.3508333333334</v>
      </c>
      <c r="W41" s="25">
        <f>INDEX('Exhibit-25'!$F:$F,MATCH($B41,'Exhibit-25'!$B:$B,0))/12</f>
        <v>-4086.3508333333334</v>
      </c>
    </row>
    <row r="42" spans="1:23" ht="15" customHeight="1">
      <c r="A42" s="1">
        <f t="shared" si="10"/>
        <v>37</v>
      </c>
      <c r="B42" s="1" t="s">
        <v>210</v>
      </c>
      <c r="C42" s="7" t="s">
        <v>410</v>
      </c>
      <c r="E42" s="25">
        <f>INDEX('Exhibit-25'!$F:$F,MATCH($B42,'Exhibit-25'!$B:$B,0))/12</f>
        <v>-1552.9108333333334</v>
      </c>
      <c r="F42" s="25">
        <f>INDEX('Exhibit-25'!$F:$F,MATCH($B42,'Exhibit-25'!$B:$B,0))/12</f>
        <v>-1552.9108333333334</v>
      </c>
      <c r="G42" s="25">
        <f>INDEX('Exhibit-25'!$F:$F,MATCH($B42,'Exhibit-25'!$B:$B,0))/12</f>
        <v>-1552.9108333333334</v>
      </c>
      <c r="H42" s="25">
        <f>INDEX('Exhibit-25'!$F:$F,MATCH($B42,'Exhibit-25'!$B:$B,0))/12</f>
        <v>-1552.9108333333334</v>
      </c>
      <c r="I42" s="25">
        <f>INDEX('Exhibit-25'!$F:$F,MATCH($B42,'Exhibit-25'!$B:$B,0))/12</f>
        <v>-1552.9108333333334</v>
      </c>
      <c r="J42" s="25">
        <f>INDEX('Exhibit-25'!$F:$F,MATCH($B42,'Exhibit-25'!$B:$B,0))/12</f>
        <v>-1552.9108333333334</v>
      </c>
      <c r="K42" s="25">
        <f>INDEX('Exhibit-25'!$F:$F,MATCH($B42,'Exhibit-25'!$B:$B,0))/12</f>
        <v>-1552.9108333333334</v>
      </c>
      <c r="L42" s="25">
        <f>INDEX('Exhibit-25'!$F:$F,MATCH($B42,'Exhibit-25'!$B:$B,0))/12</f>
        <v>-1552.9108333333334</v>
      </c>
      <c r="M42" s="25">
        <f>INDEX('Exhibit-25'!$F:$F,MATCH($B42,'Exhibit-25'!$B:$B,0))/12</f>
        <v>-1552.9108333333334</v>
      </c>
      <c r="N42" s="25">
        <f>INDEX('Exhibit-25'!$F:$F,MATCH($B42,'Exhibit-25'!$B:$B,0))/12</f>
        <v>-1552.9108333333334</v>
      </c>
      <c r="O42" s="25">
        <f>INDEX('Exhibit-25'!$F:$F,MATCH($B42,'Exhibit-25'!$B:$B,0))/12</f>
        <v>-1552.9108333333334</v>
      </c>
      <c r="P42" s="25">
        <f>INDEX('Exhibit-25'!$F:$F,MATCH($B42,'Exhibit-25'!$B:$B,0))/12</f>
        <v>-1552.9108333333334</v>
      </c>
      <c r="Q42" s="25">
        <f>INDEX('Exhibit-25'!$F:$F,MATCH($B42,'Exhibit-25'!$B:$B,0))/12</f>
        <v>-1552.9108333333334</v>
      </c>
      <c r="R42" s="25">
        <f>INDEX('Exhibit-25'!$F:$F,MATCH($B42,'Exhibit-25'!$B:$B,0))/12</f>
        <v>-1552.9108333333334</v>
      </c>
      <c r="S42" s="25">
        <f>INDEX('Exhibit-25'!$F:$F,MATCH($B42,'Exhibit-25'!$B:$B,0))/12</f>
        <v>-1552.9108333333334</v>
      </c>
      <c r="T42" s="25">
        <f>INDEX('Exhibit-25'!$F:$F,MATCH($B42,'Exhibit-25'!$B:$B,0))/12</f>
        <v>-1552.9108333333334</v>
      </c>
      <c r="U42" s="25">
        <f>INDEX('Exhibit-25'!$F:$F,MATCH($B42,'Exhibit-25'!$B:$B,0))/12</f>
        <v>-1552.9108333333334</v>
      </c>
      <c r="V42" s="25">
        <f>INDEX('Exhibit-25'!$F:$F,MATCH($B42,'Exhibit-25'!$B:$B,0))/12</f>
        <v>-1552.9108333333334</v>
      </c>
      <c r="W42" s="25">
        <f>INDEX('Exhibit-25'!$F:$F,MATCH($B42,'Exhibit-25'!$B:$B,0))/12</f>
        <v>-1552.9108333333334</v>
      </c>
    </row>
    <row r="43" spans="1:23" ht="15" customHeight="1">
      <c r="A43" s="1">
        <f t="shared" si="10"/>
        <v>38</v>
      </c>
      <c r="B43" s="1" t="s">
        <v>211</v>
      </c>
      <c r="C43" s="7" t="s">
        <v>411</v>
      </c>
      <c r="E43" s="25">
        <f>INDEX('Exhibit-25'!$F:$F,MATCH($B43,'Exhibit-25'!$B:$B,0))/12</f>
        <v>-1122.5874999999999</v>
      </c>
      <c r="F43" s="25">
        <f>INDEX('Exhibit-25'!$F:$F,MATCH($B43,'Exhibit-25'!$B:$B,0))/12</f>
        <v>-1122.5874999999999</v>
      </c>
      <c r="G43" s="25">
        <f>INDEX('Exhibit-25'!$F:$F,MATCH($B43,'Exhibit-25'!$B:$B,0))/12</f>
        <v>-1122.5874999999999</v>
      </c>
      <c r="H43" s="25">
        <f>INDEX('Exhibit-25'!$F:$F,MATCH($B43,'Exhibit-25'!$B:$B,0))/12</f>
        <v>-1122.5874999999999</v>
      </c>
      <c r="I43" s="25">
        <f>INDEX('Exhibit-25'!$F:$F,MATCH($B43,'Exhibit-25'!$B:$B,0))/12</f>
        <v>-1122.5874999999999</v>
      </c>
      <c r="J43" s="25">
        <f>INDEX('Exhibit-25'!$F:$F,MATCH($B43,'Exhibit-25'!$B:$B,0))/12</f>
        <v>-1122.5874999999999</v>
      </c>
      <c r="K43" s="25">
        <f>INDEX('Exhibit-25'!$F:$F,MATCH($B43,'Exhibit-25'!$B:$B,0))/12</f>
        <v>-1122.5874999999999</v>
      </c>
      <c r="L43" s="25">
        <f>INDEX('Exhibit-25'!$F:$F,MATCH($B43,'Exhibit-25'!$B:$B,0))/12</f>
        <v>-1122.5874999999999</v>
      </c>
      <c r="M43" s="25">
        <f>INDEX('Exhibit-25'!$F:$F,MATCH($B43,'Exhibit-25'!$B:$B,0))/12</f>
        <v>-1122.5874999999999</v>
      </c>
      <c r="N43" s="25">
        <f>INDEX('Exhibit-25'!$F:$F,MATCH($B43,'Exhibit-25'!$B:$B,0))/12</f>
        <v>-1122.5874999999999</v>
      </c>
      <c r="O43" s="25">
        <f>INDEX('Exhibit-25'!$F:$F,MATCH($B43,'Exhibit-25'!$B:$B,0))/12</f>
        <v>-1122.5874999999999</v>
      </c>
      <c r="P43" s="25">
        <f>INDEX('Exhibit-25'!$F:$F,MATCH($B43,'Exhibit-25'!$B:$B,0))/12</f>
        <v>-1122.5874999999999</v>
      </c>
      <c r="Q43" s="25">
        <f>INDEX('Exhibit-25'!$F:$F,MATCH($B43,'Exhibit-25'!$B:$B,0))/12</f>
        <v>-1122.5874999999999</v>
      </c>
      <c r="R43" s="25">
        <f>INDEX('Exhibit-25'!$F:$F,MATCH($B43,'Exhibit-25'!$B:$B,0))/12</f>
        <v>-1122.5874999999999</v>
      </c>
      <c r="S43" s="25">
        <f>INDEX('Exhibit-25'!$F:$F,MATCH($B43,'Exhibit-25'!$B:$B,0))/12</f>
        <v>-1122.5874999999999</v>
      </c>
      <c r="T43" s="25">
        <f>INDEX('Exhibit-25'!$F:$F,MATCH($B43,'Exhibit-25'!$B:$B,0))/12</f>
        <v>-1122.5874999999999</v>
      </c>
      <c r="U43" s="25">
        <f>INDEX('Exhibit-25'!$F:$F,MATCH($B43,'Exhibit-25'!$B:$B,0))/12</f>
        <v>-1122.5874999999999</v>
      </c>
      <c r="V43" s="25">
        <f>INDEX('Exhibit-25'!$F:$F,MATCH($B43,'Exhibit-25'!$B:$B,0))/12</f>
        <v>-1122.5874999999999</v>
      </c>
      <c r="W43" s="25">
        <f>INDEX('Exhibit-25'!$F:$F,MATCH($B43,'Exhibit-25'!$B:$B,0))/12</f>
        <v>-1122.5874999999999</v>
      </c>
    </row>
    <row r="44" spans="1:23" ht="15" customHeight="1">
      <c r="A44" s="1">
        <f t="shared" si="10"/>
        <v>39</v>
      </c>
      <c r="B44" s="1" t="s">
        <v>212</v>
      </c>
      <c r="C44" s="7" t="s">
        <v>256</v>
      </c>
      <c r="E44" s="25">
        <f>INDEX('Exhibit-25'!$F:$F,MATCH($B44,'Exhibit-25'!$B:$B,0))/12+E72+E78+E84</f>
        <v>-3605.3908333333334</v>
      </c>
      <c r="F44" s="25">
        <f>INDEX('Exhibit-25'!$F:$F,MATCH($B44,'Exhibit-25'!$B:$B,0))/12+F72+F78+F84</f>
        <v>-3605.3908333333334</v>
      </c>
      <c r="G44" s="25">
        <f>INDEX('Exhibit-25'!$F:$F,MATCH($B44,'Exhibit-25'!$B:$B,0))/12+G72+G78+G84</f>
        <v>-3605.3908333333334</v>
      </c>
      <c r="H44" s="25">
        <f>INDEX('Exhibit-25'!$F:$F,MATCH($B44,'Exhibit-25'!$B:$B,0))/12+H72+H78+H84</f>
        <v>-3605.3908333333334</v>
      </c>
      <c r="I44" s="25">
        <f>INDEX('Exhibit-25'!$F:$F,MATCH($B44,'Exhibit-25'!$B:$B,0))/12+I72+I78+I84</f>
        <v>-3605.3908333333334</v>
      </c>
      <c r="J44" s="25">
        <f>INDEX('Exhibit-25'!$F:$F,MATCH($B44,'Exhibit-25'!$B:$B,0))/12+J72+J78+J84</f>
        <v>-3605.3908333333334</v>
      </c>
      <c r="K44" s="25">
        <f>INDEX('Exhibit-25'!$F:$F,MATCH($B44,'Exhibit-25'!$B:$B,0))/12+K72+K78+K84</f>
        <v>-3605.3908333333334</v>
      </c>
      <c r="L44" s="25">
        <f>INDEX('Exhibit-25'!$F:$F,MATCH($B44,'Exhibit-25'!$B:$B,0))/12+L72+L78+L84</f>
        <v>-3605.3908333333334</v>
      </c>
      <c r="M44" s="25">
        <f>INDEX('Exhibit-25'!$F:$F,MATCH($B44,'Exhibit-25'!$B:$B,0))/12+M72+M78+M84</f>
        <v>-3605.3908333333334</v>
      </c>
      <c r="N44" s="25">
        <f>INDEX('Exhibit-25'!$F:$F,MATCH($B44,'Exhibit-25'!$B:$B,0))/12+N72+N78+N84</f>
        <v>-3605.3908333333334</v>
      </c>
      <c r="O44" s="25">
        <f>INDEX('Exhibit-25'!$F:$F,MATCH($B44,'Exhibit-25'!$B:$B,0))/12+O72+O78+O84</f>
        <v>-3605.3908333333334</v>
      </c>
      <c r="P44" s="25">
        <f>INDEX('Exhibit-25'!$F:$F,MATCH($B44,'Exhibit-25'!$B:$B,0))/12+P72+P78+P84</f>
        <v>-3605.3908333333334</v>
      </c>
      <c r="Q44" s="25">
        <f>INDEX('Exhibit-25'!$F:$F,MATCH($B44,'Exhibit-25'!$B:$B,0))/12+Q72+Q78+Q84</f>
        <v>-3605.3908333333334</v>
      </c>
      <c r="R44" s="25">
        <f>INDEX('Exhibit-25'!$F:$F,MATCH($B44,'Exhibit-25'!$B:$B,0))/12+R72+R78+R84</f>
        <v>-3605.3908333333334</v>
      </c>
      <c r="S44" s="25">
        <f>INDEX('Exhibit-25'!$F:$F,MATCH($B44,'Exhibit-25'!$B:$B,0))/12+S72+S78+S84</f>
        <v>-3605.3908333333334</v>
      </c>
      <c r="T44" s="25">
        <f>INDEX('Exhibit-25'!$F:$F,MATCH($B44,'Exhibit-25'!$B:$B,0))/12+T72+T78+T84</f>
        <v>-3605.3908333333334</v>
      </c>
      <c r="U44" s="25">
        <f>INDEX('Exhibit-25'!$F:$F,MATCH($B44,'Exhibit-25'!$B:$B,0))/12+U72+U78+U84</f>
        <v>-3605.3908333333334</v>
      </c>
      <c r="V44" s="25">
        <f>INDEX('Exhibit-25'!$F:$F,MATCH($B44,'Exhibit-25'!$B:$B,0))/12+V72+V78+V84</f>
        <v>-1472.6908333333336</v>
      </c>
      <c r="W44" s="25">
        <f>INDEX('Exhibit-25'!$F:$F,MATCH($B44,'Exhibit-25'!$B:$B,0))/12+W72+W78+W84</f>
        <v>-1472.6908333333336</v>
      </c>
    </row>
    <row r="45" spans="1:23" ht="15" customHeight="1">
      <c r="A45" s="1">
        <f t="shared" si="10"/>
        <v>40</v>
      </c>
      <c r="B45" s="1" t="s">
        <v>214</v>
      </c>
      <c r="C45" s="7" t="s">
        <v>318</v>
      </c>
      <c r="E45" s="25">
        <f>INDEX('Exhibit-25'!$F:$F,MATCH($B45,'Exhibit-25'!$B:$B,0))/12</f>
        <v>-19.444166666666664</v>
      </c>
      <c r="F45" s="25">
        <f>INDEX('Exhibit-25'!$F:$F,MATCH($B45,'Exhibit-25'!$B:$B,0))/12</f>
        <v>-19.444166666666664</v>
      </c>
      <c r="G45" s="25">
        <f>INDEX('Exhibit-25'!$F:$F,MATCH($B45,'Exhibit-25'!$B:$B,0))/12</f>
        <v>-19.444166666666664</v>
      </c>
      <c r="H45" s="25">
        <f>INDEX('Exhibit-25'!$F:$F,MATCH($B45,'Exhibit-25'!$B:$B,0))/12</f>
        <v>-19.444166666666664</v>
      </c>
      <c r="I45" s="25">
        <f>INDEX('Exhibit-25'!$F:$F,MATCH($B45,'Exhibit-25'!$B:$B,0))/12</f>
        <v>-19.444166666666664</v>
      </c>
      <c r="J45" s="25">
        <f>INDEX('Exhibit-25'!$F:$F,MATCH($B45,'Exhibit-25'!$B:$B,0))/12</f>
        <v>-19.444166666666664</v>
      </c>
      <c r="K45" s="25">
        <f>INDEX('Exhibit-25'!$F:$F,MATCH($B45,'Exhibit-25'!$B:$B,0))/12</f>
        <v>-19.444166666666664</v>
      </c>
      <c r="L45" s="25">
        <f>INDEX('Exhibit-25'!$F:$F,MATCH($B45,'Exhibit-25'!$B:$B,0))/12</f>
        <v>-19.444166666666664</v>
      </c>
      <c r="M45" s="25">
        <f>INDEX('Exhibit-25'!$F:$F,MATCH($B45,'Exhibit-25'!$B:$B,0))/12</f>
        <v>-19.444166666666664</v>
      </c>
      <c r="N45" s="25">
        <f>INDEX('Exhibit-25'!$F:$F,MATCH($B45,'Exhibit-25'!$B:$B,0))/12</f>
        <v>-19.444166666666664</v>
      </c>
      <c r="O45" s="25">
        <f>INDEX('Exhibit-25'!$F:$F,MATCH($B45,'Exhibit-25'!$B:$B,0))/12</f>
        <v>-19.444166666666664</v>
      </c>
      <c r="P45" s="25">
        <f>INDEX('Exhibit-25'!$F:$F,MATCH($B45,'Exhibit-25'!$B:$B,0))/12</f>
        <v>-19.444166666666664</v>
      </c>
      <c r="Q45" s="25">
        <f>INDEX('Exhibit-25'!$F:$F,MATCH($B45,'Exhibit-25'!$B:$B,0))/12</f>
        <v>-19.444166666666664</v>
      </c>
      <c r="R45" s="25">
        <f>INDEX('Exhibit-25'!$F:$F,MATCH($B45,'Exhibit-25'!$B:$B,0))/12</f>
        <v>-19.444166666666664</v>
      </c>
      <c r="S45" s="25">
        <f>INDEX('Exhibit-25'!$F:$F,MATCH($B45,'Exhibit-25'!$B:$B,0))/12</f>
        <v>-19.444166666666664</v>
      </c>
      <c r="T45" s="25">
        <f>INDEX('Exhibit-25'!$F:$F,MATCH($B45,'Exhibit-25'!$B:$B,0))/12</f>
        <v>-19.444166666666664</v>
      </c>
      <c r="U45" s="25">
        <f>INDEX('Exhibit-25'!$F:$F,MATCH($B45,'Exhibit-25'!$B:$B,0))/12</f>
        <v>-19.444166666666664</v>
      </c>
      <c r="V45" s="25">
        <f>INDEX('Exhibit-25'!$F:$F,MATCH($B45,'Exhibit-25'!$B:$B,0))/12</f>
        <v>-19.444166666666664</v>
      </c>
      <c r="W45" s="25">
        <f>INDEX('Exhibit-25'!$F:$F,MATCH($B45,'Exhibit-25'!$B:$B,0))/12</f>
        <v>-19.444166666666664</v>
      </c>
    </row>
    <row r="46" spans="1:23" ht="15" customHeight="1">
      <c r="A46" s="1">
        <f t="shared" si="10"/>
        <v>41</v>
      </c>
      <c r="B46" s="1" t="s">
        <v>215</v>
      </c>
      <c r="C46" s="7" t="s">
        <v>257</v>
      </c>
      <c r="E46" s="25">
        <f>INDEX('Exhibit-25'!$F:$F,MATCH($B46,'Exhibit-25'!$B:$B,0))/12+E73+E79+E85</f>
        <v>-276.04166666666669</v>
      </c>
      <c r="F46" s="25">
        <f>INDEX('Exhibit-25'!$F:$F,MATCH($B46,'Exhibit-25'!$B:$B,0))/12+F73+F79+F85</f>
        <v>-276.04166666666669</v>
      </c>
      <c r="G46" s="25">
        <f>INDEX('Exhibit-25'!$F:$F,MATCH($B46,'Exhibit-25'!$B:$B,0))/12+G73+G79+G85</f>
        <v>-276.04166666666669</v>
      </c>
      <c r="H46" s="25">
        <f>INDEX('Exhibit-25'!$F:$F,MATCH($B46,'Exhibit-25'!$B:$B,0))/12+H73+H79+H85</f>
        <v>-276.04166666666669</v>
      </c>
      <c r="I46" s="25">
        <f>INDEX('Exhibit-25'!$F:$F,MATCH($B46,'Exhibit-25'!$B:$B,0))/12+I73+I79+I85</f>
        <v>-276.04166666666669</v>
      </c>
      <c r="J46" s="25">
        <f>INDEX('Exhibit-25'!$F:$F,MATCH($B46,'Exhibit-25'!$B:$B,0))/12+J73+J79+J85</f>
        <v>-276.04166666666669</v>
      </c>
      <c r="K46" s="25">
        <f>INDEX('Exhibit-25'!$F:$F,MATCH($B46,'Exhibit-25'!$B:$B,0))/12+K73+K79+K85</f>
        <v>-276.04166666666669</v>
      </c>
      <c r="L46" s="25">
        <f>INDEX('Exhibit-25'!$F:$F,MATCH($B46,'Exhibit-25'!$B:$B,0))/12+L73+L79+L85</f>
        <v>-276.04166666666669</v>
      </c>
      <c r="M46" s="25">
        <f>INDEX('Exhibit-25'!$F:$F,MATCH($B46,'Exhibit-25'!$B:$B,0))/12+M73+M79+M85</f>
        <v>-276.04166666666669</v>
      </c>
      <c r="N46" s="25">
        <f>INDEX('Exhibit-25'!$F:$F,MATCH($B46,'Exhibit-25'!$B:$B,0))/12+N73+N79+N85</f>
        <v>-276.04166666666669</v>
      </c>
      <c r="O46" s="25">
        <f>INDEX('Exhibit-25'!$F:$F,MATCH($B46,'Exhibit-25'!$B:$B,0))/12+O73+O79+O85</f>
        <v>-276.04166666666669</v>
      </c>
      <c r="P46" s="25">
        <f>INDEX('Exhibit-25'!$F:$F,MATCH($B46,'Exhibit-25'!$B:$B,0))/12+P73+P79+P85</f>
        <v>-276.04166666666669</v>
      </c>
      <c r="Q46" s="25">
        <f>INDEX('Exhibit-25'!$F:$F,MATCH($B46,'Exhibit-25'!$B:$B,0))/12+Q73+Q79+Q85</f>
        <v>-276.04166666666669</v>
      </c>
      <c r="R46" s="25">
        <f>INDEX('Exhibit-25'!$F:$F,MATCH($B46,'Exhibit-25'!$B:$B,0))/12+R73+R79+R85</f>
        <v>-276.04166666666669</v>
      </c>
      <c r="S46" s="25">
        <f>INDEX('Exhibit-25'!$F:$F,MATCH($B46,'Exhibit-25'!$B:$B,0))/12+S73+S79+S85</f>
        <v>-276.04166666666669</v>
      </c>
      <c r="T46" s="25">
        <f>INDEX('Exhibit-25'!$F:$F,MATCH($B46,'Exhibit-25'!$B:$B,0))/12+T73+T79+T85</f>
        <v>-276.04166666666669</v>
      </c>
      <c r="U46" s="25">
        <f>INDEX('Exhibit-25'!$F:$F,MATCH($B46,'Exhibit-25'!$B:$B,0))/12+U73+U79+U85</f>
        <v>-276.04166666666669</v>
      </c>
      <c r="V46" s="25">
        <f>INDEX('Exhibit-25'!$F:$F,MATCH($B46,'Exhibit-25'!$B:$B,0))/12+V73+V79+V85</f>
        <v>2912.2983333333336</v>
      </c>
      <c r="W46" s="25">
        <f>INDEX('Exhibit-25'!$F:$F,MATCH($B46,'Exhibit-25'!$B:$B,0))/12+W73+W79+W85</f>
        <v>2912.2983333333336</v>
      </c>
    </row>
    <row r="47" spans="1:23" ht="15" customHeight="1">
      <c r="A47" s="1">
        <f t="shared" si="10"/>
        <v>42</v>
      </c>
      <c r="B47" s="1" t="s">
        <v>219</v>
      </c>
      <c r="C47" s="7" t="s">
        <v>318</v>
      </c>
      <c r="E47" s="25">
        <f>INDEX('Exhibit-25'!$F:$F,MATCH($B47,'Exhibit-25'!$B:$B,0))/12</f>
        <v>-12.665833333333333</v>
      </c>
      <c r="F47" s="25">
        <f>INDEX('Exhibit-25'!$F:$F,MATCH($B47,'Exhibit-25'!$B:$B,0))/12</f>
        <v>-12.665833333333333</v>
      </c>
      <c r="G47" s="25">
        <f>INDEX('Exhibit-25'!$F:$F,MATCH($B47,'Exhibit-25'!$B:$B,0))/12</f>
        <v>-12.665833333333333</v>
      </c>
      <c r="H47" s="25">
        <f>INDEX('Exhibit-25'!$F:$F,MATCH($B47,'Exhibit-25'!$B:$B,0))/12</f>
        <v>-12.665833333333333</v>
      </c>
      <c r="I47" s="25">
        <f>INDEX('Exhibit-25'!$F:$F,MATCH($B47,'Exhibit-25'!$B:$B,0))/12</f>
        <v>-12.665833333333333</v>
      </c>
      <c r="J47" s="25">
        <f>INDEX('Exhibit-25'!$F:$F,MATCH($B47,'Exhibit-25'!$B:$B,0))/12</f>
        <v>-12.665833333333333</v>
      </c>
      <c r="K47" s="25">
        <f>INDEX('Exhibit-25'!$F:$F,MATCH($B47,'Exhibit-25'!$B:$B,0))/12</f>
        <v>-12.665833333333333</v>
      </c>
      <c r="L47" s="25">
        <f>INDEX('Exhibit-25'!$F:$F,MATCH($B47,'Exhibit-25'!$B:$B,0))/12</f>
        <v>-12.665833333333333</v>
      </c>
      <c r="M47" s="25">
        <f>INDEX('Exhibit-25'!$F:$F,MATCH($B47,'Exhibit-25'!$B:$B,0))/12</f>
        <v>-12.665833333333333</v>
      </c>
      <c r="N47" s="25">
        <f>INDEX('Exhibit-25'!$F:$F,MATCH($B47,'Exhibit-25'!$B:$B,0))/12</f>
        <v>-12.665833333333333</v>
      </c>
      <c r="O47" s="25">
        <f>INDEX('Exhibit-25'!$F:$F,MATCH($B47,'Exhibit-25'!$B:$B,0))/12</f>
        <v>-12.665833333333333</v>
      </c>
      <c r="P47" s="25">
        <f>INDEX('Exhibit-25'!$F:$F,MATCH($B47,'Exhibit-25'!$B:$B,0))/12</f>
        <v>-12.665833333333333</v>
      </c>
      <c r="Q47" s="25">
        <f>INDEX('Exhibit-25'!$F:$F,MATCH($B47,'Exhibit-25'!$B:$B,0))/12</f>
        <v>-12.665833333333333</v>
      </c>
      <c r="R47" s="25">
        <f>INDEX('Exhibit-25'!$F:$F,MATCH($B47,'Exhibit-25'!$B:$B,0))/12</f>
        <v>-12.665833333333333</v>
      </c>
      <c r="S47" s="25">
        <f>INDEX('Exhibit-25'!$F:$F,MATCH($B47,'Exhibit-25'!$B:$B,0))/12</f>
        <v>-12.665833333333333</v>
      </c>
      <c r="T47" s="25">
        <f>INDEX('Exhibit-25'!$F:$F,MATCH($B47,'Exhibit-25'!$B:$B,0))/12</f>
        <v>-12.665833333333333</v>
      </c>
      <c r="U47" s="25">
        <f>INDEX('Exhibit-25'!$F:$F,MATCH($B47,'Exhibit-25'!$B:$B,0))/12</f>
        <v>-12.665833333333333</v>
      </c>
      <c r="V47" s="25">
        <f>INDEX('Exhibit-25'!$F:$F,MATCH($B47,'Exhibit-25'!$B:$B,0))/12</f>
        <v>-12.665833333333333</v>
      </c>
      <c r="W47" s="25">
        <f>INDEX('Exhibit-25'!$F:$F,MATCH($B47,'Exhibit-25'!$B:$B,0))/12</f>
        <v>-12.665833333333333</v>
      </c>
    </row>
    <row r="48" spans="1:23" ht="15" customHeight="1">
      <c r="A48" s="1">
        <f t="shared" si="10"/>
        <v>43</v>
      </c>
      <c r="C48" s="42" t="s">
        <v>220</v>
      </c>
      <c r="D48" s="42"/>
      <c r="E48" s="25">
        <f t="shared" ref="E48:W48" si="12">SUM(E33:E47)</f>
        <v>-152690.23894490002</v>
      </c>
      <c r="F48" s="25">
        <f t="shared" si="12"/>
        <v>-152690.23894490002</v>
      </c>
      <c r="G48" s="25">
        <f t="shared" si="12"/>
        <v>-152690.23894490002</v>
      </c>
      <c r="H48" s="25">
        <f t="shared" si="12"/>
        <v>-152690.23894490002</v>
      </c>
      <c r="I48" s="25">
        <f t="shared" si="12"/>
        <v>-152690.23894490002</v>
      </c>
      <c r="J48" s="25">
        <f t="shared" si="12"/>
        <v>-152690.23894490002</v>
      </c>
      <c r="K48" s="25">
        <f t="shared" si="12"/>
        <v>-152690.23894490002</v>
      </c>
      <c r="L48" s="25">
        <f t="shared" si="12"/>
        <v>-152690.23894490002</v>
      </c>
      <c r="M48" s="25">
        <f t="shared" si="12"/>
        <v>-152690.23894490002</v>
      </c>
      <c r="N48" s="25">
        <f t="shared" si="12"/>
        <v>-152690.23894490002</v>
      </c>
      <c r="O48" s="25">
        <f t="shared" si="12"/>
        <v>-152690.23894490002</v>
      </c>
      <c r="P48" s="25">
        <f t="shared" si="12"/>
        <v>-152690.23894490002</v>
      </c>
      <c r="Q48" s="25">
        <f t="shared" si="12"/>
        <v>-152690.23894490002</v>
      </c>
      <c r="R48" s="25">
        <f t="shared" si="12"/>
        <v>-152690.23894490002</v>
      </c>
      <c r="S48" s="25">
        <f t="shared" si="12"/>
        <v>-152690.23894490002</v>
      </c>
      <c r="T48" s="25">
        <f t="shared" si="12"/>
        <v>-152690.23894490002</v>
      </c>
      <c r="U48" s="25">
        <f t="shared" si="12"/>
        <v>-152690.23894490002</v>
      </c>
      <c r="V48" s="25">
        <f t="shared" si="12"/>
        <v>-149475.28894490001</v>
      </c>
      <c r="W48" s="25">
        <f t="shared" si="12"/>
        <v>-149475.28894490001</v>
      </c>
    </row>
    <row r="49" spans="1:23" ht="15" customHeight="1">
      <c r="A49" s="1">
        <f t="shared" si="10"/>
        <v>44</v>
      </c>
      <c r="C49" s="42"/>
      <c r="D49" s="4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5" customHeight="1">
      <c r="A50" s="1">
        <f t="shared" si="10"/>
        <v>45</v>
      </c>
      <c r="C50" s="42" t="s">
        <v>221</v>
      </c>
      <c r="D50" s="4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5" customHeight="1">
      <c r="A51" s="1">
        <f t="shared" si="10"/>
        <v>46</v>
      </c>
      <c r="B51" s="1" t="s">
        <v>222</v>
      </c>
      <c r="C51" s="7" t="s">
        <v>221</v>
      </c>
      <c r="E51" s="25" t="e">
        <f>INDEX('Exhibit-25'!$F:$F,MATCH($B51,'Exhibit-25'!$B:$B,0))/12</f>
        <v>#REF!</v>
      </c>
      <c r="F51" s="25" t="e">
        <f>INDEX('Exhibit-25'!$F:$F,MATCH($B51,'Exhibit-25'!$B:$B,0))/12</f>
        <v>#REF!</v>
      </c>
      <c r="G51" s="25" t="e">
        <f>INDEX('Exhibit-25'!$F:$F,MATCH($B51,'Exhibit-25'!$B:$B,0))/12</f>
        <v>#REF!</v>
      </c>
      <c r="H51" s="25" t="e">
        <f>INDEX('Exhibit-25'!$F:$F,MATCH($B51,'Exhibit-25'!$B:$B,0))/12</f>
        <v>#REF!</v>
      </c>
      <c r="I51" s="25" t="e">
        <f>INDEX('Exhibit-25'!$F:$F,MATCH($B51,'Exhibit-25'!$B:$B,0))/12</f>
        <v>#REF!</v>
      </c>
      <c r="J51" s="25" t="e">
        <f>INDEX('Exhibit-25'!$F:$F,MATCH($B51,'Exhibit-25'!$B:$B,0))/12</f>
        <v>#REF!</v>
      </c>
      <c r="K51" s="25" t="e">
        <f>INDEX('Exhibit-25'!$F:$F,MATCH($B51,'Exhibit-25'!$B:$B,0))/12</f>
        <v>#REF!</v>
      </c>
      <c r="L51" s="25" t="e">
        <f>INDEX('Exhibit-25'!$F:$F,MATCH($B51,'Exhibit-25'!$B:$B,0))/12</f>
        <v>#REF!</v>
      </c>
      <c r="M51" s="25" t="e">
        <f>INDEX('Exhibit-25'!$F:$F,MATCH($B51,'Exhibit-25'!$B:$B,0))/12</f>
        <v>#REF!</v>
      </c>
      <c r="N51" s="25" t="e">
        <f>INDEX('Exhibit-25'!$F:$F,MATCH($B51,'Exhibit-25'!$B:$B,0))/12</f>
        <v>#REF!</v>
      </c>
      <c r="O51" s="25" t="e">
        <f>INDEX('Exhibit-25'!$F:$F,MATCH($B51,'Exhibit-25'!$B:$B,0))/12</f>
        <v>#REF!</v>
      </c>
      <c r="P51" s="25" t="e">
        <f>INDEX('Exhibit-25'!$F:$F,MATCH($B51,'Exhibit-25'!$B:$B,0))/12</f>
        <v>#REF!</v>
      </c>
      <c r="Q51" s="25" t="e">
        <f>INDEX('Exhibit-25'!$F:$F,MATCH($B51,'Exhibit-25'!$B:$B,0))/12</f>
        <v>#REF!</v>
      </c>
      <c r="R51" s="25" t="e">
        <f>INDEX('Exhibit-25'!$F:$F,MATCH($B51,'Exhibit-25'!$B:$B,0))/12</f>
        <v>#REF!</v>
      </c>
      <c r="S51" s="25" t="e">
        <f>INDEX('Exhibit-25'!$F:$F,MATCH($B51,'Exhibit-25'!$B:$B,0))/12</f>
        <v>#REF!</v>
      </c>
      <c r="T51" s="25" t="e">
        <f>INDEX('Exhibit-25'!$F:$F,MATCH($B51,'Exhibit-25'!$B:$B,0))/12</f>
        <v>#REF!</v>
      </c>
      <c r="U51" s="25" t="e">
        <f>INDEX('Exhibit-25'!$F:$F,MATCH($B51,'Exhibit-25'!$B:$B,0))/12</f>
        <v>#REF!</v>
      </c>
      <c r="V51" s="25" t="e">
        <f>INDEX('Exhibit-25'!$F:$F,MATCH($B51,'Exhibit-25'!$B:$B,0))/12</f>
        <v>#REF!</v>
      </c>
      <c r="W51" s="25" t="e">
        <f>INDEX('Exhibit-25'!$F:$F,MATCH($B51,'Exhibit-25'!$B:$B,0))/12</f>
        <v>#REF!</v>
      </c>
    </row>
    <row r="52" spans="1:23" ht="15" customHeight="1">
      <c r="A52" s="1">
        <f t="shared" si="10"/>
        <v>47</v>
      </c>
      <c r="C52" s="42" t="s">
        <v>224</v>
      </c>
      <c r="D52" s="42"/>
      <c r="E52" s="25" t="e">
        <f t="shared" ref="E52:W52" si="13">SUM(E51:E51)</f>
        <v>#REF!</v>
      </c>
      <c r="F52" s="25" t="e">
        <f t="shared" si="13"/>
        <v>#REF!</v>
      </c>
      <c r="G52" s="25" t="e">
        <f t="shared" si="13"/>
        <v>#REF!</v>
      </c>
      <c r="H52" s="25" t="e">
        <f t="shared" si="13"/>
        <v>#REF!</v>
      </c>
      <c r="I52" s="25" t="e">
        <f t="shared" si="13"/>
        <v>#REF!</v>
      </c>
      <c r="J52" s="25" t="e">
        <f t="shared" si="13"/>
        <v>#REF!</v>
      </c>
      <c r="K52" s="25" t="e">
        <f t="shared" si="13"/>
        <v>#REF!</v>
      </c>
      <c r="L52" s="25" t="e">
        <f t="shared" si="13"/>
        <v>#REF!</v>
      </c>
      <c r="M52" s="25" t="e">
        <f t="shared" si="13"/>
        <v>#REF!</v>
      </c>
      <c r="N52" s="25" t="e">
        <f t="shared" si="13"/>
        <v>#REF!</v>
      </c>
      <c r="O52" s="25" t="e">
        <f t="shared" si="13"/>
        <v>#REF!</v>
      </c>
      <c r="P52" s="25" t="e">
        <f t="shared" si="13"/>
        <v>#REF!</v>
      </c>
      <c r="Q52" s="25" t="e">
        <f t="shared" si="13"/>
        <v>#REF!</v>
      </c>
      <c r="R52" s="25" t="e">
        <f t="shared" si="13"/>
        <v>#REF!</v>
      </c>
      <c r="S52" s="25" t="e">
        <f t="shared" si="13"/>
        <v>#REF!</v>
      </c>
      <c r="T52" s="25" t="e">
        <f t="shared" si="13"/>
        <v>#REF!</v>
      </c>
      <c r="U52" s="25" t="e">
        <f t="shared" si="13"/>
        <v>#REF!</v>
      </c>
      <c r="V52" s="25" t="e">
        <f t="shared" si="13"/>
        <v>#REF!</v>
      </c>
      <c r="W52" s="25" t="e">
        <f t="shared" si="13"/>
        <v>#REF!</v>
      </c>
    </row>
    <row r="53" spans="1:23" ht="15" customHeight="1">
      <c r="A53" s="1">
        <f t="shared" si="10"/>
        <v>48</v>
      </c>
      <c r="C53" s="42"/>
      <c r="D53" s="4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5" customHeight="1">
      <c r="A54" s="1">
        <f t="shared" si="10"/>
        <v>49</v>
      </c>
      <c r="C54" s="41" t="s">
        <v>225</v>
      </c>
      <c r="D54" s="4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ht="15" customHeight="1">
      <c r="A55" s="1">
        <f t="shared" si="10"/>
        <v>50</v>
      </c>
      <c r="B55" s="1" t="s">
        <v>226</v>
      </c>
      <c r="C55" s="7" t="s">
        <v>258</v>
      </c>
      <c r="E55" s="25">
        <f>INDEX('Exhibit-25'!$F:$F,MATCH($B55,'Exhibit-25'!$B:$B,0))/12+E74+E80+E86</f>
        <v>-16517.893740849999</v>
      </c>
      <c r="F55" s="25">
        <f>INDEX('Exhibit-25'!$F:$F,MATCH($B55,'Exhibit-25'!$B:$B,0))/12+F74+F80+F86</f>
        <v>-16517.893740849999</v>
      </c>
      <c r="G55" s="25">
        <f>INDEX('Exhibit-25'!$F:$F,MATCH($B55,'Exhibit-25'!$B:$B,0))/12+G74+G80+G86</f>
        <v>-16517.893740849999</v>
      </c>
      <c r="H55" s="25">
        <f>INDEX('Exhibit-25'!$F:$F,MATCH($B55,'Exhibit-25'!$B:$B,0))/12+H74+H80+H86</f>
        <v>-16517.893740849999</v>
      </c>
      <c r="I55" s="25">
        <f>INDEX('Exhibit-25'!$F:$F,MATCH($B55,'Exhibit-25'!$B:$B,0))/12+I74+I80+I86</f>
        <v>-16517.893740849999</v>
      </c>
      <c r="J55" s="25">
        <f>INDEX('Exhibit-25'!$F:$F,MATCH($B55,'Exhibit-25'!$B:$B,0))/12+J74+J80+J86</f>
        <v>-16517.893740849999</v>
      </c>
      <c r="K55" s="25">
        <f>INDEX('Exhibit-25'!$F:$F,MATCH($B55,'Exhibit-25'!$B:$B,0))/12+K74+K80+K86</f>
        <v>-16517.893740849999</v>
      </c>
      <c r="L55" s="25">
        <f>INDEX('Exhibit-25'!$F:$F,MATCH($B55,'Exhibit-25'!$B:$B,0))/12+L74+L80+L86</f>
        <v>-16517.893740849999</v>
      </c>
      <c r="M55" s="25">
        <f>INDEX('Exhibit-25'!$F:$F,MATCH($B55,'Exhibit-25'!$B:$B,0))/12+M74+M80+M86</f>
        <v>-16517.893740849999</v>
      </c>
      <c r="N55" s="25">
        <f>INDEX('Exhibit-25'!$F:$F,MATCH($B55,'Exhibit-25'!$B:$B,0))/12+N74+N80+N86</f>
        <v>-16517.893740849999</v>
      </c>
      <c r="O55" s="25">
        <f>INDEX('Exhibit-25'!$F:$F,MATCH($B55,'Exhibit-25'!$B:$B,0))/12+O74+O80+O86</f>
        <v>-16517.893740849999</v>
      </c>
      <c r="P55" s="25">
        <f>INDEX('Exhibit-25'!$F:$F,MATCH($B55,'Exhibit-25'!$B:$B,0))/12+P74+P80+P86</f>
        <v>-16517.893740849999</v>
      </c>
      <c r="Q55" s="25">
        <f>INDEX('Exhibit-25'!$F:$F,MATCH($B55,'Exhibit-25'!$B:$B,0))/12+Q74+Q80+Q86</f>
        <v>-16517.893740849999</v>
      </c>
      <c r="R55" s="25">
        <f>INDEX('Exhibit-25'!$F:$F,MATCH($B55,'Exhibit-25'!$B:$B,0))/12+R74+R80+R86</f>
        <v>-16517.893740849999</v>
      </c>
      <c r="S55" s="25">
        <f>INDEX('Exhibit-25'!$F:$F,MATCH($B55,'Exhibit-25'!$B:$B,0))/12+S74+S80+S86</f>
        <v>-16517.893740849999</v>
      </c>
      <c r="T55" s="25">
        <f>INDEX('Exhibit-25'!$F:$F,MATCH($B55,'Exhibit-25'!$B:$B,0))/12+T74+T80+T86</f>
        <v>-16517.893740849999</v>
      </c>
      <c r="U55" s="25">
        <f>INDEX('Exhibit-25'!$F:$F,MATCH($B55,'Exhibit-25'!$B:$B,0))/12+U74+U80+U86</f>
        <v>-16517.893740849999</v>
      </c>
      <c r="V55" s="25">
        <f>INDEX('Exhibit-25'!$F:$F,MATCH($B55,'Exhibit-25'!$B:$B,0))/12+V74+V80+V86</f>
        <v>-18031.081240849999</v>
      </c>
      <c r="W55" s="25">
        <f>INDEX('Exhibit-25'!$F:$F,MATCH($B55,'Exhibit-25'!$B:$B,0))/12+W74+W80+W86</f>
        <v>-18031.081240849999</v>
      </c>
    </row>
    <row r="56" spans="1:23" ht="15" customHeight="1">
      <c r="A56" s="1">
        <f t="shared" si="10"/>
        <v>51</v>
      </c>
      <c r="B56" s="1" t="s">
        <v>227</v>
      </c>
      <c r="C56" s="7" t="s">
        <v>297</v>
      </c>
      <c r="E56" s="25">
        <f>INDEX('Exhibit-25'!$F:$F,MATCH($B56,'Exhibit-25'!$B:$B,0))/12</f>
        <v>2079.9666666666667</v>
      </c>
      <c r="F56" s="25">
        <f>INDEX('Exhibit-25'!$F:$F,MATCH($B56,'Exhibit-25'!$B:$B,0))/12</f>
        <v>2079.9666666666667</v>
      </c>
      <c r="G56" s="25">
        <f>INDEX('Exhibit-25'!$F:$F,MATCH($B56,'Exhibit-25'!$B:$B,0))/12</f>
        <v>2079.9666666666667</v>
      </c>
      <c r="H56" s="25">
        <f>INDEX('Exhibit-25'!$F:$F,MATCH($B56,'Exhibit-25'!$B:$B,0))/12</f>
        <v>2079.9666666666667</v>
      </c>
      <c r="I56" s="25">
        <f>INDEX('Exhibit-25'!$F:$F,MATCH($B56,'Exhibit-25'!$B:$B,0))/12</f>
        <v>2079.9666666666667</v>
      </c>
      <c r="J56" s="25">
        <f>INDEX('Exhibit-25'!$F:$F,MATCH($B56,'Exhibit-25'!$B:$B,0))/12</f>
        <v>2079.9666666666667</v>
      </c>
      <c r="K56" s="25">
        <f>INDEX('Exhibit-25'!$F:$F,MATCH($B56,'Exhibit-25'!$B:$B,0))/12</f>
        <v>2079.9666666666667</v>
      </c>
      <c r="L56" s="25">
        <f>INDEX('Exhibit-25'!$F:$F,MATCH($B56,'Exhibit-25'!$B:$B,0))/12</f>
        <v>2079.9666666666667</v>
      </c>
      <c r="M56" s="25">
        <f>INDEX('Exhibit-25'!$F:$F,MATCH($B56,'Exhibit-25'!$B:$B,0))/12</f>
        <v>2079.9666666666667</v>
      </c>
      <c r="N56" s="25">
        <f>INDEX('Exhibit-25'!$F:$F,MATCH($B56,'Exhibit-25'!$B:$B,0))/12</f>
        <v>2079.9666666666667</v>
      </c>
      <c r="O56" s="25">
        <f>INDEX('Exhibit-25'!$F:$F,MATCH($B56,'Exhibit-25'!$B:$B,0))/12</f>
        <v>2079.9666666666667</v>
      </c>
      <c r="P56" s="25">
        <f>INDEX('Exhibit-25'!$F:$F,MATCH($B56,'Exhibit-25'!$B:$B,0))/12</f>
        <v>2079.9666666666667</v>
      </c>
      <c r="Q56" s="25">
        <f>INDEX('Exhibit-25'!$F:$F,MATCH($B56,'Exhibit-25'!$B:$B,0))/12</f>
        <v>2079.9666666666667</v>
      </c>
      <c r="R56" s="25">
        <f>INDEX('Exhibit-25'!$F:$F,MATCH($B56,'Exhibit-25'!$B:$B,0))/12</f>
        <v>2079.9666666666667</v>
      </c>
      <c r="S56" s="25">
        <f>INDEX('Exhibit-25'!$F:$F,MATCH($B56,'Exhibit-25'!$B:$B,0))/12</f>
        <v>2079.9666666666667</v>
      </c>
      <c r="T56" s="25">
        <f>INDEX('Exhibit-25'!$F:$F,MATCH($B56,'Exhibit-25'!$B:$B,0))/12</f>
        <v>2079.9666666666667</v>
      </c>
      <c r="U56" s="25">
        <f>INDEX('Exhibit-25'!$F:$F,MATCH($B56,'Exhibit-25'!$B:$B,0))/12</f>
        <v>2079.9666666666667</v>
      </c>
      <c r="V56" s="25">
        <f>INDEX('Exhibit-25'!$F:$F,MATCH($B56,'Exhibit-25'!$B:$B,0))/12</f>
        <v>2079.9666666666667</v>
      </c>
      <c r="W56" s="25">
        <f>INDEX('Exhibit-25'!$F:$F,MATCH($B56,'Exhibit-25'!$B:$B,0))/12</f>
        <v>2079.9666666666667</v>
      </c>
    </row>
    <row r="57" spans="1:23" ht="15" customHeight="1">
      <c r="A57" s="1">
        <f t="shared" si="10"/>
        <v>52</v>
      </c>
      <c r="C57" s="42" t="s">
        <v>230</v>
      </c>
      <c r="D57" s="42"/>
      <c r="E57" s="25">
        <f t="shared" ref="E57" si="14">SUM(E55:E56)</f>
        <v>-14437.927074183332</v>
      </c>
      <c r="F57" s="25">
        <f t="shared" ref="F57" si="15">SUM(F55:F56)</f>
        <v>-14437.927074183332</v>
      </c>
      <c r="G57" s="25">
        <f t="shared" ref="G57" si="16">SUM(G55:G56)</f>
        <v>-14437.927074183332</v>
      </c>
      <c r="H57" s="25">
        <f t="shared" ref="H57" si="17">SUM(H55:H56)</f>
        <v>-14437.927074183332</v>
      </c>
      <c r="I57" s="25">
        <f t="shared" ref="I57" si="18">SUM(I55:I56)</f>
        <v>-14437.927074183332</v>
      </c>
      <c r="J57" s="25">
        <f t="shared" ref="J57" si="19">SUM(J55:J56)</f>
        <v>-14437.927074183332</v>
      </c>
      <c r="K57" s="25">
        <f t="shared" ref="K57" si="20">SUM(K55:K56)</f>
        <v>-14437.927074183332</v>
      </c>
      <c r="L57" s="25">
        <f t="shared" ref="L57" si="21">SUM(L55:L56)</f>
        <v>-14437.927074183332</v>
      </c>
      <c r="M57" s="25">
        <f t="shared" ref="M57" si="22">SUM(M55:M56)</f>
        <v>-14437.927074183332</v>
      </c>
      <c r="N57" s="25">
        <f t="shared" ref="N57" si="23">SUM(N55:N56)</f>
        <v>-14437.927074183332</v>
      </c>
      <c r="O57" s="25">
        <f t="shared" ref="O57" si="24">SUM(O55:O56)</f>
        <v>-14437.927074183332</v>
      </c>
      <c r="P57" s="25">
        <f t="shared" ref="P57:W57" si="25">SUM(P55:P56)</f>
        <v>-14437.927074183332</v>
      </c>
      <c r="Q57" s="25">
        <f t="shared" si="25"/>
        <v>-14437.927074183332</v>
      </c>
      <c r="R57" s="25">
        <f t="shared" si="25"/>
        <v>-14437.927074183332</v>
      </c>
      <c r="S57" s="25">
        <f t="shared" si="25"/>
        <v>-14437.927074183332</v>
      </c>
      <c r="T57" s="25">
        <f t="shared" si="25"/>
        <v>-14437.927074183332</v>
      </c>
      <c r="U57" s="25">
        <f t="shared" si="25"/>
        <v>-14437.927074183332</v>
      </c>
      <c r="V57" s="25">
        <f t="shared" si="25"/>
        <v>-15951.114574183332</v>
      </c>
      <c r="W57" s="25">
        <f t="shared" si="25"/>
        <v>-15951.114574183332</v>
      </c>
    </row>
    <row r="58" spans="1:23" ht="15" customHeight="1">
      <c r="A58" s="1">
        <f t="shared" si="10"/>
        <v>53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5" customHeight="1">
      <c r="A59" s="1">
        <f t="shared" si="10"/>
        <v>54</v>
      </c>
      <c r="C59" s="7" t="s">
        <v>231</v>
      </c>
      <c r="E59" s="25" t="e">
        <f t="shared" ref="E59:W59" si="26">E48+E57+E30+E52</f>
        <v>#REF!</v>
      </c>
      <c r="F59" s="25" t="e">
        <f t="shared" si="26"/>
        <v>#REF!</v>
      </c>
      <c r="G59" s="25" t="e">
        <f t="shared" si="26"/>
        <v>#REF!</v>
      </c>
      <c r="H59" s="25" t="e">
        <f t="shared" si="26"/>
        <v>#REF!</v>
      </c>
      <c r="I59" s="25" t="e">
        <f t="shared" si="26"/>
        <v>#REF!</v>
      </c>
      <c r="J59" s="25" t="e">
        <f t="shared" si="26"/>
        <v>#REF!</v>
      </c>
      <c r="K59" s="25" t="e">
        <f t="shared" si="26"/>
        <v>#REF!</v>
      </c>
      <c r="L59" s="25" t="e">
        <f t="shared" si="26"/>
        <v>#REF!</v>
      </c>
      <c r="M59" s="25" t="e">
        <f t="shared" si="26"/>
        <v>#REF!</v>
      </c>
      <c r="N59" s="25" t="e">
        <f t="shared" si="26"/>
        <v>#REF!</v>
      </c>
      <c r="O59" s="25" t="e">
        <f t="shared" si="26"/>
        <v>#REF!</v>
      </c>
      <c r="P59" s="25" t="e">
        <f t="shared" si="26"/>
        <v>#REF!</v>
      </c>
      <c r="Q59" s="25" t="e">
        <f t="shared" si="26"/>
        <v>#REF!</v>
      </c>
      <c r="R59" s="25" t="e">
        <f t="shared" si="26"/>
        <v>#REF!</v>
      </c>
      <c r="S59" s="25" t="e">
        <f t="shared" si="26"/>
        <v>#REF!</v>
      </c>
      <c r="T59" s="25" t="e">
        <f t="shared" si="26"/>
        <v>#REF!</v>
      </c>
      <c r="U59" s="25" t="e">
        <f t="shared" si="26"/>
        <v>#REF!</v>
      </c>
      <c r="V59" s="25" t="e">
        <f t="shared" si="26"/>
        <v>#REF!</v>
      </c>
      <c r="W59" s="25" t="e">
        <f t="shared" si="26"/>
        <v>#REF!</v>
      </c>
    </row>
    <row r="60" spans="1:23" ht="15" customHeight="1">
      <c r="A60" s="1">
        <f t="shared" si="10"/>
        <v>55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3" ht="15" customHeight="1" thickBot="1">
      <c r="A61" s="1">
        <f t="shared" si="10"/>
        <v>56</v>
      </c>
      <c r="C61" s="17" t="s">
        <v>232</v>
      </c>
      <c r="D61" s="17"/>
      <c r="E61" s="36" t="e">
        <f t="shared" ref="E61:W61" si="27">E11+E59</f>
        <v>#REF!</v>
      </c>
      <c r="F61" s="36" t="e">
        <f t="shared" si="27"/>
        <v>#REF!</v>
      </c>
      <c r="G61" s="36" t="e">
        <f t="shared" si="27"/>
        <v>#REF!</v>
      </c>
      <c r="H61" s="36" t="e">
        <f t="shared" si="27"/>
        <v>#REF!</v>
      </c>
      <c r="I61" s="36" t="e">
        <f t="shared" si="27"/>
        <v>#REF!</v>
      </c>
      <c r="J61" s="36" t="e">
        <f t="shared" si="27"/>
        <v>#REF!</v>
      </c>
      <c r="K61" s="36" t="e">
        <f t="shared" si="27"/>
        <v>#REF!</v>
      </c>
      <c r="L61" s="36" t="e">
        <f t="shared" si="27"/>
        <v>#REF!</v>
      </c>
      <c r="M61" s="36" t="e">
        <f t="shared" si="27"/>
        <v>#REF!</v>
      </c>
      <c r="N61" s="36" t="e">
        <f t="shared" si="27"/>
        <v>#REF!</v>
      </c>
      <c r="O61" s="36" t="e">
        <f t="shared" si="27"/>
        <v>#REF!</v>
      </c>
      <c r="P61" s="36" t="e">
        <f t="shared" si="27"/>
        <v>#REF!</v>
      </c>
      <c r="Q61" s="36" t="e">
        <f t="shared" si="27"/>
        <v>#REF!</v>
      </c>
      <c r="R61" s="36" t="e">
        <f t="shared" si="27"/>
        <v>#REF!</v>
      </c>
      <c r="S61" s="36" t="e">
        <f t="shared" si="27"/>
        <v>#REF!</v>
      </c>
      <c r="T61" s="36" t="e">
        <f t="shared" si="27"/>
        <v>#REF!</v>
      </c>
      <c r="U61" s="36" t="e">
        <f t="shared" si="27"/>
        <v>#REF!</v>
      </c>
      <c r="V61" s="36" t="e">
        <f t="shared" si="27"/>
        <v>#REF!</v>
      </c>
      <c r="W61" s="36" t="e">
        <f t="shared" si="27"/>
        <v>#REF!</v>
      </c>
    </row>
    <row r="62" spans="1:23" ht="15" customHeight="1" thickTop="1">
      <c r="A62" s="1">
        <f t="shared" si="10"/>
        <v>57</v>
      </c>
    </row>
    <row r="63" spans="1:23" ht="15" customHeight="1">
      <c r="A63" s="1">
        <f t="shared" si="10"/>
        <v>58</v>
      </c>
    </row>
    <row r="64" spans="1:23" ht="15" customHeight="1">
      <c r="A64" s="1">
        <f t="shared" si="10"/>
        <v>59</v>
      </c>
      <c r="J64" s="35"/>
      <c r="K64" s="35"/>
      <c r="L64" s="35"/>
    </row>
    <row r="65" spans="2:23" ht="15" customHeight="1">
      <c r="J65" s="35"/>
      <c r="K65" s="35"/>
      <c r="L65" s="35"/>
    </row>
    <row r="66" spans="2:23" ht="15" customHeight="1">
      <c r="J66" s="35"/>
      <c r="K66" s="35"/>
      <c r="L66" s="35"/>
    </row>
    <row r="67" spans="2:23" ht="15" customHeight="1">
      <c r="J67" s="35"/>
      <c r="K67" s="35"/>
      <c r="L67" s="35"/>
    </row>
    <row r="68" spans="2:23" ht="15" customHeight="1">
      <c r="J68" s="35"/>
      <c r="K68" s="35"/>
      <c r="L68" s="35"/>
    </row>
    <row r="69" spans="2:23" ht="15" customHeight="1">
      <c r="J69" s="35"/>
      <c r="K69" s="35"/>
      <c r="L69" s="35"/>
    </row>
    <row r="70" spans="2:23" ht="15" customHeight="1">
      <c r="C70" s="17" t="s">
        <v>101</v>
      </c>
      <c r="D70" s="17"/>
      <c r="J70" s="35"/>
      <c r="K70" s="35"/>
      <c r="L70" s="35"/>
    </row>
    <row r="71" spans="2:23" ht="15" customHeight="1">
      <c r="B71" s="135">
        <v>45473</v>
      </c>
      <c r="C71" s="7" t="s">
        <v>255</v>
      </c>
      <c r="D71" s="35">
        <f>1414.01-3127.14</f>
        <v>-1713.1299999999999</v>
      </c>
      <c r="E71" s="35">
        <f>IF($B71&lt;=E$4,$D71,0)</f>
        <v>0</v>
      </c>
      <c r="F71" s="35">
        <f t="shared" ref="F71:W74" si="28">IF($B71&lt;=F$4,$D71,0)</f>
        <v>0</v>
      </c>
      <c r="G71" s="35">
        <f t="shared" si="28"/>
        <v>0</v>
      </c>
      <c r="H71" s="35">
        <f t="shared" si="28"/>
        <v>0</v>
      </c>
      <c r="I71" s="35">
        <f t="shared" si="28"/>
        <v>0</v>
      </c>
      <c r="J71" s="35">
        <f t="shared" si="28"/>
        <v>0</v>
      </c>
      <c r="K71" s="35">
        <f t="shared" si="28"/>
        <v>0</v>
      </c>
      <c r="L71" s="35">
        <f t="shared" si="28"/>
        <v>0</v>
      </c>
      <c r="M71" s="35">
        <f t="shared" si="28"/>
        <v>0</v>
      </c>
      <c r="N71" s="35">
        <f t="shared" si="28"/>
        <v>0</v>
      </c>
      <c r="O71" s="35">
        <f t="shared" si="28"/>
        <v>0</v>
      </c>
      <c r="P71" s="35">
        <f t="shared" si="28"/>
        <v>0</v>
      </c>
      <c r="Q71" s="35">
        <f t="shared" si="28"/>
        <v>0</v>
      </c>
      <c r="R71" s="35">
        <f t="shared" si="28"/>
        <v>0</v>
      </c>
      <c r="S71" s="35">
        <f t="shared" si="28"/>
        <v>0</v>
      </c>
      <c r="T71" s="35">
        <f t="shared" si="28"/>
        <v>0</v>
      </c>
      <c r="U71" s="35">
        <f t="shared" si="28"/>
        <v>0</v>
      </c>
      <c r="V71" s="35">
        <f t="shared" si="28"/>
        <v>-1713.1299999999999</v>
      </c>
      <c r="W71" s="35">
        <f t="shared" si="28"/>
        <v>-1713.1299999999999</v>
      </c>
    </row>
    <row r="72" spans="2:23" ht="15" customHeight="1">
      <c r="B72" s="135">
        <v>45473</v>
      </c>
      <c r="C72" s="7" t="s">
        <v>256</v>
      </c>
      <c r="D72" s="35">
        <f>3838.86-1706.16</f>
        <v>2132.6999999999998</v>
      </c>
      <c r="E72" s="35">
        <f t="shared" ref="E72:T74" si="29">IF($B72&lt;=E$4,$D72,0)</f>
        <v>0</v>
      </c>
      <c r="F72" s="35">
        <f t="shared" si="29"/>
        <v>0</v>
      </c>
      <c r="G72" s="35">
        <f t="shared" si="29"/>
        <v>0</v>
      </c>
      <c r="H72" s="35">
        <f t="shared" si="29"/>
        <v>0</v>
      </c>
      <c r="I72" s="35">
        <f t="shared" si="29"/>
        <v>0</v>
      </c>
      <c r="J72" s="35">
        <f t="shared" si="29"/>
        <v>0</v>
      </c>
      <c r="K72" s="35">
        <f t="shared" si="29"/>
        <v>0</v>
      </c>
      <c r="L72" s="35">
        <f t="shared" si="29"/>
        <v>0</v>
      </c>
      <c r="M72" s="35">
        <f t="shared" si="29"/>
        <v>0</v>
      </c>
      <c r="N72" s="35">
        <f t="shared" si="29"/>
        <v>0</v>
      </c>
      <c r="O72" s="35">
        <f t="shared" si="29"/>
        <v>0</v>
      </c>
      <c r="P72" s="35">
        <f t="shared" si="29"/>
        <v>0</v>
      </c>
      <c r="Q72" s="35">
        <f t="shared" si="29"/>
        <v>0</v>
      </c>
      <c r="R72" s="35">
        <f t="shared" si="29"/>
        <v>0</v>
      </c>
      <c r="S72" s="35">
        <f t="shared" si="29"/>
        <v>0</v>
      </c>
      <c r="T72" s="35">
        <f t="shared" si="29"/>
        <v>0</v>
      </c>
      <c r="U72" s="35">
        <f t="shared" si="28"/>
        <v>0</v>
      </c>
      <c r="V72" s="35">
        <f t="shared" si="28"/>
        <v>2132.6999999999998</v>
      </c>
      <c r="W72" s="35">
        <f t="shared" si="28"/>
        <v>2132.6999999999998</v>
      </c>
    </row>
    <row r="73" spans="2:23" ht="15" customHeight="1">
      <c r="B73" s="135">
        <v>45473</v>
      </c>
      <c r="C73" s="7" t="s">
        <v>257</v>
      </c>
      <c r="D73" s="35">
        <f>4353.79-1165.45</f>
        <v>3188.34</v>
      </c>
      <c r="E73" s="35">
        <f t="shared" si="29"/>
        <v>0</v>
      </c>
      <c r="F73" s="35">
        <f t="shared" si="29"/>
        <v>0</v>
      </c>
      <c r="G73" s="35">
        <f t="shared" si="29"/>
        <v>0</v>
      </c>
      <c r="H73" s="35">
        <f t="shared" si="29"/>
        <v>0</v>
      </c>
      <c r="I73" s="35">
        <f t="shared" si="29"/>
        <v>0</v>
      </c>
      <c r="J73" s="35">
        <f t="shared" si="29"/>
        <v>0</v>
      </c>
      <c r="K73" s="35">
        <f t="shared" si="29"/>
        <v>0</v>
      </c>
      <c r="L73" s="35">
        <f t="shared" si="29"/>
        <v>0</v>
      </c>
      <c r="M73" s="35">
        <f t="shared" si="29"/>
        <v>0</v>
      </c>
      <c r="N73" s="35">
        <f t="shared" si="29"/>
        <v>0</v>
      </c>
      <c r="O73" s="35">
        <f t="shared" si="29"/>
        <v>0</v>
      </c>
      <c r="P73" s="35">
        <f t="shared" si="29"/>
        <v>0</v>
      </c>
      <c r="Q73" s="35">
        <f t="shared" si="28"/>
        <v>0</v>
      </c>
      <c r="R73" s="35">
        <f t="shared" si="28"/>
        <v>0</v>
      </c>
      <c r="S73" s="35">
        <f t="shared" si="28"/>
        <v>0</v>
      </c>
      <c r="T73" s="35">
        <f t="shared" si="28"/>
        <v>0</v>
      </c>
      <c r="U73" s="35">
        <f t="shared" si="28"/>
        <v>0</v>
      </c>
      <c r="V73" s="35">
        <f t="shared" si="28"/>
        <v>3188.34</v>
      </c>
      <c r="W73" s="35">
        <f t="shared" si="28"/>
        <v>3188.34</v>
      </c>
    </row>
    <row r="74" spans="2:23" ht="15" customHeight="1">
      <c r="B74" s="135">
        <v>45473</v>
      </c>
      <c r="C74" s="7" t="s">
        <v>258</v>
      </c>
      <c r="D74" s="35">
        <v>0</v>
      </c>
      <c r="E74" s="35">
        <f t="shared" si="29"/>
        <v>0</v>
      </c>
      <c r="F74" s="35">
        <f t="shared" si="29"/>
        <v>0</v>
      </c>
      <c r="G74" s="35">
        <f t="shared" si="29"/>
        <v>0</v>
      </c>
      <c r="H74" s="35">
        <f t="shared" si="29"/>
        <v>0</v>
      </c>
      <c r="I74" s="35">
        <f t="shared" si="29"/>
        <v>0</v>
      </c>
      <c r="J74" s="35">
        <f t="shared" si="29"/>
        <v>0</v>
      </c>
      <c r="K74" s="35">
        <f t="shared" si="29"/>
        <v>0</v>
      </c>
      <c r="L74" s="35">
        <f t="shared" si="29"/>
        <v>0</v>
      </c>
      <c r="M74" s="35">
        <f t="shared" si="29"/>
        <v>0</v>
      </c>
      <c r="N74" s="35">
        <f t="shared" si="29"/>
        <v>0</v>
      </c>
      <c r="O74" s="35">
        <f t="shared" si="29"/>
        <v>0</v>
      </c>
      <c r="P74" s="35">
        <f t="shared" si="29"/>
        <v>0</v>
      </c>
      <c r="Q74" s="35">
        <f t="shared" si="28"/>
        <v>0</v>
      </c>
      <c r="R74" s="35">
        <f t="shared" si="28"/>
        <v>0</v>
      </c>
      <c r="S74" s="35">
        <f t="shared" si="28"/>
        <v>0</v>
      </c>
      <c r="T74" s="35">
        <f t="shared" si="28"/>
        <v>0</v>
      </c>
      <c r="U74" s="35">
        <f t="shared" si="28"/>
        <v>0</v>
      </c>
      <c r="V74" s="35">
        <f t="shared" si="28"/>
        <v>0</v>
      </c>
      <c r="W74" s="35">
        <f t="shared" si="28"/>
        <v>0</v>
      </c>
    </row>
    <row r="75" spans="2:23" ht="15" customHeight="1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2:23" ht="15" customHeight="1">
      <c r="B76" s="135">
        <v>45473</v>
      </c>
      <c r="C76" s="17" t="s">
        <v>100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2:23">
      <c r="B77" s="135">
        <v>45473</v>
      </c>
      <c r="C77" s="7" t="s">
        <v>255</v>
      </c>
      <c r="D77" s="35">
        <v>-392.96</v>
      </c>
      <c r="E77" s="35">
        <f t="shared" ref="E77:T80" si="30">IF($B77&lt;=E$4,$D77,0)</f>
        <v>0</v>
      </c>
      <c r="F77" s="35">
        <f t="shared" si="30"/>
        <v>0</v>
      </c>
      <c r="G77" s="35">
        <f t="shared" si="30"/>
        <v>0</v>
      </c>
      <c r="H77" s="35">
        <f t="shared" si="30"/>
        <v>0</v>
      </c>
      <c r="I77" s="35">
        <f t="shared" si="30"/>
        <v>0</v>
      </c>
      <c r="J77" s="35">
        <f t="shared" si="30"/>
        <v>0</v>
      </c>
      <c r="K77" s="35">
        <f t="shared" si="30"/>
        <v>0</v>
      </c>
      <c r="L77" s="35">
        <f t="shared" si="30"/>
        <v>0</v>
      </c>
      <c r="M77" s="35">
        <f t="shared" si="30"/>
        <v>0</v>
      </c>
      <c r="N77" s="35">
        <f t="shared" si="30"/>
        <v>0</v>
      </c>
      <c r="O77" s="35">
        <f t="shared" si="30"/>
        <v>0</v>
      </c>
      <c r="P77" s="35">
        <f t="shared" si="30"/>
        <v>0</v>
      </c>
      <c r="Q77" s="35">
        <f t="shared" si="30"/>
        <v>0</v>
      </c>
      <c r="R77" s="35">
        <f t="shared" si="30"/>
        <v>0</v>
      </c>
      <c r="S77" s="35">
        <f t="shared" si="30"/>
        <v>0</v>
      </c>
      <c r="T77" s="35">
        <f t="shared" si="30"/>
        <v>0</v>
      </c>
      <c r="U77" s="35">
        <f t="shared" ref="Q77:W80" si="31">IF($B77&lt;=U$4,$D77,0)</f>
        <v>0</v>
      </c>
      <c r="V77" s="35">
        <f t="shared" si="31"/>
        <v>-392.96</v>
      </c>
      <c r="W77" s="35">
        <f t="shared" si="31"/>
        <v>-392.96</v>
      </c>
    </row>
    <row r="78" spans="2:23">
      <c r="B78" s="135">
        <v>45473</v>
      </c>
      <c r="C78" s="7" t="s">
        <v>256</v>
      </c>
      <c r="D78" s="35">
        <v>0</v>
      </c>
      <c r="E78" s="35">
        <f t="shared" si="30"/>
        <v>0</v>
      </c>
      <c r="F78" s="35">
        <f t="shared" si="30"/>
        <v>0</v>
      </c>
      <c r="G78" s="35">
        <f t="shared" si="30"/>
        <v>0</v>
      </c>
      <c r="H78" s="35">
        <f t="shared" si="30"/>
        <v>0</v>
      </c>
      <c r="I78" s="35">
        <f t="shared" si="30"/>
        <v>0</v>
      </c>
      <c r="J78" s="35">
        <f t="shared" si="30"/>
        <v>0</v>
      </c>
      <c r="K78" s="35">
        <f t="shared" si="30"/>
        <v>0</v>
      </c>
      <c r="L78" s="35">
        <f t="shared" si="30"/>
        <v>0</v>
      </c>
      <c r="M78" s="35">
        <f t="shared" si="30"/>
        <v>0</v>
      </c>
      <c r="N78" s="35">
        <f t="shared" si="30"/>
        <v>0</v>
      </c>
      <c r="O78" s="35">
        <f t="shared" si="30"/>
        <v>0</v>
      </c>
      <c r="P78" s="35">
        <f t="shared" si="30"/>
        <v>0</v>
      </c>
      <c r="Q78" s="35">
        <f t="shared" si="31"/>
        <v>0</v>
      </c>
      <c r="R78" s="35">
        <f t="shared" si="31"/>
        <v>0</v>
      </c>
      <c r="S78" s="35">
        <f t="shared" si="31"/>
        <v>0</v>
      </c>
      <c r="T78" s="35">
        <f t="shared" si="31"/>
        <v>0</v>
      </c>
      <c r="U78" s="35">
        <f t="shared" si="31"/>
        <v>0</v>
      </c>
      <c r="V78" s="35">
        <f t="shared" si="31"/>
        <v>0</v>
      </c>
      <c r="W78" s="35">
        <f t="shared" si="31"/>
        <v>0</v>
      </c>
    </row>
    <row r="79" spans="2:23">
      <c r="B79" s="135">
        <v>45473</v>
      </c>
      <c r="C79" s="7" t="s">
        <v>257</v>
      </c>
      <c r="D79" s="35">
        <v>0</v>
      </c>
      <c r="E79" s="35">
        <f t="shared" si="30"/>
        <v>0</v>
      </c>
      <c r="F79" s="35">
        <f t="shared" si="30"/>
        <v>0</v>
      </c>
      <c r="G79" s="35">
        <f t="shared" si="30"/>
        <v>0</v>
      </c>
      <c r="H79" s="35">
        <f t="shared" si="30"/>
        <v>0</v>
      </c>
      <c r="I79" s="35">
        <f t="shared" si="30"/>
        <v>0</v>
      </c>
      <c r="J79" s="35">
        <f t="shared" si="30"/>
        <v>0</v>
      </c>
      <c r="K79" s="35">
        <f t="shared" si="30"/>
        <v>0</v>
      </c>
      <c r="L79" s="35">
        <f t="shared" si="30"/>
        <v>0</v>
      </c>
      <c r="M79" s="35">
        <f t="shared" si="30"/>
        <v>0</v>
      </c>
      <c r="N79" s="35">
        <f t="shared" si="30"/>
        <v>0</v>
      </c>
      <c r="O79" s="35">
        <f t="shared" si="30"/>
        <v>0</v>
      </c>
      <c r="P79" s="35">
        <f t="shared" si="30"/>
        <v>0</v>
      </c>
      <c r="Q79" s="35">
        <f t="shared" si="31"/>
        <v>0</v>
      </c>
      <c r="R79" s="35">
        <f t="shared" si="31"/>
        <v>0</v>
      </c>
      <c r="S79" s="35">
        <f t="shared" si="31"/>
        <v>0</v>
      </c>
      <c r="T79" s="35">
        <f t="shared" si="31"/>
        <v>0</v>
      </c>
      <c r="U79" s="35">
        <f t="shared" si="31"/>
        <v>0</v>
      </c>
      <c r="V79" s="35">
        <f t="shared" si="31"/>
        <v>0</v>
      </c>
      <c r="W79" s="35">
        <f t="shared" si="31"/>
        <v>0</v>
      </c>
    </row>
    <row r="80" spans="2:23">
      <c r="B80" s="135">
        <v>45473</v>
      </c>
      <c r="C80" s="7" t="s">
        <v>258</v>
      </c>
      <c r="D80" s="35">
        <f>-8349/12</f>
        <v>-695.75</v>
      </c>
      <c r="E80" s="35">
        <f t="shared" si="30"/>
        <v>0</v>
      </c>
      <c r="F80" s="35">
        <f t="shared" si="30"/>
        <v>0</v>
      </c>
      <c r="G80" s="35">
        <f t="shared" si="30"/>
        <v>0</v>
      </c>
      <c r="H80" s="35">
        <f t="shared" si="30"/>
        <v>0</v>
      </c>
      <c r="I80" s="35">
        <f t="shared" si="30"/>
        <v>0</v>
      </c>
      <c r="J80" s="35">
        <f t="shared" si="30"/>
        <v>0</v>
      </c>
      <c r="K80" s="35">
        <f t="shared" si="30"/>
        <v>0</v>
      </c>
      <c r="L80" s="35">
        <f t="shared" si="30"/>
        <v>0</v>
      </c>
      <c r="M80" s="35">
        <f t="shared" si="30"/>
        <v>0</v>
      </c>
      <c r="N80" s="35">
        <f t="shared" si="30"/>
        <v>0</v>
      </c>
      <c r="O80" s="35">
        <f t="shared" si="30"/>
        <v>0</v>
      </c>
      <c r="P80" s="35">
        <f t="shared" si="30"/>
        <v>0</v>
      </c>
      <c r="Q80" s="35">
        <f t="shared" si="31"/>
        <v>0</v>
      </c>
      <c r="R80" s="35">
        <f t="shared" si="31"/>
        <v>0</v>
      </c>
      <c r="S80" s="35">
        <f t="shared" si="31"/>
        <v>0</v>
      </c>
      <c r="T80" s="35">
        <f t="shared" si="31"/>
        <v>0</v>
      </c>
      <c r="U80" s="35">
        <f t="shared" si="31"/>
        <v>0</v>
      </c>
      <c r="V80" s="35">
        <f t="shared" si="31"/>
        <v>-695.75</v>
      </c>
      <c r="W80" s="35">
        <f t="shared" si="31"/>
        <v>-695.75</v>
      </c>
    </row>
    <row r="81" spans="2:23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2:23">
      <c r="C82" s="17" t="s">
        <v>99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2:23">
      <c r="B83" s="135">
        <v>45473</v>
      </c>
      <c r="C83" s="7" t="s">
        <v>255</v>
      </c>
      <c r="D83" s="35">
        <v>0</v>
      </c>
      <c r="E83" s="35">
        <f t="shared" ref="E83:T86" si="32">IF($B83&lt;=E$4,$D83,0)</f>
        <v>0</v>
      </c>
      <c r="F83" s="35">
        <f t="shared" si="32"/>
        <v>0</v>
      </c>
      <c r="G83" s="35">
        <f t="shared" si="32"/>
        <v>0</v>
      </c>
      <c r="H83" s="35">
        <f t="shared" si="32"/>
        <v>0</v>
      </c>
      <c r="I83" s="35">
        <f t="shared" si="32"/>
        <v>0</v>
      </c>
      <c r="J83" s="35">
        <f t="shared" si="32"/>
        <v>0</v>
      </c>
      <c r="K83" s="35">
        <f t="shared" si="32"/>
        <v>0</v>
      </c>
      <c r="L83" s="35">
        <f t="shared" si="32"/>
        <v>0</v>
      </c>
      <c r="M83" s="35">
        <f t="shared" si="32"/>
        <v>0</v>
      </c>
      <c r="N83" s="35">
        <f t="shared" si="32"/>
        <v>0</v>
      </c>
      <c r="O83" s="35">
        <f t="shared" si="32"/>
        <v>0</v>
      </c>
      <c r="P83" s="35">
        <f t="shared" si="32"/>
        <v>0</v>
      </c>
      <c r="Q83" s="35">
        <f t="shared" si="32"/>
        <v>0</v>
      </c>
      <c r="R83" s="35">
        <f t="shared" si="32"/>
        <v>0</v>
      </c>
      <c r="S83" s="35">
        <f t="shared" si="32"/>
        <v>0</v>
      </c>
      <c r="T83" s="35">
        <f t="shared" si="32"/>
        <v>0</v>
      </c>
      <c r="U83" s="35">
        <f t="shared" ref="Q83:W86" si="33">IF($B83&lt;=U$4,$D83,0)</f>
        <v>0</v>
      </c>
      <c r="V83" s="35">
        <f t="shared" si="33"/>
        <v>0</v>
      </c>
      <c r="W83" s="35">
        <f t="shared" si="33"/>
        <v>0</v>
      </c>
    </row>
    <row r="84" spans="2:23">
      <c r="B84" s="135">
        <v>45473</v>
      </c>
      <c r="C84" s="7" t="s">
        <v>256</v>
      </c>
      <c r="D84" s="35">
        <v>0</v>
      </c>
      <c r="E84" s="35">
        <f t="shared" si="32"/>
        <v>0</v>
      </c>
      <c r="F84" s="35">
        <f t="shared" si="32"/>
        <v>0</v>
      </c>
      <c r="G84" s="35">
        <f t="shared" si="32"/>
        <v>0</v>
      </c>
      <c r="H84" s="35">
        <f t="shared" si="32"/>
        <v>0</v>
      </c>
      <c r="I84" s="35">
        <f t="shared" si="32"/>
        <v>0</v>
      </c>
      <c r="J84" s="35">
        <f t="shared" si="32"/>
        <v>0</v>
      </c>
      <c r="K84" s="35">
        <f t="shared" si="32"/>
        <v>0</v>
      </c>
      <c r="L84" s="35">
        <f t="shared" si="32"/>
        <v>0</v>
      </c>
      <c r="M84" s="35">
        <f t="shared" si="32"/>
        <v>0</v>
      </c>
      <c r="N84" s="35">
        <f t="shared" si="32"/>
        <v>0</v>
      </c>
      <c r="O84" s="35">
        <f t="shared" si="32"/>
        <v>0</v>
      </c>
      <c r="P84" s="35">
        <f t="shared" si="32"/>
        <v>0</v>
      </c>
      <c r="Q84" s="35">
        <f t="shared" si="33"/>
        <v>0</v>
      </c>
      <c r="R84" s="35">
        <f t="shared" si="33"/>
        <v>0</v>
      </c>
      <c r="S84" s="35">
        <f t="shared" si="33"/>
        <v>0</v>
      </c>
      <c r="T84" s="35">
        <f t="shared" si="33"/>
        <v>0</v>
      </c>
      <c r="U84" s="35">
        <f t="shared" si="33"/>
        <v>0</v>
      </c>
      <c r="V84" s="35">
        <f t="shared" si="33"/>
        <v>0</v>
      </c>
      <c r="W84" s="35">
        <f t="shared" si="33"/>
        <v>0</v>
      </c>
    </row>
    <row r="85" spans="2:23">
      <c r="B85" s="135">
        <v>45473</v>
      </c>
      <c r="C85" s="7" t="s">
        <v>257</v>
      </c>
      <c r="D85" s="35">
        <v>0</v>
      </c>
      <c r="E85" s="35">
        <f t="shared" si="32"/>
        <v>0</v>
      </c>
      <c r="F85" s="35">
        <f t="shared" si="32"/>
        <v>0</v>
      </c>
      <c r="G85" s="35">
        <f t="shared" si="32"/>
        <v>0</v>
      </c>
      <c r="H85" s="35">
        <f t="shared" si="32"/>
        <v>0</v>
      </c>
      <c r="I85" s="35">
        <f t="shared" si="32"/>
        <v>0</v>
      </c>
      <c r="J85" s="35">
        <f t="shared" si="32"/>
        <v>0</v>
      </c>
      <c r="K85" s="35">
        <f t="shared" si="32"/>
        <v>0</v>
      </c>
      <c r="L85" s="35">
        <f t="shared" si="32"/>
        <v>0</v>
      </c>
      <c r="M85" s="35">
        <f t="shared" si="32"/>
        <v>0</v>
      </c>
      <c r="N85" s="35">
        <f t="shared" si="32"/>
        <v>0</v>
      </c>
      <c r="O85" s="35">
        <f t="shared" si="32"/>
        <v>0</v>
      </c>
      <c r="P85" s="35">
        <f t="shared" si="32"/>
        <v>0</v>
      </c>
      <c r="Q85" s="35">
        <f t="shared" si="33"/>
        <v>0</v>
      </c>
      <c r="R85" s="35">
        <f t="shared" si="33"/>
        <v>0</v>
      </c>
      <c r="S85" s="35">
        <f t="shared" si="33"/>
        <v>0</v>
      </c>
      <c r="T85" s="35">
        <f t="shared" si="33"/>
        <v>0</v>
      </c>
      <c r="U85" s="35">
        <f t="shared" si="33"/>
        <v>0</v>
      </c>
      <c r="V85" s="35">
        <f t="shared" si="33"/>
        <v>0</v>
      </c>
      <c r="W85" s="35">
        <f t="shared" si="33"/>
        <v>0</v>
      </c>
    </row>
    <row r="86" spans="2:23">
      <c r="B86" s="135">
        <v>45473</v>
      </c>
      <c r="C86" s="7" t="s">
        <v>258</v>
      </c>
      <c r="D86" s="35">
        <f>-9809.25/12</f>
        <v>-817.4375</v>
      </c>
      <c r="E86" s="35">
        <f t="shared" si="32"/>
        <v>0</v>
      </c>
      <c r="F86" s="35">
        <f t="shared" si="32"/>
        <v>0</v>
      </c>
      <c r="G86" s="35">
        <f t="shared" si="32"/>
        <v>0</v>
      </c>
      <c r="H86" s="35">
        <f t="shared" si="32"/>
        <v>0</v>
      </c>
      <c r="I86" s="35">
        <f t="shared" si="32"/>
        <v>0</v>
      </c>
      <c r="J86" s="35">
        <f t="shared" si="32"/>
        <v>0</v>
      </c>
      <c r="K86" s="35">
        <f t="shared" si="32"/>
        <v>0</v>
      </c>
      <c r="L86" s="35">
        <f t="shared" si="32"/>
        <v>0</v>
      </c>
      <c r="M86" s="35">
        <f t="shared" si="32"/>
        <v>0</v>
      </c>
      <c r="N86" s="35">
        <f t="shared" si="32"/>
        <v>0</v>
      </c>
      <c r="O86" s="35">
        <f t="shared" si="32"/>
        <v>0</v>
      </c>
      <c r="P86" s="35">
        <f t="shared" si="32"/>
        <v>0</v>
      </c>
      <c r="Q86" s="35">
        <f t="shared" si="33"/>
        <v>0</v>
      </c>
      <c r="R86" s="35">
        <f t="shared" si="33"/>
        <v>0</v>
      </c>
      <c r="S86" s="35">
        <f t="shared" si="33"/>
        <v>0</v>
      </c>
      <c r="T86" s="35">
        <f t="shared" si="33"/>
        <v>0</v>
      </c>
      <c r="U86" s="35">
        <f t="shared" si="33"/>
        <v>0</v>
      </c>
      <c r="V86" s="35">
        <f t="shared" si="33"/>
        <v>-817.4375</v>
      </c>
      <c r="W86" s="35">
        <f t="shared" si="33"/>
        <v>-817.4375</v>
      </c>
    </row>
  </sheetData>
  <mergeCells count="6">
    <mergeCell ref="Q1:W1"/>
    <mergeCell ref="Q2:W2"/>
    <mergeCell ref="Q3:W3"/>
    <mergeCell ref="D1:O1"/>
    <mergeCell ref="D2:O2"/>
    <mergeCell ref="D3:O3"/>
  </mergeCells>
  <printOptions horizontalCentered="1"/>
  <pageMargins left="0.7" right="0.7" top="0.75" bottom="0.75" header="0.3" footer="0.3"/>
  <pageSetup scale="45" fitToWidth="2" orientation="landscape" verticalDpi="1200" r:id="rId1"/>
  <headerFooter>
    <oddHeader>&amp;R&amp;"Times New Roman,Regular"&amp;10&amp;A</oddHeader>
    <oddFooter xml:space="preserve">&amp;RCase No. 2022-00432
Bluegrass Water’s Response to PSC 2-17
Exhibit PSC 2-17
</oddFooter>
  </headerFooter>
  <colBreaks count="1" manualBreakCount="1">
    <brk id="16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78"/>
  <sheetViews>
    <sheetView showGridLines="0" view="pageLayout" topLeftCell="A67" zoomScaleNormal="100" zoomScaleSheetLayoutView="85" workbookViewId="0">
      <selection activeCell="F75" sqref="F75"/>
    </sheetView>
  </sheetViews>
  <sheetFormatPr defaultColWidth="9.140625" defaultRowHeight="15" customHeight="1"/>
  <cols>
    <col min="1" max="1" width="10.5703125" style="1" bestFit="1" customWidth="1"/>
    <col min="2" max="2" width="10.5703125" style="1" customWidth="1"/>
    <col min="3" max="3" width="45.5703125" style="7" customWidth="1"/>
    <col min="4" max="6" width="20.7109375" style="7" customWidth="1"/>
    <col min="7" max="7" width="20.7109375" style="43" customWidth="1"/>
    <col min="8" max="8" width="20.7109375" style="7" customWidth="1"/>
    <col min="9" max="9" width="48.140625" style="12" bestFit="1" customWidth="1"/>
    <col min="10" max="10" width="13.42578125" style="12" bestFit="1" customWidth="1"/>
    <col min="11" max="11" width="11.5703125" style="12" bestFit="1" customWidth="1"/>
    <col min="12" max="16384" width="9.140625" style="12"/>
  </cols>
  <sheetData>
    <row r="1" spans="1:9" ht="15" customHeight="1">
      <c r="A1" s="262" t="e">
        <f>#REF!</f>
        <v>#REF!</v>
      </c>
      <c r="B1" s="262"/>
      <c r="C1" s="262"/>
      <c r="D1" s="262"/>
      <c r="E1" s="262"/>
      <c r="F1" s="262"/>
      <c r="G1" s="262"/>
      <c r="H1" s="262"/>
      <c r="I1" s="183"/>
    </row>
    <row r="2" spans="1:9" ht="15" customHeight="1">
      <c r="A2" s="262" t="e">
        <f>#REF!</f>
        <v>#REF!</v>
      </c>
      <c r="B2" s="262"/>
      <c r="C2" s="262"/>
      <c r="D2" s="262"/>
      <c r="E2" s="262"/>
      <c r="F2" s="262"/>
      <c r="G2" s="262"/>
      <c r="H2" s="262"/>
      <c r="I2" s="183"/>
    </row>
    <row r="3" spans="1:9" ht="15" customHeight="1">
      <c r="A3" s="262" t="s">
        <v>419</v>
      </c>
      <c r="B3" s="262"/>
      <c r="C3" s="262"/>
      <c r="D3" s="262"/>
      <c r="E3" s="262"/>
      <c r="F3" s="262"/>
      <c r="G3" s="262"/>
      <c r="H3" s="262"/>
      <c r="I3" s="183"/>
    </row>
    <row r="4" spans="1:9" ht="15" customHeight="1">
      <c r="A4" s="262" t="e">
        <f>#REF!</f>
        <v>#REF!</v>
      </c>
      <c r="B4" s="262"/>
      <c r="C4" s="262"/>
      <c r="D4" s="262"/>
      <c r="E4" s="262"/>
      <c r="F4" s="262"/>
      <c r="G4" s="262"/>
      <c r="H4" s="262"/>
      <c r="I4" s="183"/>
    </row>
    <row r="5" spans="1:9" ht="47.25" customHeight="1">
      <c r="A5" s="11" t="s">
        <v>3</v>
      </c>
      <c r="B5" s="11" t="s">
        <v>38</v>
      </c>
      <c r="C5" s="11" t="s">
        <v>142</v>
      </c>
      <c r="D5" s="11" t="s">
        <v>143</v>
      </c>
      <c r="E5" s="11" t="s">
        <v>144</v>
      </c>
      <c r="F5" s="11" t="s">
        <v>145</v>
      </c>
      <c r="G5" s="11" t="s">
        <v>146</v>
      </c>
      <c r="H5" s="11" t="s">
        <v>24</v>
      </c>
      <c r="I5" s="183"/>
    </row>
    <row r="6" spans="1:9" ht="15" customHeight="1">
      <c r="A6" s="2" t="s">
        <v>6</v>
      </c>
      <c r="B6" s="2" t="s">
        <v>7</v>
      </c>
      <c r="C6" s="3" t="s">
        <v>8</v>
      </c>
      <c r="D6" s="3" t="s">
        <v>25</v>
      </c>
      <c r="E6" s="6" t="s">
        <v>26</v>
      </c>
      <c r="F6" s="6" t="s">
        <v>46</v>
      </c>
      <c r="G6" s="6" t="s">
        <v>47</v>
      </c>
      <c r="H6" s="8" t="s">
        <v>48</v>
      </c>
      <c r="I6" s="183"/>
    </row>
    <row r="7" spans="1:9" ht="15" customHeight="1">
      <c r="A7" s="1">
        <v>1</v>
      </c>
      <c r="C7" s="17" t="s">
        <v>147</v>
      </c>
      <c r="G7" s="39"/>
      <c r="H7" s="40"/>
      <c r="I7" s="183"/>
    </row>
    <row r="8" spans="1:9" ht="15" customHeight="1">
      <c r="A8" s="1">
        <f t="shared" ref="A8:A39" si="0">A7+1</f>
        <v>2</v>
      </c>
      <c r="B8" s="1" t="s">
        <v>151</v>
      </c>
      <c r="C8" s="7" t="s">
        <v>305</v>
      </c>
      <c r="D8" s="25">
        <v>1923536.5299999996</v>
      </c>
      <c r="E8" s="25">
        <v>76736.349999999991</v>
      </c>
      <c r="F8" s="25">
        <f t="shared" ref="F8:F11" si="1">SUM(D8:E8)</f>
        <v>2000272.8799999997</v>
      </c>
      <c r="G8" s="25" t="e">
        <f>'BT-1'!$C$27</f>
        <v>#REF!</v>
      </c>
      <c r="H8" s="25" t="e">
        <f t="shared" ref="H8:H11" si="2">SUM(F8:G8)</f>
        <v>#REF!</v>
      </c>
      <c r="I8" s="183"/>
    </row>
    <row r="9" spans="1:9" ht="15" customHeight="1">
      <c r="A9" s="1">
        <f t="shared" si="0"/>
        <v>3</v>
      </c>
      <c r="B9" s="44" t="s">
        <v>152</v>
      </c>
      <c r="C9" s="7" t="s">
        <v>305</v>
      </c>
      <c r="D9" s="25">
        <v>420859.79000000004</v>
      </c>
      <c r="E9" s="25">
        <v>0</v>
      </c>
      <c r="F9" s="25">
        <f t="shared" ref="F9" si="3">SUM(D9:E9)</f>
        <v>420859.79000000004</v>
      </c>
      <c r="G9" s="25">
        <v>0</v>
      </c>
      <c r="H9" s="25">
        <f t="shared" ref="H9" si="4">SUM(F9:G9)</f>
        <v>420859.79000000004</v>
      </c>
      <c r="I9" s="183"/>
    </row>
    <row r="10" spans="1:9" ht="15" customHeight="1">
      <c r="A10" s="1">
        <f t="shared" si="0"/>
        <v>4</v>
      </c>
      <c r="B10" s="1" t="s">
        <v>153</v>
      </c>
      <c r="C10" s="7" t="s">
        <v>306</v>
      </c>
      <c r="D10" s="25">
        <v>14244.349999999997</v>
      </c>
      <c r="E10" s="25">
        <v>0</v>
      </c>
      <c r="F10" s="25">
        <f t="shared" si="1"/>
        <v>14244.349999999997</v>
      </c>
      <c r="G10" s="25">
        <v>0</v>
      </c>
      <c r="H10" s="25">
        <f t="shared" si="2"/>
        <v>14244.349999999997</v>
      </c>
      <c r="I10" s="183"/>
    </row>
    <row r="11" spans="1:9" ht="15" customHeight="1">
      <c r="A11" s="1">
        <f t="shared" si="0"/>
        <v>5</v>
      </c>
      <c r="B11" s="1" t="s">
        <v>154</v>
      </c>
      <c r="C11" s="7" t="s">
        <v>306</v>
      </c>
      <c r="D11" s="25">
        <v>217.19</v>
      </c>
      <c r="E11" s="25">
        <v>0</v>
      </c>
      <c r="F11" s="25">
        <f t="shared" si="1"/>
        <v>217.19</v>
      </c>
      <c r="G11" s="25">
        <v>0</v>
      </c>
      <c r="H11" s="25">
        <f t="shared" si="2"/>
        <v>217.19</v>
      </c>
      <c r="I11" s="183"/>
    </row>
    <row r="12" spans="1:9" ht="15" customHeight="1">
      <c r="A12" s="1">
        <f t="shared" si="0"/>
        <v>6</v>
      </c>
      <c r="C12" s="7" t="s">
        <v>155</v>
      </c>
      <c r="D12" s="25">
        <f>SUM(D8:D11)</f>
        <v>2358857.8599999994</v>
      </c>
      <c r="E12" s="25">
        <f>SUM(E8:E11)</f>
        <v>76736.349999999991</v>
      </c>
      <c r="F12" s="25">
        <f>SUM(F8:F11)</f>
        <v>2435594.21</v>
      </c>
      <c r="G12" s="25" t="e">
        <f>SUM(G8:G11)</f>
        <v>#REF!</v>
      </c>
      <c r="H12" s="25" t="e">
        <f>SUM(H8:H11)</f>
        <v>#REF!</v>
      </c>
      <c r="I12" s="183"/>
    </row>
    <row r="13" spans="1:9" ht="15" customHeight="1">
      <c r="A13" s="1">
        <f t="shared" si="0"/>
        <v>7</v>
      </c>
      <c r="D13" s="25"/>
      <c r="E13" s="25"/>
      <c r="F13" s="25"/>
      <c r="G13" s="25"/>
      <c r="H13" s="25"/>
      <c r="I13" s="184"/>
    </row>
    <row r="14" spans="1:9" ht="15" customHeight="1">
      <c r="A14" s="1">
        <f t="shared" si="0"/>
        <v>8</v>
      </c>
      <c r="C14" s="17" t="s">
        <v>156</v>
      </c>
      <c r="D14" s="25"/>
      <c r="E14" s="25"/>
      <c r="F14" s="25"/>
      <c r="G14" s="25"/>
      <c r="H14" s="25"/>
      <c r="I14" s="183"/>
    </row>
    <row r="15" spans="1:9" ht="15" customHeight="1">
      <c r="A15" s="1">
        <f t="shared" si="0"/>
        <v>9</v>
      </c>
      <c r="C15" s="41" t="s">
        <v>157</v>
      </c>
      <c r="D15" s="25"/>
      <c r="E15" s="25"/>
      <c r="F15" s="25"/>
      <c r="G15" s="25"/>
      <c r="H15" s="25"/>
      <c r="I15" s="183"/>
    </row>
    <row r="16" spans="1:9" ht="15" customHeight="1">
      <c r="A16" s="1">
        <f t="shared" si="0"/>
        <v>10</v>
      </c>
      <c r="B16" s="1" t="s">
        <v>158</v>
      </c>
      <c r="C16" s="7" t="s">
        <v>298</v>
      </c>
      <c r="D16" s="25">
        <v>-22046.063070598939</v>
      </c>
      <c r="E16" s="25">
        <v>19399.167984163643</v>
      </c>
      <c r="F16" s="25">
        <f>SUM(D16:E16)</f>
        <v>-2646.8950864352955</v>
      </c>
      <c r="G16" s="25">
        <v>0</v>
      </c>
      <c r="H16" s="25">
        <f>SUM(F16:G16)</f>
        <v>-2646.8950864352955</v>
      </c>
      <c r="I16" s="183"/>
    </row>
    <row r="17" spans="1:9" ht="15" customHeight="1">
      <c r="A17" s="1">
        <f t="shared" si="0"/>
        <v>11</v>
      </c>
      <c r="B17" s="44" t="s">
        <v>159</v>
      </c>
      <c r="C17" s="7" t="s">
        <v>300</v>
      </c>
      <c r="D17" s="25">
        <v>-11791.79125</v>
      </c>
      <c r="E17" s="25">
        <v>-15944.871425272187</v>
      </c>
      <c r="F17" s="25">
        <f t="shared" ref="F17:F30" si="5">SUM(D17:E17)</f>
        <v>-27736.662675272186</v>
      </c>
      <c r="G17" s="25">
        <v>0</v>
      </c>
      <c r="H17" s="25">
        <f t="shared" ref="H17:H30" si="6">SUM(F17:G17)</f>
        <v>-27736.662675272186</v>
      </c>
      <c r="I17" s="183"/>
    </row>
    <row r="18" spans="1:9" ht="15" customHeight="1">
      <c r="A18" s="1">
        <f t="shared" si="0"/>
        <v>12</v>
      </c>
      <c r="B18" s="1" t="s">
        <v>160</v>
      </c>
      <c r="C18" s="7" t="s">
        <v>301</v>
      </c>
      <c r="D18" s="25">
        <v>-157.37847222222223</v>
      </c>
      <c r="E18" s="25">
        <v>0</v>
      </c>
      <c r="F18" s="25">
        <f t="shared" si="5"/>
        <v>-157.37847222222223</v>
      </c>
      <c r="G18" s="25">
        <v>0</v>
      </c>
      <c r="H18" s="25">
        <f t="shared" si="6"/>
        <v>-157.37847222222223</v>
      </c>
      <c r="I18" s="183"/>
    </row>
    <row r="19" spans="1:9" ht="15" customHeight="1">
      <c r="A19" s="1">
        <f t="shared" si="0"/>
        <v>13</v>
      </c>
      <c r="B19" s="1" t="s">
        <v>161</v>
      </c>
      <c r="C19" s="7" t="s">
        <v>319</v>
      </c>
      <c r="D19" s="25">
        <v>-75761.593936555408</v>
      </c>
      <c r="E19" s="25">
        <v>-3166.8911250412407</v>
      </c>
      <c r="F19" s="25">
        <f t="shared" si="5"/>
        <v>-78928.485061596642</v>
      </c>
      <c r="G19" s="25">
        <v>0</v>
      </c>
      <c r="H19" s="25">
        <f t="shared" si="6"/>
        <v>-78928.485061596642</v>
      </c>
      <c r="I19" s="183"/>
    </row>
    <row r="20" spans="1:9" ht="15" customHeight="1">
      <c r="A20" s="1">
        <f t="shared" si="0"/>
        <v>14</v>
      </c>
      <c r="B20" s="44" t="s">
        <v>162</v>
      </c>
      <c r="C20" s="7" t="s">
        <v>400</v>
      </c>
      <c r="D20" s="25">
        <v>-10624.618665074868</v>
      </c>
      <c r="E20" s="25">
        <v>-582.31953810623554</v>
      </c>
      <c r="F20" s="25">
        <f t="shared" si="5"/>
        <v>-11206.938203181104</v>
      </c>
      <c r="G20" s="25">
        <v>0</v>
      </c>
      <c r="H20" s="25">
        <f t="shared" si="6"/>
        <v>-11206.938203181104</v>
      </c>
      <c r="I20" s="183"/>
    </row>
    <row r="21" spans="1:9" ht="15" customHeight="1">
      <c r="A21" s="1">
        <f t="shared" si="0"/>
        <v>15</v>
      </c>
      <c r="B21" s="1" t="s">
        <v>163</v>
      </c>
      <c r="C21" s="7" t="s">
        <v>320</v>
      </c>
      <c r="D21" s="25">
        <v>-32026.842624632656</v>
      </c>
      <c r="E21" s="25">
        <v>-1354.7418805674697</v>
      </c>
      <c r="F21" s="25">
        <f t="shared" si="5"/>
        <v>-33381.584505200124</v>
      </c>
      <c r="G21" s="25" t="e">
        <f>-G12*'BT-11'!C9</f>
        <v>#REF!</v>
      </c>
      <c r="H21" s="25" t="e">
        <f t="shared" si="6"/>
        <v>#REF!</v>
      </c>
      <c r="I21" s="190"/>
    </row>
    <row r="22" spans="1:9" ht="15" customHeight="1">
      <c r="A22" s="1">
        <f t="shared" si="0"/>
        <v>16</v>
      </c>
      <c r="B22" s="1" t="s">
        <v>164</v>
      </c>
      <c r="C22" s="7" t="s">
        <v>401</v>
      </c>
      <c r="D22" s="25">
        <v>-445726.22483565984</v>
      </c>
      <c r="E22" s="25">
        <v>34200.769999999997</v>
      </c>
      <c r="F22" s="25">
        <f t="shared" si="5"/>
        <v>-411525.45483565982</v>
      </c>
      <c r="G22" s="25">
        <v>0</v>
      </c>
      <c r="H22" s="25">
        <f t="shared" si="6"/>
        <v>-411525.45483565982</v>
      </c>
      <c r="I22" s="183"/>
    </row>
    <row r="23" spans="1:9" ht="15" customHeight="1">
      <c r="A23" s="1">
        <f t="shared" si="0"/>
        <v>17</v>
      </c>
      <c r="B23" s="1" t="s">
        <v>165</v>
      </c>
      <c r="C23" s="7" t="s">
        <v>402</v>
      </c>
      <c r="D23" s="25">
        <v>-323.95840837531489</v>
      </c>
      <c r="E23" s="25">
        <v>-23.656311448366875</v>
      </c>
      <c r="F23" s="25">
        <f t="shared" ref="F23" si="7">SUM(D23:E23)</f>
        <v>-347.61471982368175</v>
      </c>
      <c r="G23" s="25">
        <v>0</v>
      </c>
      <c r="H23" s="25">
        <f t="shared" ref="H23" si="8">SUM(F23:G23)</f>
        <v>-347.61471982368175</v>
      </c>
      <c r="I23" s="183"/>
    </row>
    <row r="24" spans="1:9" ht="15" customHeight="1">
      <c r="A24" s="1">
        <f t="shared" si="0"/>
        <v>18</v>
      </c>
      <c r="B24" s="1" t="s">
        <v>167</v>
      </c>
      <c r="C24" s="7" t="s">
        <v>325</v>
      </c>
      <c r="D24" s="25">
        <v>-51679.213978187094</v>
      </c>
      <c r="E24" s="25">
        <v>-990.90469152095022</v>
      </c>
      <c r="F24" s="25">
        <f t="shared" si="5"/>
        <v>-52670.118669708041</v>
      </c>
      <c r="G24" s="25">
        <v>0</v>
      </c>
      <c r="H24" s="25">
        <f t="shared" si="6"/>
        <v>-52670.118669708041</v>
      </c>
      <c r="I24" s="183"/>
    </row>
    <row r="25" spans="1:9" ht="15" customHeight="1">
      <c r="A25" s="1">
        <f t="shared" si="0"/>
        <v>19</v>
      </c>
      <c r="B25" s="1" t="s">
        <v>168</v>
      </c>
      <c r="C25" s="7" t="s">
        <v>326</v>
      </c>
      <c r="D25" s="25">
        <v>-10583.524787118669</v>
      </c>
      <c r="E25" s="25">
        <v>-456.18805674694818</v>
      </c>
      <c r="F25" s="25">
        <f t="shared" si="5"/>
        <v>-11039.712843865618</v>
      </c>
      <c r="G25" s="25">
        <v>0</v>
      </c>
      <c r="H25" s="25">
        <f t="shared" si="6"/>
        <v>-11039.712843865618</v>
      </c>
      <c r="I25" s="183"/>
    </row>
    <row r="26" spans="1:9" ht="15" customHeight="1">
      <c r="A26" s="1">
        <f t="shared" si="0"/>
        <v>20</v>
      </c>
      <c r="B26" s="1" t="s">
        <v>169</v>
      </c>
      <c r="C26" s="7" t="s">
        <v>327</v>
      </c>
      <c r="D26" s="25">
        <v>-13635.604138853905</v>
      </c>
      <c r="E26" s="25">
        <v>-489.37112504124053</v>
      </c>
      <c r="F26" s="25">
        <f t="shared" si="5"/>
        <v>-14124.975263895145</v>
      </c>
      <c r="G26" s="25">
        <v>0</v>
      </c>
      <c r="H26" s="25">
        <f t="shared" si="6"/>
        <v>-14124.975263895145</v>
      </c>
      <c r="I26" s="183"/>
    </row>
    <row r="27" spans="1:9" ht="15" customHeight="1">
      <c r="A27" s="1">
        <f t="shared" si="0"/>
        <v>21</v>
      </c>
      <c r="B27" s="1" t="s">
        <v>170</v>
      </c>
      <c r="C27" s="7" t="s">
        <v>403</v>
      </c>
      <c r="D27" s="25">
        <v>-30121.671338336128</v>
      </c>
      <c r="E27" s="25">
        <v>10458.830960965544</v>
      </c>
      <c r="F27" s="25">
        <f t="shared" si="5"/>
        <v>-19662.840377370583</v>
      </c>
      <c r="G27" s="25">
        <v>0</v>
      </c>
      <c r="H27" s="25">
        <f t="shared" si="6"/>
        <v>-19662.840377370583</v>
      </c>
      <c r="I27" s="183"/>
    </row>
    <row r="28" spans="1:9" ht="15" customHeight="1">
      <c r="A28" s="1">
        <f t="shared" si="0"/>
        <v>22</v>
      </c>
      <c r="B28" s="1" t="s">
        <v>172</v>
      </c>
      <c r="C28" s="7" t="s">
        <v>329</v>
      </c>
      <c r="D28" s="25">
        <v>-224090.94997970894</v>
      </c>
      <c r="E28" s="25">
        <v>-745.44020151133475</v>
      </c>
      <c r="F28" s="25">
        <f t="shared" si="5"/>
        <v>-224836.39018122028</v>
      </c>
      <c r="G28" s="25">
        <v>0</v>
      </c>
      <c r="H28" s="25">
        <f t="shared" si="6"/>
        <v>-224836.39018122028</v>
      </c>
      <c r="I28" s="183"/>
    </row>
    <row r="29" spans="1:9" ht="15" customHeight="1">
      <c r="A29" s="1">
        <f t="shared" si="0"/>
        <v>23</v>
      </c>
      <c r="B29" s="1" t="s">
        <v>173</v>
      </c>
      <c r="C29" s="7" t="s">
        <v>404</v>
      </c>
      <c r="D29" s="25">
        <v>15934.191111111111</v>
      </c>
      <c r="E29" s="25">
        <v>0</v>
      </c>
      <c r="F29" s="25">
        <f t="shared" si="5"/>
        <v>15934.191111111111</v>
      </c>
      <c r="G29" s="25">
        <v>0</v>
      </c>
      <c r="H29" s="25">
        <f t="shared" si="6"/>
        <v>15934.191111111111</v>
      </c>
      <c r="I29" s="183"/>
    </row>
    <row r="30" spans="1:9" ht="15" customHeight="1">
      <c r="A30" s="1">
        <f t="shared" si="0"/>
        <v>24</v>
      </c>
      <c r="B30" s="1" t="s">
        <v>175</v>
      </c>
      <c r="C30" s="7" t="s">
        <v>331</v>
      </c>
      <c r="D30" s="25">
        <v>-1257.9568055555555</v>
      </c>
      <c r="E30" s="25">
        <v>0</v>
      </c>
      <c r="F30" s="25">
        <f t="shared" si="5"/>
        <v>-1257.9568055555555</v>
      </c>
      <c r="G30" s="25">
        <v>0</v>
      </c>
      <c r="H30" s="25">
        <f t="shared" si="6"/>
        <v>-1257.9568055555555</v>
      </c>
      <c r="I30" s="183"/>
    </row>
    <row r="31" spans="1:9" ht="15" customHeight="1">
      <c r="A31" s="1">
        <f t="shared" si="0"/>
        <v>25</v>
      </c>
      <c r="C31" s="42" t="s">
        <v>177</v>
      </c>
      <c r="D31" s="25">
        <f>SUM(D16:D30)</f>
        <v>-913893.20117976831</v>
      </c>
      <c r="E31" s="25">
        <f>SUM(E16:E30)</f>
        <v>40304.384589873203</v>
      </c>
      <c r="F31" s="25">
        <f>SUM(F16:F30)</f>
        <v>-873588.81658989517</v>
      </c>
      <c r="G31" s="25" t="e">
        <f>SUM(G16:G30)</f>
        <v>#REF!</v>
      </c>
      <c r="H31" s="25" t="e">
        <f>SUM(H16:H30)</f>
        <v>#REF!</v>
      </c>
      <c r="I31" s="183"/>
    </row>
    <row r="32" spans="1:9" ht="15" customHeight="1">
      <c r="A32" s="1">
        <f t="shared" si="0"/>
        <v>26</v>
      </c>
      <c r="D32" s="25"/>
      <c r="E32" s="25"/>
      <c r="F32" s="25"/>
      <c r="G32" s="25"/>
      <c r="H32" s="25"/>
      <c r="I32" s="183"/>
    </row>
    <row r="33" spans="1:9" ht="15" customHeight="1">
      <c r="A33" s="1">
        <f t="shared" si="0"/>
        <v>27</v>
      </c>
      <c r="C33" s="41" t="s">
        <v>178</v>
      </c>
      <c r="D33" s="25"/>
      <c r="E33" s="25"/>
      <c r="F33" s="25"/>
      <c r="G33" s="25"/>
      <c r="H33" s="25"/>
      <c r="I33" s="183"/>
    </row>
    <row r="34" spans="1:9" ht="15" customHeight="1">
      <c r="A34" s="1">
        <f t="shared" si="0"/>
        <v>28</v>
      </c>
      <c r="B34" s="1" t="s">
        <v>201</v>
      </c>
      <c r="C34" s="7" t="s">
        <v>405</v>
      </c>
      <c r="D34" s="25">
        <v>-981338.78000000084</v>
      </c>
      <c r="E34" s="25">
        <v>-106195.56</v>
      </c>
      <c r="F34" s="25">
        <f t="shared" ref="F34:F48" si="9">SUM(D34:E34)</f>
        <v>-1087534.3400000008</v>
      </c>
      <c r="G34" s="25">
        <v>0</v>
      </c>
      <c r="H34" s="25">
        <f t="shared" ref="H34:H48" si="10">SUM(F34:G34)</f>
        <v>-1087534.3400000008</v>
      </c>
      <c r="I34" s="183"/>
    </row>
    <row r="35" spans="1:9" ht="15" customHeight="1">
      <c r="A35" s="1">
        <f t="shared" si="0"/>
        <v>29</v>
      </c>
      <c r="B35" s="1" t="s">
        <v>202</v>
      </c>
      <c r="C35" s="7" t="s">
        <v>316</v>
      </c>
      <c r="D35" s="25">
        <v>-2000.03</v>
      </c>
      <c r="E35" s="25">
        <v>0</v>
      </c>
      <c r="F35" s="25">
        <f t="shared" si="9"/>
        <v>-2000.03</v>
      </c>
      <c r="G35" s="25">
        <v>0</v>
      </c>
      <c r="H35" s="25">
        <f t="shared" si="10"/>
        <v>-2000.03</v>
      </c>
      <c r="I35" s="183"/>
    </row>
    <row r="36" spans="1:9" ht="15" customHeight="1">
      <c r="A36" s="1">
        <f t="shared" si="0"/>
        <v>30</v>
      </c>
      <c r="B36" s="1" t="s">
        <v>203</v>
      </c>
      <c r="C36" s="7" t="s">
        <v>406</v>
      </c>
      <c r="D36" s="25">
        <v>-179313.59</v>
      </c>
      <c r="E36" s="25">
        <v>-4316.32</v>
      </c>
      <c r="F36" s="25">
        <f t="shared" si="9"/>
        <v>-183629.91</v>
      </c>
      <c r="G36" s="25">
        <v>0</v>
      </c>
      <c r="H36" s="25">
        <f t="shared" si="10"/>
        <v>-183629.91</v>
      </c>
      <c r="I36" s="183"/>
    </row>
    <row r="37" spans="1:9" ht="15" customHeight="1">
      <c r="A37" s="1">
        <f t="shared" si="0"/>
        <v>31</v>
      </c>
      <c r="B37" s="1" t="s">
        <v>204</v>
      </c>
      <c r="C37" s="7" t="s">
        <v>257</v>
      </c>
      <c r="D37" s="25">
        <v>-103966.16</v>
      </c>
      <c r="E37" s="25">
        <v>0</v>
      </c>
      <c r="F37" s="25">
        <f t="shared" si="9"/>
        <v>-103966.16</v>
      </c>
      <c r="G37" s="25">
        <v>0</v>
      </c>
      <c r="H37" s="25">
        <f t="shared" si="10"/>
        <v>-103966.16</v>
      </c>
      <c r="I37" s="183"/>
    </row>
    <row r="38" spans="1:9" ht="15" customHeight="1">
      <c r="A38" s="1">
        <f t="shared" si="0"/>
        <v>32</v>
      </c>
      <c r="B38" s="1" t="s">
        <v>205</v>
      </c>
      <c r="C38" s="7" t="s">
        <v>316</v>
      </c>
      <c r="D38" s="25">
        <v>-76275.429999999993</v>
      </c>
      <c r="E38" s="25">
        <v>-108472.72223630262</v>
      </c>
      <c r="F38" s="25">
        <f t="shared" si="9"/>
        <v>-184748.15223630262</v>
      </c>
      <c r="G38" s="25">
        <v>0</v>
      </c>
      <c r="H38" s="25">
        <f t="shared" si="10"/>
        <v>-184748.15223630262</v>
      </c>
      <c r="I38" s="183"/>
    </row>
    <row r="39" spans="1:9" ht="15" customHeight="1">
      <c r="A39" s="1">
        <f t="shared" si="0"/>
        <v>33</v>
      </c>
      <c r="B39" s="1" t="s">
        <v>206</v>
      </c>
      <c r="C39" s="7" t="s">
        <v>317</v>
      </c>
      <c r="D39" s="25">
        <v>-95129.23000000001</v>
      </c>
      <c r="E39" s="25">
        <v>-3472.135102497205</v>
      </c>
      <c r="F39" s="25">
        <f t="shared" si="9"/>
        <v>-98601.365102497221</v>
      </c>
      <c r="G39" s="25">
        <v>0</v>
      </c>
      <c r="H39" s="25">
        <f t="shared" si="10"/>
        <v>-98601.365102497221</v>
      </c>
      <c r="I39" s="183"/>
    </row>
    <row r="40" spans="1:9" ht="15" customHeight="1">
      <c r="A40" s="1">
        <f t="shared" ref="A40:A63" si="11">A39+1</f>
        <v>34</v>
      </c>
      <c r="B40" s="1" t="s">
        <v>207</v>
      </c>
      <c r="C40" s="7" t="s">
        <v>407</v>
      </c>
      <c r="D40" s="25">
        <v>-39629.590000000004</v>
      </c>
      <c r="E40" s="25">
        <v>0</v>
      </c>
      <c r="F40" s="25">
        <f t="shared" si="9"/>
        <v>-39629.590000000004</v>
      </c>
      <c r="G40" s="25">
        <v>0</v>
      </c>
      <c r="H40" s="25">
        <f t="shared" si="10"/>
        <v>-39629.590000000004</v>
      </c>
      <c r="I40" s="183"/>
    </row>
    <row r="41" spans="1:9" ht="15" customHeight="1">
      <c r="A41" s="1">
        <f t="shared" si="11"/>
        <v>35</v>
      </c>
      <c r="B41" s="1" t="s">
        <v>208</v>
      </c>
      <c r="C41" s="7" t="s">
        <v>408</v>
      </c>
      <c r="D41" s="25">
        <v>-4068.62</v>
      </c>
      <c r="E41" s="25">
        <v>0</v>
      </c>
      <c r="F41" s="25">
        <f t="shared" si="9"/>
        <v>-4068.62</v>
      </c>
      <c r="G41" s="25">
        <v>0</v>
      </c>
      <c r="H41" s="25">
        <f t="shared" si="10"/>
        <v>-4068.62</v>
      </c>
      <c r="I41" s="183"/>
    </row>
    <row r="42" spans="1:9" ht="15" customHeight="1">
      <c r="A42" s="1">
        <f t="shared" si="11"/>
        <v>36</v>
      </c>
      <c r="B42" s="1" t="s">
        <v>209</v>
      </c>
      <c r="C42" s="7" t="s">
        <v>409</v>
      </c>
      <c r="D42" s="25">
        <v>-49036.21</v>
      </c>
      <c r="E42" s="25">
        <v>0</v>
      </c>
      <c r="F42" s="25">
        <f t="shared" si="9"/>
        <v>-49036.21</v>
      </c>
      <c r="G42" s="25">
        <v>0</v>
      </c>
      <c r="H42" s="25">
        <f t="shared" si="10"/>
        <v>-49036.21</v>
      </c>
      <c r="I42" s="183"/>
    </row>
    <row r="43" spans="1:9" ht="15" customHeight="1">
      <c r="A43" s="1">
        <f t="shared" si="11"/>
        <v>37</v>
      </c>
      <c r="B43" s="1" t="s">
        <v>210</v>
      </c>
      <c r="C43" s="7" t="s">
        <v>410</v>
      </c>
      <c r="D43" s="25">
        <v>-18634.93</v>
      </c>
      <c r="E43" s="25">
        <v>0</v>
      </c>
      <c r="F43" s="25">
        <f t="shared" si="9"/>
        <v>-18634.93</v>
      </c>
      <c r="G43" s="25">
        <v>0</v>
      </c>
      <c r="H43" s="25">
        <f t="shared" si="10"/>
        <v>-18634.93</v>
      </c>
      <c r="I43" s="183"/>
    </row>
    <row r="44" spans="1:9" ht="15" customHeight="1">
      <c r="A44" s="1">
        <f t="shared" si="11"/>
        <v>38</v>
      </c>
      <c r="B44" s="1" t="s">
        <v>211</v>
      </c>
      <c r="C44" s="7" t="s">
        <v>411</v>
      </c>
      <c r="D44" s="25">
        <v>-13471.05</v>
      </c>
      <c r="E44" s="25">
        <v>0</v>
      </c>
      <c r="F44" s="25">
        <f t="shared" si="9"/>
        <v>-13471.05</v>
      </c>
      <c r="G44" s="25">
        <v>0</v>
      </c>
      <c r="H44" s="25">
        <f t="shared" si="10"/>
        <v>-13471.05</v>
      </c>
      <c r="I44" s="183"/>
    </row>
    <row r="45" spans="1:9" ht="15" customHeight="1">
      <c r="A45" s="1">
        <f t="shared" si="11"/>
        <v>39</v>
      </c>
      <c r="B45" s="1" t="s">
        <v>212</v>
      </c>
      <c r="C45" s="7" t="s">
        <v>256</v>
      </c>
      <c r="D45" s="25">
        <v>-43264.69</v>
      </c>
      <c r="E45" s="25">
        <v>0</v>
      </c>
      <c r="F45" s="25">
        <f t="shared" si="9"/>
        <v>-43264.69</v>
      </c>
      <c r="G45" s="25">
        <v>0</v>
      </c>
      <c r="H45" s="25">
        <f t="shared" si="10"/>
        <v>-43264.69</v>
      </c>
      <c r="I45" s="183"/>
    </row>
    <row r="46" spans="1:9" ht="15" customHeight="1">
      <c r="A46" s="1">
        <f t="shared" si="11"/>
        <v>40</v>
      </c>
      <c r="B46" s="1" t="s">
        <v>214</v>
      </c>
      <c r="C46" s="7" t="s">
        <v>318</v>
      </c>
      <c r="D46" s="25">
        <v>-233.32999999999998</v>
      </c>
      <c r="E46" s="25">
        <v>0</v>
      </c>
      <c r="F46" s="25">
        <f t="shared" si="9"/>
        <v>-233.32999999999998</v>
      </c>
      <c r="G46" s="25">
        <v>0</v>
      </c>
      <c r="H46" s="25">
        <f t="shared" si="10"/>
        <v>-233.32999999999998</v>
      </c>
      <c r="I46" s="183"/>
    </row>
    <row r="47" spans="1:9" ht="15" customHeight="1">
      <c r="A47" s="1">
        <f t="shared" si="11"/>
        <v>41</v>
      </c>
      <c r="B47" s="1" t="s">
        <v>215</v>
      </c>
      <c r="C47" s="7" t="s">
        <v>257</v>
      </c>
      <c r="D47" s="25">
        <v>-3312.5</v>
      </c>
      <c r="E47" s="25">
        <v>0</v>
      </c>
      <c r="F47" s="25">
        <f t="shared" si="9"/>
        <v>-3312.5</v>
      </c>
      <c r="G47" s="25">
        <v>0</v>
      </c>
      <c r="H47" s="25">
        <f t="shared" si="10"/>
        <v>-3312.5</v>
      </c>
      <c r="I47" s="183"/>
    </row>
    <row r="48" spans="1:9" ht="15" customHeight="1">
      <c r="A48" s="1">
        <f t="shared" si="11"/>
        <v>42</v>
      </c>
      <c r="B48" s="1" t="s">
        <v>219</v>
      </c>
      <c r="C48" s="7" t="s">
        <v>318</v>
      </c>
      <c r="D48" s="25">
        <v>-151.99</v>
      </c>
      <c r="E48" s="25">
        <v>0</v>
      </c>
      <c r="F48" s="25">
        <f t="shared" si="9"/>
        <v>-151.99</v>
      </c>
      <c r="G48" s="25">
        <v>0</v>
      </c>
      <c r="H48" s="25">
        <f t="shared" si="10"/>
        <v>-151.99</v>
      </c>
      <c r="I48" s="183"/>
    </row>
    <row r="49" spans="1:11" ht="15" customHeight="1">
      <c r="A49" s="1">
        <f t="shared" si="11"/>
        <v>43</v>
      </c>
      <c r="C49" s="42" t="s">
        <v>220</v>
      </c>
      <c r="D49" s="25">
        <f>SUM(D34:D48)</f>
        <v>-1609826.1300000008</v>
      </c>
      <c r="E49" s="25">
        <f>SUM(E34:E48)</f>
        <v>-222456.73733879984</v>
      </c>
      <c r="F49" s="25">
        <f>SUM(F34:F48)</f>
        <v>-1832282.8673388006</v>
      </c>
      <c r="G49" s="25">
        <f>SUM(G34:G48)</f>
        <v>0</v>
      </c>
      <c r="H49" s="25">
        <f>SUM(H34:H48)</f>
        <v>-1832282.8673388006</v>
      </c>
      <c r="I49" s="183"/>
    </row>
    <row r="50" spans="1:11" ht="15" customHeight="1">
      <c r="A50" s="1">
        <f t="shared" si="11"/>
        <v>44</v>
      </c>
      <c r="C50" s="42"/>
      <c r="D50" s="25"/>
      <c r="E50" s="25"/>
      <c r="F50" s="25"/>
      <c r="G50" s="25"/>
      <c r="H50" s="25"/>
      <c r="I50" s="183"/>
    </row>
    <row r="51" spans="1:11" ht="15" customHeight="1">
      <c r="A51" s="1">
        <f t="shared" si="11"/>
        <v>45</v>
      </c>
      <c r="C51" s="42" t="s">
        <v>221</v>
      </c>
      <c r="D51" s="25"/>
      <c r="E51" s="25"/>
      <c r="F51" s="25"/>
      <c r="G51" s="25"/>
      <c r="H51" s="25"/>
      <c r="I51" s="183"/>
    </row>
    <row r="52" spans="1:11" ht="15" customHeight="1">
      <c r="A52" s="1">
        <f t="shared" si="11"/>
        <v>46</v>
      </c>
      <c r="B52" s="1" t="s">
        <v>222</v>
      </c>
      <c r="C52" s="7" t="s">
        <v>221</v>
      </c>
      <c r="D52" s="25">
        <v>0</v>
      </c>
      <c r="E52" s="25" t="e">
        <f>-#REF!*#REF!</f>
        <v>#REF!</v>
      </c>
      <c r="F52" s="25" t="e">
        <f t="shared" ref="F52" si="12">SUM(D52:E52)</f>
        <v>#REF!</v>
      </c>
      <c r="G52" s="25">
        <v>0</v>
      </c>
      <c r="H52" s="25" t="e">
        <f t="shared" ref="H52" si="13">SUM(F52:G52)</f>
        <v>#REF!</v>
      </c>
      <c r="I52" s="183"/>
    </row>
    <row r="53" spans="1:11" ht="15" customHeight="1">
      <c r="A53" s="1">
        <f t="shared" si="11"/>
        <v>47</v>
      </c>
      <c r="C53" s="42" t="s">
        <v>224</v>
      </c>
      <c r="D53" s="25">
        <f>SUM(D52:D52)</f>
        <v>0</v>
      </c>
      <c r="E53" s="25" t="e">
        <f>SUM(E52:E52)</f>
        <v>#REF!</v>
      </c>
      <c r="F53" s="25" t="e">
        <f>SUM(F52:F52)</f>
        <v>#REF!</v>
      </c>
      <c r="G53" s="25">
        <f>SUM(G52:G52)</f>
        <v>0</v>
      </c>
      <c r="H53" s="25" t="e">
        <f>SUM(H52:H52)</f>
        <v>#REF!</v>
      </c>
      <c r="I53" s="183"/>
      <c r="J53" s="13"/>
      <c r="K53" s="37"/>
    </row>
    <row r="54" spans="1:11" ht="15" customHeight="1">
      <c r="A54" s="1">
        <f t="shared" si="11"/>
        <v>48</v>
      </c>
      <c r="C54" s="42"/>
      <c r="D54" s="25"/>
      <c r="E54" s="25"/>
      <c r="F54" s="25"/>
      <c r="G54" s="25"/>
      <c r="H54" s="25"/>
      <c r="I54" s="183"/>
    </row>
    <row r="55" spans="1:11" ht="15" customHeight="1">
      <c r="A55" s="1">
        <f t="shared" si="11"/>
        <v>49</v>
      </c>
      <c r="C55" s="41" t="s">
        <v>225</v>
      </c>
      <c r="D55" s="25"/>
      <c r="E55" s="25"/>
      <c r="F55" s="25"/>
      <c r="G55" s="25"/>
      <c r="H55" s="25"/>
      <c r="I55" s="183"/>
    </row>
    <row r="56" spans="1:11" ht="15" customHeight="1">
      <c r="A56" s="1">
        <f t="shared" si="11"/>
        <v>50</v>
      </c>
      <c r="B56" s="1" t="s">
        <v>226</v>
      </c>
      <c r="C56" s="7" t="s">
        <v>258</v>
      </c>
      <c r="D56" s="25">
        <v>-187171.37</v>
      </c>
      <c r="E56" s="25">
        <v>-11043.354890199986</v>
      </c>
      <c r="F56" s="25">
        <f t="shared" ref="F56:F57" si="14">SUM(D56:E56)</f>
        <v>-198214.72489019998</v>
      </c>
      <c r="G56" s="25">
        <v>0</v>
      </c>
      <c r="H56" s="25">
        <f t="shared" ref="H56:H57" si="15">SUM(F56:G56)</f>
        <v>-198214.72489019998</v>
      </c>
      <c r="I56" s="183"/>
    </row>
    <row r="57" spans="1:11" ht="15" customHeight="1">
      <c r="A57" s="1">
        <f t="shared" si="11"/>
        <v>51</v>
      </c>
      <c r="B57" s="1" t="s">
        <v>227</v>
      </c>
      <c r="C57" s="7" t="s">
        <v>297</v>
      </c>
      <c r="D57" s="25">
        <v>24959.600000000002</v>
      </c>
      <c r="E57" s="25">
        <v>0</v>
      </c>
      <c r="F57" s="25">
        <f t="shared" si="14"/>
        <v>24959.600000000002</v>
      </c>
      <c r="G57" s="25">
        <v>0</v>
      </c>
      <c r="H57" s="25">
        <f t="shared" si="15"/>
        <v>24959.600000000002</v>
      </c>
      <c r="I57" s="183"/>
    </row>
    <row r="58" spans="1:11" ht="15" customHeight="1">
      <c r="A58" s="1">
        <f t="shared" si="11"/>
        <v>52</v>
      </c>
      <c r="B58" s="27" t="s">
        <v>228</v>
      </c>
      <c r="C58" s="7" t="s">
        <v>229</v>
      </c>
      <c r="D58" s="25">
        <v>0</v>
      </c>
      <c r="E58" s="25">
        <f>-'BT-12'!F14/36*12</f>
        <v>-59852.66333333333</v>
      </c>
      <c r="F58" s="25">
        <f>SUM(D58:E58)</f>
        <v>-59852.66333333333</v>
      </c>
      <c r="G58" s="25">
        <v>0</v>
      </c>
      <c r="H58" s="25">
        <f>SUM(F58:G58)</f>
        <v>-59852.66333333333</v>
      </c>
      <c r="I58" s="183"/>
    </row>
    <row r="59" spans="1:11" ht="15" customHeight="1">
      <c r="A59" s="1">
        <f t="shared" si="11"/>
        <v>53</v>
      </c>
      <c r="C59" s="42" t="s">
        <v>230</v>
      </c>
      <c r="D59" s="25">
        <f>SUM(D56:D58)</f>
        <v>-162211.76999999999</v>
      </c>
      <c r="E59" s="25">
        <f>SUM(E56:E58)</f>
        <v>-70896.01822353332</v>
      </c>
      <c r="F59" s="25">
        <f>SUM(F56:F58)</f>
        <v>-233107.78822353331</v>
      </c>
      <c r="G59" s="25">
        <f>SUM(G56:G58)</f>
        <v>0</v>
      </c>
      <c r="H59" s="25">
        <f>SUM(H56:H58)</f>
        <v>-233107.78822353331</v>
      </c>
      <c r="I59" s="183"/>
    </row>
    <row r="60" spans="1:11" ht="15" customHeight="1">
      <c r="A60" s="1">
        <f t="shared" si="11"/>
        <v>54</v>
      </c>
      <c r="D60" s="25"/>
      <c r="E60" s="25"/>
      <c r="F60" s="25"/>
      <c r="G60" s="25"/>
      <c r="H60" s="25"/>
      <c r="I60" s="183"/>
    </row>
    <row r="61" spans="1:11" ht="15" customHeight="1">
      <c r="A61" s="1">
        <f t="shared" si="11"/>
        <v>55</v>
      </c>
      <c r="C61" s="7" t="s">
        <v>231</v>
      </c>
      <c r="D61" s="25">
        <f>D49+D59+D31+D53</f>
        <v>-2685931.1011797693</v>
      </c>
      <c r="E61" s="25" t="e">
        <f>E49+E59+E31+E53</f>
        <v>#REF!</v>
      </c>
      <c r="F61" s="25" t="e">
        <f>F49+F59+F31+F53</f>
        <v>#REF!</v>
      </c>
      <c r="G61" s="25" t="e">
        <f>G49+G59+G31+G53</f>
        <v>#REF!</v>
      </c>
      <c r="H61" s="25" t="e">
        <f>H49+H59+H31+H53</f>
        <v>#REF!</v>
      </c>
      <c r="I61" s="183"/>
      <c r="J61" s="37"/>
    </row>
    <row r="62" spans="1:11" ht="15" customHeight="1">
      <c r="A62" s="1">
        <f t="shared" si="11"/>
        <v>56</v>
      </c>
      <c r="D62" s="25"/>
      <c r="E62" s="25"/>
      <c r="F62" s="25"/>
      <c r="G62" s="25"/>
      <c r="H62" s="25"/>
      <c r="I62" s="183"/>
    </row>
    <row r="63" spans="1:11" ht="15" customHeight="1" thickBot="1">
      <c r="A63" s="1">
        <f t="shared" si="11"/>
        <v>57</v>
      </c>
      <c r="C63" s="17" t="s">
        <v>232</v>
      </c>
      <c r="D63" s="36">
        <f>D12+D61</f>
        <v>-327073.24117976986</v>
      </c>
      <c r="E63" s="36" t="e">
        <f>E12+E61</f>
        <v>#REF!</v>
      </c>
      <c r="F63" s="36" t="e">
        <f>F12+F61</f>
        <v>#REF!</v>
      </c>
      <c r="G63" s="36" t="e">
        <f>G12+G61</f>
        <v>#REF!</v>
      </c>
      <c r="H63" s="36" t="e">
        <f>H12+H61</f>
        <v>#REF!</v>
      </c>
      <c r="I63" s="183"/>
    </row>
    <row r="64" spans="1:11" ht="15" customHeight="1" thickTop="1">
      <c r="A64" s="1">
        <f>A63+1</f>
        <v>58</v>
      </c>
      <c r="E64" s="25"/>
      <c r="I64" s="183"/>
    </row>
    <row r="65" spans="1:9" ht="15" customHeight="1">
      <c r="A65" s="1">
        <f>A64+1</f>
        <v>59</v>
      </c>
    </row>
    <row r="66" spans="1:9" ht="15" customHeight="1">
      <c r="A66" s="1">
        <f>A65+1</f>
        <v>60</v>
      </c>
      <c r="H66" s="43"/>
    </row>
    <row r="67" spans="1:9" ht="15" customHeight="1">
      <c r="E67" s="35"/>
      <c r="H67" s="43"/>
    </row>
    <row r="68" spans="1:9" ht="15" customHeight="1">
      <c r="H68" s="43"/>
    </row>
    <row r="71" spans="1:9" ht="15" customHeight="1">
      <c r="H71" s="43"/>
      <c r="I71" s="37"/>
    </row>
    <row r="74" spans="1:9" ht="15" customHeight="1">
      <c r="H74" s="25"/>
    </row>
    <row r="78" spans="1:9" ht="15" customHeight="1">
      <c r="H78" s="43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3" orientation="portrait" verticalDpi="300" r:id="rId1"/>
  <headerFooter>
    <oddHeader>&amp;R&amp;"Times New Roman,Regular"&amp;10&amp;A</oddHeader>
    <oddFooter xml:space="preserve">&amp;RCase No. 2022-00432
Bluegrass Water’s Response to PSC 2-17
Exhibit PSC 2-17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6"/>
  <sheetViews>
    <sheetView showGridLines="0" view="pageLayout" topLeftCell="A41" zoomScaleNormal="100" zoomScaleSheetLayoutView="100" workbookViewId="0">
      <selection activeCell="D56" sqref="D56"/>
    </sheetView>
  </sheetViews>
  <sheetFormatPr defaultColWidth="9.140625" defaultRowHeight="12.75"/>
  <cols>
    <col min="1" max="1" width="10.5703125" style="1" customWidth="1"/>
    <col min="2" max="2" width="44" style="7" bestFit="1" customWidth="1"/>
    <col min="3" max="5" width="20.7109375" style="7" customWidth="1"/>
    <col min="6" max="7" width="9.140625" style="7"/>
    <col min="8" max="8" width="12.140625" style="7" bestFit="1" customWidth="1"/>
    <col min="9" max="16384" width="9.140625" style="7"/>
  </cols>
  <sheetData>
    <row r="1" spans="1:8" ht="15" customHeight="1">
      <c r="A1" s="262" t="e">
        <f>#REF!</f>
        <v>#REF!</v>
      </c>
      <c r="B1" s="262"/>
      <c r="C1" s="262"/>
      <c r="D1" s="262"/>
      <c r="E1" s="262"/>
    </row>
    <row r="2" spans="1:8" ht="15" customHeight="1">
      <c r="A2" s="262" t="e">
        <f>#REF!</f>
        <v>#REF!</v>
      </c>
      <c r="B2" s="262"/>
      <c r="C2" s="262"/>
      <c r="D2" s="262"/>
      <c r="E2" s="262"/>
    </row>
    <row r="3" spans="1:8" ht="15" customHeight="1">
      <c r="A3" s="263" t="s">
        <v>429</v>
      </c>
      <c r="B3" s="263"/>
      <c r="C3" s="263"/>
      <c r="D3" s="263"/>
      <c r="E3" s="263"/>
    </row>
    <row r="4" spans="1:8" s="140" customFormat="1" ht="25.5">
      <c r="A4" s="11" t="s">
        <v>3</v>
      </c>
      <c r="B4" s="11" t="s">
        <v>4</v>
      </c>
      <c r="C4" s="11">
        <v>2023</v>
      </c>
      <c r="D4" s="11">
        <v>2024</v>
      </c>
      <c r="E4" s="11">
        <v>2025</v>
      </c>
    </row>
    <row r="5" spans="1:8" ht="15" customHeight="1">
      <c r="A5" s="2" t="s">
        <v>6</v>
      </c>
      <c r="B5" s="2" t="s">
        <v>7</v>
      </c>
      <c r="C5" s="3" t="s">
        <v>8</v>
      </c>
      <c r="D5" s="3" t="s">
        <v>25</v>
      </c>
      <c r="E5" s="6" t="s">
        <v>26</v>
      </c>
    </row>
    <row r="6" spans="1:8" ht="15" customHeight="1">
      <c r="A6" s="1">
        <v>1</v>
      </c>
      <c r="B6" s="17"/>
      <c r="C6" s="17"/>
    </row>
    <row r="7" spans="1:8" ht="15" customHeight="1">
      <c r="A7" s="1">
        <f>A6+1</f>
        <v>2</v>
      </c>
      <c r="B7" s="9" t="s">
        <v>233</v>
      </c>
      <c r="C7" s="137"/>
      <c r="D7" s="137"/>
      <c r="E7" s="137"/>
    </row>
    <row r="8" spans="1:8" ht="15" customHeight="1">
      <c r="A8" s="1">
        <f t="shared" ref="A8:A20" si="0">A7+1</f>
        <v>3</v>
      </c>
      <c r="B8" s="7" t="s">
        <v>234</v>
      </c>
      <c r="C8" s="165">
        <f>3775234.61-'Exhibit-17'!C9</f>
        <v>3472514.61</v>
      </c>
      <c r="D8" s="137">
        <f>C8-'Exhibit-17'!D9</f>
        <v>3018434.61</v>
      </c>
      <c r="E8" s="137">
        <f>D8-'Exhibit-17'!E9</f>
        <v>3018434.61</v>
      </c>
      <c r="G8" s="143"/>
    </row>
    <row r="9" spans="1:8" ht="15" customHeight="1">
      <c r="A9" s="1">
        <f t="shared" si="0"/>
        <v>4</v>
      </c>
      <c r="B9" s="7" t="s">
        <v>235</v>
      </c>
      <c r="C9" s="165">
        <f>9464732.06+'Exhibit-17'!C9</f>
        <v>9767452.0600000005</v>
      </c>
      <c r="D9" s="137">
        <f>C9+'Exhibit-17'!D9</f>
        <v>10221532.060000001</v>
      </c>
      <c r="E9" s="137">
        <f>D9+'Exhibit-17'!E9</f>
        <v>10221532.060000001</v>
      </c>
      <c r="G9" s="143"/>
      <c r="H9" s="143"/>
    </row>
    <row r="10" spans="1:8" ht="15" customHeight="1">
      <c r="A10" s="1">
        <f t="shared" si="0"/>
        <v>5</v>
      </c>
      <c r="B10" s="7" t="s">
        <v>236</v>
      </c>
      <c r="C10" s="165">
        <v>927406.16000000015</v>
      </c>
      <c r="D10" s="137">
        <f>C10</f>
        <v>927406.16000000015</v>
      </c>
      <c r="E10" s="137">
        <f>D10</f>
        <v>927406.16000000015</v>
      </c>
    </row>
    <row r="11" spans="1:8" ht="15" customHeight="1">
      <c r="A11" s="1">
        <f t="shared" si="0"/>
        <v>6</v>
      </c>
      <c r="B11" s="17" t="s">
        <v>237</v>
      </c>
      <c r="C11" s="166">
        <f>SUM(C8:C10)</f>
        <v>14167372.83</v>
      </c>
      <c r="D11" s="144">
        <f t="shared" ref="D11:E11" si="1">SUM(D8:D10)</f>
        <v>14167372.83</v>
      </c>
      <c r="E11" s="144">
        <f t="shared" si="1"/>
        <v>14167372.83</v>
      </c>
    </row>
    <row r="12" spans="1:8" ht="15" customHeight="1">
      <c r="A12" s="1">
        <f t="shared" si="0"/>
        <v>7</v>
      </c>
      <c r="C12" s="165"/>
      <c r="D12" s="137"/>
      <c r="E12" s="137"/>
    </row>
    <row r="13" spans="1:8" ht="15" customHeight="1">
      <c r="A13" s="1">
        <f t="shared" si="0"/>
        <v>8</v>
      </c>
      <c r="B13" s="9" t="s">
        <v>238</v>
      </c>
      <c r="C13" s="165"/>
      <c r="D13" s="137"/>
      <c r="E13" s="137"/>
    </row>
    <row r="14" spans="1:8" ht="15" customHeight="1">
      <c r="A14" s="1">
        <f t="shared" si="0"/>
        <v>9</v>
      </c>
      <c r="B14" s="7" t="s">
        <v>239</v>
      </c>
      <c r="C14" s="165">
        <v>666321.36</v>
      </c>
      <c r="D14" s="137">
        <f>C14</f>
        <v>666321.36</v>
      </c>
      <c r="E14" s="137">
        <f t="shared" ref="E14:E16" si="2">D14</f>
        <v>666321.36</v>
      </c>
    </row>
    <row r="15" spans="1:8" ht="15" customHeight="1">
      <c r="A15" s="1">
        <f t="shared" si="0"/>
        <v>10</v>
      </c>
      <c r="B15" s="7" t="s">
        <v>240</v>
      </c>
      <c r="C15" s="165">
        <v>11298782.82</v>
      </c>
      <c r="D15" s="137">
        <f t="shared" ref="D15" si="3">C15</f>
        <v>11298782.82</v>
      </c>
      <c r="E15" s="137">
        <f t="shared" si="2"/>
        <v>11298782.82</v>
      </c>
    </row>
    <row r="16" spans="1:8" ht="15" customHeight="1">
      <c r="A16" s="1">
        <f t="shared" si="0"/>
        <v>11</v>
      </c>
      <c r="B16" s="141" t="s">
        <v>241</v>
      </c>
      <c r="C16" s="165">
        <v>2202268.6500000013</v>
      </c>
      <c r="D16" s="137">
        <f t="shared" ref="D16" si="4">C16</f>
        <v>2202268.6500000013</v>
      </c>
      <c r="E16" s="137">
        <f t="shared" si="2"/>
        <v>2202268.6500000013</v>
      </c>
      <c r="H16" s="143"/>
    </row>
    <row r="17" spans="1:5" ht="15" customHeight="1">
      <c r="A17" s="1">
        <f t="shared" si="0"/>
        <v>12</v>
      </c>
      <c r="B17" s="142" t="s">
        <v>242</v>
      </c>
      <c r="C17" s="166">
        <f>SUM(C14:C16)</f>
        <v>14167372.830000002</v>
      </c>
      <c r="D17" s="144">
        <f t="shared" ref="D17:E17" si="5">SUM(D14:D16)</f>
        <v>14167372.830000002</v>
      </c>
      <c r="E17" s="144">
        <f t="shared" si="5"/>
        <v>14167372.830000002</v>
      </c>
    </row>
    <row r="18" spans="1:5" ht="15" customHeight="1">
      <c r="A18" s="1">
        <f t="shared" si="0"/>
        <v>13</v>
      </c>
      <c r="B18" s="141"/>
      <c r="C18" s="137"/>
      <c r="D18" s="137"/>
      <c r="E18" s="137"/>
    </row>
    <row r="19" spans="1:5" ht="15" customHeight="1">
      <c r="A19" s="1">
        <f t="shared" si="0"/>
        <v>14</v>
      </c>
      <c r="B19" s="141"/>
      <c r="C19" s="137"/>
      <c r="D19" s="137"/>
      <c r="E19" s="137"/>
    </row>
    <row r="20" spans="1:5" ht="15" customHeight="1">
      <c r="A20" s="1">
        <f t="shared" si="0"/>
        <v>15</v>
      </c>
      <c r="B20" s="141"/>
      <c r="C20" s="137"/>
      <c r="D20" s="137"/>
      <c r="E20" s="137"/>
    </row>
    <row r="21" spans="1:5" ht="15" customHeight="1">
      <c r="B21" s="141"/>
      <c r="C21" s="137"/>
      <c r="D21" s="137"/>
      <c r="E21" s="137"/>
    </row>
    <row r="22" spans="1:5" ht="15" customHeight="1">
      <c r="C22" s="43"/>
      <c r="D22" s="43"/>
      <c r="E22" s="43"/>
    </row>
    <row r="23" spans="1:5" ht="15" customHeight="1"/>
    <row r="24" spans="1:5" ht="15" customHeight="1">
      <c r="B24" s="5"/>
      <c r="C24" s="118"/>
      <c r="D24" s="118"/>
      <c r="E24" s="118"/>
    </row>
    <row r="25" spans="1:5" ht="15" customHeight="1">
      <c r="C25" s="102"/>
      <c r="D25" s="138"/>
      <c r="E25" s="102"/>
    </row>
    <row r="26" spans="1:5" ht="15" customHeight="1">
      <c r="C26" s="102"/>
      <c r="D26" s="138"/>
      <c r="E26" s="102"/>
    </row>
    <row r="27" spans="1:5" ht="15" customHeight="1">
      <c r="C27" s="102"/>
      <c r="D27" s="138"/>
      <c r="E27" s="102"/>
    </row>
    <row r="28" spans="1:5" ht="15" customHeight="1">
      <c r="C28" s="102"/>
      <c r="D28" s="138"/>
      <c r="E28" s="102"/>
    </row>
    <row r="29" spans="1:5" ht="15" customHeight="1">
      <c r="C29" s="102"/>
      <c r="D29" s="138"/>
      <c r="E29" s="102"/>
    </row>
    <row r="30" spans="1:5" ht="15" customHeight="1">
      <c r="C30" s="102"/>
      <c r="D30" s="138"/>
      <c r="E30" s="102"/>
    </row>
    <row r="31" spans="1:5" ht="15" customHeight="1">
      <c r="C31" s="102"/>
      <c r="D31" s="138"/>
      <c r="E31" s="102"/>
    </row>
    <row r="32" spans="1:5">
      <c r="C32" s="102"/>
      <c r="D32" s="138"/>
      <c r="E32" s="102"/>
    </row>
    <row r="33" spans="3:5">
      <c r="C33" s="102"/>
      <c r="D33" s="138"/>
      <c r="E33" s="102"/>
    </row>
    <row r="34" spans="3:5">
      <c r="C34" s="102"/>
      <c r="D34" s="138"/>
      <c r="E34" s="102"/>
    </row>
    <row r="35" spans="3:5">
      <c r="C35" s="102"/>
      <c r="D35" s="138"/>
      <c r="E35" s="102"/>
    </row>
    <row r="36" spans="3:5">
      <c r="C36" s="102"/>
      <c r="D36" s="138"/>
      <c r="E36" s="102"/>
    </row>
    <row r="37" spans="3:5">
      <c r="C37" s="59"/>
      <c r="D37" s="136"/>
      <c r="E37" s="59"/>
    </row>
    <row r="38" spans="3:5">
      <c r="C38" s="59"/>
      <c r="D38" s="136"/>
      <c r="E38" s="59"/>
    </row>
    <row r="39" spans="3:5">
      <c r="C39" s="59"/>
      <c r="D39" s="136"/>
      <c r="E39" s="59"/>
    </row>
    <row r="40" spans="3:5">
      <c r="C40" s="59"/>
      <c r="D40" s="136"/>
      <c r="E40" s="59"/>
    </row>
    <row r="41" spans="3:5">
      <c r="C41" s="59"/>
      <c r="D41" s="136"/>
      <c r="E41" s="59"/>
    </row>
    <row r="42" spans="3:5">
      <c r="C42" s="59"/>
      <c r="D42" s="136"/>
      <c r="E42" s="59"/>
    </row>
    <row r="43" spans="3:5">
      <c r="C43" s="59"/>
      <c r="D43" s="136"/>
      <c r="E43" s="59"/>
    </row>
    <row r="44" spans="3:5">
      <c r="C44" s="59"/>
      <c r="D44" s="136"/>
      <c r="E44" s="59"/>
    </row>
    <row r="45" spans="3:5">
      <c r="C45" s="59"/>
      <c r="D45" s="136"/>
      <c r="E45" s="59"/>
    </row>
    <row r="46" spans="3:5">
      <c r="C46" s="258"/>
      <c r="D46" s="136"/>
      <c r="E46" s="59"/>
    </row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scale="78" orientation="portrait" verticalDpi="1200" r:id="rId1"/>
  <headerFooter>
    <oddHeader>&amp;R&amp;"Times New Roman,Regular"&amp;10&amp;A</oddHeader>
    <oddFooter xml:space="preserve">&amp;R&amp;8Case No. 2022-00432
Bluegrass Water’s Response to PSC 2-17
Exhibit PSC 2-17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03"/>
  <sheetViews>
    <sheetView showGridLines="0" view="pageLayout" topLeftCell="A102" zoomScaleNormal="100" zoomScaleSheetLayoutView="85" workbookViewId="0">
      <selection activeCell="C87" sqref="C87"/>
    </sheetView>
  </sheetViews>
  <sheetFormatPr defaultColWidth="9.140625" defaultRowHeight="15" customHeight="1"/>
  <cols>
    <col min="1" max="2" width="10.5703125" style="1" customWidth="1"/>
    <col min="3" max="3" width="44" style="7" bestFit="1" customWidth="1"/>
    <col min="4" max="4" width="27.5703125" style="7" customWidth="1"/>
    <col min="5" max="16384" width="9.140625" style="7"/>
  </cols>
  <sheetData>
    <row r="1" spans="1:4" ht="15" customHeight="1">
      <c r="A1" s="262" t="e">
        <f>#REF!</f>
        <v>#REF!</v>
      </c>
      <c r="B1" s="262"/>
      <c r="C1" s="262"/>
      <c r="D1" s="262"/>
    </row>
    <row r="2" spans="1:4" ht="15" customHeight="1">
      <c r="A2" s="262" t="e">
        <f>#REF!</f>
        <v>#REF!</v>
      </c>
      <c r="B2" s="262"/>
      <c r="C2" s="262"/>
      <c r="D2" s="262"/>
    </row>
    <row r="3" spans="1:4" ht="15" customHeight="1">
      <c r="A3" s="263" t="s">
        <v>414</v>
      </c>
      <c r="B3" s="263"/>
      <c r="C3" s="263"/>
      <c r="D3" s="263"/>
    </row>
    <row r="4" spans="1:4" s="140" customFormat="1" ht="25.5">
      <c r="A4" s="11" t="s">
        <v>3</v>
      </c>
      <c r="B4" s="11" t="s">
        <v>293</v>
      </c>
      <c r="C4" s="11" t="s">
        <v>142</v>
      </c>
      <c r="D4" s="11" t="s">
        <v>294</v>
      </c>
    </row>
    <row r="5" spans="1:4" ht="15" customHeight="1">
      <c r="A5" s="2" t="s">
        <v>6</v>
      </c>
      <c r="B5" s="2" t="s">
        <v>7</v>
      </c>
      <c r="C5" s="3" t="s">
        <v>8</v>
      </c>
      <c r="D5" s="3" t="s">
        <v>25</v>
      </c>
    </row>
    <row r="6" spans="1:4" ht="15" customHeight="1">
      <c r="A6" s="1">
        <v>1</v>
      </c>
    </row>
    <row r="7" spans="1:4" ht="15" customHeight="1">
      <c r="A7" s="1">
        <f>A6+1</f>
        <v>2</v>
      </c>
      <c r="B7" s="1" t="s">
        <v>103</v>
      </c>
      <c r="C7" s="7" t="s">
        <v>104</v>
      </c>
      <c r="D7" s="7" t="s">
        <v>295</v>
      </c>
    </row>
    <row r="8" spans="1:4" ht="15" customHeight="1">
      <c r="A8" s="1">
        <f t="shared" ref="A8:A72" si="0">A7+1</f>
        <v>3</v>
      </c>
      <c r="B8" s="1" t="s">
        <v>105</v>
      </c>
      <c r="C8" s="7" t="s">
        <v>106</v>
      </c>
      <c r="D8" s="7" t="s">
        <v>295</v>
      </c>
    </row>
    <row r="9" spans="1:4" ht="15" customHeight="1">
      <c r="A9" s="1">
        <f t="shared" si="0"/>
        <v>4</v>
      </c>
      <c r="B9" s="1" t="s">
        <v>107</v>
      </c>
      <c r="C9" s="7" t="s">
        <v>106</v>
      </c>
      <c r="D9" s="7" t="s">
        <v>295</v>
      </c>
    </row>
    <row r="10" spans="1:4" ht="15" customHeight="1">
      <c r="A10" s="1">
        <f t="shared" si="0"/>
        <v>5</v>
      </c>
      <c r="B10" s="1" t="s">
        <v>55</v>
      </c>
      <c r="C10" s="7" t="s">
        <v>108</v>
      </c>
      <c r="D10" s="7" t="s">
        <v>295</v>
      </c>
    </row>
    <row r="11" spans="1:4" ht="15" customHeight="1">
      <c r="A11" s="1">
        <f t="shared" si="0"/>
        <v>6</v>
      </c>
      <c r="B11" s="1" t="s">
        <v>109</v>
      </c>
      <c r="C11" s="7" t="s">
        <v>110</v>
      </c>
      <c r="D11" s="7" t="s">
        <v>295</v>
      </c>
    </row>
    <row r="12" spans="1:4" ht="15" customHeight="1">
      <c r="A12" s="1">
        <f t="shared" si="0"/>
        <v>7</v>
      </c>
      <c r="B12" s="1" t="s">
        <v>111</v>
      </c>
      <c r="C12" s="7" t="s">
        <v>112</v>
      </c>
      <c r="D12" s="7" t="s">
        <v>295</v>
      </c>
    </row>
    <row r="13" spans="1:4" ht="15" customHeight="1">
      <c r="A13" s="1">
        <f t="shared" si="0"/>
        <v>8</v>
      </c>
      <c r="B13" s="1" t="s">
        <v>113</v>
      </c>
      <c r="C13" s="7" t="s">
        <v>114</v>
      </c>
      <c r="D13" s="7" t="s">
        <v>295</v>
      </c>
    </row>
    <row r="14" spans="1:4" ht="15" customHeight="1">
      <c r="A14" s="1">
        <f t="shared" si="0"/>
        <v>9</v>
      </c>
      <c r="B14" s="1" t="s">
        <v>115</v>
      </c>
      <c r="C14" s="7" t="s">
        <v>116</v>
      </c>
      <c r="D14" s="7" t="s">
        <v>295</v>
      </c>
    </row>
    <row r="15" spans="1:4" ht="15" customHeight="1">
      <c r="A15" s="1">
        <f t="shared" si="0"/>
        <v>10</v>
      </c>
      <c r="B15" s="1" t="s">
        <v>69</v>
      </c>
      <c r="C15" s="7" t="s">
        <v>117</v>
      </c>
      <c r="D15" s="7" t="s">
        <v>295</v>
      </c>
    </row>
    <row r="16" spans="1:4" ht="15" customHeight="1">
      <c r="A16" s="1">
        <f t="shared" si="0"/>
        <v>11</v>
      </c>
      <c r="B16" s="1" t="s">
        <v>118</v>
      </c>
      <c r="C16" s="7" t="s">
        <v>106</v>
      </c>
      <c r="D16" s="7" t="s">
        <v>295</v>
      </c>
    </row>
    <row r="17" spans="1:4" ht="15" customHeight="1">
      <c r="A17" s="1">
        <f t="shared" si="0"/>
        <v>12</v>
      </c>
      <c r="B17" s="1" t="s">
        <v>119</v>
      </c>
      <c r="C17" s="7" t="s">
        <v>120</v>
      </c>
      <c r="D17" s="7" t="s">
        <v>295</v>
      </c>
    </row>
    <row r="18" spans="1:4" ht="15" customHeight="1">
      <c r="A18" s="1">
        <f t="shared" si="0"/>
        <v>13</v>
      </c>
      <c r="B18" s="1" t="s">
        <v>52</v>
      </c>
      <c r="C18" s="7" t="s">
        <v>121</v>
      </c>
      <c r="D18" s="7" t="s">
        <v>295</v>
      </c>
    </row>
    <row r="19" spans="1:4" ht="15" customHeight="1">
      <c r="A19" s="1">
        <f t="shared" si="0"/>
        <v>14</v>
      </c>
      <c r="B19" s="1" t="s">
        <v>122</v>
      </c>
      <c r="C19" s="7" t="s">
        <v>123</v>
      </c>
      <c r="D19" s="7" t="s">
        <v>295</v>
      </c>
    </row>
    <row r="20" spans="1:4" ht="15" customHeight="1">
      <c r="A20" s="1">
        <f t="shared" si="0"/>
        <v>15</v>
      </c>
      <c r="B20" s="1" t="s">
        <v>124</v>
      </c>
      <c r="C20" s="7" t="s">
        <v>125</v>
      </c>
      <c r="D20" s="7" t="s">
        <v>295</v>
      </c>
    </row>
    <row r="21" spans="1:4" ht="15" customHeight="1">
      <c r="A21" s="1">
        <f t="shared" si="0"/>
        <v>16</v>
      </c>
      <c r="B21" s="1" t="s">
        <v>126</v>
      </c>
      <c r="C21" s="7" t="s">
        <v>127</v>
      </c>
      <c r="D21" s="7" t="s">
        <v>295</v>
      </c>
    </row>
    <row r="22" spans="1:4" ht="15" customHeight="1">
      <c r="A22" s="1">
        <f t="shared" si="0"/>
        <v>17</v>
      </c>
      <c r="B22" s="1" t="s">
        <v>128</v>
      </c>
      <c r="C22" s="7" t="s">
        <v>296</v>
      </c>
      <c r="D22" s="7" t="s">
        <v>295</v>
      </c>
    </row>
    <row r="23" spans="1:4" ht="15" customHeight="1">
      <c r="A23" s="1">
        <f t="shared" si="0"/>
        <v>18</v>
      </c>
      <c r="B23" s="1" t="s">
        <v>130</v>
      </c>
      <c r="C23" s="7" t="s">
        <v>131</v>
      </c>
      <c r="D23" s="7" t="s">
        <v>295</v>
      </c>
    </row>
    <row r="24" spans="1:4" ht="15" customHeight="1">
      <c r="A24" s="1">
        <f t="shared" si="0"/>
        <v>19</v>
      </c>
      <c r="B24" s="1" t="s">
        <v>132</v>
      </c>
      <c r="C24" s="7" t="s">
        <v>133</v>
      </c>
      <c r="D24" s="7" t="s">
        <v>295</v>
      </c>
    </row>
    <row r="25" spans="1:4" ht="15" customHeight="1">
      <c r="A25" s="1">
        <f t="shared" si="0"/>
        <v>20</v>
      </c>
      <c r="B25" s="1" t="s">
        <v>134</v>
      </c>
      <c r="C25" s="7" t="s">
        <v>135</v>
      </c>
      <c r="D25" s="7" t="s">
        <v>295</v>
      </c>
    </row>
    <row r="26" spans="1:4" ht="15" customHeight="1">
      <c r="A26" s="1">
        <f t="shared" si="0"/>
        <v>21</v>
      </c>
      <c r="B26" s="1" t="s">
        <v>136</v>
      </c>
      <c r="C26" s="7" t="s">
        <v>137</v>
      </c>
      <c r="D26" s="7" t="s">
        <v>295</v>
      </c>
    </row>
    <row r="27" spans="1:4" ht="15" customHeight="1">
      <c r="A27" s="1">
        <f t="shared" si="0"/>
        <v>22</v>
      </c>
      <c r="B27" s="1" t="s">
        <v>138</v>
      </c>
      <c r="C27" s="7" t="s">
        <v>139</v>
      </c>
      <c r="D27" s="7" t="s">
        <v>295</v>
      </c>
    </row>
    <row r="28" spans="1:4" ht="15" customHeight="1">
      <c r="A28" s="1">
        <f t="shared" si="0"/>
        <v>23</v>
      </c>
      <c r="B28" s="1" t="s">
        <v>140</v>
      </c>
      <c r="C28" s="7" t="s">
        <v>141</v>
      </c>
      <c r="D28" s="7" t="s">
        <v>295</v>
      </c>
    </row>
    <row r="29" spans="1:4" ht="15" customHeight="1">
      <c r="A29" s="1">
        <f t="shared" si="0"/>
        <v>24</v>
      </c>
      <c r="B29" s="1" t="s">
        <v>226</v>
      </c>
      <c r="C29" s="7" t="s">
        <v>258</v>
      </c>
      <c r="D29" s="7" t="s">
        <v>258</v>
      </c>
    </row>
    <row r="30" spans="1:4" ht="15" customHeight="1">
      <c r="A30" s="1">
        <f t="shared" si="0"/>
        <v>25</v>
      </c>
      <c r="B30" s="1" t="s">
        <v>227</v>
      </c>
      <c r="C30" s="7" t="s">
        <v>297</v>
      </c>
      <c r="D30" s="7" t="s">
        <v>258</v>
      </c>
    </row>
    <row r="31" spans="1:4" ht="15" customHeight="1">
      <c r="A31" s="1">
        <f>A30+1</f>
        <v>26</v>
      </c>
      <c r="B31" s="27" t="s">
        <v>228</v>
      </c>
      <c r="C31" s="7" t="s">
        <v>229</v>
      </c>
      <c r="D31" s="7" t="s">
        <v>258</v>
      </c>
    </row>
    <row r="32" spans="1:4" ht="15" customHeight="1">
      <c r="A32" s="1">
        <f>A31+1</f>
        <v>27</v>
      </c>
      <c r="B32" s="1" t="s">
        <v>158</v>
      </c>
      <c r="C32" s="7" t="s">
        <v>298</v>
      </c>
      <c r="D32" s="7" t="s">
        <v>299</v>
      </c>
    </row>
    <row r="33" spans="1:4" ht="15" customHeight="1">
      <c r="A33" s="1">
        <f t="shared" si="0"/>
        <v>28</v>
      </c>
      <c r="B33" s="1" t="s">
        <v>159</v>
      </c>
      <c r="C33" s="7" t="s">
        <v>300</v>
      </c>
      <c r="D33" s="7" t="s">
        <v>299</v>
      </c>
    </row>
    <row r="34" spans="1:4" ht="15" customHeight="1">
      <c r="A34" s="1">
        <f t="shared" si="0"/>
        <v>29</v>
      </c>
      <c r="B34" s="1" t="s">
        <v>160</v>
      </c>
      <c r="C34" s="141" t="s">
        <v>301</v>
      </c>
      <c r="D34" s="7" t="s">
        <v>299</v>
      </c>
    </row>
    <row r="35" spans="1:4" ht="15" customHeight="1">
      <c r="A35" s="1">
        <f t="shared" si="0"/>
        <v>30</v>
      </c>
      <c r="B35" s="1" t="s">
        <v>222</v>
      </c>
      <c r="C35" s="7" t="s">
        <v>221</v>
      </c>
      <c r="D35" s="7" t="s">
        <v>221</v>
      </c>
    </row>
    <row r="36" spans="1:4" ht="15" customHeight="1">
      <c r="A36" s="1">
        <f t="shared" si="0"/>
        <v>31</v>
      </c>
      <c r="B36" s="1" t="s">
        <v>223</v>
      </c>
      <c r="C36" s="7" t="s">
        <v>221</v>
      </c>
      <c r="D36" s="7" t="s">
        <v>221</v>
      </c>
    </row>
    <row r="37" spans="1:4" ht="15" customHeight="1">
      <c r="A37" s="1">
        <f t="shared" si="0"/>
        <v>32</v>
      </c>
      <c r="B37" s="1" t="s">
        <v>148</v>
      </c>
      <c r="C37" s="7" t="s">
        <v>302</v>
      </c>
      <c r="D37" s="7" t="s">
        <v>303</v>
      </c>
    </row>
    <row r="38" spans="1:4" ht="15" customHeight="1">
      <c r="A38" s="1">
        <f t="shared" si="0"/>
        <v>33</v>
      </c>
      <c r="B38" s="1" t="s">
        <v>149</v>
      </c>
      <c r="C38" s="7" t="s">
        <v>304</v>
      </c>
      <c r="D38" s="7" t="s">
        <v>303</v>
      </c>
    </row>
    <row r="39" spans="1:4" ht="15" customHeight="1">
      <c r="A39" s="1">
        <f t="shared" si="0"/>
        <v>34</v>
      </c>
      <c r="B39" s="1" t="s">
        <v>150</v>
      </c>
      <c r="C39" s="7" t="s">
        <v>304</v>
      </c>
      <c r="D39" s="7" t="s">
        <v>303</v>
      </c>
    </row>
    <row r="40" spans="1:4" ht="15" customHeight="1">
      <c r="A40" s="1">
        <f t="shared" si="0"/>
        <v>35</v>
      </c>
      <c r="B40" s="1" t="s">
        <v>151</v>
      </c>
      <c r="C40" s="7" t="s">
        <v>305</v>
      </c>
      <c r="D40" s="7" t="s">
        <v>303</v>
      </c>
    </row>
    <row r="41" spans="1:4" ht="15" customHeight="1">
      <c r="A41" s="1">
        <f t="shared" si="0"/>
        <v>36</v>
      </c>
      <c r="B41" s="1" t="s">
        <v>152</v>
      </c>
      <c r="C41" s="7" t="s">
        <v>305</v>
      </c>
      <c r="D41" s="7" t="s">
        <v>303</v>
      </c>
    </row>
    <row r="42" spans="1:4" ht="15" customHeight="1">
      <c r="A42" s="1">
        <f t="shared" si="0"/>
        <v>37</v>
      </c>
      <c r="B42" s="1" t="s">
        <v>153</v>
      </c>
      <c r="C42" s="7" t="s">
        <v>306</v>
      </c>
      <c r="D42" s="7" t="s">
        <v>303</v>
      </c>
    </row>
    <row r="43" spans="1:4" ht="15" customHeight="1">
      <c r="A43" s="1">
        <f t="shared" si="0"/>
        <v>38</v>
      </c>
      <c r="B43" s="1" t="s">
        <v>154</v>
      </c>
      <c r="C43" s="7" t="s">
        <v>306</v>
      </c>
      <c r="D43" s="7" t="s">
        <v>303</v>
      </c>
    </row>
    <row r="44" spans="1:4" ht="15" customHeight="1">
      <c r="A44" s="1">
        <f t="shared" si="0"/>
        <v>39</v>
      </c>
      <c r="B44" s="1" t="s">
        <v>179</v>
      </c>
      <c r="C44" s="7" t="s">
        <v>307</v>
      </c>
      <c r="D44" s="7" t="s">
        <v>308</v>
      </c>
    </row>
    <row r="45" spans="1:4" ht="15" customHeight="1">
      <c r="A45" s="1">
        <f t="shared" si="0"/>
        <v>40</v>
      </c>
      <c r="B45" s="1" t="s">
        <v>180</v>
      </c>
      <c r="C45" s="7" t="s">
        <v>309</v>
      </c>
      <c r="D45" s="7" t="s">
        <v>308</v>
      </c>
    </row>
    <row r="46" spans="1:4" ht="15" customHeight="1">
      <c r="A46" s="1">
        <f t="shared" si="0"/>
        <v>41</v>
      </c>
      <c r="B46" s="1" t="s">
        <v>181</v>
      </c>
      <c r="C46" s="7" t="s">
        <v>309</v>
      </c>
      <c r="D46" s="7" t="s">
        <v>308</v>
      </c>
    </row>
    <row r="47" spans="1:4" ht="15" customHeight="1">
      <c r="A47" s="1">
        <f t="shared" si="0"/>
        <v>42</v>
      </c>
      <c r="B47" s="1" t="s">
        <v>182</v>
      </c>
      <c r="C47" s="7" t="s">
        <v>310</v>
      </c>
      <c r="D47" s="7" t="s">
        <v>308</v>
      </c>
    </row>
    <row r="48" spans="1:4" ht="15" customHeight="1">
      <c r="A48" s="1">
        <f t="shared" si="0"/>
        <v>43</v>
      </c>
      <c r="B48" s="1" t="s">
        <v>183</v>
      </c>
      <c r="C48" s="7" t="s">
        <v>310</v>
      </c>
      <c r="D48" s="7" t="s">
        <v>308</v>
      </c>
    </row>
    <row r="49" spans="1:4" ht="15" customHeight="1">
      <c r="A49" s="1">
        <f t="shared" si="0"/>
        <v>44</v>
      </c>
      <c r="B49" s="1" t="s">
        <v>184</v>
      </c>
      <c r="C49" s="7" t="s">
        <v>311</v>
      </c>
      <c r="D49" s="7" t="s">
        <v>308</v>
      </c>
    </row>
    <row r="50" spans="1:4" ht="15" customHeight="1">
      <c r="A50" s="1">
        <f t="shared" si="0"/>
        <v>45</v>
      </c>
      <c r="B50" s="1" t="s">
        <v>185</v>
      </c>
      <c r="C50" s="7" t="s">
        <v>311</v>
      </c>
      <c r="D50" s="7" t="s">
        <v>308</v>
      </c>
    </row>
    <row r="51" spans="1:4" ht="15" customHeight="1">
      <c r="A51" s="1">
        <f t="shared" si="0"/>
        <v>46</v>
      </c>
      <c r="B51" s="1" t="s">
        <v>186</v>
      </c>
      <c r="C51" s="7" t="s">
        <v>310</v>
      </c>
      <c r="D51" s="7" t="s">
        <v>308</v>
      </c>
    </row>
    <row r="52" spans="1:4" ht="15" customHeight="1">
      <c r="A52" s="1">
        <f t="shared" si="0"/>
        <v>47</v>
      </c>
      <c r="B52" s="1" t="s">
        <v>187</v>
      </c>
      <c r="C52" s="7" t="s">
        <v>310</v>
      </c>
      <c r="D52" s="7" t="s">
        <v>308</v>
      </c>
    </row>
    <row r="53" spans="1:4" ht="15" customHeight="1">
      <c r="A53" s="1">
        <f t="shared" si="0"/>
        <v>48</v>
      </c>
      <c r="B53" s="1" t="s">
        <v>188</v>
      </c>
      <c r="C53" s="7" t="s">
        <v>312</v>
      </c>
      <c r="D53" s="7" t="s">
        <v>308</v>
      </c>
    </row>
    <row r="54" spans="1:4" ht="15" customHeight="1">
      <c r="A54" s="1">
        <f t="shared" si="0"/>
        <v>49</v>
      </c>
      <c r="B54" s="1" t="s">
        <v>189</v>
      </c>
      <c r="C54" s="7" t="s">
        <v>312</v>
      </c>
      <c r="D54" s="7" t="s">
        <v>308</v>
      </c>
    </row>
    <row r="55" spans="1:4" ht="15" customHeight="1">
      <c r="A55" s="1">
        <f t="shared" si="0"/>
        <v>50</v>
      </c>
      <c r="B55" s="1" t="s">
        <v>190</v>
      </c>
      <c r="C55" s="7" t="s">
        <v>310</v>
      </c>
      <c r="D55" s="7" t="s">
        <v>308</v>
      </c>
    </row>
    <row r="56" spans="1:4" ht="15" customHeight="1">
      <c r="A56" s="1">
        <f t="shared" si="0"/>
        <v>51</v>
      </c>
      <c r="B56" s="1" t="s">
        <v>191</v>
      </c>
      <c r="C56" s="7" t="s">
        <v>313</v>
      </c>
      <c r="D56" s="7" t="s">
        <v>308</v>
      </c>
    </row>
    <row r="57" spans="1:4" ht="15" customHeight="1">
      <c r="A57" s="1">
        <f t="shared" si="0"/>
        <v>52</v>
      </c>
      <c r="B57" s="1" t="s">
        <v>192</v>
      </c>
      <c r="C57" s="7" t="s">
        <v>310</v>
      </c>
      <c r="D57" s="7" t="s">
        <v>308</v>
      </c>
    </row>
    <row r="58" spans="1:4" ht="15" customHeight="1">
      <c r="A58" s="1">
        <f t="shared" si="0"/>
        <v>53</v>
      </c>
      <c r="B58" s="1" t="s">
        <v>193</v>
      </c>
      <c r="C58" s="7" t="s">
        <v>310</v>
      </c>
      <c r="D58" s="7" t="s">
        <v>308</v>
      </c>
    </row>
    <row r="59" spans="1:4" ht="15" customHeight="1">
      <c r="A59" s="1">
        <f t="shared" si="0"/>
        <v>54</v>
      </c>
      <c r="B59" s="1" t="s">
        <v>194</v>
      </c>
      <c r="C59" s="7" t="s">
        <v>310</v>
      </c>
      <c r="D59" s="7" t="s">
        <v>308</v>
      </c>
    </row>
    <row r="60" spans="1:4" ht="15" customHeight="1">
      <c r="A60" s="1">
        <f t="shared" si="0"/>
        <v>55</v>
      </c>
      <c r="B60" s="1" t="s">
        <v>195</v>
      </c>
      <c r="C60" s="7" t="s">
        <v>309</v>
      </c>
      <c r="D60" s="7" t="s">
        <v>308</v>
      </c>
    </row>
    <row r="61" spans="1:4" ht="15" customHeight="1">
      <c r="A61" s="1">
        <f t="shared" si="0"/>
        <v>56</v>
      </c>
      <c r="B61" s="1" t="s">
        <v>196</v>
      </c>
      <c r="C61" s="7" t="s">
        <v>313</v>
      </c>
      <c r="D61" s="7" t="s">
        <v>308</v>
      </c>
    </row>
    <row r="62" spans="1:4" ht="15" customHeight="1">
      <c r="A62" s="1">
        <f t="shared" si="0"/>
        <v>57</v>
      </c>
      <c r="B62" s="1" t="s">
        <v>197</v>
      </c>
      <c r="C62" s="7" t="s">
        <v>311</v>
      </c>
      <c r="D62" s="7" t="s">
        <v>308</v>
      </c>
    </row>
    <row r="63" spans="1:4" ht="15" customHeight="1">
      <c r="A63" s="1">
        <f t="shared" si="0"/>
        <v>58</v>
      </c>
      <c r="B63" s="1" t="s">
        <v>198</v>
      </c>
      <c r="C63" s="7" t="s">
        <v>311</v>
      </c>
      <c r="D63" s="7" t="s">
        <v>308</v>
      </c>
    </row>
    <row r="64" spans="1:4" ht="15" customHeight="1">
      <c r="A64" s="1">
        <f t="shared" si="0"/>
        <v>59</v>
      </c>
      <c r="B64" s="1" t="s">
        <v>199</v>
      </c>
      <c r="C64" s="7" t="s">
        <v>314</v>
      </c>
      <c r="D64" s="7" t="s">
        <v>308</v>
      </c>
    </row>
    <row r="65" spans="1:4" ht="15" customHeight="1">
      <c r="A65" s="1">
        <f t="shared" si="0"/>
        <v>60</v>
      </c>
      <c r="B65" s="1" t="s">
        <v>200</v>
      </c>
      <c r="C65" s="7" t="s">
        <v>310</v>
      </c>
      <c r="D65" s="7" t="s">
        <v>308</v>
      </c>
    </row>
    <row r="66" spans="1:4" ht="15" customHeight="1">
      <c r="A66" s="1">
        <f t="shared" si="0"/>
        <v>61</v>
      </c>
      <c r="B66" s="1" t="s">
        <v>201</v>
      </c>
      <c r="C66" s="7" t="s">
        <v>315</v>
      </c>
      <c r="D66" s="7" t="s">
        <v>308</v>
      </c>
    </row>
    <row r="67" spans="1:4" ht="15" customHeight="1">
      <c r="A67" s="1">
        <f t="shared" si="0"/>
        <v>62</v>
      </c>
      <c r="B67" s="1" t="s">
        <v>202</v>
      </c>
      <c r="C67" s="7" t="s">
        <v>316</v>
      </c>
      <c r="D67" s="7" t="s">
        <v>308</v>
      </c>
    </row>
    <row r="68" spans="1:4" ht="15" customHeight="1">
      <c r="A68" s="1">
        <f t="shared" si="0"/>
        <v>63</v>
      </c>
      <c r="B68" s="1" t="s">
        <v>203</v>
      </c>
      <c r="C68" s="7" t="s">
        <v>255</v>
      </c>
      <c r="D68" s="7" t="s">
        <v>308</v>
      </c>
    </row>
    <row r="69" spans="1:4" ht="15" customHeight="1">
      <c r="A69" s="1">
        <f t="shared" si="0"/>
        <v>64</v>
      </c>
      <c r="B69" s="1" t="s">
        <v>204</v>
      </c>
      <c r="C69" s="7" t="s">
        <v>257</v>
      </c>
      <c r="D69" s="7" t="s">
        <v>308</v>
      </c>
    </row>
    <row r="70" spans="1:4" ht="15" customHeight="1">
      <c r="A70" s="1">
        <f t="shared" si="0"/>
        <v>65</v>
      </c>
      <c r="B70" s="1" t="s">
        <v>205</v>
      </c>
      <c r="C70" s="7" t="s">
        <v>316</v>
      </c>
      <c r="D70" s="7" t="s">
        <v>308</v>
      </c>
    </row>
    <row r="71" spans="1:4" ht="15" customHeight="1">
      <c r="A71" s="1">
        <f t="shared" si="0"/>
        <v>66</v>
      </c>
      <c r="B71" s="1" t="s">
        <v>206</v>
      </c>
      <c r="C71" s="7" t="s">
        <v>317</v>
      </c>
      <c r="D71" s="7" t="s">
        <v>308</v>
      </c>
    </row>
    <row r="72" spans="1:4" ht="15" customHeight="1">
      <c r="A72" s="1">
        <f t="shared" si="0"/>
        <v>67</v>
      </c>
      <c r="B72" s="1" t="s">
        <v>207</v>
      </c>
      <c r="C72" s="7" t="s">
        <v>318</v>
      </c>
      <c r="D72" s="7" t="s">
        <v>308</v>
      </c>
    </row>
    <row r="73" spans="1:4" ht="15" customHeight="1">
      <c r="A73" s="1">
        <f t="shared" ref="A73:A103" si="1">A72+1</f>
        <v>68</v>
      </c>
      <c r="B73" s="1" t="s">
        <v>208</v>
      </c>
      <c r="C73" s="7" t="s">
        <v>318</v>
      </c>
      <c r="D73" s="7" t="s">
        <v>308</v>
      </c>
    </row>
    <row r="74" spans="1:4" ht="15" customHeight="1">
      <c r="A74" s="1">
        <f t="shared" si="1"/>
        <v>69</v>
      </c>
      <c r="B74" s="1" t="s">
        <v>209</v>
      </c>
      <c r="C74" s="7" t="s">
        <v>318</v>
      </c>
      <c r="D74" s="7" t="s">
        <v>308</v>
      </c>
    </row>
    <row r="75" spans="1:4" ht="15" customHeight="1">
      <c r="A75" s="1">
        <f t="shared" si="1"/>
        <v>70</v>
      </c>
      <c r="B75" s="1" t="s">
        <v>210</v>
      </c>
      <c r="C75" s="7" t="s">
        <v>318</v>
      </c>
      <c r="D75" s="7" t="s">
        <v>308</v>
      </c>
    </row>
    <row r="76" spans="1:4" ht="15" customHeight="1">
      <c r="A76" s="1">
        <f t="shared" si="1"/>
        <v>71</v>
      </c>
      <c r="B76" s="1" t="s">
        <v>211</v>
      </c>
      <c r="C76" s="7" t="s">
        <v>318</v>
      </c>
      <c r="D76" s="7" t="s">
        <v>308</v>
      </c>
    </row>
    <row r="77" spans="1:4" ht="15" customHeight="1">
      <c r="A77" s="1">
        <f t="shared" si="1"/>
        <v>72</v>
      </c>
      <c r="B77" s="1" t="s">
        <v>212</v>
      </c>
      <c r="C77" s="7" t="s">
        <v>256</v>
      </c>
      <c r="D77" s="7" t="s">
        <v>308</v>
      </c>
    </row>
    <row r="78" spans="1:4" ht="15" customHeight="1">
      <c r="A78" s="1">
        <f t="shared" si="1"/>
        <v>73</v>
      </c>
      <c r="B78" s="1" t="s">
        <v>213</v>
      </c>
      <c r="C78" s="7" t="s">
        <v>316</v>
      </c>
      <c r="D78" s="7" t="s">
        <v>308</v>
      </c>
    </row>
    <row r="79" spans="1:4" ht="15" customHeight="1">
      <c r="A79" s="1">
        <f t="shared" si="1"/>
        <v>74</v>
      </c>
      <c r="B79" s="1" t="s">
        <v>214</v>
      </c>
      <c r="C79" s="7" t="s">
        <v>318</v>
      </c>
      <c r="D79" s="7" t="s">
        <v>308</v>
      </c>
    </row>
    <row r="80" spans="1:4" ht="15" customHeight="1">
      <c r="A80" s="1">
        <f t="shared" si="1"/>
        <v>75</v>
      </c>
      <c r="B80" s="1" t="s">
        <v>215</v>
      </c>
      <c r="C80" s="7" t="s">
        <v>257</v>
      </c>
      <c r="D80" s="7" t="s">
        <v>308</v>
      </c>
    </row>
    <row r="81" spans="1:5" ht="15" customHeight="1">
      <c r="A81" s="1">
        <f t="shared" si="1"/>
        <v>76</v>
      </c>
      <c r="B81" s="1" t="s">
        <v>216</v>
      </c>
      <c r="C81" s="7" t="s">
        <v>315</v>
      </c>
      <c r="D81" s="7" t="s">
        <v>308</v>
      </c>
    </row>
    <row r="82" spans="1:5" ht="15" customHeight="1">
      <c r="A82" s="1">
        <f t="shared" si="1"/>
        <v>77</v>
      </c>
      <c r="B82" s="1" t="s">
        <v>217</v>
      </c>
      <c r="C82" s="7" t="s">
        <v>255</v>
      </c>
      <c r="D82" s="7" t="s">
        <v>308</v>
      </c>
    </row>
    <row r="83" spans="1:5" ht="15" customHeight="1">
      <c r="A83" s="1">
        <f t="shared" si="1"/>
        <v>78</v>
      </c>
      <c r="B83" s="1" t="s">
        <v>218</v>
      </c>
      <c r="C83" s="7" t="s">
        <v>316</v>
      </c>
      <c r="D83" s="7" t="s">
        <v>308</v>
      </c>
    </row>
    <row r="84" spans="1:5" ht="15" customHeight="1">
      <c r="A84" s="1">
        <f t="shared" si="1"/>
        <v>79</v>
      </c>
      <c r="B84" s="1" t="s">
        <v>219</v>
      </c>
      <c r="C84" s="7" t="s">
        <v>318</v>
      </c>
      <c r="D84" s="7" t="s">
        <v>308</v>
      </c>
      <c r="E84" s="259"/>
    </row>
    <row r="85" spans="1:5" ht="15" customHeight="1">
      <c r="A85" s="1">
        <f t="shared" si="1"/>
        <v>80</v>
      </c>
      <c r="B85" s="1" t="s">
        <v>161</v>
      </c>
      <c r="C85" s="141" t="s">
        <v>319</v>
      </c>
      <c r="D85" s="7" t="s">
        <v>299</v>
      </c>
    </row>
    <row r="86" spans="1:5" ht="15" customHeight="1">
      <c r="A86" s="1">
        <f t="shared" si="1"/>
        <v>81</v>
      </c>
      <c r="B86" s="1" t="s">
        <v>162</v>
      </c>
      <c r="C86" s="141" t="s">
        <v>319</v>
      </c>
      <c r="D86" s="7" t="s">
        <v>299</v>
      </c>
    </row>
    <row r="87" spans="1:5" ht="15" customHeight="1">
      <c r="A87" s="1">
        <f t="shared" si="1"/>
        <v>82</v>
      </c>
      <c r="B87" s="1" t="s">
        <v>163</v>
      </c>
      <c r="C87" s="7" t="s">
        <v>320</v>
      </c>
      <c r="D87" s="7" t="s">
        <v>299</v>
      </c>
    </row>
    <row r="88" spans="1:5" ht="15" customHeight="1">
      <c r="A88" s="1">
        <f t="shared" si="1"/>
        <v>83</v>
      </c>
      <c r="B88" s="1" t="s">
        <v>321</v>
      </c>
      <c r="C88" s="7" t="s">
        <v>322</v>
      </c>
      <c r="D88" s="7" t="s">
        <v>299</v>
      </c>
    </row>
    <row r="89" spans="1:5" ht="15" customHeight="1">
      <c r="A89" s="1">
        <f t="shared" si="1"/>
        <v>84</v>
      </c>
      <c r="B89" s="1" t="s">
        <v>165</v>
      </c>
      <c r="C89" s="7" t="s">
        <v>323</v>
      </c>
      <c r="D89" s="7" t="s">
        <v>299</v>
      </c>
    </row>
    <row r="90" spans="1:5" ht="15" customHeight="1">
      <c r="A90" s="1">
        <f t="shared" si="1"/>
        <v>85</v>
      </c>
      <c r="B90" s="1" t="s">
        <v>166</v>
      </c>
      <c r="C90" s="7" t="s">
        <v>324</v>
      </c>
      <c r="D90" s="7" t="s">
        <v>299</v>
      </c>
    </row>
    <row r="91" spans="1:5" ht="15" customHeight="1">
      <c r="A91" s="1">
        <f t="shared" si="1"/>
        <v>86</v>
      </c>
      <c r="B91" s="1" t="s">
        <v>167</v>
      </c>
      <c r="C91" s="7" t="s">
        <v>325</v>
      </c>
      <c r="D91" s="7" t="s">
        <v>299</v>
      </c>
    </row>
    <row r="92" spans="1:5" ht="15" customHeight="1">
      <c r="A92" s="1">
        <f t="shared" si="1"/>
        <v>87</v>
      </c>
      <c r="B92" s="1" t="s">
        <v>168</v>
      </c>
      <c r="C92" s="7" t="s">
        <v>326</v>
      </c>
      <c r="D92" s="7" t="s">
        <v>299</v>
      </c>
    </row>
    <row r="93" spans="1:5" ht="15" customHeight="1">
      <c r="A93" s="1">
        <f t="shared" si="1"/>
        <v>88</v>
      </c>
      <c r="B93" s="1" t="s">
        <v>169</v>
      </c>
      <c r="C93" s="7" t="s">
        <v>327</v>
      </c>
      <c r="D93" s="7" t="s">
        <v>299</v>
      </c>
    </row>
    <row r="94" spans="1:5" ht="15" customHeight="1">
      <c r="A94" s="1">
        <f t="shared" si="1"/>
        <v>89</v>
      </c>
      <c r="B94" s="1" t="s">
        <v>170</v>
      </c>
      <c r="C94" s="7" t="s">
        <v>327</v>
      </c>
      <c r="D94" s="7" t="s">
        <v>299</v>
      </c>
    </row>
    <row r="95" spans="1:5" ht="15" customHeight="1">
      <c r="A95" s="1">
        <f t="shared" si="1"/>
        <v>90</v>
      </c>
      <c r="B95" s="1" t="s">
        <v>171</v>
      </c>
      <c r="C95" s="7" t="s">
        <v>328</v>
      </c>
      <c r="D95" s="7" t="s">
        <v>299</v>
      </c>
    </row>
    <row r="96" spans="1:5" ht="15" customHeight="1">
      <c r="A96" s="1">
        <f t="shared" si="1"/>
        <v>91</v>
      </c>
      <c r="B96" s="1" t="s">
        <v>172</v>
      </c>
      <c r="C96" s="7" t="s">
        <v>329</v>
      </c>
      <c r="D96" s="7" t="s">
        <v>299</v>
      </c>
    </row>
    <row r="97" spans="1:4" ht="15" customHeight="1">
      <c r="A97" s="1">
        <f t="shared" si="1"/>
        <v>92</v>
      </c>
      <c r="B97" s="1" t="s">
        <v>173</v>
      </c>
      <c r="C97" s="7" t="s">
        <v>330</v>
      </c>
      <c r="D97" s="7" t="s">
        <v>299</v>
      </c>
    </row>
    <row r="98" spans="1:4" ht="15" customHeight="1">
      <c r="A98" s="1">
        <f t="shared" si="1"/>
        <v>93</v>
      </c>
      <c r="B98" s="1" t="s">
        <v>174</v>
      </c>
      <c r="C98" s="7" t="s">
        <v>330</v>
      </c>
      <c r="D98" s="7" t="s">
        <v>299</v>
      </c>
    </row>
    <row r="99" spans="1:4" ht="15" customHeight="1">
      <c r="A99" s="1">
        <f t="shared" si="1"/>
        <v>94</v>
      </c>
      <c r="B99" s="1" t="s">
        <v>175</v>
      </c>
      <c r="C99" s="7" t="s">
        <v>331</v>
      </c>
      <c r="D99" s="7" t="s">
        <v>299</v>
      </c>
    </row>
    <row r="100" spans="1:4" ht="15" customHeight="1">
      <c r="A100" s="1">
        <f t="shared" si="1"/>
        <v>95</v>
      </c>
      <c r="B100" s="1" t="s">
        <v>176</v>
      </c>
      <c r="C100" s="7" t="s">
        <v>319</v>
      </c>
      <c r="D100" s="7" t="s">
        <v>299</v>
      </c>
    </row>
    <row r="101" spans="1:4" ht="15" customHeight="1">
      <c r="A101" s="1">
        <f t="shared" si="1"/>
        <v>96</v>
      </c>
    </row>
    <row r="102" spans="1:4" ht="15" customHeight="1">
      <c r="A102" s="1">
        <f t="shared" si="1"/>
        <v>97</v>
      </c>
    </row>
    <row r="103" spans="1:4" ht="15" customHeight="1">
      <c r="A103" s="1">
        <f t="shared" si="1"/>
        <v>98</v>
      </c>
    </row>
  </sheetData>
  <sortState ref="B7:D100">
    <sortCondition ref="B7:B100"/>
  </sortState>
  <mergeCells count="3">
    <mergeCell ref="A1:D1"/>
    <mergeCell ref="A2:D2"/>
    <mergeCell ref="A3:D3"/>
  </mergeCells>
  <printOptions horizontalCentered="1"/>
  <pageMargins left="0.7" right="0.7" top="0.75" bottom="0.75" header="0.3" footer="0.3"/>
  <pageSetup scale="97" orientation="portrait" verticalDpi="1200" r:id="rId1"/>
  <headerFooter>
    <oddHeader>&amp;R&amp;"Times New Roman,Regular"&amp;10&amp;A</oddHeader>
    <oddFooter xml:space="preserve">&amp;R&amp;6Case No. 2022-00432
Bluegrass Water’s Response to PSC 2-17
Exhibit PSC 2-1&amp;8 7
</oddFooter>
  </headerFooter>
  <rowBreaks count="1" manualBreakCount="1">
    <brk id="104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70"/>
  <sheetViews>
    <sheetView showGridLines="0" view="pageLayout" topLeftCell="G31" zoomScaleNormal="100" zoomScaleSheetLayoutView="110" workbookViewId="0">
      <selection activeCell="O39" sqref="O39"/>
    </sheetView>
  </sheetViews>
  <sheetFormatPr defaultColWidth="9.140625" defaultRowHeight="15" customHeight="1"/>
  <cols>
    <col min="1" max="1" width="10.5703125" style="1" customWidth="1"/>
    <col min="2" max="2" width="37.85546875" style="7" customWidth="1"/>
    <col min="3" max="3" width="20.7109375" style="7" customWidth="1"/>
    <col min="4" max="4" width="65" style="12" bestFit="1" customWidth="1"/>
    <col min="5" max="5" width="10.42578125" style="12" customWidth="1"/>
    <col min="6" max="6" width="11.85546875" style="12" bestFit="1" customWidth="1"/>
    <col min="7" max="7" width="13.5703125" style="12" bestFit="1" customWidth="1"/>
    <col min="8" max="8" width="11.85546875" style="12" bestFit="1" customWidth="1"/>
    <col min="9" max="16384" width="9.140625" style="12"/>
  </cols>
  <sheetData>
    <row r="1" spans="1:11" ht="15" customHeight="1">
      <c r="A1" s="262" t="e">
        <f>#REF!</f>
        <v>#REF!</v>
      </c>
      <c r="B1" s="262"/>
      <c r="C1" s="262"/>
      <c r="D1" s="183"/>
    </row>
    <row r="2" spans="1:11" ht="15" customHeight="1">
      <c r="A2" s="262" t="e">
        <f>#REF!</f>
        <v>#REF!</v>
      </c>
      <c r="B2" s="262"/>
      <c r="C2" s="262"/>
      <c r="D2" s="183"/>
    </row>
    <row r="3" spans="1:11" ht="15" customHeight="1">
      <c r="A3" s="262" t="s">
        <v>420</v>
      </c>
      <c r="B3" s="262"/>
      <c r="C3" s="262"/>
      <c r="D3" s="183"/>
    </row>
    <row r="4" spans="1:11" ht="15" customHeight="1">
      <c r="A4" s="263" t="e">
        <f>#REF!</f>
        <v>#REF!</v>
      </c>
      <c r="B4" s="263"/>
      <c r="C4" s="263"/>
      <c r="D4" s="183"/>
    </row>
    <row r="5" spans="1:11" ht="25.5">
      <c r="A5" s="11" t="s">
        <v>3</v>
      </c>
      <c r="B5" s="11" t="s">
        <v>4</v>
      </c>
      <c r="C5" s="11" t="s">
        <v>5</v>
      </c>
      <c r="D5" s="183"/>
    </row>
    <row r="6" spans="1:11" ht="15" customHeight="1">
      <c r="A6" s="2" t="s">
        <v>6</v>
      </c>
      <c r="B6" s="2" t="s">
        <v>7</v>
      </c>
      <c r="C6" s="3" t="s">
        <v>8</v>
      </c>
      <c r="D6" s="183"/>
    </row>
    <row r="7" spans="1:11" ht="15" customHeight="1">
      <c r="A7" s="1">
        <v>1</v>
      </c>
      <c r="C7" s="16"/>
      <c r="D7" s="183"/>
    </row>
    <row r="8" spans="1:11" ht="15" customHeight="1">
      <c r="A8" s="1">
        <f>A7+1</f>
        <v>2</v>
      </c>
      <c r="B8" s="17" t="s">
        <v>9</v>
      </c>
      <c r="C8" s="51">
        <f>'BT-14'!$E$29</f>
        <v>6388067.7277540974</v>
      </c>
      <c r="D8" s="183"/>
      <c r="F8" s="37"/>
      <c r="G8" s="37"/>
      <c r="H8" s="45"/>
    </row>
    <row r="9" spans="1:11" ht="15" customHeight="1">
      <c r="A9" s="1">
        <f t="shared" ref="A9:A34" si="0">A8+1</f>
        <v>3</v>
      </c>
      <c r="B9" s="17"/>
      <c r="C9" s="51"/>
      <c r="D9" s="183"/>
      <c r="K9" s="37"/>
    </row>
    <row r="10" spans="1:11" ht="15" customHeight="1">
      <c r="A10" s="1">
        <f t="shared" si="0"/>
        <v>4</v>
      </c>
      <c r="B10" s="17" t="s">
        <v>10</v>
      </c>
      <c r="C10" s="132">
        <f>'BT-2'!$E$17</f>
        <v>-503385.26215222897</v>
      </c>
      <c r="D10" s="183"/>
      <c r="H10" s="45"/>
      <c r="K10" s="37"/>
    </row>
    <row r="11" spans="1:11" ht="15" customHeight="1">
      <c r="A11" s="1">
        <f t="shared" si="0"/>
        <v>5</v>
      </c>
      <c r="B11" s="17"/>
      <c r="C11" s="133"/>
      <c r="D11" s="183"/>
    </row>
    <row r="12" spans="1:11" ht="15" customHeight="1">
      <c r="A12" s="1">
        <f t="shared" si="0"/>
        <v>6</v>
      </c>
      <c r="B12" s="17" t="s">
        <v>11</v>
      </c>
      <c r="C12" s="62">
        <f>IFERROR(C10/C8,0)</f>
        <v>-7.8800864925896469E-2</v>
      </c>
      <c r="D12" s="183"/>
    </row>
    <row r="13" spans="1:11" ht="15" customHeight="1">
      <c r="A13" s="1">
        <f t="shared" si="0"/>
        <v>7</v>
      </c>
      <c r="B13" s="17"/>
      <c r="C13" s="65"/>
      <c r="D13" s="183"/>
    </row>
    <row r="14" spans="1:11" ht="15" customHeight="1">
      <c r="A14" s="1">
        <f t="shared" si="0"/>
        <v>8</v>
      </c>
      <c r="B14" s="17" t="s">
        <v>12</v>
      </c>
      <c r="C14" s="64" t="e">
        <f>#REF!</f>
        <v>#REF!</v>
      </c>
      <c r="D14" s="183"/>
    </row>
    <row r="15" spans="1:11" ht="15" customHeight="1">
      <c r="A15" s="1">
        <f t="shared" si="0"/>
        <v>9</v>
      </c>
      <c r="B15" s="17"/>
      <c r="C15" s="65"/>
      <c r="D15" s="183"/>
    </row>
    <row r="16" spans="1:11" ht="15" customHeight="1">
      <c r="A16" s="1">
        <f t="shared" si="0"/>
        <v>10</v>
      </c>
      <c r="B16" s="17" t="s">
        <v>13</v>
      </c>
      <c r="C16" s="51" t="str">
        <f>IFERROR(C8*C14,"")</f>
        <v/>
      </c>
      <c r="D16" s="183"/>
      <c r="G16" s="45"/>
    </row>
    <row r="17" spans="1:12" ht="15" customHeight="1">
      <c r="A17" s="1">
        <f t="shared" si="0"/>
        <v>11</v>
      </c>
      <c r="B17" s="17"/>
      <c r="C17" s="66"/>
      <c r="D17" s="183"/>
      <c r="F17" s="45"/>
    </row>
    <row r="18" spans="1:12" ht="15" customHeight="1">
      <c r="A18" s="1">
        <f t="shared" si="0"/>
        <v>12</v>
      </c>
      <c r="B18" s="17" t="s">
        <v>14</v>
      </c>
      <c r="C18" s="64" t="e">
        <f>#REF!</f>
        <v>#REF!</v>
      </c>
      <c r="D18" s="183"/>
    </row>
    <row r="19" spans="1:12" ht="15" customHeight="1">
      <c r="A19" s="1">
        <f t="shared" si="0"/>
        <v>13</v>
      </c>
      <c r="B19" s="17"/>
      <c r="C19" s="66"/>
      <c r="D19" s="183"/>
      <c r="G19" s="67"/>
    </row>
    <row r="20" spans="1:12" ht="15" customHeight="1">
      <c r="A20" s="1">
        <f t="shared" si="0"/>
        <v>14</v>
      </c>
      <c r="B20" s="17" t="s">
        <v>15</v>
      </c>
      <c r="C20" s="51" t="e">
        <f>C16-C10</f>
        <v>#VALUE!</v>
      </c>
      <c r="D20" s="183"/>
      <c r="F20" s="37"/>
      <c r="G20" s="37"/>
      <c r="K20" s="45"/>
      <c r="L20" s="45"/>
    </row>
    <row r="21" spans="1:12" ht="15" customHeight="1">
      <c r="A21" s="1">
        <f t="shared" si="0"/>
        <v>15</v>
      </c>
      <c r="B21" s="17"/>
      <c r="C21" s="51"/>
      <c r="D21" s="183"/>
    </row>
    <row r="22" spans="1:12" ht="15" customHeight="1">
      <c r="A22" s="1">
        <f t="shared" si="0"/>
        <v>16</v>
      </c>
      <c r="B22" s="17" t="s">
        <v>16</v>
      </c>
      <c r="C22" s="51" t="e">
        <f>C8*C18</f>
        <v>#REF!</v>
      </c>
      <c r="D22" s="184"/>
      <c r="E22" s="45"/>
      <c r="F22" s="45"/>
      <c r="G22" s="45"/>
    </row>
    <row r="23" spans="1:12" ht="15" customHeight="1">
      <c r="A23" s="1">
        <f t="shared" si="0"/>
        <v>17</v>
      </c>
      <c r="B23" s="17"/>
      <c r="C23" s="65"/>
      <c r="D23" s="184"/>
      <c r="E23" s="45"/>
      <c r="F23" s="37"/>
      <c r="G23" s="45"/>
    </row>
    <row r="24" spans="1:12" ht="15" customHeight="1">
      <c r="A24" s="1">
        <f t="shared" si="0"/>
        <v>18</v>
      </c>
      <c r="B24" s="17" t="s">
        <v>17</v>
      </c>
      <c r="C24" s="68">
        <f>'BT-11'!$D$13</f>
        <v>1.0101010101010102</v>
      </c>
      <c r="D24" s="185"/>
      <c r="E24" s="67"/>
      <c r="F24" s="37"/>
      <c r="G24" s="45"/>
    </row>
    <row r="25" spans="1:12" ht="15" customHeight="1">
      <c r="A25" s="1">
        <f t="shared" si="0"/>
        <v>19</v>
      </c>
      <c r="B25" s="17" t="s">
        <v>18</v>
      </c>
      <c r="C25" s="68">
        <f>'BT-10'!$D$20</f>
        <v>1.3459040774164024</v>
      </c>
      <c r="D25" s="183"/>
      <c r="G25" s="37"/>
    </row>
    <row r="26" spans="1:12" ht="15" customHeight="1">
      <c r="A26" s="1">
        <f t="shared" si="0"/>
        <v>20</v>
      </c>
      <c r="B26" s="17"/>
      <c r="C26" s="63"/>
      <c r="D26" s="183"/>
    </row>
    <row r="27" spans="1:12" ht="15" customHeight="1">
      <c r="A27" s="1">
        <f t="shared" si="0"/>
        <v>21</v>
      </c>
      <c r="B27" s="17" t="s">
        <v>19</v>
      </c>
      <c r="C27" s="48" t="e">
        <f>(C22*C25)+((C20-C22)*C24)</f>
        <v>#REF!</v>
      </c>
      <c r="D27" s="183"/>
      <c r="E27" s="69"/>
    </row>
    <row r="28" spans="1:12" ht="15" customHeight="1">
      <c r="A28" s="1">
        <f t="shared" si="0"/>
        <v>22</v>
      </c>
      <c r="B28" s="17"/>
      <c r="C28" s="48"/>
      <c r="D28" s="183"/>
      <c r="G28" s="37"/>
    </row>
    <row r="29" spans="1:12" ht="15" customHeight="1">
      <c r="A29" s="1">
        <f t="shared" si="0"/>
        <v>23</v>
      </c>
      <c r="B29" s="17" t="s">
        <v>20</v>
      </c>
      <c r="C29" s="48">
        <f>'Exhibit-25'!$F$12</f>
        <v>2435594.21</v>
      </c>
      <c r="D29" s="183"/>
    </row>
    <row r="30" spans="1:12" ht="15" customHeight="1">
      <c r="A30" s="1">
        <f t="shared" si="0"/>
        <v>24</v>
      </c>
      <c r="B30" s="17"/>
      <c r="C30" s="48"/>
      <c r="D30" s="183"/>
    </row>
    <row r="31" spans="1:12" ht="15" customHeight="1">
      <c r="A31" s="1">
        <f t="shared" si="0"/>
        <v>25</v>
      </c>
      <c r="B31" s="17" t="s">
        <v>21</v>
      </c>
      <c r="C31" s="48" t="e">
        <f>C27+C29</f>
        <v>#REF!</v>
      </c>
      <c r="D31" s="186"/>
    </row>
    <row r="32" spans="1:12" ht="15" customHeight="1">
      <c r="A32" s="1">
        <f t="shared" si="0"/>
        <v>26</v>
      </c>
      <c r="B32" s="17"/>
      <c r="C32" s="16"/>
      <c r="D32" s="183"/>
    </row>
    <row r="33" spans="1:7" ht="15" customHeight="1">
      <c r="A33" s="1">
        <f t="shared" si="0"/>
        <v>27</v>
      </c>
      <c r="B33" s="41"/>
      <c r="C33" s="16"/>
      <c r="D33" s="183"/>
    </row>
    <row r="34" spans="1:7" ht="15" customHeight="1">
      <c r="A34" s="1">
        <f t="shared" si="0"/>
        <v>28</v>
      </c>
      <c r="C34" s="70"/>
      <c r="D34" s="183"/>
    </row>
    <row r="35" spans="1:7" ht="15" customHeight="1">
      <c r="C35" s="35"/>
    </row>
    <row r="36" spans="1:7" ht="15" customHeight="1">
      <c r="B36" s="179"/>
    </row>
    <row r="37" spans="1:7" ht="15" customHeight="1">
      <c r="B37" s="179"/>
      <c r="C37" s="43"/>
    </row>
    <row r="38" spans="1:7" ht="15" customHeight="1">
      <c r="C38" s="43"/>
      <c r="F38" s="37"/>
      <c r="G38" s="37"/>
    </row>
    <row r="39" spans="1:7" ht="15" customHeight="1">
      <c r="C39" s="43"/>
    </row>
    <row r="40" spans="1:7" ht="15" customHeight="1">
      <c r="C40" s="43"/>
      <c r="D40" s="125"/>
    </row>
    <row r="41" spans="1:7" ht="15" customHeight="1">
      <c r="C41" s="43"/>
    </row>
    <row r="42" spans="1:7" ht="15" customHeight="1">
      <c r="C42" s="43"/>
    </row>
    <row r="43" spans="1:7" ht="15" customHeight="1">
      <c r="C43" s="43"/>
    </row>
    <row r="44" spans="1:7" ht="15" customHeight="1">
      <c r="C44" s="43"/>
    </row>
    <row r="45" spans="1:7" ht="15" customHeight="1">
      <c r="C45" s="43"/>
    </row>
    <row r="46" spans="1:7" ht="15" customHeight="1">
      <c r="C46" s="43"/>
    </row>
    <row r="47" spans="1:7" ht="15" customHeight="1">
      <c r="C47" s="43"/>
    </row>
    <row r="48" spans="1:7" ht="15" customHeight="1">
      <c r="C48" s="43"/>
    </row>
    <row r="49" spans="3:3" ht="15" customHeight="1">
      <c r="C49" s="43"/>
    </row>
    <row r="50" spans="3:3" ht="15" customHeight="1">
      <c r="C50" s="43"/>
    </row>
    <row r="51" spans="3:3" ht="15" customHeight="1">
      <c r="C51" s="43"/>
    </row>
    <row r="52" spans="3:3" ht="15" customHeight="1">
      <c r="C52" s="43"/>
    </row>
    <row r="53" spans="3:3" ht="15" customHeight="1">
      <c r="C53" s="43"/>
    </row>
    <row r="54" spans="3:3" ht="15" customHeight="1">
      <c r="C54" s="43"/>
    </row>
    <row r="55" spans="3:3" ht="15" customHeight="1">
      <c r="C55" s="43"/>
    </row>
    <row r="56" spans="3:3" ht="15" customHeight="1">
      <c r="C56" s="43"/>
    </row>
    <row r="57" spans="3:3" ht="15" customHeight="1">
      <c r="C57" s="43"/>
    </row>
    <row r="58" spans="3:3" ht="15" customHeight="1">
      <c r="C58" s="43"/>
    </row>
    <row r="59" spans="3:3" ht="15" customHeight="1">
      <c r="C59" s="43"/>
    </row>
    <row r="60" spans="3:3" ht="15" customHeight="1">
      <c r="C60" s="43"/>
    </row>
    <row r="61" spans="3:3" ht="15" customHeight="1">
      <c r="C61" s="43"/>
    </row>
    <row r="62" spans="3:3" ht="15" customHeight="1">
      <c r="C62" s="43"/>
    </row>
    <row r="63" spans="3:3" ht="15" customHeight="1">
      <c r="C63" s="43"/>
    </row>
    <row r="64" spans="3:3" ht="15" customHeight="1">
      <c r="C64" s="43"/>
    </row>
    <row r="65" spans="3:3" ht="15" customHeight="1">
      <c r="C65" s="43"/>
    </row>
    <row r="66" spans="3:3" ht="15" customHeight="1">
      <c r="C66" s="43"/>
    </row>
    <row r="67" spans="3:3" ht="15" customHeight="1">
      <c r="C67" s="43"/>
    </row>
    <row r="68" spans="3:3" ht="15" customHeight="1">
      <c r="C68" s="43"/>
    </row>
    <row r="69" spans="3:3" ht="15" customHeight="1">
      <c r="C69" s="43"/>
    </row>
    <row r="70" spans="3:3" ht="15" customHeight="1">
      <c r="C70" s="43"/>
    </row>
  </sheetData>
  <mergeCells count="4">
    <mergeCell ref="A1:C1"/>
    <mergeCell ref="A2:C2"/>
    <mergeCell ref="A3:C3"/>
    <mergeCell ref="A4:C4"/>
  </mergeCells>
  <printOptions horizontalCentered="1"/>
  <pageMargins left="0.7" right="0.7" top="0.75" bottom="0.75" header="0.3" footer="0.3"/>
  <pageSetup scale="97" orientation="portrait" verticalDpi="300" r:id="rId1"/>
  <headerFooter>
    <oddHeader>&amp;R&amp;"Times New Roman,Regular"&amp;10&amp;A</oddHeader>
    <oddFooter xml:space="preserve">&amp;R&amp;8Case No. 2022-00432
Bluegrass Water’s Response to PSC 2-17
Exhibit PSC 2-17&amp;11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92"/>
  <sheetViews>
    <sheetView showGridLines="0" view="pageLayout" topLeftCell="A28" zoomScaleNormal="100" zoomScaleSheetLayoutView="100" workbookViewId="0">
      <selection activeCell="F38" sqref="F37:F38"/>
    </sheetView>
  </sheetViews>
  <sheetFormatPr defaultColWidth="9.140625" defaultRowHeight="15" customHeight="1"/>
  <cols>
    <col min="1" max="1" width="10.5703125" style="1" customWidth="1"/>
    <col min="2" max="2" width="45.5703125" style="7" customWidth="1"/>
    <col min="3" max="7" width="20.7109375" style="7" customWidth="1"/>
    <col min="8" max="8" width="12.5703125" style="12" bestFit="1" customWidth="1"/>
    <col min="9" max="9" width="14.5703125" style="13" bestFit="1" customWidth="1"/>
    <col min="10" max="10" width="9.140625" style="12"/>
    <col min="11" max="11" width="11.5703125" style="12" bestFit="1" customWidth="1"/>
    <col min="12" max="16384" width="9.140625" style="12"/>
  </cols>
  <sheetData>
    <row r="1" spans="1:11" ht="15" customHeight="1">
      <c r="A1" s="262" t="e">
        <f>#REF!</f>
        <v>#REF!</v>
      </c>
      <c r="B1" s="262"/>
      <c r="C1" s="262"/>
      <c r="D1" s="262"/>
      <c r="E1" s="262"/>
      <c r="F1" s="262"/>
      <c r="G1" s="262"/>
    </row>
    <row r="2" spans="1:11" ht="15" customHeight="1">
      <c r="A2" s="262" t="e">
        <f>#REF!</f>
        <v>#REF!</v>
      </c>
      <c r="B2" s="262"/>
      <c r="C2" s="262"/>
      <c r="D2" s="262"/>
      <c r="E2" s="262"/>
      <c r="F2" s="262"/>
      <c r="G2" s="262"/>
    </row>
    <row r="3" spans="1:11" ht="15" customHeight="1">
      <c r="A3" s="262" t="s">
        <v>332</v>
      </c>
      <c r="B3" s="262"/>
      <c r="C3" s="262"/>
      <c r="D3" s="262"/>
      <c r="E3" s="262"/>
      <c r="F3" s="262"/>
      <c r="G3" s="262"/>
    </row>
    <row r="4" spans="1:11" ht="15" customHeight="1">
      <c r="A4" s="262" t="e">
        <f>#REF!</f>
        <v>#REF!</v>
      </c>
      <c r="B4" s="262"/>
      <c r="C4" s="262"/>
      <c r="D4" s="262"/>
      <c r="E4" s="262"/>
      <c r="F4" s="262"/>
      <c r="G4" s="262"/>
    </row>
    <row r="5" spans="1:11" ht="51.75" customHeight="1">
      <c r="A5" s="11" t="s">
        <v>3</v>
      </c>
      <c r="B5" s="11" t="s">
        <v>4</v>
      </c>
      <c r="C5" s="11" t="s">
        <v>143</v>
      </c>
      <c r="D5" s="11" t="s">
        <v>144</v>
      </c>
      <c r="E5" s="11" t="s">
        <v>145</v>
      </c>
      <c r="F5" s="11" t="s">
        <v>146</v>
      </c>
      <c r="G5" s="11" t="s">
        <v>24</v>
      </c>
    </row>
    <row r="6" spans="1:11" ht="15" customHeight="1">
      <c r="A6" s="2" t="s">
        <v>6</v>
      </c>
      <c r="B6" s="2" t="s">
        <v>7</v>
      </c>
      <c r="C6" s="3" t="s">
        <v>8</v>
      </c>
      <c r="D6" s="3" t="s">
        <v>25</v>
      </c>
      <c r="E6" s="6" t="s">
        <v>26</v>
      </c>
      <c r="F6" s="6" t="s">
        <v>46</v>
      </c>
      <c r="G6" s="6" t="s">
        <v>47</v>
      </c>
    </row>
    <row r="7" spans="1:11" ht="15" customHeight="1">
      <c r="A7" s="1">
        <v>1</v>
      </c>
      <c r="C7" s="16"/>
      <c r="D7" s="16"/>
      <c r="E7" s="16"/>
      <c r="F7" s="46"/>
      <c r="G7" s="16"/>
      <c r="H7" s="24"/>
      <c r="I7" s="47"/>
    </row>
    <row r="8" spans="1:11" ht="15" customHeight="1">
      <c r="A8" s="1">
        <f>A7+1</f>
        <v>2</v>
      </c>
      <c r="B8" s="17" t="s">
        <v>333</v>
      </c>
      <c r="C8" s="48">
        <f>'Exhibit-25'!D12</f>
        <v>2358857.8599999994</v>
      </c>
      <c r="D8" s="48">
        <f>'Exhibit-25'!E12</f>
        <v>76736.349999999991</v>
      </c>
      <c r="E8" s="48">
        <f>'Exhibit-25'!F12</f>
        <v>2435594.21</v>
      </c>
      <c r="F8" s="48" t="e">
        <f>'Exhibit-25'!G12</f>
        <v>#REF!</v>
      </c>
      <c r="G8" s="48" t="e">
        <f>'Exhibit-25'!H12</f>
        <v>#REF!</v>
      </c>
      <c r="H8" s="49"/>
      <c r="I8" s="49"/>
      <c r="J8" s="50"/>
      <c r="K8" s="50"/>
    </row>
    <row r="9" spans="1:11" ht="15" customHeight="1">
      <c r="A9" s="1">
        <f t="shared" ref="A9:A28" si="0">A8+1</f>
        <v>3</v>
      </c>
      <c r="C9" s="48"/>
      <c r="D9" s="48"/>
      <c r="E9" s="48"/>
      <c r="F9" s="51"/>
      <c r="G9" s="48"/>
      <c r="H9" s="49"/>
      <c r="I9" s="49"/>
      <c r="J9" s="50"/>
      <c r="K9" s="50"/>
    </row>
    <row r="10" spans="1:11" ht="15" customHeight="1">
      <c r="A10" s="1">
        <f t="shared" si="0"/>
        <v>4</v>
      </c>
      <c r="B10" s="17" t="s">
        <v>334</v>
      </c>
      <c r="C10" s="48"/>
      <c r="D10" s="48"/>
      <c r="E10" s="48"/>
      <c r="F10" s="51"/>
      <c r="G10" s="48"/>
      <c r="H10" s="49"/>
      <c r="I10" s="49"/>
      <c r="J10" s="50"/>
      <c r="K10" s="50"/>
    </row>
    <row r="11" spans="1:11" ht="15" customHeight="1">
      <c r="A11" s="1">
        <f t="shared" si="0"/>
        <v>5</v>
      </c>
      <c r="B11" s="4" t="s">
        <v>335</v>
      </c>
      <c r="C11" s="52">
        <f>'Exhibit-25'!D31</f>
        <v>-913893.20117976831</v>
      </c>
      <c r="D11" s="52">
        <f>'Exhibit-25'!E31</f>
        <v>40304.384589873203</v>
      </c>
      <c r="E11" s="52">
        <f>'Exhibit-25'!F31</f>
        <v>-873588.81658989517</v>
      </c>
      <c r="F11" s="52" t="e">
        <f>'Exhibit-25'!G31</f>
        <v>#REF!</v>
      </c>
      <c r="G11" s="52" t="e">
        <f>'Exhibit-25'!H31</f>
        <v>#REF!</v>
      </c>
      <c r="H11" s="49"/>
      <c r="I11" s="49"/>
      <c r="J11" s="50"/>
      <c r="K11" s="50"/>
    </row>
    <row r="12" spans="1:11" ht="15" customHeight="1">
      <c r="A12" s="1">
        <f t="shared" si="0"/>
        <v>6</v>
      </c>
      <c r="B12" s="4" t="s">
        <v>336</v>
      </c>
      <c r="C12" s="52">
        <f>'Exhibit-25'!D49</f>
        <v>-1609826.1300000008</v>
      </c>
      <c r="D12" s="52">
        <f>'Exhibit-25'!E49</f>
        <v>-222456.73733879984</v>
      </c>
      <c r="E12" s="52">
        <f>'Exhibit-25'!F49</f>
        <v>-1832282.8673388006</v>
      </c>
      <c r="F12" s="52">
        <f>'Exhibit-25'!G49</f>
        <v>0</v>
      </c>
      <c r="G12" s="52">
        <f>'Exhibit-25'!H49</f>
        <v>-1832282.8673388006</v>
      </c>
      <c r="H12" s="49"/>
      <c r="I12" s="49"/>
      <c r="J12" s="50"/>
      <c r="K12" s="50"/>
    </row>
    <row r="13" spans="1:11" ht="15" customHeight="1">
      <c r="A13" s="1">
        <f t="shared" si="0"/>
        <v>7</v>
      </c>
      <c r="B13" s="4" t="s">
        <v>289</v>
      </c>
      <c r="C13" s="52">
        <f>'Exhibit-25'!D56</f>
        <v>-187171.37</v>
      </c>
      <c r="D13" s="52">
        <f>'Exhibit-25'!E56</f>
        <v>-11043.354890199986</v>
      </c>
      <c r="E13" s="52">
        <f>'Exhibit-25'!F56</f>
        <v>-198214.72489019998</v>
      </c>
      <c r="F13" s="52">
        <f>'Exhibit-25'!G56</f>
        <v>0</v>
      </c>
      <c r="G13" s="52">
        <f>'Exhibit-25'!H56</f>
        <v>-198214.72489019998</v>
      </c>
      <c r="H13" s="49"/>
      <c r="I13" s="49"/>
      <c r="J13" s="50"/>
      <c r="K13" s="50"/>
    </row>
    <row r="14" spans="1:11" ht="15" customHeight="1">
      <c r="A14" s="1">
        <f t="shared" si="0"/>
        <v>8</v>
      </c>
      <c r="B14" s="4" t="s">
        <v>291</v>
      </c>
      <c r="C14" s="52">
        <f>'Exhibit-25'!D57+'Exhibit-25'!D58</f>
        <v>24959.600000000002</v>
      </c>
      <c r="D14" s="52">
        <f>'Exhibit-25'!E57+'Exhibit-25'!E58</f>
        <v>-59852.66333333333</v>
      </c>
      <c r="E14" s="52">
        <f>'Exhibit-25'!F57+'Exhibit-25'!F58</f>
        <v>-34893.063333333324</v>
      </c>
      <c r="F14" s="52">
        <f>'Exhibit-25'!G57+'Exhibit-25'!G58</f>
        <v>0</v>
      </c>
      <c r="G14" s="52">
        <f>'Exhibit-25'!H57+'Exhibit-25'!H58</f>
        <v>-34893.063333333324</v>
      </c>
      <c r="H14" s="49"/>
      <c r="I14" s="49"/>
      <c r="J14" s="50"/>
      <c r="K14" s="50"/>
    </row>
    <row r="15" spans="1:11" ht="15" customHeight="1">
      <c r="A15" s="1">
        <f t="shared" si="0"/>
        <v>9</v>
      </c>
      <c r="B15" s="17" t="s">
        <v>337</v>
      </c>
      <c r="C15" s="53">
        <f>SUM(C10:C14)</f>
        <v>-2685931.1011797693</v>
      </c>
      <c r="D15" s="53">
        <f>SUM(D10:D14)</f>
        <v>-253048.37097245996</v>
      </c>
      <c r="E15" s="53">
        <f>SUM(E10:E14)</f>
        <v>-2938979.4721522289</v>
      </c>
      <c r="F15" s="54" t="e">
        <f>SUM(F10:F14)</f>
        <v>#REF!</v>
      </c>
      <c r="G15" s="53" t="e">
        <f>SUM(G11:G14)</f>
        <v>#REF!</v>
      </c>
      <c r="H15" s="49"/>
      <c r="I15" s="49"/>
      <c r="J15" s="50"/>
      <c r="K15" s="50"/>
    </row>
    <row r="16" spans="1:11" ht="15" customHeight="1">
      <c r="A16" s="1">
        <f t="shared" si="0"/>
        <v>10</v>
      </c>
      <c r="B16" s="17"/>
      <c r="C16" s="48"/>
      <c r="D16" s="48"/>
      <c r="E16" s="48"/>
      <c r="F16" s="51"/>
      <c r="G16" s="48"/>
      <c r="H16" s="49"/>
      <c r="I16" s="49"/>
      <c r="J16" s="50"/>
      <c r="K16" s="50"/>
    </row>
    <row r="17" spans="1:11" ht="15" customHeight="1">
      <c r="A17" s="1">
        <f t="shared" si="0"/>
        <v>11</v>
      </c>
      <c r="B17" s="17" t="s">
        <v>338</v>
      </c>
      <c r="C17" s="55">
        <f>C8+C15</f>
        <v>-327073.24117976986</v>
      </c>
      <c r="D17" s="55">
        <f>D8+D15</f>
        <v>-176312.02097245998</v>
      </c>
      <c r="E17" s="55">
        <f>E8+E15</f>
        <v>-503385.26215222897</v>
      </c>
      <c r="F17" s="56" t="e">
        <f>F8+F15</f>
        <v>#REF!</v>
      </c>
      <c r="G17" s="55" t="e">
        <f>G8+G15</f>
        <v>#REF!</v>
      </c>
      <c r="H17" s="49"/>
      <c r="I17" s="49"/>
      <c r="J17" s="50"/>
      <c r="K17" s="50"/>
    </row>
    <row r="18" spans="1:11" ht="15" customHeight="1">
      <c r="A18" s="1">
        <f t="shared" si="0"/>
        <v>12</v>
      </c>
      <c r="B18" s="17"/>
      <c r="C18" s="48"/>
      <c r="D18" s="48"/>
      <c r="E18" s="48"/>
      <c r="F18" s="51"/>
      <c r="G18" s="48"/>
      <c r="H18" s="49"/>
      <c r="I18" s="49"/>
      <c r="J18" s="50"/>
      <c r="K18" s="50"/>
    </row>
    <row r="19" spans="1:11" ht="15" customHeight="1">
      <c r="A19" s="1">
        <f t="shared" si="0"/>
        <v>13</v>
      </c>
      <c r="B19" s="17" t="s">
        <v>221</v>
      </c>
      <c r="C19" s="48">
        <f>'Exhibit-25'!D53</f>
        <v>0</v>
      </c>
      <c r="D19" s="48" t="e">
        <f>'Exhibit-25'!E53</f>
        <v>#REF!</v>
      </c>
      <c r="E19" s="48" t="e">
        <f>'Exhibit-25'!F53</f>
        <v>#REF!</v>
      </c>
      <c r="F19" s="48">
        <f>'Exhibit-25'!G53</f>
        <v>0</v>
      </c>
      <c r="G19" s="48" t="e">
        <f>'Exhibit-25'!H53</f>
        <v>#REF!</v>
      </c>
      <c r="H19" s="49"/>
      <c r="I19" s="49"/>
      <c r="J19" s="50"/>
      <c r="K19" s="50"/>
    </row>
    <row r="20" spans="1:11" ht="15" customHeight="1">
      <c r="A20" s="1">
        <f t="shared" si="0"/>
        <v>14</v>
      </c>
      <c r="B20" s="17"/>
      <c r="C20" s="48"/>
      <c r="D20" s="48"/>
      <c r="E20" s="48"/>
      <c r="F20" s="51"/>
      <c r="G20" s="48"/>
      <c r="H20" s="49"/>
      <c r="I20" s="49"/>
      <c r="J20" s="50"/>
      <c r="K20" s="50"/>
    </row>
    <row r="21" spans="1:11" ht="15" customHeight="1">
      <c r="A21" s="1">
        <f t="shared" si="0"/>
        <v>15</v>
      </c>
      <c r="B21" s="17" t="s">
        <v>339</v>
      </c>
      <c r="C21" s="48">
        <f>C17+C19</f>
        <v>-327073.24117976986</v>
      </c>
      <c r="D21" s="48" t="e">
        <f>D17+D19</f>
        <v>#REF!</v>
      </c>
      <c r="E21" s="48" t="e">
        <f>E17+E19</f>
        <v>#REF!</v>
      </c>
      <c r="F21" s="51" t="e">
        <f>F17+F19</f>
        <v>#REF!</v>
      </c>
      <c r="G21" s="48" t="e">
        <f>G17+G19</f>
        <v>#REF!</v>
      </c>
      <c r="H21" s="49"/>
      <c r="I21" s="49"/>
      <c r="J21" s="50"/>
      <c r="K21" s="50"/>
    </row>
    <row r="22" spans="1:11" ht="15" customHeight="1">
      <c r="A22" s="1">
        <f t="shared" si="0"/>
        <v>16</v>
      </c>
      <c r="B22" s="17"/>
      <c r="C22" s="48"/>
      <c r="D22" s="48"/>
      <c r="E22" s="48"/>
      <c r="F22" s="51"/>
      <c r="G22" s="48"/>
      <c r="H22" s="49"/>
      <c r="I22" s="49"/>
      <c r="J22" s="50"/>
      <c r="K22" s="50"/>
    </row>
    <row r="23" spans="1:11" ht="15" customHeight="1">
      <c r="A23" s="1">
        <f t="shared" si="0"/>
        <v>17</v>
      </c>
      <c r="B23" s="17" t="s">
        <v>301</v>
      </c>
      <c r="C23" s="48">
        <v>0</v>
      </c>
      <c r="D23" s="48">
        <v>0</v>
      </c>
      <c r="E23" s="48">
        <v>0</v>
      </c>
      <c r="F23" s="51" t="e">
        <f>'BT-6'!$D$20*-1</f>
        <v>#REF!</v>
      </c>
      <c r="G23" s="51" t="e">
        <f>E23+F23</f>
        <v>#REF!</v>
      </c>
      <c r="H23" s="49"/>
      <c r="I23" s="49"/>
      <c r="J23" s="50"/>
      <c r="K23" s="50"/>
    </row>
    <row r="24" spans="1:11" ht="15" customHeight="1">
      <c r="A24" s="1">
        <f t="shared" si="0"/>
        <v>18</v>
      </c>
      <c r="B24" s="17"/>
      <c r="C24" s="48"/>
      <c r="D24" s="48"/>
      <c r="E24" s="48"/>
      <c r="F24" s="51"/>
      <c r="G24" s="48"/>
      <c r="H24" s="50"/>
      <c r="I24" s="50"/>
      <c r="J24" s="50"/>
      <c r="K24" s="50"/>
    </row>
    <row r="25" spans="1:11" ht="15" customHeight="1">
      <c r="A25" s="1">
        <f t="shared" si="0"/>
        <v>19</v>
      </c>
      <c r="B25" s="17"/>
      <c r="C25" s="48"/>
      <c r="D25" s="48"/>
      <c r="E25" s="48"/>
      <c r="F25" s="51"/>
      <c r="G25" s="48"/>
      <c r="H25" s="50"/>
      <c r="I25" s="50"/>
      <c r="J25" s="50"/>
      <c r="K25" s="50"/>
    </row>
    <row r="26" spans="1:11" ht="15" customHeight="1" thickBot="1">
      <c r="A26" s="1">
        <f t="shared" si="0"/>
        <v>20</v>
      </c>
      <c r="B26" s="17" t="s">
        <v>340</v>
      </c>
      <c r="C26" s="57">
        <f>+C21+C23</f>
        <v>-327073.24117976986</v>
      </c>
      <c r="D26" s="57" t="e">
        <f>+D21+D23</f>
        <v>#REF!</v>
      </c>
      <c r="E26" s="57" t="e">
        <f>+E21+E23</f>
        <v>#REF!</v>
      </c>
      <c r="F26" s="58" t="e">
        <f>+F21+F23</f>
        <v>#REF!</v>
      </c>
      <c r="G26" s="57" t="e">
        <f>+G21+G23</f>
        <v>#REF!</v>
      </c>
      <c r="H26" s="50"/>
      <c r="I26" s="50"/>
      <c r="J26" s="50"/>
      <c r="K26" s="50"/>
    </row>
    <row r="27" spans="1:11" ht="15" customHeight="1" thickTop="1">
      <c r="A27" s="1">
        <f t="shared" si="0"/>
        <v>21</v>
      </c>
      <c r="C27" s="59"/>
      <c r="D27" s="59"/>
      <c r="E27" s="59"/>
      <c r="F27" s="60"/>
      <c r="G27" s="50"/>
      <c r="H27" s="50"/>
      <c r="I27" s="50"/>
      <c r="J27" s="50"/>
      <c r="K27" s="50"/>
    </row>
    <row r="28" spans="1:11" ht="15" customHeight="1">
      <c r="A28" s="1">
        <f t="shared" si="0"/>
        <v>22</v>
      </c>
      <c r="C28" s="59"/>
      <c r="D28" s="59"/>
      <c r="E28" s="59"/>
      <c r="H28" s="50"/>
      <c r="I28" s="50"/>
      <c r="J28" s="50"/>
      <c r="K28" s="50"/>
    </row>
    <row r="29" spans="1:11" ht="15" customHeight="1">
      <c r="A29" s="1">
        <f>A28+1</f>
        <v>23</v>
      </c>
      <c r="C29" s="59"/>
      <c r="D29" s="59"/>
      <c r="E29" s="59"/>
      <c r="H29" s="50"/>
      <c r="I29" s="50"/>
      <c r="J29" s="50"/>
      <c r="K29" s="50"/>
    </row>
    <row r="30" spans="1:11" ht="15" customHeight="1">
      <c r="C30" s="59"/>
      <c r="D30" s="59"/>
      <c r="E30" s="59"/>
      <c r="F30" s="60"/>
      <c r="H30" s="50"/>
      <c r="I30" s="50"/>
      <c r="J30" s="50"/>
      <c r="K30" s="50"/>
    </row>
    <row r="31" spans="1:11" ht="15" customHeight="1">
      <c r="C31" s="59"/>
      <c r="D31" s="59"/>
      <c r="E31" s="59"/>
      <c r="F31" s="60"/>
      <c r="G31" s="201" t="e">
        <f>G26-'BT-1'!C22</f>
        <v>#REF!</v>
      </c>
      <c r="H31" s="50"/>
      <c r="I31" s="50"/>
      <c r="J31" s="50"/>
      <c r="K31" s="50"/>
    </row>
    <row r="32" spans="1:11" ht="15" customHeight="1">
      <c r="C32" s="59"/>
      <c r="D32" s="59"/>
      <c r="E32" s="59"/>
      <c r="F32" s="60"/>
      <c r="G32" s="61"/>
      <c r="H32" s="50"/>
      <c r="I32" s="50"/>
      <c r="J32" s="50"/>
      <c r="K32" s="50"/>
    </row>
    <row r="33" spans="3:7" ht="15" customHeight="1">
      <c r="C33" s="43"/>
      <c r="D33" s="43"/>
      <c r="E33" s="43"/>
      <c r="F33" s="12"/>
      <c r="G33" s="12"/>
    </row>
    <row r="34" spans="3:7" ht="15" customHeight="1">
      <c r="C34" s="43"/>
      <c r="D34" s="43"/>
      <c r="E34" s="43"/>
      <c r="F34" s="12"/>
      <c r="G34" s="12"/>
    </row>
    <row r="35" spans="3:7" ht="15" customHeight="1">
      <c r="C35" s="43"/>
      <c r="D35" s="43"/>
      <c r="E35" s="43"/>
      <c r="F35" s="12"/>
      <c r="G35" s="12"/>
    </row>
    <row r="36" spans="3:7" ht="15" customHeight="1">
      <c r="C36" s="43"/>
      <c r="D36" s="43"/>
      <c r="E36" s="43"/>
      <c r="F36" s="12"/>
      <c r="G36" s="12"/>
    </row>
    <row r="37" spans="3:7" ht="15" customHeight="1">
      <c r="C37" s="43"/>
      <c r="D37" s="43"/>
      <c r="E37" s="43"/>
      <c r="F37" s="12"/>
      <c r="G37" s="12"/>
    </row>
    <row r="38" spans="3:7" ht="15" customHeight="1">
      <c r="E38" s="43"/>
      <c r="G38" s="12"/>
    </row>
    <row r="39" spans="3:7" ht="15" customHeight="1">
      <c r="E39" s="43"/>
      <c r="G39" s="12"/>
    </row>
    <row r="40" spans="3:7" ht="15" customHeight="1">
      <c r="E40" s="43"/>
      <c r="G40" s="12"/>
    </row>
    <row r="41" spans="3:7" ht="15" customHeight="1">
      <c r="E41" s="43"/>
      <c r="G41" s="12"/>
    </row>
    <row r="42" spans="3:7" ht="15" customHeight="1">
      <c r="E42" s="43"/>
      <c r="G42" s="12"/>
    </row>
    <row r="43" spans="3:7" ht="15" customHeight="1">
      <c r="E43" s="43"/>
      <c r="G43" s="12"/>
    </row>
    <row r="44" spans="3:7" ht="15" customHeight="1">
      <c r="E44" s="43"/>
      <c r="G44" s="12"/>
    </row>
    <row r="45" spans="3:7" ht="15" customHeight="1">
      <c r="E45" s="43"/>
      <c r="G45" s="12"/>
    </row>
    <row r="46" spans="3:7" ht="15" customHeight="1">
      <c r="E46" s="43"/>
      <c r="G46" s="12"/>
    </row>
    <row r="47" spans="3:7" ht="15" customHeight="1">
      <c r="E47" s="43"/>
      <c r="G47" s="12"/>
    </row>
    <row r="48" spans="3:7" ht="15" customHeight="1">
      <c r="E48" s="43"/>
      <c r="G48" s="12"/>
    </row>
    <row r="49" spans="5:7" ht="15" customHeight="1">
      <c r="E49" s="43"/>
      <c r="G49" s="12"/>
    </row>
    <row r="50" spans="5:7" ht="15" customHeight="1">
      <c r="E50" s="43"/>
      <c r="G50" s="12"/>
    </row>
    <row r="51" spans="5:7" ht="15" customHeight="1">
      <c r="E51" s="43"/>
      <c r="G51" s="12"/>
    </row>
    <row r="52" spans="5:7" ht="15" customHeight="1">
      <c r="E52" s="43"/>
      <c r="G52" s="12"/>
    </row>
    <row r="53" spans="5:7" ht="15" customHeight="1">
      <c r="E53" s="43"/>
      <c r="G53" s="12"/>
    </row>
    <row r="54" spans="5:7" ht="15" customHeight="1">
      <c r="E54" s="43"/>
      <c r="G54" s="12"/>
    </row>
    <row r="55" spans="5:7" ht="15" customHeight="1">
      <c r="E55" s="43"/>
      <c r="G55" s="12"/>
    </row>
    <row r="56" spans="5:7" ht="15" customHeight="1">
      <c r="E56" s="43"/>
      <c r="G56" s="12"/>
    </row>
    <row r="57" spans="5:7" ht="15" customHeight="1">
      <c r="E57" s="43"/>
      <c r="G57" s="12"/>
    </row>
    <row r="58" spans="5:7" ht="15" customHeight="1">
      <c r="E58" s="43"/>
      <c r="G58" s="12"/>
    </row>
    <row r="59" spans="5:7" ht="15" customHeight="1">
      <c r="E59" s="43"/>
      <c r="G59" s="12"/>
    </row>
    <row r="60" spans="5:7" ht="15" customHeight="1">
      <c r="E60" s="43"/>
      <c r="G60" s="12"/>
    </row>
    <row r="61" spans="5:7" ht="15" customHeight="1">
      <c r="E61" s="43"/>
      <c r="G61" s="12"/>
    </row>
    <row r="62" spans="5:7" ht="15" customHeight="1">
      <c r="E62" s="43"/>
      <c r="G62" s="12"/>
    </row>
    <row r="63" spans="5:7" ht="15" customHeight="1">
      <c r="E63" s="43"/>
      <c r="G63" s="12"/>
    </row>
    <row r="64" spans="5:7" ht="15" customHeight="1">
      <c r="E64" s="43"/>
      <c r="G64" s="12"/>
    </row>
    <row r="65" spans="4:7" ht="15" customHeight="1">
      <c r="E65" s="43"/>
      <c r="G65" s="12"/>
    </row>
    <row r="66" spans="4:7" ht="15" customHeight="1">
      <c r="E66" s="43"/>
      <c r="G66" s="12"/>
    </row>
    <row r="67" spans="4:7" ht="15" customHeight="1">
      <c r="E67" s="43"/>
      <c r="G67" s="12"/>
    </row>
    <row r="68" spans="4:7" ht="15" customHeight="1">
      <c r="E68" s="43"/>
      <c r="G68" s="12"/>
    </row>
    <row r="69" spans="4:7" ht="15" customHeight="1">
      <c r="E69" s="43"/>
      <c r="G69" s="12"/>
    </row>
    <row r="70" spans="4:7" ht="15" customHeight="1">
      <c r="D70" s="43"/>
      <c r="F70" s="9"/>
      <c r="G70" s="12"/>
    </row>
    <row r="71" spans="4:7" ht="15" customHeight="1">
      <c r="D71" s="43"/>
      <c r="F71" s="9"/>
      <c r="G71" s="12"/>
    </row>
    <row r="72" spans="4:7" ht="15" customHeight="1">
      <c r="D72" s="43"/>
      <c r="F72" s="9"/>
      <c r="G72" s="12"/>
    </row>
    <row r="73" spans="4:7" ht="15" customHeight="1">
      <c r="D73" s="43"/>
      <c r="F73" s="9"/>
      <c r="G73" s="12"/>
    </row>
    <row r="74" spans="4:7" ht="15" customHeight="1">
      <c r="D74" s="43"/>
      <c r="F74" s="9"/>
      <c r="G74" s="12"/>
    </row>
    <row r="75" spans="4:7" ht="15" customHeight="1">
      <c r="D75" s="43"/>
      <c r="F75" s="9"/>
      <c r="G75" s="12"/>
    </row>
    <row r="76" spans="4:7" ht="15" customHeight="1">
      <c r="D76" s="43"/>
      <c r="F76" s="9"/>
      <c r="G76" s="12"/>
    </row>
    <row r="77" spans="4:7" ht="15" customHeight="1">
      <c r="D77" s="43"/>
      <c r="F77" s="9"/>
      <c r="G77" s="12"/>
    </row>
    <row r="78" spans="4:7" ht="15" customHeight="1">
      <c r="D78" s="43"/>
      <c r="F78" s="9"/>
      <c r="G78" s="12"/>
    </row>
    <row r="79" spans="4:7" ht="15" customHeight="1">
      <c r="D79" s="43"/>
      <c r="F79" s="9"/>
      <c r="G79" s="12"/>
    </row>
    <row r="80" spans="4:7" ht="15" customHeight="1">
      <c r="D80" s="43"/>
      <c r="F80" s="9"/>
      <c r="G80" s="12"/>
    </row>
    <row r="81" spans="4:7" ht="15" customHeight="1">
      <c r="D81" s="43"/>
      <c r="F81" s="9"/>
      <c r="G81" s="12"/>
    </row>
    <row r="82" spans="4:7" ht="15" customHeight="1">
      <c r="D82" s="43"/>
      <c r="F82" s="9"/>
      <c r="G82" s="12"/>
    </row>
    <row r="83" spans="4:7" ht="15" customHeight="1">
      <c r="D83" s="43"/>
      <c r="F83" s="9"/>
      <c r="G83" s="12"/>
    </row>
    <row r="84" spans="4:7" ht="15" customHeight="1">
      <c r="D84" s="43"/>
      <c r="F84" s="9"/>
      <c r="G84" s="12"/>
    </row>
    <row r="85" spans="4:7" ht="15" customHeight="1">
      <c r="D85" s="43"/>
      <c r="F85" s="9"/>
      <c r="G85" s="12"/>
    </row>
    <row r="86" spans="4:7" ht="15" customHeight="1">
      <c r="D86" s="43"/>
      <c r="F86" s="9"/>
      <c r="G86" s="12"/>
    </row>
    <row r="87" spans="4:7" ht="15" customHeight="1">
      <c r="D87" s="43"/>
      <c r="F87" s="9"/>
      <c r="G87" s="12"/>
    </row>
    <row r="88" spans="4:7" ht="15" customHeight="1">
      <c r="D88" s="43"/>
      <c r="F88" s="9"/>
      <c r="G88" s="12"/>
    </row>
    <row r="89" spans="4:7" ht="15" customHeight="1">
      <c r="D89" s="43"/>
      <c r="F89" s="9"/>
      <c r="G89" s="12"/>
    </row>
    <row r="90" spans="4:7" ht="15" customHeight="1">
      <c r="D90" s="43"/>
      <c r="F90" s="9"/>
      <c r="G90" s="12"/>
    </row>
    <row r="91" spans="4:7" ht="15" customHeight="1">
      <c r="D91" s="43"/>
      <c r="F91" s="9"/>
      <c r="G91" s="12"/>
    </row>
    <row r="92" spans="4:7" ht="15" customHeight="1">
      <c r="D92" s="43"/>
      <c r="F92" s="9"/>
      <c r="G92" s="12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76" orientation="landscape" verticalDpi="300" r:id="rId1"/>
  <headerFooter>
    <oddHeader>&amp;R&amp;"Times New Roman,Regular"&amp;10&amp;A</oddHeader>
    <oddFooter xml:space="preserve">&amp;R&amp;8Case No. 2022-00432
Bluegrass Water’s Response to PSC 2-17
Exhibit PSC 2-17&amp;11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275DE3-4803-4D51-9270-AE48E82089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F03DE-0967-4474-9B5A-1977FF18C131}">
  <ds:schemaRefs>
    <ds:schemaRef ds:uri="http://schemas.microsoft.com/office/2006/metadata/properties"/>
    <ds:schemaRef ds:uri="http://schemas.microsoft.com/office/infopath/2007/PartnerControls"/>
    <ds:schemaRef ds:uri="cc29f954-72e5-4988-94c8-6074c4013efb"/>
    <ds:schemaRef ds:uri="219c5758-d311-4f49-8eb7-a0c37216249c"/>
    <ds:schemaRef ds:uri="ce426531-eb52-4602-919d-027a2a672310"/>
  </ds:schemaRefs>
</ds:datastoreItem>
</file>

<file path=customXml/itemProps3.xml><?xml version="1.0" encoding="utf-8"?>
<ds:datastoreItem xmlns:ds="http://schemas.openxmlformats.org/officeDocument/2006/customXml" ds:itemID="{88044F86-2D53-46A6-AF02-6FEC1982C5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13</vt:i4>
      </vt:variant>
    </vt:vector>
  </HeadingPairs>
  <TitlesOfParts>
    <vt:vector size="34" baseType="lpstr">
      <vt:lpstr>Exhibit-16</vt:lpstr>
      <vt:lpstr>Exhibit-17</vt:lpstr>
      <vt:lpstr>Exhibit-18</vt:lpstr>
      <vt:lpstr>Exhibit-19</vt:lpstr>
      <vt:lpstr>Exhibit-25</vt:lpstr>
      <vt:lpstr>Exhibit-26</vt:lpstr>
      <vt:lpstr>Exhibit-27</vt:lpstr>
      <vt:lpstr>BT-1</vt:lpstr>
      <vt:lpstr>BT-2</vt:lpstr>
      <vt:lpstr>BT-3</vt:lpstr>
      <vt:lpstr>BT-4</vt:lpstr>
      <vt:lpstr>BT-5</vt:lpstr>
      <vt:lpstr>BT-6</vt:lpstr>
      <vt:lpstr>BT-7</vt:lpstr>
      <vt:lpstr>BT-8</vt:lpstr>
      <vt:lpstr>BT-9</vt:lpstr>
      <vt:lpstr>BT-10</vt:lpstr>
      <vt:lpstr>BT-11</vt:lpstr>
      <vt:lpstr>BT-12</vt:lpstr>
      <vt:lpstr>BT-13</vt:lpstr>
      <vt:lpstr>BT-14</vt:lpstr>
      <vt:lpstr>'BT-1'!Print_Area</vt:lpstr>
      <vt:lpstr>'BT-2'!Print_Area</vt:lpstr>
      <vt:lpstr>'BT-3'!Print_Area</vt:lpstr>
      <vt:lpstr>'BT-6'!Print_Area</vt:lpstr>
      <vt:lpstr>'Exhibit-17'!Print_Area</vt:lpstr>
      <vt:lpstr>'Exhibit-18'!Print_Area</vt:lpstr>
      <vt:lpstr>'Exhibit-19'!Print_Area</vt:lpstr>
      <vt:lpstr>'Exhibit-25'!Print_Area</vt:lpstr>
      <vt:lpstr>'Exhibit-26'!Print_Area</vt:lpstr>
      <vt:lpstr>'Exhibit-27'!Print_Area</vt:lpstr>
      <vt:lpstr>'Exhibit-16'!Print_Titles</vt:lpstr>
      <vt:lpstr>'Exhibit-19'!Print_Titles</vt:lpstr>
      <vt:lpstr>'Exhibit-27'!Print_Titles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2023-02-27T15:59:11Z</dcterms:created>
  <dcterms:modified xsi:type="dcterms:W3CDTF">2023-05-10T19:16:18Z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0x01010035F955E8F06CBD48B7814246FB9E203E</vt:lpwstr>
  </property>
</Properties>
</file>