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pen\Strobo Barkley PLLC Dropbox\Strobo Barkley PLLC Team Folder\CASES\scott county (ky psc 2022 00432)\2023 07 28 scott county response to psc\"/>
    </mc:Choice>
  </mc:AlternateContent>
  <xr:revisionPtr revIDLastSave="0" documentId="8_{494B687F-FB48-4EB9-916E-1BBF5B6F65EC}" xr6:coauthVersionLast="47" xr6:coauthVersionMax="47" xr10:uidLastSave="{00000000-0000-0000-0000-000000000000}"/>
  <bookViews>
    <workbookView xWindow="-120" yWindow="-120" windowWidth="29040" windowHeight="15720" firstSheet="1" activeTab="5" xr2:uid="{EDB5934C-BACE-4811-9E52-CC572DE93DAB}"/>
  </bookViews>
  <sheets>
    <sheet name="Revised Revenue Requirement" sheetId="1" r:id="rId1"/>
    <sheet name="Rate Design Phase 1" sheetId="4" r:id="rId2"/>
    <sheet name="Rate Design Phase 2" sheetId="6" r:id="rId3"/>
    <sheet name="Rate Design Phase 3" sheetId="7" r:id="rId4"/>
    <sheet name="Post Closing Entries Exhibit" sheetId="5" r:id="rId5"/>
    <sheet name="Unrecovered Phase In Rates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" l="1"/>
  <c r="L15" i="7" s="1"/>
  <c r="L42" i="7"/>
  <c r="L34" i="7"/>
  <c r="F14" i="8"/>
  <c r="F5" i="8"/>
  <c r="F12" i="8"/>
  <c r="F11" i="8"/>
  <c r="F9" i="8"/>
  <c r="F8" i="8"/>
  <c r="G14" i="7"/>
  <c r="F9" i="7"/>
  <c r="F10" i="7"/>
  <c r="F11" i="7"/>
  <c r="F12" i="7"/>
  <c r="F13" i="7"/>
  <c r="K13" i="7" s="1"/>
  <c r="F14" i="7"/>
  <c r="F15" i="7"/>
  <c r="F16" i="7"/>
  <c r="F17" i="7"/>
  <c r="F18" i="7"/>
  <c r="K18" i="7" s="1"/>
  <c r="F19" i="7"/>
  <c r="F20" i="7"/>
  <c r="K20" i="7" s="1"/>
  <c r="F21" i="7"/>
  <c r="F22" i="7"/>
  <c r="F23" i="7"/>
  <c r="K23" i="7" s="1"/>
  <c r="F24" i="7"/>
  <c r="K24" i="7" s="1"/>
  <c r="F25" i="7"/>
  <c r="F26" i="7"/>
  <c r="F27" i="7"/>
  <c r="F28" i="7"/>
  <c r="F29" i="7"/>
  <c r="F30" i="7"/>
  <c r="F8" i="7"/>
  <c r="E32" i="7"/>
  <c r="D32" i="7"/>
  <c r="I30" i="7"/>
  <c r="L30" i="7" s="1"/>
  <c r="K30" i="7"/>
  <c r="K29" i="7"/>
  <c r="I29" i="7"/>
  <c r="L29" i="7" s="1"/>
  <c r="M29" i="7" s="1"/>
  <c r="N29" i="7" s="1"/>
  <c r="I28" i="7"/>
  <c r="L28" i="7" s="1"/>
  <c r="K28" i="7"/>
  <c r="I27" i="7"/>
  <c r="L27" i="7" s="1"/>
  <c r="K27" i="7"/>
  <c r="I26" i="7"/>
  <c r="L26" i="7" s="1"/>
  <c r="M26" i="7" s="1"/>
  <c r="N26" i="7" s="1"/>
  <c r="K26" i="7"/>
  <c r="K25" i="7"/>
  <c r="I25" i="7"/>
  <c r="L25" i="7" s="1"/>
  <c r="M25" i="7" s="1"/>
  <c r="N25" i="7" s="1"/>
  <c r="I23" i="7"/>
  <c r="L23" i="7" s="1"/>
  <c r="I22" i="7"/>
  <c r="L22" i="7" s="1"/>
  <c r="K22" i="7"/>
  <c r="K21" i="7"/>
  <c r="I21" i="7"/>
  <c r="L21" i="7" s="1"/>
  <c r="I20" i="7"/>
  <c r="L20" i="7" s="1"/>
  <c r="K19" i="7"/>
  <c r="I19" i="7"/>
  <c r="L19" i="7" s="1"/>
  <c r="I18" i="7"/>
  <c r="L18" i="7" s="1"/>
  <c r="K17" i="7"/>
  <c r="I17" i="7"/>
  <c r="L17" i="7" s="1"/>
  <c r="M17" i="7" s="1"/>
  <c r="N17" i="7" s="1"/>
  <c r="I16" i="7"/>
  <c r="L16" i="7" s="1"/>
  <c r="M16" i="7" s="1"/>
  <c r="N16" i="7" s="1"/>
  <c r="K16" i="7"/>
  <c r="K15" i="7"/>
  <c r="K14" i="7"/>
  <c r="I14" i="7"/>
  <c r="I24" i="7" s="1"/>
  <c r="L24" i="7" s="1"/>
  <c r="I13" i="7"/>
  <c r="L13" i="7" s="1"/>
  <c r="I12" i="7"/>
  <c r="L12" i="7" s="1"/>
  <c r="K12" i="7"/>
  <c r="I11" i="7"/>
  <c r="L11" i="7" s="1"/>
  <c r="K11" i="7"/>
  <c r="I10" i="7"/>
  <c r="L10" i="7" s="1"/>
  <c r="K10" i="7"/>
  <c r="K9" i="7"/>
  <c r="I9" i="7"/>
  <c r="L9" i="7" s="1"/>
  <c r="M9" i="7" s="1"/>
  <c r="N9" i="7" s="1"/>
  <c r="L8" i="7"/>
  <c r="K8" i="7"/>
  <c r="L40" i="6"/>
  <c r="K14" i="6"/>
  <c r="L37" i="6"/>
  <c r="G14" i="6"/>
  <c r="F9" i="6"/>
  <c r="F10" i="6"/>
  <c r="F11" i="6"/>
  <c r="F12" i="6"/>
  <c r="F13" i="6"/>
  <c r="F14" i="6"/>
  <c r="F15" i="6"/>
  <c r="F16" i="6"/>
  <c r="F17" i="6"/>
  <c r="F18" i="6"/>
  <c r="F19" i="6"/>
  <c r="K19" i="6" s="1"/>
  <c r="F20" i="6"/>
  <c r="K20" i="6" s="1"/>
  <c r="F21" i="6"/>
  <c r="F22" i="6"/>
  <c r="K22" i="6" s="1"/>
  <c r="F23" i="6"/>
  <c r="K23" i="6" s="1"/>
  <c r="F24" i="6"/>
  <c r="K24" i="6" s="1"/>
  <c r="F25" i="6"/>
  <c r="F26" i="6"/>
  <c r="F27" i="6"/>
  <c r="F28" i="6"/>
  <c r="F29" i="6"/>
  <c r="F30" i="6"/>
  <c r="F8" i="6"/>
  <c r="L34" i="6"/>
  <c r="E32" i="6"/>
  <c r="D32" i="6"/>
  <c r="K30" i="6"/>
  <c r="I30" i="6"/>
  <c r="L30" i="6" s="1"/>
  <c r="M30" i="6" s="1"/>
  <c r="N30" i="6" s="1"/>
  <c r="K29" i="6"/>
  <c r="I29" i="6"/>
  <c r="L29" i="6" s="1"/>
  <c r="M29" i="6" s="1"/>
  <c r="N29" i="6" s="1"/>
  <c r="K28" i="6"/>
  <c r="I28" i="6"/>
  <c r="L28" i="6" s="1"/>
  <c r="M28" i="6" s="1"/>
  <c r="N28" i="6" s="1"/>
  <c r="K27" i="6"/>
  <c r="I27" i="6"/>
  <c r="L27" i="6" s="1"/>
  <c r="K26" i="6"/>
  <c r="I26" i="6"/>
  <c r="L26" i="6" s="1"/>
  <c r="K25" i="6"/>
  <c r="I25" i="6"/>
  <c r="L25" i="6" s="1"/>
  <c r="I23" i="6"/>
  <c r="L23" i="6" s="1"/>
  <c r="I22" i="6"/>
  <c r="L22" i="6" s="1"/>
  <c r="K21" i="6"/>
  <c r="I21" i="6"/>
  <c r="L21" i="6" s="1"/>
  <c r="M21" i="6" s="1"/>
  <c r="N21" i="6" s="1"/>
  <c r="I20" i="6"/>
  <c r="L20" i="6" s="1"/>
  <c r="L19" i="6"/>
  <c r="I19" i="6"/>
  <c r="K18" i="6"/>
  <c r="I18" i="6"/>
  <c r="L18" i="6" s="1"/>
  <c r="M18" i="6" s="1"/>
  <c r="N18" i="6" s="1"/>
  <c r="K17" i="6"/>
  <c r="I17" i="6"/>
  <c r="L17" i="6" s="1"/>
  <c r="K16" i="6"/>
  <c r="I16" i="6"/>
  <c r="L16" i="6" s="1"/>
  <c r="M16" i="6" s="1"/>
  <c r="N16" i="6" s="1"/>
  <c r="K15" i="6"/>
  <c r="L15" i="6"/>
  <c r="M15" i="6" s="1"/>
  <c r="N15" i="6" s="1"/>
  <c r="I14" i="6"/>
  <c r="L14" i="6" s="1"/>
  <c r="K13" i="6"/>
  <c r="I13" i="6"/>
  <c r="L13" i="6" s="1"/>
  <c r="K12" i="6"/>
  <c r="I12" i="6"/>
  <c r="L12" i="6" s="1"/>
  <c r="M12" i="6" s="1"/>
  <c r="N12" i="6" s="1"/>
  <c r="K11" i="6"/>
  <c r="I11" i="6"/>
  <c r="L11" i="6" s="1"/>
  <c r="M11" i="6" s="1"/>
  <c r="N11" i="6" s="1"/>
  <c r="K10" i="6"/>
  <c r="I10" i="6"/>
  <c r="L10" i="6" s="1"/>
  <c r="K9" i="6"/>
  <c r="I9" i="6"/>
  <c r="L9" i="6" s="1"/>
  <c r="L8" i="6"/>
  <c r="K8" i="6"/>
  <c r="L43" i="4"/>
  <c r="L41" i="4"/>
  <c r="L40" i="4"/>
  <c r="L36" i="4"/>
  <c r="L34" i="4"/>
  <c r="N32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8" i="4"/>
  <c r="M32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9" i="4"/>
  <c r="M8" i="4"/>
  <c r="L14" i="4"/>
  <c r="L32" i="4" s="1"/>
  <c r="L9" i="4"/>
  <c r="L10" i="4"/>
  <c r="L11" i="4"/>
  <c r="L12" i="4"/>
  <c r="L13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8" i="4"/>
  <c r="K14" i="4"/>
  <c r="K32" i="4" s="1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8" i="4"/>
  <c r="M15" i="7" l="1"/>
  <c r="N15" i="7" s="1"/>
  <c r="L14" i="7"/>
  <c r="L43" i="7" s="1"/>
  <c r="M13" i="7"/>
  <c r="N13" i="7" s="1"/>
  <c r="M19" i="7"/>
  <c r="N19" i="7" s="1"/>
  <c r="M12" i="7"/>
  <c r="N12" i="7" s="1"/>
  <c r="M24" i="7"/>
  <c r="N24" i="7" s="1"/>
  <c r="M21" i="7"/>
  <c r="N21" i="7" s="1"/>
  <c r="M20" i="7"/>
  <c r="N20" i="7" s="1"/>
  <c r="M28" i="7"/>
  <c r="N28" i="7" s="1"/>
  <c r="M10" i="7"/>
  <c r="N10" i="7" s="1"/>
  <c r="M8" i="7"/>
  <c r="K32" i="7"/>
  <c r="M22" i="7"/>
  <c r="N22" i="7" s="1"/>
  <c r="M11" i="7"/>
  <c r="N11" i="7" s="1"/>
  <c r="M23" i="7"/>
  <c r="N23" i="7" s="1"/>
  <c r="M27" i="7"/>
  <c r="N27" i="7" s="1"/>
  <c r="M18" i="7"/>
  <c r="N18" i="7" s="1"/>
  <c r="M30" i="7"/>
  <c r="N30" i="7" s="1"/>
  <c r="M8" i="6"/>
  <c r="M25" i="6"/>
  <c r="N25" i="6" s="1"/>
  <c r="M9" i="6"/>
  <c r="N9" i="6" s="1"/>
  <c r="M23" i="6"/>
  <c r="N23" i="6" s="1"/>
  <c r="M10" i="6"/>
  <c r="N10" i="6" s="1"/>
  <c r="M17" i="6"/>
  <c r="N17" i="6" s="1"/>
  <c r="M19" i="6"/>
  <c r="N19" i="6" s="1"/>
  <c r="M26" i="6"/>
  <c r="N26" i="6" s="1"/>
  <c r="M22" i="6"/>
  <c r="N22" i="6" s="1"/>
  <c r="M13" i="6"/>
  <c r="N13" i="6" s="1"/>
  <c r="M27" i="6"/>
  <c r="N27" i="6" s="1"/>
  <c r="M20" i="6"/>
  <c r="N20" i="6" s="1"/>
  <c r="L43" i="6"/>
  <c r="M14" i="6"/>
  <c r="N14" i="6" s="1"/>
  <c r="N8" i="6"/>
  <c r="I24" i="6"/>
  <c r="L24" i="6" s="1"/>
  <c r="M24" i="6" s="1"/>
  <c r="N24" i="6" s="1"/>
  <c r="K32" i="6"/>
  <c r="M14" i="7" l="1"/>
  <c r="N14" i="7" s="1"/>
  <c r="L32" i="7"/>
  <c r="L36" i="7" s="1"/>
  <c r="N8" i="7"/>
  <c r="L32" i="6"/>
  <c r="M32" i="6"/>
  <c r="N32" i="6" s="1"/>
  <c r="M32" i="7" l="1"/>
  <c r="N32" i="7" s="1"/>
  <c r="L45" i="7"/>
  <c r="L42" i="6"/>
  <c r="L45" i="6" s="1"/>
  <c r="L38" i="6"/>
  <c r="C7" i="5" l="1"/>
  <c r="I30" i="4" l="1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E32" i="4"/>
  <c r="D32" i="4"/>
  <c r="C35" i="1"/>
  <c r="E35" i="1"/>
  <c r="C34" i="1"/>
  <c r="E34" i="1"/>
  <c r="C22" i="1"/>
  <c r="C16" i="1"/>
  <c r="C20" i="1" s="1"/>
  <c r="C12" i="1"/>
  <c r="E10" i="1"/>
  <c r="E8" i="1"/>
  <c r="E22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2" i="1" l="1"/>
  <c r="C27" i="1"/>
  <c r="C31" i="1" s="1"/>
  <c r="E16" i="1"/>
  <c r="E20" i="1" s="1"/>
  <c r="E27" i="1" s="1"/>
  <c r="E31" i="1" s="1"/>
  <c r="F31" i="1" l="1"/>
</calcChain>
</file>

<file path=xl/sharedStrings.xml><?xml version="1.0" encoding="utf-8"?>
<sst xmlns="http://schemas.openxmlformats.org/spreadsheetml/2006/main" count="216" uniqueCount="86">
  <si>
    <t>Line Number</t>
  </si>
  <si>
    <t>Description</t>
  </si>
  <si>
    <t>Adjusted Sewer</t>
  </si>
  <si>
    <t>Removal of Acquisition Costs</t>
  </si>
  <si>
    <t>(A)</t>
  </si>
  <si>
    <t>(B)</t>
  </si>
  <si>
    <t>(C)</t>
  </si>
  <si>
    <t>(D)</t>
  </si>
  <si>
    <t>(E)</t>
  </si>
  <si>
    <t>Total Original Cost Rate Base</t>
  </si>
  <si>
    <t>Operating Income at Present Rates</t>
  </si>
  <si>
    <t xml:space="preserve">Earned Rate of Return </t>
  </si>
  <si>
    <t>Requested Rate of Return</t>
  </si>
  <si>
    <t>Required Return on Rate Base</t>
  </si>
  <si>
    <t>Weighted Return on Equity</t>
  </si>
  <si>
    <t xml:space="preserve">Operating Income Deficiency </t>
  </si>
  <si>
    <t xml:space="preserve">Net Income Required for Return on Equity </t>
  </si>
  <si>
    <t>Gross Revenue Conversion Factor</t>
  </si>
  <si>
    <t>Gross Income Conversion Factor</t>
  </si>
  <si>
    <t xml:space="preserve">Revenue Deficiency </t>
  </si>
  <si>
    <t>Pro Forma Revenue at Present Rates</t>
  </si>
  <si>
    <t>Percentage Increase</t>
  </si>
  <si>
    <t>Overall Revenue Requirement</t>
  </si>
  <si>
    <t>Less: Other Revenues</t>
  </si>
  <si>
    <t>Base Rate Revenue Requirement</t>
  </si>
  <si>
    <t>Current</t>
  </si>
  <si>
    <t>Proposed</t>
  </si>
  <si>
    <t>Bills</t>
  </si>
  <si>
    <t>Usage</t>
  </si>
  <si>
    <t>Total</t>
  </si>
  <si>
    <t>Difference</t>
  </si>
  <si>
    <t>Airview Residential</t>
  </si>
  <si>
    <t>Arcadia Pines</t>
  </si>
  <si>
    <t>Brocklyn Multifamily (2)</t>
  </si>
  <si>
    <t>Brocklyn Residential</t>
  </si>
  <si>
    <t>Carriage Park</t>
  </si>
  <si>
    <t>Darlington Creek</t>
  </si>
  <si>
    <t>Delaplain Commercial (1)</t>
  </si>
  <si>
    <t>Delaplain</t>
  </si>
  <si>
    <t>Fox Run Residential</t>
  </si>
  <si>
    <t>Golden Acres Residential</t>
  </si>
  <si>
    <t>Great Oaks Residential</t>
  </si>
  <si>
    <t>Herrington Haven</t>
  </si>
  <si>
    <t>Kingswood Residential</t>
  </si>
  <si>
    <t>Lake Columbia Flat</t>
  </si>
  <si>
    <t>Longview Residential</t>
  </si>
  <si>
    <t>Marshall Ridge</t>
  </si>
  <si>
    <t>Persimmon Non-Residential (1)</t>
  </si>
  <si>
    <t>Persimmon Residential</t>
  </si>
  <si>
    <t>Randview</t>
  </si>
  <si>
    <t>River Bluffs</t>
  </si>
  <si>
    <t>Springcrest</t>
  </si>
  <si>
    <t>Timberland</t>
  </si>
  <si>
    <t>Woodland Acres</t>
  </si>
  <si>
    <t>Rate</t>
  </si>
  <si>
    <t>Commercial Residential Equivalents</t>
  </si>
  <si>
    <t>Multifamily Residential Equivalents</t>
  </si>
  <si>
    <t>Percentage</t>
  </si>
  <si>
    <t>of Bills</t>
  </si>
  <si>
    <t>Charges</t>
  </si>
  <si>
    <t>Fixed</t>
  </si>
  <si>
    <t>Volumetric</t>
  </si>
  <si>
    <t>Metered</t>
  </si>
  <si>
    <t>Scott Co</t>
  </si>
  <si>
    <t>Fixed Rate</t>
  </si>
  <si>
    <t>Revised Revenue Requirement</t>
  </si>
  <si>
    <t>post closing accounting entries 2020-297; OAG 2-73 exhibit</t>
  </si>
  <si>
    <t>OAG 2-73 exhibit</t>
  </si>
  <si>
    <t>Total Booked to Land</t>
  </si>
  <si>
    <t>Charge</t>
  </si>
  <si>
    <t>Percent</t>
  </si>
  <si>
    <t>Unrecovered Phase 1 Revenue</t>
  </si>
  <si>
    <t>Total Phase 1 Proposed Charges</t>
  </si>
  <si>
    <t>Delaplain Commercial Proposed Charges</t>
  </si>
  <si>
    <t>Percent of Revenue</t>
  </si>
  <si>
    <t>Phase 1</t>
  </si>
  <si>
    <t>Unrecovered Phase 2 Revenue</t>
  </si>
  <si>
    <t>Phase 2</t>
  </si>
  <si>
    <t>Total Unrecovered Phase In Revenue</t>
  </si>
  <si>
    <t>Amortized: Five Years</t>
  </si>
  <si>
    <t>Annual Amortization</t>
  </si>
  <si>
    <t>Additional Revenue Requirement</t>
  </si>
  <si>
    <t>Total Base Rate Revenue Requirement</t>
  </si>
  <si>
    <t>Phase 3</t>
  </si>
  <si>
    <t>KY PSC Case No. 2022-00432</t>
  </si>
  <si>
    <t>For the Period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</si>
</sst>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1" applyNumberFormat="1" applyFont="1" applyFill="1" applyAlignment="1">
      <alignment horizontal="right" vertical="center"/>
    </xf>
    <xf numFmtId="6" fontId="5" fillId="0" borderId="0" xfId="1" applyNumberFormat="1" applyFont="1" applyFill="1" applyAlignment="1">
      <alignment horizontal="right" vertical="center"/>
    </xf>
    <xf numFmtId="6" fontId="6" fillId="0" borderId="0" xfId="1" applyNumberFormat="1" applyFont="1" applyFill="1" applyAlignment="1">
      <alignment horizontal="right" vertical="center"/>
    </xf>
    <xf numFmtId="6" fontId="0" fillId="0" borderId="0" xfId="0" applyNumberFormat="1"/>
    <xf numFmtId="44" fontId="5" fillId="0" borderId="0" xfId="2" applyFont="1" applyFill="1" applyAlignment="1">
      <alignment horizontal="right" vertical="center"/>
    </xf>
    <xf numFmtId="164" fontId="3" fillId="0" borderId="0" xfId="3" applyNumberFormat="1" applyFont="1" applyFill="1" applyAlignment="1">
      <alignment horizontal="right" vertical="center"/>
    </xf>
    <xf numFmtId="44" fontId="3" fillId="0" borderId="0" xfId="2" applyFont="1" applyFill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6" fontId="3" fillId="0" borderId="0" xfId="2" applyNumberFormat="1" applyFont="1" applyFill="1" applyAlignment="1">
      <alignment horizontal="right" vertical="center"/>
    </xf>
    <xf numFmtId="2" fontId="3" fillId="0" borderId="0" xfId="2" applyNumberFormat="1" applyFont="1" applyFill="1" applyAlignment="1">
      <alignment horizontal="right" vertical="center"/>
    </xf>
    <xf numFmtId="44" fontId="3" fillId="0" borderId="0" xfId="2" applyFont="1" applyAlignment="1">
      <alignment horizontal="right" vertical="center"/>
    </xf>
    <xf numFmtId="6" fontId="3" fillId="0" borderId="0" xfId="1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vertical="center"/>
    </xf>
    <xf numFmtId="44" fontId="4" fillId="0" borderId="0" xfId="2" applyFont="1" applyAlignment="1">
      <alignment vertical="center"/>
    </xf>
    <xf numFmtId="10" fontId="2" fillId="0" borderId="0" xfId="3" applyNumberFormat="1" applyFont="1"/>
    <xf numFmtId="0" fontId="4" fillId="0" borderId="0" xfId="0" applyFont="1" applyAlignment="1">
      <alignment horizontal="center"/>
    </xf>
    <xf numFmtId="0" fontId="9" fillId="0" borderId="0" xfId="0" applyFont="1"/>
    <xf numFmtId="43" fontId="9" fillId="0" borderId="0" xfId="1" applyFont="1"/>
    <xf numFmtId="0" fontId="10" fillId="0" borderId="0" xfId="0" applyFont="1"/>
    <xf numFmtId="166" fontId="9" fillId="0" borderId="0" xfId="1" applyNumberFormat="1" applyFont="1"/>
    <xf numFmtId="10" fontId="9" fillId="0" borderId="0" xfId="3" applyNumberFormat="1" applyFont="1"/>
    <xf numFmtId="44" fontId="9" fillId="0" borderId="0" xfId="2" applyFont="1"/>
    <xf numFmtId="0" fontId="9" fillId="0" borderId="0" xfId="0" applyFont="1" applyAlignment="1">
      <alignment horizontal="center"/>
    </xf>
    <xf numFmtId="166" fontId="9" fillId="0" borderId="0" xfId="0" applyNumberFormat="1" applyFont="1"/>
    <xf numFmtId="10" fontId="9" fillId="0" borderId="0" xfId="0" applyNumberFormat="1" applyFont="1"/>
    <xf numFmtId="8" fontId="11" fillId="0" borderId="0" xfId="0" applyNumberFormat="1" applyFont="1"/>
    <xf numFmtId="0" fontId="11" fillId="0" borderId="0" xfId="0" applyFont="1"/>
    <xf numFmtId="43" fontId="11" fillId="0" borderId="0" xfId="1" applyFont="1"/>
    <xf numFmtId="43" fontId="11" fillId="0" borderId="1" xfId="1" applyFont="1" applyBorder="1"/>
    <xf numFmtId="165" fontId="9" fillId="0" borderId="0" xfId="2" applyNumberFormat="1" applyFont="1"/>
    <xf numFmtId="165" fontId="9" fillId="0" borderId="0" xfId="0" applyNumberFormat="1" applyFont="1"/>
    <xf numFmtId="164" fontId="9" fillId="0" borderId="0" xfId="3" applyNumberFormat="1" applyFont="1"/>
    <xf numFmtId="164" fontId="9" fillId="0" borderId="0" xfId="0" applyNumberFormat="1" applyFont="1"/>
    <xf numFmtId="165" fontId="0" fillId="0" borderId="0" xfId="2" applyNumberFormat="1" applyFont="1"/>
    <xf numFmtId="166" fontId="0" fillId="0" borderId="1" xfId="1" applyNumberFormat="1" applyFont="1" applyBorder="1"/>
    <xf numFmtId="43" fontId="0" fillId="0" borderId="1" xfId="1" applyFont="1" applyBorder="1"/>
    <xf numFmtId="165" fontId="0" fillId="0" borderId="3" xfId="0" applyNumberFormat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DC94-9C51-46B0-961A-B5DE328FADE7}">
  <dimension ref="A1:G37"/>
  <sheetViews>
    <sheetView showGridLines="0" workbookViewId="0">
      <selection activeCell="B35" sqref="B35"/>
    </sheetView>
  </sheetViews>
  <sheetFormatPr defaultRowHeight="15" x14ac:dyDescent="0.25"/>
  <cols>
    <col min="1" max="1" width="11" bestFit="1" customWidth="1"/>
    <col min="2" max="2" width="37" bestFit="1" customWidth="1"/>
    <col min="3" max="5" width="10.5703125" bestFit="1" customWidth="1"/>
    <col min="6" max="6" width="8.5703125" bestFit="1" customWidth="1"/>
  </cols>
  <sheetData>
    <row r="1" spans="1:6" x14ac:dyDescent="0.25">
      <c r="A1" s="46"/>
      <c r="B1" s="46"/>
      <c r="C1" s="46"/>
      <c r="D1" s="46"/>
      <c r="E1" s="46"/>
    </row>
    <row r="2" spans="1:6" x14ac:dyDescent="0.25">
      <c r="A2" s="46" t="s">
        <v>84</v>
      </c>
      <c r="B2" s="46"/>
      <c r="C2" s="46"/>
      <c r="D2" s="46"/>
      <c r="E2" s="46"/>
    </row>
    <row r="3" spans="1:6" x14ac:dyDescent="0.25">
      <c r="A3" s="47" t="s">
        <v>65</v>
      </c>
      <c r="B3" s="47"/>
      <c r="C3" s="47"/>
      <c r="D3" s="47"/>
      <c r="E3" s="47"/>
    </row>
    <row r="4" spans="1:6" x14ac:dyDescent="0.25">
      <c r="A4" s="48" t="s">
        <v>85</v>
      </c>
      <c r="B4" s="48"/>
      <c r="C4" s="48"/>
      <c r="D4" s="48"/>
      <c r="E4" s="48"/>
    </row>
    <row r="5" spans="1:6" ht="38.2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2</v>
      </c>
    </row>
    <row r="6" spans="1:6" x14ac:dyDescent="0.25">
      <c r="A6" s="2" t="s">
        <v>4</v>
      </c>
      <c r="B6" s="2" t="s">
        <v>5</v>
      </c>
      <c r="C6" s="3" t="s">
        <v>6</v>
      </c>
      <c r="D6" s="3" t="s">
        <v>7</v>
      </c>
      <c r="E6" s="3" t="s">
        <v>8</v>
      </c>
    </row>
    <row r="7" spans="1:6" x14ac:dyDescent="0.25">
      <c r="A7" s="4">
        <v>1</v>
      </c>
      <c r="B7" s="5"/>
      <c r="C7" s="6"/>
      <c r="D7" s="6"/>
    </row>
    <row r="8" spans="1:6" x14ac:dyDescent="0.25">
      <c r="A8" s="4">
        <f>A7+1</f>
        <v>2</v>
      </c>
      <c r="B8" s="7" t="s">
        <v>9</v>
      </c>
      <c r="C8" s="8">
        <v>6238746</v>
      </c>
      <c r="D8" s="8">
        <v>-629772</v>
      </c>
      <c r="E8" s="8">
        <f>+C8+D8</f>
        <v>5608974</v>
      </c>
    </row>
    <row r="9" spans="1:6" x14ac:dyDescent="0.25">
      <c r="A9" s="4">
        <f t="shared" ref="A9:A31" si="0">A8+1</f>
        <v>3</v>
      </c>
      <c r="B9" s="7"/>
      <c r="C9" s="8"/>
      <c r="D9" s="8"/>
    </row>
    <row r="10" spans="1:6" x14ac:dyDescent="0.25">
      <c r="A10" s="4">
        <f t="shared" si="0"/>
        <v>4</v>
      </c>
      <c r="B10" s="7" t="s">
        <v>10</v>
      </c>
      <c r="C10" s="9">
        <v>-472215</v>
      </c>
      <c r="D10" s="10"/>
      <c r="E10" s="8">
        <f>+C10+D10</f>
        <v>-472215</v>
      </c>
      <c r="F10" s="11"/>
    </row>
    <row r="11" spans="1:6" x14ac:dyDescent="0.25">
      <c r="A11" s="4">
        <f t="shared" si="0"/>
        <v>5</v>
      </c>
      <c r="B11" s="7"/>
      <c r="C11" s="12"/>
      <c r="D11" s="12"/>
    </row>
    <row r="12" spans="1:6" x14ac:dyDescent="0.25">
      <c r="A12" s="4">
        <f t="shared" si="0"/>
        <v>6</v>
      </c>
      <c r="B12" s="7" t="s">
        <v>11</v>
      </c>
      <c r="C12" s="13">
        <f>IFERROR(C10/C8,0)</f>
        <v>-7.5690691687079426E-2</v>
      </c>
      <c r="D12" s="13"/>
      <c r="E12" s="13">
        <f>IFERROR(E10/E8,0)</f>
        <v>-8.4189193959536987E-2</v>
      </c>
    </row>
    <row r="13" spans="1:6" x14ac:dyDescent="0.25">
      <c r="A13" s="4">
        <f t="shared" si="0"/>
        <v>7</v>
      </c>
      <c r="B13" s="7"/>
      <c r="C13" s="14"/>
      <c r="D13" s="14"/>
    </row>
    <row r="14" spans="1:6" x14ac:dyDescent="0.25">
      <c r="A14" s="4">
        <f t="shared" si="0"/>
        <v>8</v>
      </c>
      <c r="B14" s="7" t="s">
        <v>12</v>
      </c>
      <c r="C14" s="15">
        <v>9.7662599999999988E-2</v>
      </c>
      <c r="D14" s="15"/>
      <c r="E14" s="15">
        <v>9.7662599999999988E-2</v>
      </c>
    </row>
    <row r="15" spans="1:6" x14ac:dyDescent="0.25">
      <c r="A15" s="4">
        <f t="shared" si="0"/>
        <v>9</v>
      </c>
      <c r="B15" s="7"/>
      <c r="C15" s="14"/>
      <c r="D15" s="14"/>
    </row>
    <row r="16" spans="1:6" x14ac:dyDescent="0.25">
      <c r="A16" s="4">
        <f t="shared" si="0"/>
        <v>10</v>
      </c>
      <c r="B16" s="7" t="s">
        <v>13</v>
      </c>
      <c r="C16" s="8">
        <f>IFERROR(C8*C14,"")</f>
        <v>609292.15509959997</v>
      </c>
      <c r="D16" s="8"/>
      <c r="E16" s="8">
        <f>IFERROR(E8*E14,"")</f>
        <v>547786.98417239997</v>
      </c>
      <c r="F16" s="11"/>
    </row>
    <row r="17" spans="1:7" x14ac:dyDescent="0.25">
      <c r="A17" s="4">
        <f t="shared" si="0"/>
        <v>11</v>
      </c>
      <c r="B17" s="7"/>
      <c r="C17" s="16"/>
      <c r="D17" s="16"/>
    </row>
    <row r="18" spans="1:7" x14ac:dyDescent="0.25">
      <c r="A18" s="4">
        <f t="shared" si="0"/>
        <v>12</v>
      </c>
      <c r="B18" s="7" t="s">
        <v>14</v>
      </c>
      <c r="C18" s="15">
        <v>7.1251399999999993E-2</v>
      </c>
      <c r="D18" s="15"/>
      <c r="E18" s="15">
        <v>7.1251399999999993E-2</v>
      </c>
    </row>
    <row r="19" spans="1:7" x14ac:dyDescent="0.25">
      <c r="A19" s="4">
        <f t="shared" si="0"/>
        <v>13</v>
      </c>
      <c r="B19" s="7"/>
      <c r="C19" s="16"/>
      <c r="D19" s="16"/>
    </row>
    <row r="20" spans="1:7" x14ac:dyDescent="0.25">
      <c r="A20" s="4">
        <f t="shared" si="0"/>
        <v>14</v>
      </c>
      <c r="B20" s="7" t="s">
        <v>15</v>
      </c>
      <c r="C20" s="8">
        <f>C16-C10</f>
        <v>1081507.1550996001</v>
      </c>
      <c r="D20" s="8"/>
      <c r="E20" s="8">
        <f>E16-E10</f>
        <v>1020001.9841724</v>
      </c>
    </row>
    <row r="21" spans="1:7" x14ac:dyDescent="0.25">
      <c r="A21" s="4">
        <f t="shared" si="0"/>
        <v>15</v>
      </c>
      <c r="B21" s="7"/>
      <c r="C21" s="8"/>
      <c r="D21" s="8"/>
    </row>
    <row r="22" spans="1:7" x14ac:dyDescent="0.25">
      <c r="A22" s="4">
        <f t="shared" si="0"/>
        <v>16</v>
      </c>
      <c r="B22" s="7" t="s">
        <v>16</v>
      </c>
      <c r="C22" s="8">
        <f>C8*C18</f>
        <v>444519.38674439996</v>
      </c>
      <c r="D22" s="8"/>
      <c r="E22" s="8">
        <f>E8*E18</f>
        <v>399647.25006359996</v>
      </c>
    </row>
    <row r="23" spans="1:7" x14ac:dyDescent="0.25">
      <c r="A23" s="4">
        <f t="shared" si="0"/>
        <v>17</v>
      </c>
      <c r="B23" s="7"/>
      <c r="C23" s="14"/>
      <c r="D23" s="14"/>
    </row>
    <row r="24" spans="1:7" x14ac:dyDescent="0.25">
      <c r="A24" s="4">
        <f t="shared" si="0"/>
        <v>18</v>
      </c>
      <c r="B24" s="7" t="s">
        <v>17</v>
      </c>
      <c r="C24" s="17">
        <v>1.0101010101010102</v>
      </c>
      <c r="D24" s="17"/>
      <c r="E24" s="17">
        <v>1.0101010101010099</v>
      </c>
    </row>
    <row r="25" spans="1:7" x14ac:dyDescent="0.25">
      <c r="A25" s="4">
        <f t="shared" si="0"/>
        <v>19</v>
      </c>
      <c r="B25" s="7" t="s">
        <v>18</v>
      </c>
      <c r="C25" s="17">
        <v>1.3459040774164024</v>
      </c>
      <c r="D25" s="17"/>
      <c r="E25" s="17">
        <v>1.3459040774164024</v>
      </c>
    </row>
    <row r="26" spans="1:7" x14ac:dyDescent="0.25">
      <c r="A26" s="4">
        <f t="shared" si="0"/>
        <v>20</v>
      </c>
      <c r="B26" s="7"/>
      <c r="C26" s="18"/>
      <c r="D26" s="18"/>
    </row>
    <row r="27" spans="1:7" x14ac:dyDescent="0.25">
      <c r="A27" s="4">
        <f t="shared" si="0"/>
        <v>21</v>
      </c>
      <c r="B27" s="7" t="s">
        <v>19</v>
      </c>
      <c r="C27" s="19">
        <f>(C22*C25)+((C20-C22)*C24)</f>
        <v>1241702.4433475025</v>
      </c>
      <c r="D27" s="19"/>
      <c r="E27" s="19">
        <f>(E22*E25)+((E20-E22)*E24)</f>
        <v>1164507.8069330943</v>
      </c>
    </row>
    <row r="28" spans="1:7" x14ac:dyDescent="0.25">
      <c r="A28" s="4">
        <f t="shared" si="0"/>
        <v>22</v>
      </c>
      <c r="B28" s="7"/>
      <c r="C28" s="19"/>
      <c r="D28" s="19"/>
    </row>
    <row r="29" spans="1:7" x14ac:dyDescent="0.25">
      <c r="A29" s="4">
        <f t="shared" si="0"/>
        <v>23</v>
      </c>
      <c r="B29" s="7" t="s">
        <v>20</v>
      </c>
      <c r="C29" s="19">
        <v>2435594.21</v>
      </c>
      <c r="D29" s="19"/>
      <c r="E29" s="19">
        <v>2435594.21</v>
      </c>
    </row>
    <row r="30" spans="1:7" x14ac:dyDescent="0.25">
      <c r="A30" s="4">
        <f t="shared" si="0"/>
        <v>24</v>
      </c>
      <c r="B30" s="7"/>
      <c r="C30" s="19"/>
      <c r="D30" s="19"/>
      <c r="E30" s="19"/>
    </row>
    <row r="31" spans="1:7" x14ac:dyDescent="0.25">
      <c r="A31" s="4">
        <f t="shared" si="0"/>
        <v>25</v>
      </c>
      <c r="B31" s="7" t="s">
        <v>22</v>
      </c>
      <c r="C31" s="19">
        <f>C27+C29</f>
        <v>3677296.6533475025</v>
      </c>
      <c r="D31" s="19"/>
      <c r="E31" s="19">
        <f>E27+E29</f>
        <v>3600102.0169330942</v>
      </c>
      <c r="F31" s="8">
        <f>+E31-C31</f>
        <v>-77194.636414408218</v>
      </c>
      <c r="G31" s="20"/>
    </row>
    <row r="32" spans="1:7" x14ac:dyDescent="0.25">
      <c r="A32" s="4">
        <f>A31+1</f>
        <v>26</v>
      </c>
      <c r="B32" s="7" t="s">
        <v>23</v>
      </c>
      <c r="C32" s="19">
        <v>14462</v>
      </c>
      <c r="D32" s="19"/>
      <c r="E32" s="19">
        <v>-14462</v>
      </c>
      <c r="F32" s="8"/>
      <c r="G32" s="20"/>
    </row>
    <row r="33" spans="1:7" x14ac:dyDescent="0.25">
      <c r="A33" s="4">
        <f>A32+1</f>
        <v>27</v>
      </c>
      <c r="B33" s="7"/>
      <c r="C33" s="19"/>
      <c r="D33" s="19"/>
      <c r="E33" s="19"/>
      <c r="F33" s="8"/>
      <c r="G33" s="20"/>
    </row>
    <row r="34" spans="1:7" x14ac:dyDescent="0.25">
      <c r="A34" s="4">
        <f>A33+1</f>
        <v>28</v>
      </c>
      <c r="B34" s="7" t="s">
        <v>24</v>
      </c>
      <c r="C34" s="19">
        <f>C31+C32</f>
        <v>3691758.6533475025</v>
      </c>
      <c r="D34" s="19"/>
      <c r="E34" s="19">
        <f>E31+E32</f>
        <v>3585640.0169330942</v>
      </c>
      <c r="F34" s="8"/>
      <c r="G34" s="20"/>
    </row>
    <row r="35" spans="1:7" x14ac:dyDescent="0.25">
      <c r="A35" s="24">
        <v>29</v>
      </c>
      <c r="B35" s="7" t="s">
        <v>21</v>
      </c>
      <c r="C35" s="23">
        <f>(C34-C29)/C29</f>
        <v>0.51575276299720818</v>
      </c>
      <c r="D35" s="6"/>
      <c r="E35" s="23">
        <f>(E34-E29)/E29</f>
        <v>0.4721828464738772</v>
      </c>
    </row>
    <row r="36" spans="1:7" x14ac:dyDescent="0.25">
      <c r="B36" s="21"/>
      <c r="C36" s="6"/>
      <c r="D36" s="6"/>
    </row>
    <row r="37" spans="1:7" x14ac:dyDescent="0.25">
      <c r="B37" s="5"/>
      <c r="C37" s="22"/>
      <c r="D37" s="22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0F42-FED9-453E-8987-5F6CD25F9611}">
  <dimension ref="B3:N43"/>
  <sheetViews>
    <sheetView showGridLines="0" workbookViewId="0">
      <selection activeCell="K8" sqref="K8"/>
    </sheetView>
  </sheetViews>
  <sheetFormatPr defaultRowHeight="12.75" x14ac:dyDescent="0.2"/>
  <cols>
    <col min="1" max="1" width="9.140625" style="25"/>
    <col min="2" max="2" width="33.42578125" style="25" bestFit="1" customWidth="1"/>
    <col min="3" max="3" width="9.140625" style="25"/>
    <col min="4" max="4" width="11" style="25" customWidth="1"/>
    <col min="5" max="5" width="13.42578125" style="25" customWidth="1"/>
    <col min="6" max="6" width="12.140625" style="25" customWidth="1"/>
    <col min="7" max="7" width="11.7109375" style="25" customWidth="1"/>
    <col min="8" max="8" width="10.28515625" style="25" bestFit="1" customWidth="1"/>
    <col min="9" max="9" width="12.5703125" style="25" customWidth="1"/>
    <col min="10" max="10" width="10.5703125" style="25" customWidth="1"/>
    <col min="11" max="12" width="14" style="25" bestFit="1" customWidth="1"/>
    <col min="13" max="13" width="11.28515625" style="25" bestFit="1" customWidth="1"/>
    <col min="14" max="16384" width="9.140625" style="25"/>
  </cols>
  <sheetData>
    <row r="3" spans="2:14" x14ac:dyDescent="0.2">
      <c r="H3" s="31"/>
      <c r="I3" s="31"/>
      <c r="J3" s="31" t="s">
        <v>63</v>
      </c>
      <c r="L3" s="25" t="s">
        <v>63</v>
      </c>
    </row>
    <row r="4" spans="2:14" x14ac:dyDescent="0.2">
      <c r="D4" s="31"/>
      <c r="E4" s="31"/>
      <c r="F4" s="31" t="s">
        <v>25</v>
      </c>
      <c r="G4" s="31" t="s">
        <v>25</v>
      </c>
      <c r="H4" s="31"/>
      <c r="I4" s="31" t="s">
        <v>63</v>
      </c>
      <c r="J4" s="31" t="s">
        <v>75</v>
      </c>
      <c r="K4" s="25" t="s">
        <v>25</v>
      </c>
      <c r="L4" s="25" t="s">
        <v>26</v>
      </c>
    </row>
    <row r="5" spans="2:14" x14ac:dyDescent="0.2">
      <c r="D5" s="31"/>
      <c r="E5" s="31" t="s">
        <v>57</v>
      </c>
      <c r="F5" s="31" t="s">
        <v>60</v>
      </c>
      <c r="G5" s="31" t="s">
        <v>61</v>
      </c>
      <c r="H5" s="31" t="s">
        <v>62</v>
      </c>
      <c r="I5" s="31" t="s">
        <v>26</v>
      </c>
      <c r="J5" s="31" t="s">
        <v>61</v>
      </c>
      <c r="K5" s="25" t="s">
        <v>29</v>
      </c>
      <c r="L5" s="25" t="s">
        <v>75</v>
      </c>
      <c r="N5" s="25" t="s">
        <v>70</v>
      </c>
    </row>
    <row r="6" spans="2:14" x14ac:dyDescent="0.2">
      <c r="D6" s="31" t="s">
        <v>27</v>
      </c>
      <c r="E6" s="31" t="s">
        <v>58</v>
      </c>
      <c r="F6" s="31" t="s">
        <v>59</v>
      </c>
      <c r="G6" s="31" t="s">
        <v>59</v>
      </c>
      <c r="H6" s="31" t="s">
        <v>28</v>
      </c>
      <c r="I6" s="31" t="s">
        <v>64</v>
      </c>
      <c r="J6" s="31" t="s">
        <v>54</v>
      </c>
      <c r="K6" s="25" t="s">
        <v>69</v>
      </c>
      <c r="L6" s="25" t="s">
        <v>69</v>
      </c>
      <c r="M6" s="25" t="s">
        <v>30</v>
      </c>
      <c r="N6" s="25" t="s">
        <v>30</v>
      </c>
    </row>
    <row r="8" spans="2:14" x14ac:dyDescent="0.2">
      <c r="B8" s="25" t="s">
        <v>31</v>
      </c>
      <c r="D8" s="28">
        <v>2373.2057676264208</v>
      </c>
      <c r="E8" s="29">
        <v>8.0333672352997279E-2</v>
      </c>
      <c r="F8" s="30">
        <v>85.97</v>
      </c>
      <c r="I8" s="30">
        <v>95.25</v>
      </c>
      <c r="K8" s="38">
        <f>F8*D8</f>
        <v>204024.49984284339</v>
      </c>
      <c r="L8" s="38">
        <f>I8*D8</f>
        <v>226047.84936641657</v>
      </c>
      <c r="M8" s="39">
        <f>L8-K8</f>
        <v>22023.349523573183</v>
      </c>
      <c r="N8" s="40">
        <f>M8/K8</f>
        <v>0.10794463184831918</v>
      </c>
    </row>
    <row r="9" spans="2:14" x14ac:dyDescent="0.2">
      <c r="B9" s="27" t="s">
        <v>32</v>
      </c>
      <c r="D9" s="28">
        <v>309.98979639409106</v>
      </c>
      <c r="E9" s="29">
        <v>1.0493240441262616E-2</v>
      </c>
      <c r="F9" s="26">
        <v>85.97</v>
      </c>
      <c r="I9" s="26">
        <f>I8</f>
        <v>95.25</v>
      </c>
      <c r="K9" s="28">
        <f t="shared" ref="K9:K30" si="0">F9*D9</f>
        <v>26649.822796000008</v>
      </c>
      <c r="L9" s="28">
        <f t="shared" ref="L9:L30" si="1">I9*D9</f>
        <v>29526.528106537175</v>
      </c>
      <c r="M9" s="28">
        <f>L9-K9</f>
        <v>2876.705310537167</v>
      </c>
      <c r="N9" s="40">
        <f t="shared" ref="N9:N30" si="2">M9/K9</f>
        <v>0.10794463184831926</v>
      </c>
    </row>
    <row r="10" spans="2:14" x14ac:dyDescent="0.2">
      <c r="B10" s="25" t="s">
        <v>33</v>
      </c>
      <c r="D10" s="28">
        <v>1119</v>
      </c>
      <c r="E10" s="29">
        <v>3.7878459840804908E-2</v>
      </c>
      <c r="F10" s="26">
        <v>64.48</v>
      </c>
      <c r="I10" s="26">
        <f>I8*D35</f>
        <v>71.4375</v>
      </c>
      <c r="K10" s="28">
        <f t="shared" si="0"/>
        <v>72153.12000000001</v>
      </c>
      <c r="L10" s="28">
        <f t="shared" si="1"/>
        <v>79938.5625</v>
      </c>
      <c r="M10" s="28">
        <f t="shared" ref="M10:M30" si="3">L10-K10</f>
        <v>7785.4424999999901</v>
      </c>
      <c r="N10" s="40">
        <f t="shared" si="2"/>
        <v>0.10790167493796511</v>
      </c>
    </row>
    <row r="11" spans="2:14" x14ac:dyDescent="0.2">
      <c r="B11" s="27" t="s">
        <v>34</v>
      </c>
      <c r="D11" s="28">
        <v>883.98067346167272</v>
      </c>
      <c r="E11" s="29">
        <v>2.992299056279325E-2</v>
      </c>
      <c r="F11" s="26">
        <v>85.97</v>
      </c>
      <c r="I11" s="26">
        <f>I8</f>
        <v>95.25</v>
      </c>
      <c r="K11" s="28">
        <f t="shared" si="0"/>
        <v>75995.818497500004</v>
      </c>
      <c r="L11" s="28">
        <f t="shared" si="1"/>
        <v>84199.159147224331</v>
      </c>
      <c r="M11" s="28">
        <f t="shared" si="3"/>
        <v>8203.3406497243268</v>
      </c>
      <c r="N11" s="40">
        <f t="shared" si="2"/>
        <v>0.10794463184831923</v>
      </c>
    </row>
    <row r="12" spans="2:14" x14ac:dyDescent="0.2">
      <c r="B12" s="25" t="s">
        <v>35</v>
      </c>
      <c r="D12" s="28">
        <v>454.16668605327447</v>
      </c>
      <c r="E12" s="29">
        <v>1.5373668077480257E-2</v>
      </c>
      <c r="F12" s="26">
        <v>85.97</v>
      </c>
      <c r="I12" s="26">
        <f>I8</f>
        <v>95.25</v>
      </c>
      <c r="K12" s="28">
        <f t="shared" si="0"/>
        <v>39044.710000000006</v>
      </c>
      <c r="L12" s="28">
        <f t="shared" si="1"/>
        <v>43259.376846574392</v>
      </c>
      <c r="M12" s="28">
        <f t="shared" si="3"/>
        <v>4214.666846574386</v>
      </c>
      <c r="N12" s="40">
        <f t="shared" si="2"/>
        <v>0.10794463184831915</v>
      </c>
    </row>
    <row r="13" spans="2:14" x14ac:dyDescent="0.2">
      <c r="B13" s="27" t="s">
        <v>36</v>
      </c>
      <c r="D13" s="28">
        <v>1400.2366666666667</v>
      </c>
      <c r="E13" s="29">
        <v>4.739839887931712E-2</v>
      </c>
      <c r="F13" s="26">
        <v>45</v>
      </c>
      <c r="I13" s="26">
        <f>I8</f>
        <v>95.25</v>
      </c>
      <c r="K13" s="28">
        <f t="shared" si="0"/>
        <v>63010.65</v>
      </c>
      <c r="L13" s="28">
        <f t="shared" si="1"/>
        <v>133372.54250000001</v>
      </c>
      <c r="M13" s="28">
        <f t="shared" si="3"/>
        <v>70361.892500000016</v>
      </c>
      <c r="N13" s="40">
        <f t="shared" si="2"/>
        <v>1.1166666666666669</v>
      </c>
    </row>
    <row r="14" spans="2:14" x14ac:dyDescent="0.2">
      <c r="B14" s="25" t="s">
        <v>37</v>
      </c>
      <c r="D14" s="28">
        <v>408</v>
      </c>
      <c r="E14" s="29">
        <v>1.3810912971446293E-2</v>
      </c>
      <c r="F14" s="26">
        <v>0</v>
      </c>
      <c r="G14" s="30">
        <v>8.89</v>
      </c>
      <c r="H14" s="28">
        <v>49777</v>
      </c>
      <c r="I14" s="26">
        <f>I8*D34</f>
        <v>238.125</v>
      </c>
      <c r="J14" s="30">
        <v>9.41</v>
      </c>
      <c r="K14" s="28">
        <f>G14*H14</f>
        <v>442517.53</v>
      </c>
      <c r="L14" s="28">
        <f>SUM(D14*I14,J14*H14)</f>
        <v>565556.57000000007</v>
      </c>
      <c r="M14" s="28">
        <f t="shared" si="3"/>
        <v>123039.04000000004</v>
      </c>
      <c r="N14" s="40">
        <f t="shared" si="2"/>
        <v>0.27804331277000488</v>
      </c>
    </row>
    <row r="15" spans="2:14" x14ac:dyDescent="0.2">
      <c r="B15" s="27" t="s">
        <v>38</v>
      </c>
      <c r="D15" s="28">
        <v>3654.2296000000001</v>
      </c>
      <c r="E15" s="29">
        <v>0.12369668378255637</v>
      </c>
      <c r="F15" s="26">
        <v>12.5</v>
      </c>
      <c r="I15" s="26">
        <f>25</f>
        <v>25</v>
      </c>
      <c r="K15" s="28">
        <f t="shared" si="0"/>
        <v>45677.87</v>
      </c>
      <c r="L15" s="28">
        <f t="shared" si="1"/>
        <v>91355.74</v>
      </c>
      <c r="M15" s="28">
        <f t="shared" si="3"/>
        <v>45677.87</v>
      </c>
      <c r="N15" s="40">
        <f t="shared" si="2"/>
        <v>1</v>
      </c>
    </row>
    <row r="16" spans="2:14" x14ac:dyDescent="0.2">
      <c r="B16" s="25" t="s">
        <v>39</v>
      </c>
      <c r="D16" s="28">
        <v>420.00000000000006</v>
      </c>
      <c r="E16" s="29">
        <v>1.4217116294135891E-2</v>
      </c>
      <c r="F16" s="26">
        <v>85.97</v>
      </c>
      <c r="I16" s="26">
        <f>I8</f>
        <v>95.25</v>
      </c>
      <c r="K16" s="28">
        <f t="shared" si="0"/>
        <v>36107.4</v>
      </c>
      <c r="L16" s="28">
        <f t="shared" si="1"/>
        <v>40005.000000000007</v>
      </c>
      <c r="M16" s="28">
        <f t="shared" si="3"/>
        <v>3897.6000000000058</v>
      </c>
      <c r="N16" s="40">
        <f t="shared" si="2"/>
        <v>0.10794463184831934</v>
      </c>
    </row>
    <row r="17" spans="2:14" x14ac:dyDescent="0.2">
      <c r="B17" s="27" t="s">
        <v>40</v>
      </c>
      <c r="D17" s="28">
        <v>348.00000000000006</v>
      </c>
      <c r="E17" s="29">
        <v>1.1779896357998311E-2</v>
      </c>
      <c r="F17" s="26">
        <v>85.97</v>
      </c>
      <c r="I17" s="26">
        <f>I8</f>
        <v>95.25</v>
      </c>
      <c r="K17" s="28">
        <f t="shared" si="0"/>
        <v>29917.560000000005</v>
      </c>
      <c r="L17" s="28">
        <f t="shared" si="1"/>
        <v>33147.000000000007</v>
      </c>
      <c r="M17" s="28">
        <f t="shared" si="3"/>
        <v>3229.4400000000023</v>
      </c>
      <c r="N17" s="40">
        <f t="shared" si="2"/>
        <v>0.10794463184831925</v>
      </c>
    </row>
    <row r="18" spans="2:14" x14ac:dyDescent="0.2">
      <c r="B18" s="25" t="s">
        <v>41</v>
      </c>
      <c r="D18" s="28">
        <v>1927.3161567988834</v>
      </c>
      <c r="E18" s="29">
        <v>6.5240185563754202E-2</v>
      </c>
      <c r="F18" s="26">
        <v>85.97</v>
      </c>
      <c r="I18" s="26">
        <f>I8</f>
        <v>95.25</v>
      </c>
      <c r="K18" s="28">
        <f t="shared" si="0"/>
        <v>165691.37</v>
      </c>
      <c r="L18" s="28">
        <f t="shared" si="1"/>
        <v>183576.86393509366</v>
      </c>
      <c r="M18" s="28">
        <f t="shared" si="3"/>
        <v>17885.493935093662</v>
      </c>
      <c r="N18" s="40">
        <f t="shared" si="2"/>
        <v>0.10794463184831933</v>
      </c>
    </row>
    <row r="19" spans="2:14" x14ac:dyDescent="0.2">
      <c r="B19" s="27" t="s">
        <v>42</v>
      </c>
      <c r="D19" s="28">
        <v>287.99999999999994</v>
      </c>
      <c r="E19" s="29">
        <v>9.7488797445503227E-3</v>
      </c>
      <c r="F19" s="26">
        <v>49.66</v>
      </c>
      <c r="I19" s="26">
        <f>I8</f>
        <v>95.25</v>
      </c>
      <c r="K19" s="28">
        <f t="shared" si="0"/>
        <v>14302.079999999996</v>
      </c>
      <c r="L19" s="28">
        <f t="shared" si="1"/>
        <v>27431.999999999996</v>
      </c>
      <c r="M19" s="28">
        <f t="shared" si="3"/>
        <v>13129.92</v>
      </c>
      <c r="N19" s="40">
        <f t="shared" si="2"/>
        <v>0.91804269029399943</v>
      </c>
    </row>
    <row r="20" spans="2:14" x14ac:dyDescent="0.2">
      <c r="B20" s="25" t="s">
        <v>43</v>
      </c>
      <c r="D20" s="28">
        <v>1570.4330658899885</v>
      </c>
      <c r="E20" s="29">
        <v>5.3159594118843662E-2</v>
      </c>
      <c r="F20" s="26">
        <v>85.97</v>
      </c>
      <c r="I20" s="26">
        <f>I8</f>
        <v>95.25</v>
      </c>
      <c r="K20" s="28">
        <f t="shared" si="0"/>
        <v>135010.1306745623</v>
      </c>
      <c r="L20" s="28">
        <f t="shared" si="1"/>
        <v>149583.74952602139</v>
      </c>
      <c r="M20" s="28">
        <f t="shared" si="3"/>
        <v>14573.61885145909</v>
      </c>
      <c r="N20" s="40">
        <f t="shared" si="2"/>
        <v>0.10794463184831916</v>
      </c>
    </row>
    <row r="21" spans="2:14" x14ac:dyDescent="0.2">
      <c r="B21" s="27" t="s">
        <v>44</v>
      </c>
      <c r="D21" s="28">
        <v>396</v>
      </c>
      <c r="E21" s="29">
        <v>1.3404709648756697E-2</v>
      </c>
      <c r="F21" s="26">
        <v>85.97</v>
      </c>
      <c r="I21" s="26">
        <f>I8</f>
        <v>95.25</v>
      </c>
      <c r="K21" s="28">
        <f t="shared" si="0"/>
        <v>34044.120000000003</v>
      </c>
      <c r="L21" s="28">
        <f t="shared" si="1"/>
        <v>37719</v>
      </c>
      <c r="M21" s="28">
        <f t="shared" si="3"/>
        <v>3674.8799999999974</v>
      </c>
      <c r="N21" s="40">
        <f t="shared" si="2"/>
        <v>0.10794463184831909</v>
      </c>
    </row>
    <row r="22" spans="2:14" x14ac:dyDescent="0.2">
      <c r="B22" s="25" t="s">
        <v>45</v>
      </c>
      <c r="D22" s="28">
        <v>3960.1664185180875</v>
      </c>
      <c r="E22" s="29">
        <v>0.13405272980048399</v>
      </c>
      <c r="F22" s="26">
        <v>85.97</v>
      </c>
      <c r="I22" s="26">
        <f>I8</f>
        <v>95.25</v>
      </c>
      <c r="K22" s="28">
        <f t="shared" si="0"/>
        <v>340455.50699999998</v>
      </c>
      <c r="L22" s="28">
        <f t="shared" si="1"/>
        <v>377205.85136384785</v>
      </c>
      <c r="M22" s="28">
        <f t="shared" si="3"/>
        <v>36750.344363847864</v>
      </c>
      <c r="N22" s="40">
        <f t="shared" si="2"/>
        <v>0.10794463184831922</v>
      </c>
    </row>
    <row r="23" spans="2:14" x14ac:dyDescent="0.2">
      <c r="B23" s="27" t="s">
        <v>46</v>
      </c>
      <c r="D23" s="28">
        <v>478.52634639990697</v>
      </c>
      <c r="E23" s="29">
        <v>1.61982493251796E-2</v>
      </c>
      <c r="F23" s="26">
        <v>85.97</v>
      </c>
      <c r="I23" s="26">
        <f>I8</f>
        <v>95.25</v>
      </c>
      <c r="K23" s="28">
        <f t="shared" si="0"/>
        <v>41138.910000000003</v>
      </c>
      <c r="L23" s="28">
        <f t="shared" si="1"/>
        <v>45579.634494591141</v>
      </c>
      <c r="M23" s="28">
        <f t="shared" si="3"/>
        <v>4440.724494591137</v>
      </c>
      <c r="N23" s="40">
        <f t="shared" si="2"/>
        <v>0.10794463184831919</v>
      </c>
    </row>
    <row r="24" spans="2:14" x14ac:dyDescent="0.2">
      <c r="B24" s="25" t="s">
        <v>47</v>
      </c>
      <c r="D24" s="28">
        <v>12.000255903222053</v>
      </c>
      <c r="E24" s="29">
        <v>4.0621198508452059E-4</v>
      </c>
      <c r="F24" s="26">
        <v>214.92500000000001</v>
      </c>
      <c r="I24" s="26">
        <f>I14</f>
        <v>238.125</v>
      </c>
      <c r="K24" s="28">
        <f t="shared" si="0"/>
        <v>2579.1549999999997</v>
      </c>
      <c r="L24" s="28">
        <f t="shared" si="1"/>
        <v>2857.5609369547515</v>
      </c>
      <c r="M24" s="28">
        <f t="shared" si="3"/>
        <v>278.40593695475172</v>
      </c>
      <c r="N24" s="40">
        <f t="shared" si="2"/>
        <v>0.10794463184831922</v>
      </c>
    </row>
    <row r="25" spans="2:14" x14ac:dyDescent="0.2">
      <c r="B25" s="27" t="s">
        <v>48</v>
      </c>
      <c r="D25" s="28">
        <v>4292.0507454095277</v>
      </c>
      <c r="E25" s="29">
        <v>0.14528710616147592</v>
      </c>
      <c r="F25" s="26">
        <v>85.97</v>
      </c>
      <c r="I25" s="26">
        <f>I8</f>
        <v>95.25</v>
      </c>
      <c r="K25" s="28">
        <f t="shared" si="0"/>
        <v>368987.60258285707</v>
      </c>
      <c r="L25" s="28">
        <f t="shared" si="1"/>
        <v>408817.83350025752</v>
      </c>
      <c r="M25" s="28">
        <f t="shared" si="3"/>
        <v>39830.230917400448</v>
      </c>
      <c r="N25" s="40">
        <f t="shared" si="2"/>
        <v>0.10794463184831928</v>
      </c>
    </row>
    <row r="26" spans="2:14" x14ac:dyDescent="0.2">
      <c r="B26" s="25" t="s">
        <v>49</v>
      </c>
      <c r="D26" s="28">
        <v>660.86204489938359</v>
      </c>
      <c r="E26" s="29">
        <v>2.2370363206464263E-2</v>
      </c>
      <c r="F26" s="26">
        <v>85.97</v>
      </c>
      <c r="I26" s="26">
        <f>I8</f>
        <v>95.25</v>
      </c>
      <c r="K26" s="28">
        <f t="shared" si="0"/>
        <v>56814.310000000005</v>
      </c>
      <c r="L26" s="28">
        <f t="shared" si="1"/>
        <v>62947.109776666286</v>
      </c>
      <c r="M26" s="28">
        <f t="shared" si="3"/>
        <v>6132.7997766662811</v>
      </c>
      <c r="N26" s="40">
        <f t="shared" si="2"/>
        <v>0.10794463184831921</v>
      </c>
    </row>
    <row r="27" spans="2:14" x14ac:dyDescent="0.2">
      <c r="B27" s="27" t="s">
        <v>50</v>
      </c>
      <c r="D27" s="28">
        <v>2164.1950744469741</v>
      </c>
      <c r="E27" s="29">
        <v>7.325860251573503E-2</v>
      </c>
      <c r="F27" s="26">
        <v>85.97</v>
      </c>
      <c r="I27" s="26">
        <f>I8</f>
        <v>95.25</v>
      </c>
      <c r="K27" s="28">
        <f t="shared" si="0"/>
        <v>186055.85055020635</v>
      </c>
      <c r="L27" s="28">
        <f t="shared" si="1"/>
        <v>206139.58084107429</v>
      </c>
      <c r="M27" s="28">
        <f t="shared" si="3"/>
        <v>20083.730290867941</v>
      </c>
      <c r="N27" s="40">
        <f t="shared" si="2"/>
        <v>0.1079446318483193</v>
      </c>
    </row>
    <row r="28" spans="2:14" x14ac:dyDescent="0.2">
      <c r="B28" s="25" t="s">
        <v>51</v>
      </c>
      <c r="D28" s="28">
        <v>504</v>
      </c>
      <c r="E28" s="29">
        <v>1.7060539552963067E-2</v>
      </c>
      <c r="F28" s="26">
        <v>27.43</v>
      </c>
      <c r="I28" s="26">
        <f>I8</f>
        <v>95.25</v>
      </c>
      <c r="K28" s="28">
        <f t="shared" si="0"/>
        <v>13824.72</v>
      </c>
      <c r="L28" s="28">
        <f t="shared" si="1"/>
        <v>48006</v>
      </c>
      <c r="M28" s="28">
        <f t="shared" si="3"/>
        <v>34181.279999999999</v>
      </c>
      <c r="N28" s="40">
        <f t="shared" si="2"/>
        <v>2.4724753919066718</v>
      </c>
    </row>
    <row r="29" spans="2:14" x14ac:dyDescent="0.2">
      <c r="B29" s="27" t="s">
        <v>52</v>
      </c>
      <c r="D29" s="28">
        <v>826.3239668035593</v>
      </c>
      <c r="E29" s="29">
        <v>2.7971295077804492E-2</v>
      </c>
      <c r="F29" s="26">
        <v>85.97</v>
      </c>
      <c r="I29" s="26">
        <f>I8</f>
        <v>95.25</v>
      </c>
      <c r="K29" s="28">
        <f t="shared" si="0"/>
        <v>71039.071426101989</v>
      </c>
      <c r="L29" s="28">
        <f t="shared" si="1"/>
        <v>78707.357838039025</v>
      </c>
      <c r="M29" s="28">
        <f t="shared" si="3"/>
        <v>7668.2864119370352</v>
      </c>
      <c r="N29" s="40">
        <f t="shared" si="2"/>
        <v>0.10794463184831926</v>
      </c>
    </row>
    <row r="30" spans="2:14" x14ac:dyDescent="0.2">
      <c r="B30" s="25" t="s">
        <v>53</v>
      </c>
      <c r="D30" s="28">
        <v>1091.1725731895224</v>
      </c>
      <c r="E30" s="29">
        <v>3.6936493738111774E-2</v>
      </c>
      <c r="F30" s="26">
        <v>19.47</v>
      </c>
      <c r="I30" s="26">
        <f>I8</f>
        <v>95.25</v>
      </c>
      <c r="K30" s="28">
        <f t="shared" si="0"/>
        <v>21245.13</v>
      </c>
      <c r="L30" s="28">
        <f t="shared" si="1"/>
        <v>103934.18759630201</v>
      </c>
      <c r="M30" s="28">
        <f t="shared" si="3"/>
        <v>82689.057596302009</v>
      </c>
      <c r="N30" s="40">
        <f t="shared" si="2"/>
        <v>3.8921417565485363</v>
      </c>
    </row>
    <row r="31" spans="2:14" x14ac:dyDescent="0.2">
      <c r="N31" s="41"/>
    </row>
    <row r="32" spans="2:14" x14ac:dyDescent="0.2">
      <c r="D32" s="32">
        <f>SUM(D8:D30)</f>
        <v>29541.855838461186</v>
      </c>
      <c r="E32" s="33">
        <f>SUM(E8:E30)</f>
        <v>0.99999999999999978</v>
      </c>
      <c r="K32" s="38">
        <f>SUM(K8:K30)</f>
        <v>2486286.9383700718</v>
      </c>
      <c r="L32" s="38">
        <f>SUM(L8:L30)</f>
        <v>3058915.0582756004</v>
      </c>
      <c r="M32" s="38">
        <f>SUM(M8:M30)</f>
        <v>572628.11990552931</v>
      </c>
      <c r="N32" s="40">
        <f>M32/K32</f>
        <v>0.23031457514751918</v>
      </c>
    </row>
    <row r="34" spans="2:12" x14ac:dyDescent="0.2">
      <c r="B34" s="25" t="s">
        <v>55</v>
      </c>
      <c r="D34" s="26">
        <v>2.5</v>
      </c>
      <c r="I34" s="25" t="s">
        <v>24</v>
      </c>
      <c r="L34" s="38">
        <f>'Revised Revenue Requirement'!E34</f>
        <v>3585640.0169330942</v>
      </c>
    </row>
    <row r="35" spans="2:12" x14ac:dyDescent="0.2">
      <c r="B35" s="25" t="s">
        <v>56</v>
      </c>
      <c r="D35" s="26">
        <v>0.75</v>
      </c>
    </row>
    <row r="36" spans="2:12" x14ac:dyDescent="0.2">
      <c r="I36" s="25" t="s">
        <v>71</v>
      </c>
      <c r="L36" s="39">
        <f>L32-L34</f>
        <v>-526724.95865749381</v>
      </c>
    </row>
    <row r="40" spans="2:12" x14ac:dyDescent="0.2">
      <c r="I40" s="25" t="s">
        <v>72</v>
      </c>
      <c r="L40" s="39">
        <f>L32</f>
        <v>3058915.0582756004</v>
      </c>
    </row>
    <row r="41" spans="2:12" x14ac:dyDescent="0.2">
      <c r="I41" s="25" t="s">
        <v>73</v>
      </c>
      <c r="L41" s="32">
        <f>L14</f>
        <v>565556.57000000007</v>
      </c>
    </row>
    <row r="43" spans="2:12" x14ac:dyDescent="0.2">
      <c r="I43" s="25" t="s">
        <v>74</v>
      </c>
      <c r="L43" s="29">
        <f>L41/L40</f>
        <v>0.18488796165488192</v>
      </c>
    </row>
  </sheetData>
  <pageMargins left="0.7" right="0.7" top="0.75" bottom="0.75" header="0.3" footer="0.3"/>
  <ignoredErrors>
    <ignoredError sqref="K14: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67AC-6786-4F0F-9E2F-A9A2B732F3F7}">
  <dimension ref="B3:N45"/>
  <sheetViews>
    <sheetView showGridLines="0" workbookViewId="0">
      <selection activeCell="B3" sqref="B3:N46"/>
    </sheetView>
  </sheetViews>
  <sheetFormatPr defaultRowHeight="12.75" x14ac:dyDescent="0.2"/>
  <cols>
    <col min="1" max="1" width="9.140625" style="25"/>
    <col min="2" max="2" width="33.42578125" style="25" bestFit="1" customWidth="1"/>
    <col min="3" max="3" width="9.140625" style="25"/>
    <col min="4" max="4" width="11" style="25" customWidth="1"/>
    <col min="5" max="5" width="13.42578125" style="25" customWidth="1"/>
    <col min="6" max="6" width="12.140625" style="25" customWidth="1"/>
    <col min="7" max="7" width="11.7109375" style="25" customWidth="1"/>
    <col min="8" max="8" width="10.28515625" style="25" bestFit="1" customWidth="1"/>
    <col min="9" max="9" width="12.5703125" style="25" customWidth="1"/>
    <col min="10" max="10" width="10.5703125" style="25" customWidth="1"/>
    <col min="11" max="12" width="14" style="25" bestFit="1" customWidth="1"/>
    <col min="13" max="13" width="11.28515625" style="25" bestFit="1" customWidth="1"/>
    <col min="14" max="16384" width="9.140625" style="25"/>
  </cols>
  <sheetData>
    <row r="3" spans="2:14" x14ac:dyDescent="0.2">
      <c r="H3" s="31"/>
      <c r="I3" s="31"/>
      <c r="J3" s="31" t="s">
        <v>63</v>
      </c>
      <c r="L3" s="25" t="s">
        <v>63</v>
      </c>
    </row>
    <row r="4" spans="2:14" x14ac:dyDescent="0.2">
      <c r="D4" s="31"/>
      <c r="E4" s="31"/>
      <c r="F4" s="31" t="s">
        <v>75</v>
      </c>
      <c r="G4" s="31" t="s">
        <v>75</v>
      </c>
      <c r="H4" s="31"/>
      <c r="I4" s="31" t="s">
        <v>63</v>
      </c>
      <c r="J4" s="31" t="s">
        <v>77</v>
      </c>
      <c r="K4" s="25" t="s">
        <v>25</v>
      </c>
      <c r="L4" s="25" t="s">
        <v>26</v>
      </c>
    </row>
    <row r="5" spans="2:14" x14ac:dyDescent="0.2">
      <c r="D5" s="31"/>
      <c r="E5" s="31" t="s">
        <v>57</v>
      </c>
      <c r="F5" s="31" t="s">
        <v>60</v>
      </c>
      <c r="G5" s="31" t="s">
        <v>61</v>
      </c>
      <c r="H5" s="31" t="s">
        <v>62</v>
      </c>
      <c r="I5" s="31" t="s">
        <v>26</v>
      </c>
      <c r="J5" s="31" t="s">
        <v>61</v>
      </c>
      <c r="K5" s="25" t="s">
        <v>29</v>
      </c>
      <c r="L5" s="25" t="s">
        <v>77</v>
      </c>
      <c r="N5" s="25" t="s">
        <v>70</v>
      </c>
    </row>
    <row r="6" spans="2:14" x14ac:dyDescent="0.2">
      <c r="D6" s="31" t="s">
        <v>27</v>
      </c>
      <c r="E6" s="31" t="s">
        <v>58</v>
      </c>
      <c r="F6" s="31" t="s">
        <v>59</v>
      </c>
      <c r="G6" s="31" t="s">
        <v>59</v>
      </c>
      <c r="H6" s="31" t="s">
        <v>28</v>
      </c>
      <c r="I6" s="31" t="s">
        <v>64</v>
      </c>
      <c r="J6" s="31" t="s">
        <v>54</v>
      </c>
      <c r="K6" s="25" t="s">
        <v>69</v>
      </c>
      <c r="L6" s="25" t="s">
        <v>69</v>
      </c>
      <c r="M6" s="25" t="s">
        <v>30</v>
      </c>
      <c r="N6" s="25" t="s">
        <v>30</v>
      </c>
    </row>
    <row r="8" spans="2:14" x14ac:dyDescent="0.2">
      <c r="B8" s="25" t="s">
        <v>31</v>
      </c>
      <c r="D8" s="28">
        <v>2373.2057676264208</v>
      </c>
      <c r="E8" s="29">
        <v>8.0333672352997279E-2</v>
      </c>
      <c r="F8" s="30">
        <f>'Rate Design Phase 1'!I8</f>
        <v>95.25</v>
      </c>
      <c r="I8" s="30">
        <v>97</v>
      </c>
      <c r="K8" s="38">
        <f>F8*D8</f>
        <v>226047.84936641657</v>
      </c>
      <c r="L8" s="38">
        <f>I8*D8</f>
        <v>230200.95945976282</v>
      </c>
      <c r="M8" s="39">
        <f>L8-K8</f>
        <v>4153.110093346244</v>
      </c>
      <c r="N8" s="40">
        <f>M8/K8</f>
        <v>1.8372703412073525E-2</v>
      </c>
    </row>
    <row r="9" spans="2:14" x14ac:dyDescent="0.2">
      <c r="B9" s="27" t="s">
        <v>32</v>
      </c>
      <c r="D9" s="28">
        <v>309.98979639409106</v>
      </c>
      <c r="E9" s="29">
        <v>1.0493240441262616E-2</v>
      </c>
      <c r="F9" s="26">
        <f>'Rate Design Phase 1'!I9</f>
        <v>95.25</v>
      </c>
      <c r="I9" s="26">
        <f>I8</f>
        <v>97</v>
      </c>
      <c r="K9" s="28">
        <f t="shared" ref="K9:K30" si="0">F9*D9</f>
        <v>29526.528106537175</v>
      </c>
      <c r="L9" s="28">
        <f t="shared" ref="L9:L30" si="1">I9*D9</f>
        <v>30069.010250226831</v>
      </c>
      <c r="M9" s="28">
        <f>L9-K9</f>
        <v>542.48214368965637</v>
      </c>
      <c r="N9" s="40">
        <f t="shared" ref="N9:N30" si="2">M9/K9</f>
        <v>1.837270341207339E-2</v>
      </c>
    </row>
    <row r="10" spans="2:14" x14ac:dyDescent="0.2">
      <c r="B10" s="25" t="s">
        <v>33</v>
      </c>
      <c r="D10" s="28">
        <v>1119</v>
      </c>
      <c r="E10" s="29">
        <v>3.7878459840804908E-2</v>
      </c>
      <c r="F10" s="26">
        <f>'Rate Design Phase 1'!I10</f>
        <v>71.4375</v>
      </c>
      <c r="I10" s="26">
        <f>I8*D35</f>
        <v>72.75</v>
      </c>
      <c r="K10" s="28">
        <f t="shared" si="0"/>
        <v>79938.5625</v>
      </c>
      <c r="L10" s="28">
        <f t="shared" si="1"/>
        <v>81407.25</v>
      </c>
      <c r="M10" s="28">
        <f t="shared" ref="M10:M30" si="3">L10-K10</f>
        <v>1468.6875</v>
      </c>
      <c r="N10" s="40">
        <f t="shared" si="2"/>
        <v>1.8372703412073491E-2</v>
      </c>
    </row>
    <row r="11" spans="2:14" x14ac:dyDescent="0.2">
      <c r="B11" s="27" t="s">
        <v>34</v>
      </c>
      <c r="D11" s="28">
        <v>883.98067346167272</v>
      </c>
      <c r="E11" s="29">
        <v>2.992299056279325E-2</v>
      </c>
      <c r="F11" s="26">
        <f>'Rate Design Phase 1'!I11</f>
        <v>95.25</v>
      </c>
      <c r="I11" s="26">
        <f>I8</f>
        <v>97</v>
      </c>
      <c r="K11" s="28">
        <f t="shared" si="0"/>
        <v>84199.159147224331</v>
      </c>
      <c r="L11" s="28">
        <f t="shared" si="1"/>
        <v>85746.125325782254</v>
      </c>
      <c r="M11" s="28">
        <f t="shared" si="3"/>
        <v>1546.9661785579228</v>
      </c>
      <c r="N11" s="40">
        <f t="shared" si="2"/>
        <v>1.8372703412073439E-2</v>
      </c>
    </row>
    <row r="12" spans="2:14" x14ac:dyDescent="0.2">
      <c r="B12" s="25" t="s">
        <v>35</v>
      </c>
      <c r="D12" s="28">
        <v>454.16668605327447</v>
      </c>
      <c r="E12" s="29">
        <v>1.5373668077480257E-2</v>
      </c>
      <c r="F12" s="26">
        <f>'Rate Design Phase 1'!I12</f>
        <v>95.25</v>
      </c>
      <c r="I12" s="26">
        <f>I8</f>
        <v>97</v>
      </c>
      <c r="K12" s="28">
        <f t="shared" si="0"/>
        <v>43259.376846574392</v>
      </c>
      <c r="L12" s="28">
        <f t="shared" si="1"/>
        <v>44054.168547167625</v>
      </c>
      <c r="M12" s="28">
        <f t="shared" si="3"/>
        <v>794.79170059323224</v>
      </c>
      <c r="N12" s="40">
        <f t="shared" si="2"/>
        <v>1.8372703412073536E-2</v>
      </c>
    </row>
    <row r="13" spans="2:14" x14ac:dyDescent="0.2">
      <c r="B13" s="27" t="s">
        <v>36</v>
      </c>
      <c r="D13" s="28">
        <v>1400.2366666666667</v>
      </c>
      <c r="E13" s="29">
        <v>4.739839887931712E-2</v>
      </c>
      <c r="F13" s="26">
        <f>'Rate Design Phase 1'!I13</f>
        <v>95.25</v>
      </c>
      <c r="I13" s="26">
        <f>I8</f>
        <v>97</v>
      </c>
      <c r="K13" s="28">
        <f t="shared" si="0"/>
        <v>133372.54250000001</v>
      </c>
      <c r="L13" s="28">
        <f t="shared" si="1"/>
        <v>135822.95666666667</v>
      </c>
      <c r="M13" s="28">
        <f t="shared" si="3"/>
        <v>2450.4141666666546</v>
      </c>
      <c r="N13" s="40">
        <f t="shared" si="2"/>
        <v>1.83727034120734E-2</v>
      </c>
    </row>
    <row r="14" spans="2:14" x14ac:dyDescent="0.2">
      <c r="B14" s="25" t="s">
        <v>37</v>
      </c>
      <c r="D14" s="28">
        <v>408</v>
      </c>
      <c r="E14" s="29">
        <v>1.3810912971446293E-2</v>
      </c>
      <c r="F14" s="26">
        <f>'Rate Design Phase 1'!I14</f>
        <v>238.125</v>
      </c>
      <c r="G14" s="30">
        <f>'Rate Design Phase 1'!J14</f>
        <v>9.41</v>
      </c>
      <c r="H14" s="28">
        <v>49777</v>
      </c>
      <c r="I14" s="26">
        <f>I8*D34</f>
        <v>242.5</v>
      </c>
      <c r="J14" s="30">
        <v>10</v>
      </c>
      <c r="K14" s="28">
        <f>(G14*H14)+(D14*F14)</f>
        <v>565556.57000000007</v>
      </c>
      <c r="L14" s="28">
        <f>SUM(D14*I14,J14*H14)</f>
        <v>596710</v>
      </c>
      <c r="M14" s="28">
        <f t="shared" si="3"/>
        <v>31153.429999999935</v>
      </c>
      <c r="N14" s="40">
        <f t="shared" si="2"/>
        <v>5.5084551488810272E-2</v>
      </c>
    </row>
    <row r="15" spans="2:14" x14ac:dyDescent="0.2">
      <c r="B15" s="27" t="s">
        <v>38</v>
      </c>
      <c r="D15" s="28">
        <v>3654.2296000000001</v>
      </c>
      <c r="E15" s="29">
        <v>0.12369668378255637</v>
      </c>
      <c r="F15" s="26">
        <f>'Rate Design Phase 1'!I15</f>
        <v>25</v>
      </c>
      <c r="I15" s="26">
        <v>50</v>
      </c>
      <c r="K15" s="28">
        <f t="shared" si="0"/>
        <v>91355.74</v>
      </c>
      <c r="L15" s="28">
        <f t="shared" si="1"/>
        <v>182711.48</v>
      </c>
      <c r="M15" s="28">
        <f t="shared" si="3"/>
        <v>91355.74</v>
      </c>
      <c r="N15" s="40">
        <f t="shared" si="2"/>
        <v>1</v>
      </c>
    </row>
    <row r="16" spans="2:14" x14ac:dyDescent="0.2">
      <c r="B16" s="25" t="s">
        <v>39</v>
      </c>
      <c r="D16" s="28">
        <v>420.00000000000006</v>
      </c>
      <c r="E16" s="29">
        <v>1.4217116294135891E-2</v>
      </c>
      <c r="F16" s="26">
        <f>'Rate Design Phase 1'!I16</f>
        <v>95.25</v>
      </c>
      <c r="I16" s="26">
        <f>I8</f>
        <v>97</v>
      </c>
      <c r="K16" s="28">
        <f t="shared" si="0"/>
        <v>40005.000000000007</v>
      </c>
      <c r="L16" s="28">
        <f t="shared" si="1"/>
        <v>40740.000000000007</v>
      </c>
      <c r="M16" s="28">
        <f t="shared" si="3"/>
        <v>735</v>
      </c>
      <c r="N16" s="40">
        <f t="shared" si="2"/>
        <v>1.8372703412073487E-2</v>
      </c>
    </row>
    <row r="17" spans="2:14" x14ac:dyDescent="0.2">
      <c r="B17" s="27" t="s">
        <v>40</v>
      </c>
      <c r="D17" s="28">
        <v>348.00000000000006</v>
      </c>
      <c r="E17" s="29">
        <v>1.1779896357998311E-2</v>
      </c>
      <c r="F17" s="26">
        <f>'Rate Design Phase 1'!I17</f>
        <v>95.25</v>
      </c>
      <c r="I17" s="26">
        <f>I8</f>
        <v>97</v>
      </c>
      <c r="K17" s="28">
        <f t="shared" si="0"/>
        <v>33147.000000000007</v>
      </c>
      <c r="L17" s="28">
        <f t="shared" si="1"/>
        <v>33756.000000000007</v>
      </c>
      <c r="M17" s="28">
        <f t="shared" si="3"/>
        <v>609</v>
      </c>
      <c r="N17" s="40">
        <f t="shared" si="2"/>
        <v>1.8372703412073487E-2</v>
      </c>
    </row>
    <row r="18" spans="2:14" x14ac:dyDescent="0.2">
      <c r="B18" s="25" t="s">
        <v>41</v>
      </c>
      <c r="D18" s="28">
        <v>1927.3161567988834</v>
      </c>
      <c r="E18" s="29">
        <v>6.5240185563754202E-2</v>
      </c>
      <c r="F18" s="26">
        <f>'Rate Design Phase 1'!I18</f>
        <v>95.25</v>
      </c>
      <c r="I18" s="26">
        <f>I8</f>
        <v>97</v>
      </c>
      <c r="K18" s="28">
        <f t="shared" si="0"/>
        <v>183576.86393509366</v>
      </c>
      <c r="L18" s="28">
        <f t="shared" si="1"/>
        <v>186949.66720949169</v>
      </c>
      <c r="M18" s="28">
        <f t="shared" si="3"/>
        <v>3372.8032743980293</v>
      </c>
      <c r="N18" s="40">
        <f t="shared" si="2"/>
        <v>1.83727034120734E-2</v>
      </c>
    </row>
    <row r="19" spans="2:14" x14ac:dyDescent="0.2">
      <c r="B19" s="27" t="s">
        <v>42</v>
      </c>
      <c r="D19" s="28">
        <v>287.99999999999994</v>
      </c>
      <c r="E19" s="29">
        <v>9.7488797445503227E-3</v>
      </c>
      <c r="F19" s="26">
        <f>'Rate Design Phase 1'!I19</f>
        <v>95.25</v>
      </c>
      <c r="I19" s="26">
        <f>I8</f>
        <v>97</v>
      </c>
      <c r="K19" s="28">
        <f t="shared" si="0"/>
        <v>27431.999999999996</v>
      </c>
      <c r="L19" s="28">
        <f t="shared" si="1"/>
        <v>27935.999999999993</v>
      </c>
      <c r="M19" s="28">
        <f t="shared" si="3"/>
        <v>503.99999999999636</v>
      </c>
      <c r="N19" s="40">
        <f t="shared" si="2"/>
        <v>1.8372703412073362E-2</v>
      </c>
    </row>
    <row r="20" spans="2:14" x14ac:dyDescent="0.2">
      <c r="B20" s="25" t="s">
        <v>43</v>
      </c>
      <c r="D20" s="28">
        <v>1570.4330658899885</v>
      </c>
      <c r="E20" s="29">
        <v>5.3159594118843662E-2</v>
      </c>
      <c r="F20" s="26">
        <f>'Rate Design Phase 1'!I20</f>
        <v>95.25</v>
      </c>
      <c r="I20" s="26">
        <f>I8</f>
        <v>97</v>
      </c>
      <c r="K20" s="28">
        <f t="shared" si="0"/>
        <v>149583.74952602139</v>
      </c>
      <c r="L20" s="28">
        <f t="shared" si="1"/>
        <v>152332.00739132889</v>
      </c>
      <c r="M20" s="28">
        <f t="shared" si="3"/>
        <v>2748.2578653075034</v>
      </c>
      <c r="N20" s="40">
        <f t="shared" si="2"/>
        <v>1.837270341207365E-2</v>
      </c>
    </row>
    <row r="21" spans="2:14" x14ac:dyDescent="0.2">
      <c r="B21" s="27" t="s">
        <v>44</v>
      </c>
      <c r="D21" s="28">
        <v>396</v>
      </c>
      <c r="E21" s="29">
        <v>1.3404709648756697E-2</v>
      </c>
      <c r="F21" s="26">
        <f>'Rate Design Phase 1'!I21</f>
        <v>95.25</v>
      </c>
      <c r="I21" s="26">
        <f>I8</f>
        <v>97</v>
      </c>
      <c r="K21" s="28">
        <f t="shared" si="0"/>
        <v>37719</v>
      </c>
      <c r="L21" s="28">
        <f t="shared" si="1"/>
        <v>38412</v>
      </c>
      <c r="M21" s="28">
        <f t="shared" si="3"/>
        <v>693</v>
      </c>
      <c r="N21" s="40">
        <f t="shared" si="2"/>
        <v>1.8372703412073491E-2</v>
      </c>
    </row>
    <row r="22" spans="2:14" x14ac:dyDescent="0.2">
      <c r="B22" s="25" t="s">
        <v>45</v>
      </c>
      <c r="D22" s="28">
        <v>3960.1664185180875</v>
      </c>
      <c r="E22" s="29">
        <v>0.13405272980048399</v>
      </c>
      <c r="F22" s="26">
        <f>'Rate Design Phase 1'!I22</f>
        <v>95.25</v>
      </c>
      <c r="I22" s="26">
        <f>I8</f>
        <v>97</v>
      </c>
      <c r="K22" s="28">
        <f t="shared" si="0"/>
        <v>377205.85136384785</v>
      </c>
      <c r="L22" s="28">
        <f t="shared" si="1"/>
        <v>384136.14259625447</v>
      </c>
      <c r="M22" s="28">
        <f t="shared" si="3"/>
        <v>6930.2912324066274</v>
      </c>
      <c r="N22" s="40">
        <f t="shared" si="2"/>
        <v>1.8372703412073421E-2</v>
      </c>
    </row>
    <row r="23" spans="2:14" x14ac:dyDescent="0.2">
      <c r="B23" s="27" t="s">
        <v>46</v>
      </c>
      <c r="D23" s="28">
        <v>478.52634639990697</v>
      </c>
      <c r="E23" s="29">
        <v>1.61982493251796E-2</v>
      </c>
      <c r="F23" s="26">
        <f>'Rate Design Phase 1'!I23</f>
        <v>95.25</v>
      </c>
      <c r="I23" s="26">
        <f>I8</f>
        <v>97</v>
      </c>
      <c r="K23" s="28">
        <f t="shared" si="0"/>
        <v>45579.634494591141</v>
      </c>
      <c r="L23" s="28">
        <f t="shared" si="1"/>
        <v>46417.055600790976</v>
      </c>
      <c r="M23" s="28">
        <f t="shared" si="3"/>
        <v>837.42110619983578</v>
      </c>
      <c r="N23" s="40">
        <f t="shared" si="2"/>
        <v>1.8372703412073459E-2</v>
      </c>
    </row>
    <row r="24" spans="2:14" x14ac:dyDescent="0.2">
      <c r="B24" s="25" t="s">
        <v>47</v>
      </c>
      <c r="D24" s="28">
        <v>12.000255903222053</v>
      </c>
      <c r="E24" s="29">
        <v>4.0621198508452059E-4</v>
      </c>
      <c r="F24" s="26">
        <f>'Rate Design Phase 1'!I24</f>
        <v>238.125</v>
      </c>
      <c r="I24" s="26">
        <f>I14</f>
        <v>242.5</v>
      </c>
      <c r="K24" s="28">
        <f t="shared" si="0"/>
        <v>2857.5609369547515</v>
      </c>
      <c r="L24" s="28">
        <f t="shared" si="1"/>
        <v>2910.0620565313479</v>
      </c>
      <c r="M24" s="28">
        <f t="shared" si="3"/>
        <v>52.501119576596466</v>
      </c>
      <c r="N24" s="40">
        <f t="shared" si="2"/>
        <v>1.8372703412073484E-2</v>
      </c>
    </row>
    <row r="25" spans="2:14" x14ac:dyDescent="0.2">
      <c r="B25" s="27" t="s">
        <v>48</v>
      </c>
      <c r="D25" s="28">
        <v>4292.0507454095277</v>
      </c>
      <c r="E25" s="29">
        <v>0.14528710616147592</v>
      </c>
      <c r="F25" s="26">
        <f>'Rate Design Phase 1'!I25</f>
        <v>95.25</v>
      </c>
      <c r="I25" s="26">
        <f>I8</f>
        <v>97</v>
      </c>
      <c r="K25" s="28">
        <f t="shared" si="0"/>
        <v>408817.83350025752</v>
      </c>
      <c r="L25" s="28">
        <f t="shared" si="1"/>
        <v>416328.92230472417</v>
      </c>
      <c r="M25" s="28">
        <f t="shared" si="3"/>
        <v>7511.0888044666499</v>
      </c>
      <c r="N25" s="40">
        <f t="shared" si="2"/>
        <v>1.8372703412073432E-2</v>
      </c>
    </row>
    <row r="26" spans="2:14" x14ac:dyDescent="0.2">
      <c r="B26" s="25" t="s">
        <v>49</v>
      </c>
      <c r="D26" s="28">
        <v>660.86204489938359</v>
      </c>
      <c r="E26" s="29">
        <v>2.2370363206464263E-2</v>
      </c>
      <c r="F26" s="26">
        <f>'Rate Design Phase 1'!I26</f>
        <v>95.25</v>
      </c>
      <c r="I26" s="26">
        <f>I8</f>
        <v>97</v>
      </c>
      <c r="K26" s="28">
        <f t="shared" si="0"/>
        <v>62947.109776666286</v>
      </c>
      <c r="L26" s="28">
        <f t="shared" si="1"/>
        <v>64103.618355240207</v>
      </c>
      <c r="M26" s="28">
        <f t="shared" si="3"/>
        <v>1156.5085785739211</v>
      </c>
      <c r="N26" s="40">
        <f t="shared" si="2"/>
        <v>1.8372703412073487E-2</v>
      </c>
    </row>
    <row r="27" spans="2:14" x14ac:dyDescent="0.2">
      <c r="B27" s="27" t="s">
        <v>50</v>
      </c>
      <c r="D27" s="28">
        <v>2164.1950744469741</v>
      </c>
      <c r="E27" s="29">
        <v>7.325860251573503E-2</v>
      </c>
      <c r="F27" s="26">
        <f>'Rate Design Phase 1'!I27</f>
        <v>95.25</v>
      </c>
      <c r="I27" s="26">
        <f>I8</f>
        <v>97</v>
      </c>
      <c r="K27" s="28">
        <f t="shared" si="0"/>
        <v>206139.58084107429</v>
      </c>
      <c r="L27" s="28">
        <f t="shared" si="1"/>
        <v>209926.92222135648</v>
      </c>
      <c r="M27" s="28">
        <f t="shared" si="3"/>
        <v>3787.3413802821888</v>
      </c>
      <c r="N27" s="40">
        <f t="shared" si="2"/>
        <v>1.8372703412073414E-2</v>
      </c>
    </row>
    <row r="28" spans="2:14" x14ac:dyDescent="0.2">
      <c r="B28" s="25" t="s">
        <v>51</v>
      </c>
      <c r="D28" s="28">
        <v>504</v>
      </c>
      <c r="E28" s="29">
        <v>1.7060539552963067E-2</v>
      </c>
      <c r="F28" s="26">
        <f>'Rate Design Phase 1'!I28</f>
        <v>95.25</v>
      </c>
      <c r="I28" s="26">
        <f>I8</f>
        <v>97</v>
      </c>
      <c r="K28" s="28">
        <f t="shared" si="0"/>
        <v>48006</v>
      </c>
      <c r="L28" s="28">
        <f t="shared" si="1"/>
        <v>48888</v>
      </c>
      <c r="M28" s="28">
        <f t="shared" si="3"/>
        <v>882</v>
      </c>
      <c r="N28" s="40">
        <f t="shared" si="2"/>
        <v>1.8372703412073491E-2</v>
      </c>
    </row>
    <row r="29" spans="2:14" x14ac:dyDescent="0.2">
      <c r="B29" s="27" t="s">
        <v>52</v>
      </c>
      <c r="D29" s="28">
        <v>826.3239668035593</v>
      </c>
      <c r="E29" s="29">
        <v>2.7971295077804492E-2</v>
      </c>
      <c r="F29" s="26">
        <f>'Rate Design Phase 1'!I29</f>
        <v>95.25</v>
      </c>
      <c r="I29" s="26">
        <f>I8</f>
        <v>97</v>
      </c>
      <c r="K29" s="28">
        <f t="shared" si="0"/>
        <v>78707.357838039025</v>
      </c>
      <c r="L29" s="28">
        <f t="shared" si="1"/>
        <v>80153.424779945257</v>
      </c>
      <c r="M29" s="28">
        <f t="shared" si="3"/>
        <v>1446.0669419062324</v>
      </c>
      <c r="N29" s="40">
        <f t="shared" si="2"/>
        <v>1.8372703412073536E-2</v>
      </c>
    </row>
    <row r="30" spans="2:14" x14ac:dyDescent="0.2">
      <c r="B30" s="25" t="s">
        <v>53</v>
      </c>
      <c r="D30" s="28">
        <v>1091.1725731895224</v>
      </c>
      <c r="E30" s="29">
        <v>3.6936493738111774E-2</v>
      </c>
      <c r="F30" s="26">
        <f>'Rate Design Phase 1'!I30</f>
        <v>95.25</v>
      </c>
      <c r="I30" s="26">
        <f>I8</f>
        <v>97</v>
      </c>
      <c r="K30" s="28">
        <f t="shared" si="0"/>
        <v>103934.18759630201</v>
      </c>
      <c r="L30" s="28">
        <f t="shared" si="1"/>
        <v>105843.73959938367</v>
      </c>
      <c r="M30" s="28">
        <f t="shared" si="3"/>
        <v>1909.5520030816551</v>
      </c>
      <c r="N30" s="40">
        <f t="shared" si="2"/>
        <v>1.8372703412073404E-2</v>
      </c>
    </row>
    <row r="31" spans="2:14" x14ac:dyDescent="0.2">
      <c r="N31" s="41"/>
    </row>
    <row r="32" spans="2:14" x14ac:dyDescent="0.2">
      <c r="D32" s="32">
        <f>SUM(D8:D30)</f>
        <v>29541.855838461186</v>
      </c>
      <c r="E32" s="33">
        <f>SUM(E8:E30)</f>
        <v>0.99999999999999978</v>
      </c>
      <c r="K32" s="38">
        <f>SUM(K8:K30)</f>
        <v>3058915.0582756004</v>
      </c>
      <c r="L32" s="38">
        <f>SUM(L8:L30)</f>
        <v>3225555.5123646529</v>
      </c>
      <c r="M32" s="38">
        <f>SUM(M8:M30)</f>
        <v>166640.45408905286</v>
      </c>
      <c r="N32" s="40">
        <f>M32/K32</f>
        <v>5.4476979881550862E-2</v>
      </c>
    </row>
    <row r="34" spans="2:12" x14ac:dyDescent="0.2">
      <c r="B34" s="25" t="s">
        <v>55</v>
      </c>
      <c r="D34" s="26">
        <v>2.5</v>
      </c>
      <c r="I34" s="25" t="s">
        <v>24</v>
      </c>
      <c r="L34" s="38">
        <f>'Revised Revenue Requirement'!E34</f>
        <v>3585640.0169330942</v>
      </c>
    </row>
    <row r="35" spans="2:12" x14ac:dyDescent="0.2">
      <c r="B35" s="25" t="s">
        <v>56</v>
      </c>
      <c r="D35" s="26">
        <v>0.75</v>
      </c>
    </row>
    <row r="37" spans="2:12" x14ac:dyDescent="0.2">
      <c r="I37" s="25" t="s">
        <v>71</v>
      </c>
      <c r="L37" s="28">
        <f>'Rate Design Phase 1'!L36</f>
        <v>-526724.95865749381</v>
      </c>
    </row>
    <row r="38" spans="2:12" x14ac:dyDescent="0.2">
      <c r="I38" s="25" t="s">
        <v>76</v>
      </c>
      <c r="L38" s="28">
        <f>L32-L34</f>
        <v>-360084.50456844131</v>
      </c>
    </row>
    <row r="40" spans="2:12" x14ac:dyDescent="0.2">
      <c r="I40" s="25" t="s">
        <v>78</v>
      </c>
      <c r="L40" s="39">
        <f>L37+L38</f>
        <v>-886809.46322593512</v>
      </c>
    </row>
    <row r="42" spans="2:12" x14ac:dyDescent="0.2">
      <c r="I42" s="25" t="s">
        <v>72</v>
      </c>
      <c r="L42" s="39">
        <f>L32</f>
        <v>3225555.5123646529</v>
      </c>
    </row>
    <row r="43" spans="2:12" x14ac:dyDescent="0.2">
      <c r="I43" s="25" t="s">
        <v>73</v>
      </c>
      <c r="L43" s="32">
        <f>L14</f>
        <v>596710</v>
      </c>
    </row>
    <row r="45" spans="2:12" x14ac:dyDescent="0.2">
      <c r="I45" s="25" t="s">
        <v>74</v>
      </c>
      <c r="L45" s="29">
        <f>L43/L42</f>
        <v>0.18499449093733075</v>
      </c>
    </row>
  </sheetData>
  <pageMargins left="0.7" right="0.7" top="0.75" bottom="0.75" header="0.3" footer="0.3"/>
  <ignoredErrors>
    <ignoredError sqref="K14:L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ADDF-3400-4CD8-987F-414AD031E8FE}">
  <dimension ref="B3:N45"/>
  <sheetViews>
    <sheetView showGridLines="0" workbookViewId="0">
      <selection activeCell="B3" sqref="B3:N46"/>
    </sheetView>
  </sheetViews>
  <sheetFormatPr defaultRowHeight="12.75" x14ac:dyDescent="0.2"/>
  <cols>
    <col min="1" max="1" width="9.140625" style="25"/>
    <col min="2" max="2" width="33.42578125" style="25" bestFit="1" customWidth="1"/>
    <col min="3" max="3" width="9.140625" style="25"/>
    <col min="4" max="4" width="11" style="25" customWidth="1"/>
    <col min="5" max="5" width="13.42578125" style="25" customWidth="1"/>
    <col min="6" max="6" width="12.140625" style="25" customWidth="1"/>
    <col min="7" max="7" width="11.7109375" style="25" customWidth="1"/>
    <col min="8" max="8" width="10.28515625" style="25" bestFit="1" customWidth="1"/>
    <col min="9" max="9" width="12.5703125" style="25" customWidth="1"/>
    <col min="10" max="10" width="10.5703125" style="25" customWidth="1"/>
    <col min="11" max="12" width="14" style="25" bestFit="1" customWidth="1"/>
    <col min="13" max="13" width="11.28515625" style="25" bestFit="1" customWidth="1"/>
    <col min="14" max="16384" width="9.140625" style="25"/>
  </cols>
  <sheetData>
    <row r="3" spans="2:14" x14ac:dyDescent="0.2">
      <c r="H3" s="31"/>
      <c r="I3" s="31"/>
      <c r="J3" s="31" t="s">
        <v>63</v>
      </c>
      <c r="L3" s="25" t="s">
        <v>63</v>
      </c>
    </row>
    <row r="4" spans="2:14" x14ac:dyDescent="0.2">
      <c r="D4" s="31"/>
      <c r="E4" s="31"/>
      <c r="F4" s="31" t="s">
        <v>77</v>
      </c>
      <c r="G4" s="31" t="s">
        <v>77</v>
      </c>
      <c r="H4" s="31"/>
      <c r="I4" s="31" t="s">
        <v>63</v>
      </c>
      <c r="J4" s="31" t="s">
        <v>83</v>
      </c>
      <c r="K4" s="25" t="s">
        <v>25</v>
      </c>
      <c r="L4" s="25" t="s">
        <v>26</v>
      </c>
    </row>
    <row r="5" spans="2:14" x14ac:dyDescent="0.2">
      <c r="D5" s="31"/>
      <c r="E5" s="31" t="s">
        <v>57</v>
      </c>
      <c r="F5" s="31" t="s">
        <v>60</v>
      </c>
      <c r="G5" s="31" t="s">
        <v>61</v>
      </c>
      <c r="H5" s="31" t="s">
        <v>62</v>
      </c>
      <c r="I5" s="31" t="s">
        <v>26</v>
      </c>
      <c r="J5" s="31" t="s">
        <v>61</v>
      </c>
      <c r="K5" s="25" t="s">
        <v>29</v>
      </c>
      <c r="L5" s="25" t="s">
        <v>83</v>
      </c>
      <c r="N5" s="25" t="s">
        <v>70</v>
      </c>
    </row>
    <row r="6" spans="2:14" x14ac:dyDescent="0.2">
      <c r="D6" s="31" t="s">
        <v>27</v>
      </c>
      <c r="E6" s="31" t="s">
        <v>58</v>
      </c>
      <c r="F6" s="31" t="s">
        <v>59</v>
      </c>
      <c r="G6" s="31" t="s">
        <v>59</v>
      </c>
      <c r="H6" s="31" t="s">
        <v>28</v>
      </c>
      <c r="I6" s="31" t="s">
        <v>64</v>
      </c>
      <c r="J6" s="31" t="s">
        <v>54</v>
      </c>
      <c r="K6" s="25" t="s">
        <v>69</v>
      </c>
      <c r="L6" s="25" t="s">
        <v>69</v>
      </c>
      <c r="M6" s="25" t="s">
        <v>30</v>
      </c>
      <c r="N6" s="25" t="s">
        <v>30</v>
      </c>
    </row>
    <row r="8" spans="2:14" x14ac:dyDescent="0.2">
      <c r="B8" s="25" t="s">
        <v>31</v>
      </c>
      <c r="D8" s="28">
        <v>2373.2057676264208</v>
      </c>
      <c r="E8" s="29">
        <v>8.0333672352997279E-2</v>
      </c>
      <c r="F8" s="30">
        <f>'Rate Design Phase 2'!I8</f>
        <v>97</v>
      </c>
      <c r="I8" s="30">
        <v>106.28</v>
      </c>
      <c r="K8" s="38">
        <f>F8*D8</f>
        <v>230200.95945976282</v>
      </c>
      <c r="L8" s="38">
        <f>I8*D8</f>
        <v>252224.308983336</v>
      </c>
      <c r="M8" s="39">
        <f>L8-K8</f>
        <v>22023.349523573183</v>
      </c>
      <c r="N8" s="40">
        <f>M8/K8</f>
        <v>9.5670103092783496E-2</v>
      </c>
    </row>
    <row r="9" spans="2:14" x14ac:dyDescent="0.2">
      <c r="B9" s="27" t="s">
        <v>32</v>
      </c>
      <c r="D9" s="28">
        <v>309.98979639409106</v>
      </c>
      <c r="E9" s="29">
        <v>1.0493240441262616E-2</v>
      </c>
      <c r="F9" s="26">
        <f>'Rate Design Phase 2'!I9</f>
        <v>97</v>
      </c>
      <c r="I9" s="26">
        <f>I8</f>
        <v>106.28</v>
      </c>
      <c r="K9" s="28">
        <f t="shared" ref="K9:K30" si="0">F9*D9</f>
        <v>30069.010250226831</v>
      </c>
      <c r="L9" s="28">
        <f t="shared" ref="L9:L30" si="1">I9*D9</f>
        <v>32945.715560764002</v>
      </c>
      <c r="M9" s="28">
        <f>L9-K9</f>
        <v>2876.7053105371706</v>
      </c>
      <c r="N9" s="40">
        <f t="shared" ref="N9:N30" si="2">M9/K9</f>
        <v>9.567010309278369E-2</v>
      </c>
    </row>
    <row r="10" spans="2:14" x14ac:dyDescent="0.2">
      <c r="B10" s="25" t="s">
        <v>33</v>
      </c>
      <c r="D10" s="28">
        <v>1119</v>
      </c>
      <c r="E10" s="29">
        <v>3.7878459840804908E-2</v>
      </c>
      <c r="F10" s="26">
        <f>'Rate Design Phase 2'!I10</f>
        <v>72.75</v>
      </c>
      <c r="I10" s="26">
        <f>I8*D35</f>
        <v>79.710000000000008</v>
      </c>
      <c r="K10" s="28">
        <f t="shared" si="0"/>
        <v>81407.25</v>
      </c>
      <c r="L10" s="28">
        <f t="shared" si="1"/>
        <v>89195.49</v>
      </c>
      <c r="M10" s="28">
        <f t="shared" ref="M10:M30" si="3">L10-K10</f>
        <v>7788.2400000000052</v>
      </c>
      <c r="N10" s="40">
        <f t="shared" si="2"/>
        <v>9.5670103092783565E-2</v>
      </c>
    </row>
    <row r="11" spans="2:14" x14ac:dyDescent="0.2">
      <c r="B11" s="27" t="s">
        <v>34</v>
      </c>
      <c r="D11" s="28">
        <v>883.98067346167272</v>
      </c>
      <c r="E11" s="29">
        <v>2.992299056279325E-2</v>
      </c>
      <c r="F11" s="26">
        <f>'Rate Design Phase 2'!I11</f>
        <v>97</v>
      </c>
      <c r="I11" s="26">
        <f>I8</f>
        <v>106.28</v>
      </c>
      <c r="K11" s="28">
        <f t="shared" si="0"/>
        <v>85746.125325782254</v>
      </c>
      <c r="L11" s="28">
        <f t="shared" si="1"/>
        <v>93949.46597550658</v>
      </c>
      <c r="M11" s="28">
        <f t="shared" si="3"/>
        <v>8203.3406497243268</v>
      </c>
      <c r="N11" s="40">
        <f t="shared" si="2"/>
        <v>9.5670103092783551E-2</v>
      </c>
    </row>
    <row r="12" spans="2:14" x14ac:dyDescent="0.2">
      <c r="B12" s="25" t="s">
        <v>35</v>
      </c>
      <c r="D12" s="28">
        <v>454.16668605327447</v>
      </c>
      <c r="E12" s="29">
        <v>1.5373668077480257E-2</v>
      </c>
      <c r="F12" s="26">
        <f>'Rate Design Phase 2'!I12</f>
        <v>97</v>
      </c>
      <c r="I12" s="26">
        <f>I8</f>
        <v>106.28</v>
      </c>
      <c r="K12" s="28">
        <f t="shared" si="0"/>
        <v>44054.168547167625</v>
      </c>
      <c r="L12" s="28">
        <f t="shared" si="1"/>
        <v>48268.835393742011</v>
      </c>
      <c r="M12" s="28">
        <f t="shared" si="3"/>
        <v>4214.666846574386</v>
      </c>
      <c r="N12" s="40">
        <f t="shared" si="2"/>
        <v>9.5670103092783482E-2</v>
      </c>
    </row>
    <row r="13" spans="2:14" x14ac:dyDescent="0.2">
      <c r="B13" s="27" t="s">
        <v>36</v>
      </c>
      <c r="D13" s="28">
        <v>1400.2366666666667</v>
      </c>
      <c r="E13" s="29">
        <v>4.739839887931712E-2</v>
      </c>
      <c r="F13" s="26">
        <f>'Rate Design Phase 2'!I13</f>
        <v>97</v>
      </c>
      <c r="I13" s="26">
        <f>I8</f>
        <v>106.28</v>
      </c>
      <c r="K13" s="28">
        <f t="shared" si="0"/>
        <v>135822.95666666667</v>
      </c>
      <c r="L13" s="28">
        <f t="shared" si="1"/>
        <v>148817.15293333333</v>
      </c>
      <c r="M13" s="28">
        <f t="shared" si="3"/>
        <v>12994.196266666666</v>
      </c>
      <c r="N13" s="40">
        <f t="shared" si="2"/>
        <v>9.5670103092783496E-2</v>
      </c>
    </row>
    <row r="14" spans="2:14" x14ac:dyDescent="0.2">
      <c r="B14" s="25" t="s">
        <v>37</v>
      </c>
      <c r="D14" s="28">
        <v>408</v>
      </c>
      <c r="E14" s="29">
        <v>1.3810912971446293E-2</v>
      </c>
      <c r="F14" s="26">
        <f>'Rate Design Phase 2'!I14</f>
        <v>242.5</v>
      </c>
      <c r="G14" s="30">
        <f>'Rate Design Phase 2'!J14</f>
        <v>10</v>
      </c>
      <c r="H14" s="28">
        <v>49777</v>
      </c>
      <c r="I14" s="26">
        <f>I8*D34</f>
        <v>265.7</v>
      </c>
      <c r="J14" s="30">
        <v>11.81</v>
      </c>
      <c r="K14" s="28">
        <f>(G14*H14)+(D14*F14)</f>
        <v>596710</v>
      </c>
      <c r="L14" s="28">
        <f>SUM(D14*I14,J14*H14)</f>
        <v>696271.97</v>
      </c>
      <c r="M14" s="28">
        <f t="shared" si="3"/>
        <v>99561.969999999972</v>
      </c>
      <c r="N14" s="40">
        <f t="shared" si="2"/>
        <v>0.16685151916341268</v>
      </c>
    </row>
    <row r="15" spans="2:14" x14ac:dyDescent="0.2">
      <c r="B15" s="27" t="s">
        <v>38</v>
      </c>
      <c r="D15" s="28">
        <v>3654.2296000000001</v>
      </c>
      <c r="E15" s="29">
        <v>0.12369668378255637</v>
      </c>
      <c r="F15" s="26">
        <f>'Rate Design Phase 2'!I15</f>
        <v>50</v>
      </c>
      <c r="I15" s="26">
        <f>I8</f>
        <v>106.28</v>
      </c>
      <c r="K15" s="28">
        <f t="shared" si="0"/>
        <v>182711.48</v>
      </c>
      <c r="L15" s="28">
        <f t="shared" si="1"/>
        <v>388371.52188800002</v>
      </c>
      <c r="M15" s="28">
        <f t="shared" si="3"/>
        <v>205660.04188800001</v>
      </c>
      <c r="N15" s="40">
        <f t="shared" si="2"/>
        <v>1.1255999999999999</v>
      </c>
    </row>
    <row r="16" spans="2:14" x14ac:dyDescent="0.2">
      <c r="B16" s="25" t="s">
        <v>39</v>
      </c>
      <c r="D16" s="28">
        <v>420.00000000000006</v>
      </c>
      <c r="E16" s="29">
        <v>1.4217116294135891E-2</v>
      </c>
      <c r="F16" s="26">
        <f>'Rate Design Phase 2'!I16</f>
        <v>97</v>
      </c>
      <c r="I16" s="26">
        <f>I8</f>
        <v>106.28</v>
      </c>
      <c r="K16" s="28">
        <f t="shared" si="0"/>
        <v>40740.000000000007</v>
      </c>
      <c r="L16" s="28">
        <f t="shared" si="1"/>
        <v>44637.600000000006</v>
      </c>
      <c r="M16" s="28">
        <f t="shared" si="3"/>
        <v>3897.5999999999985</v>
      </c>
      <c r="N16" s="40">
        <f t="shared" si="2"/>
        <v>9.5670103092783454E-2</v>
      </c>
    </row>
    <row r="17" spans="2:14" x14ac:dyDescent="0.2">
      <c r="B17" s="27" t="s">
        <v>40</v>
      </c>
      <c r="D17" s="28">
        <v>348.00000000000006</v>
      </c>
      <c r="E17" s="29">
        <v>1.1779896357998311E-2</v>
      </c>
      <c r="F17" s="26">
        <f>'Rate Design Phase 2'!I17</f>
        <v>97</v>
      </c>
      <c r="I17" s="26">
        <f>I8</f>
        <v>106.28</v>
      </c>
      <c r="K17" s="28">
        <f t="shared" si="0"/>
        <v>33756.000000000007</v>
      </c>
      <c r="L17" s="28">
        <f t="shared" si="1"/>
        <v>36985.44000000001</v>
      </c>
      <c r="M17" s="28">
        <f t="shared" si="3"/>
        <v>3229.4400000000023</v>
      </c>
      <c r="N17" s="40">
        <f t="shared" si="2"/>
        <v>9.5670103092783551E-2</v>
      </c>
    </row>
    <row r="18" spans="2:14" x14ac:dyDescent="0.2">
      <c r="B18" s="25" t="s">
        <v>41</v>
      </c>
      <c r="D18" s="28">
        <v>1927.3161567988834</v>
      </c>
      <c r="E18" s="29">
        <v>6.5240185563754202E-2</v>
      </c>
      <c r="F18" s="26">
        <f>'Rate Design Phase 2'!I18</f>
        <v>97</v>
      </c>
      <c r="I18" s="26">
        <f>I8</f>
        <v>106.28</v>
      </c>
      <c r="K18" s="28">
        <f t="shared" si="0"/>
        <v>186949.66720949169</v>
      </c>
      <c r="L18" s="28">
        <f t="shared" si="1"/>
        <v>204835.16114458532</v>
      </c>
      <c r="M18" s="28">
        <f t="shared" si="3"/>
        <v>17885.493935093633</v>
      </c>
      <c r="N18" s="40">
        <f t="shared" si="2"/>
        <v>9.5670103092783482E-2</v>
      </c>
    </row>
    <row r="19" spans="2:14" x14ac:dyDescent="0.2">
      <c r="B19" s="27" t="s">
        <v>42</v>
      </c>
      <c r="D19" s="28">
        <v>287.99999999999994</v>
      </c>
      <c r="E19" s="29">
        <v>9.7488797445503227E-3</v>
      </c>
      <c r="F19" s="26">
        <f>'Rate Design Phase 2'!I19</f>
        <v>97</v>
      </c>
      <c r="I19" s="26">
        <f>I8</f>
        <v>106.28</v>
      </c>
      <c r="K19" s="28">
        <f t="shared" si="0"/>
        <v>27935.999999999993</v>
      </c>
      <c r="L19" s="28">
        <f t="shared" si="1"/>
        <v>30608.639999999996</v>
      </c>
      <c r="M19" s="28">
        <f t="shared" si="3"/>
        <v>2672.6400000000031</v>
      </c>
      <c r="N19" s="40">
        <f t="shared" si="2"/>
        <v>9.5670103092783634E-2</v>
      </c>
    </row>
    <row r="20" spans="2:14" x14ac:dyDescent="0.2">
      <c r="B20" s="25" t="s">
        <v>43</v>
      </c>
      <c r="D20" s="28">
        <v>1570.4330658899885</v>
      </c>
      <c r="E20" s="29">
        <v>5.3159594118843662E-2</v>
      </c>
      <c r="F20" s="26">
        <f>'Rate Design Phase 2'!I20</f>
        <v>97</v>
      </c>
      <c r="I20" s="26">
        <f>I8</f>
        <v>106.28</v>
      </c>
      <c r="K20" s="28">
        <f t="shared" si="0"/>
        <v>152332.00739132889</v>
      </c>
      <c r="L20" s="28">
        <f t="shared" si="1"/>
        <v>166905.62624278798</v>
      </c>
      <c r="M20" s="28">
        <f t="shared" si="3"/>
        <v>14573.61885145909</v>
      </c>
      <c r="N20" s="40">
        <f t="shared" si="2"/>
        <v>9.5670103092783482E-2</v>
      </c>
    </row>
    <row r="21" spans="2:14" x14ac:dyDescent="0.2">
      <c r="B21" s="27" t="s">
        <v>44</v>
      </c>
      <c r="D21" s="28">
        <v>396</v>
      </c>
      <c r="E21" s="29">
        <v>1.3404709648756697E-2</v>
      </c>
      <c r="F21" s="26">
        <f>'Rate Design Phase 2'!I21</f>
        <v>97</v>
      </c>
      <c r="I21" s="26">
        <f>I8</f>
        <v>106.28</v>
      </c>
      <c r="K21" s="28">
        <f t="shared" si="0"/>
        <v>38412</v>
      </c>
      <c r="L21" s="28">
        <f t="shared" si="1"/>
        <v>42086.879999999997</v>
      </c>
      <c r="M21" s="28">
        <f t="shared" si="3"/>
        <v>3674.8799999999974</v>
      </c>
      <c r="N21" s="40">
        <f t="shared" si="2"/>
        <v>9.567010309278344E-2</v>
      </c>
    </row>
    <row r="22" spans="2:14" x14ac:dyDescent="0.2">
      <c r="B22" s="25" t="s">
        <v>45</v>
      </c>
      <c r="D22" s="28">
        <v>3960.1664185180875</v>
      </c>
      <c r="E22" s="29">
        <v>0.13405272980048399</v>
      </c>
      <c r="F22" s="26">
        <f>'Rate Design Phase 2'!I22</f>
        <v>97</v>
      </c>
      <c r="I22" s="26">
        <f>I8</f>
        <v>106.28</v>
      </c>
      <c r="K22" s="28">
        <f t="shared" si="0"/>
        <v>384136.14259625447</v>
      </c>
      <c r="L22" s="28">
        <f t="shared" si="1"/>
        <v>420886.48696010234</v>
      </c>
      <c r="M22" s="28">
        <f t="shared" si="3"/>
        <v>36750.344363847864</v>
      </c>
      <c r="N22" s="40">
        <f t="shared" si="2"/>
        <v>9.5670103092783537E-2</v>
      </c>
    </row>
    <row r="23" spans="2:14" x14ac:dyDescent="0.2">
      <c r="B23" s="27" t="s">
        <v>46</v>
      </c>
      <c r="D23" s="28">
        <v>478.52634639990697</v>
      </c>
      <c r="E23" s="29">
        <v>1.61982493251796E-2</v>
      </c>
      <c r="F23" s="26">
        <f>'Rate Design Phase 2'!I23</f>
        <v>97</v>
      </c>
      <c r="I23" s="26">
        <f>I8</f>
        <v>106.28</v>
      </c>
      <c r="K23" s="28">
        <f t="shared" si="0"/>
        <v>46417.055600790976</v>
      </c>
      <c r="L23" s="28">
        <f t="shared" si="1"/>
        <v>50857.780095382113</v>
      </c>
      <c r="M23" s="28">
        <f t="shared" si="3"/>
        <v>4440.724494591137</v>
      </c>
      <c r="N23" s="40">
        <f t="shared" si="2"/>
        <v>9.5670103092783509E-2</v>
      </c>
    </row>
    <row r="24" spans="2:14" x14ac:dyDescent="0.2">
      <c r="B24" s="25" t="s">
        <v>47</v>
      </c>
      <c r="D24" s="28">
        <v>12.000255903222053</v>
      </c>
      <c r="E24" s="29">
        <v>4.0621198508452059E-4</v>
      </c>
      <c r="F24" s="26">
        <f>'Rate Design Phase 2'!I24</f>
        <v>242.5</v>
      </c>
      <c r="I24" s="26">
        <f>I14</f>
        <v>265.7</v>
      </c>
      <c r="K24" s="28">
        <f t="shared" si="0"/>
        <v>2910.0620565313479</v>
      </c>
      <c r="L24" s="28">
        <f t="shared" si="1"/>
        <v>3188.4679934860992</v>
      </c>
      <c r="M24" s="28">
        <f t="shared" si="3"/>
        <v>278.40593695475127</v>
      </c>
      <c r="N24" s="40">
        <f t="shared" si="2"/>
        <v>9.5670103092783385E-2</v>
      </c>
    </row>
    <row r="25" spans="2:14" x14ac:dyDescent="0.2">
      <c r="B25" s="27" t="s">
        <v>48</v>
      </c>
      <c r="D25" s="28">
        <v>4292.0507454095277</v>
      </c>
      <c r="E25" s="29">
        <v>0.14528710616147592</v>
      </c>
      <c r="F25" s="26">
        <f>'Rate Design Phase 2'!I25</f>
        <v>97</v>
      </c>
      <c r="I25" s="26">
        <f>I8</f>
        <v>106.28</v>
      </c>
      <c r="K25" s="28">
        <f t="shared" si="0"/>
        <v>416328.92230472417</v>
      </c>
      <c r="L25" s="28">
        <f t="shared" si="1"/>
        <v>456159.15322212462</v>
      </c>
      <c r="M25" s="28">
        <f t="shared" si="3"/>
        <v>39830.230917400448</v>
      </c>
      <c r="N25" s="40">
        <f t="shared" si="2"/>
        <v>9.5670103092783579E-2</v>
      </c>
    </row>
    <row r="26" spans="2:14" x14ac:dyDescent="0.2">
      <c r="B26" s="25" t="s">
        <v>49</v>
      </c>
      <c r="D26" s="28">
        <v>660.86204489938359</v>
      </c>
      <c r="E26" s="29">
        <v>2.2370363206464263E-2</v>
      </c>
      <c r="F26" s="26">
        <f>'Rate Design Phase 2'!I26</f>
        <v>97</v>
      </c>
      <c r="I26" s="26">
        <f>I8</f>
        <v>106.28</v>
      </c>
      <c r="K26" s="28">
        <f t="shared" si="0"/>
        <v>64103.618355240207</v>
      </c>
      <c r="L26" s="28">
        <f t="shared" si="1"/>
        <v>70236.418131906496</v>
      </c>
      <c r="M26" s="28">
        <f t="shared" si="3"/>
        <v>6132.7997766662884</v>
      </c>
      <c r="N26" s="40">
        <f t="shared" si="2"/>
        <v>9.5670103092783648E-2</v>
      </c>
    </row>
    <row r="27" spans="2:14" x14ac:dyDescent="0.2">
      <c r="B27" s="27" t="s">
        <v>50</v>
      </c>
      <c r="D27" s="28">
        <v>2164.1950744469741</v>
      </c>
      <c r="E27" s="29">
        <v>7.325860251573503E-2</v>
      </c>
      <c r="F27" s="26">
        <f>'Rate Design Phase 2'!I27</f>
        <v>97</v>
      </c>
      <c r="I27" s="26">
        <f>I8</f>
        <v>106.28</v>
      </c>
      <c r="K27" s="28">
        <f t="shared" si="0"/>
        <v>209926.92222135648</v>
      </c>
      <c r="L27" s="28">
        <f t="shared" si="1"/>
        <v>230010.65251222442</v>
      </c>
      <c r="M27" s="28">
        <f t="shared" si="3"/>
        <v>20083.730290867941</v>
      </c>
      <c r="N27" s="40">
        <f t="shared" si="2"/>
        <v>9.5670103092783607E-2</v>
      </c>
    </row>
    <row r="28" spans="2:14" x14ac:dyDescent="0.2">
      <c r="B28" s="25" t="s">
        <v>51</v>
      </c>
      <c r="D28" s="28">
        <v>504</v>
      </c>
      <c r="E28" s="29">
        <v>1.7060539552963067E-2</v>
      </c>
      <c r="F28" s="26">
        <f>'Rate Design Phase 2'!I28</f>
        <v>97</v>
      </c>
      <c r="I28" s="26">
        <f>I8</f>
        <v>106.28</v>
      </c>
      <c r="K28" s="28">
        <f t="shared" si="0"/>
        <v>48888</v>
      </c>
      <c r="L28" s="28">
        <f t="shared" si="1"/>
        <v>53565.120000000003</v>
      </c>
      <c r="M28" s="28">
        <f t="shared" si="3"/>
        <v>4677.1200000000026</v>
      </c>
      <c r="N28" s="40">
        <f t="shared" si="2"/>
        <v>9.5670103092783565E-2</v>
      </c>
    </row>
    <row r="29" spans="2:14" x14ac:dyDescent="0.2">
      <c r="B29" s="27" t="s">
        <v>52</v>
      </c>
      <c r="D29" s="28">
        <v>826.3239668035593</v>
      </c>
      <c r="E29" s="29">
        <v>2.7971295077804492E-2</v>
      </c>
      <c r="F29" s="26">
        <f>'Rate Design Phase 2'!I29</f>
        <v>97</v>
      </c>
      <c r="I29" s="26">
        <f>I8</f>
        <v>106.28</v>
      </c>
      <c r="K29" s="28">
        <f t="shared" si="0"/>
        <v>80153.424779945257</v>
      </c>
      <c r="L29" s="28">
        <f t="shared" si="1"/>
        <v>87821.711191882277</v>
      </c>
      <c r="M29" s="28">
        <f t="shared" si="3"/>
        <v>7668.2864119370206</v>
      </c>
      <c r="N29" s="40">
        <f t="shared" si="2"/>
        <v>9.5670103092783385E-2</v>
      </c>
    </row>
    <row r="30" spans="2:14" x14ac:dyDescent="0.2">
      <c r="B30" s="25" t="s">
        <v>53</v>
      </c>
      <c r="D30" s="28">
        <v>1091.1725731895224</v>
      </c>
      <c r="E30" s="29">
        <v>3.6936493738111774E-2</v>
      </c>
      <c r="F30" s="26">
        <f>'Rate Design Phase 2'!I30</f>
        <v>97</v>
      </c>
      <c r="I30" s="26">
        <f>I8</f>
        <v>106.28</v>
      </c>
      <c r="K30" s="28">
        <f t="shared" si="0"/>
        <v>105843.73959938367</v>
      </c>
      <c r="L30" s="28">
        <f t="shared" si="1"/>
        <v>115969.82107858243</v>
      </c>
      <c r="M30" s="28">
        <f t="shared" si="3"/>
        <v>10126.081479198765</v>
      </c>
      <c r="N30" s="40">
        <f t="shared" si="2"/>
        <v>9.5670103092783482E-2</v>
      </c>
    </row>
    <row r="31" spans="2:14" x14ac:dyDescent="0.2">
      <c r="N31" s="41"/>
    </row>
    <row r="32" spans="2:14" x14ac:dyDescent="0.2">
      <c r="D32" s="32">
        <f>SUM(D8:D30)</f>
        <v>29541.855838461186</v>
      </c>
      <c r="E32" s="33">
        <f>SUM(E8:E30)</f>
        <v>0.99999999999999978</v>
      </c>
      <c r="K32" s="38">
        <f>SUM(K8:K30)</f>
        <v>3225555.5123646529</v>
      </c>
      <c r="L32" s="38">
        <f>SUM(L8:L30)</f>
        <v>3764799.419307746</v>
      </c>
      <c r="M32" s="38">
        <f>SUM(M8:M30)</f>
        <v>539243.90694309259</v>
      </c>
      <c r="N32" s="40">
        <f>M32/K32</f>
        <v>0.16717861617200108</v>
      </c>
    </row>
    <row r="34" spans="2:12" x14ac:dyDescent="0.2">
      <c r="B34" s="25" t="s">
        <v>55</v>
      </c>
      <c r="D34" s="26">
        <v>2.5</v>
      </c>
      <c r="I34" s="25" t="s">
        <v>24</v>
      </c>
      <c r="L34" s="38">
        <f>'Unrecovered Phase In Rates'!F14</f>
        <v>3764793.4438474244</v>
      </c>
    </row>
    <row r="35" spans="2:12" x14ac:dyDescent="0.2">
      <c r="B35" s="25" t="s">
        <v>56</v>
      </c>
      <c r="D35" s="26">
        <v>0.75</v>
      </c>
    </row>
    <row r="36" spans="2:12" x14ac:dyDescent="0.2">
      <c r="I36" s="25" t="s">
        <v>30</v>
      </c>
      <c r="L36" s="39">
        <f>L32-L34</f>
        <v>5.9754603216424584</v>
      </c>
    </row>
    <row r="37" spans="2:12" x14ac:dyDescent="0.2">
      <c r="L37" s="28"/>
    </row>
    <row r="38" spans="2:12" x14ac:dyDescent="0.2">
      <c r="L38" s="28"/>
    </row>
    <row r="40" spans="2:12" x14ac:dyDescent="0.2">
      <c r="L40" s="39"/>
    </row>
    <row r="42" spans="2:12" x14ac:dyDescent="0.2">
      <c r="I42" s="25" t="s">
        <v>72</v>
      </c>
      <c r="L42" s="39">
        <f>L34</f>
        <v>3764793.4438474244</v>
      </c>
    </row>
    <row r="43" spans="2:12" x14ac:dyDescent="0.2">
      <c r="I43" s="25" t="s">
        <v>73</v>
      </c>
      <c r="L43" s="32">
        <f>L14</f>
        <v>696271.97</v>
      </c>
    </row>
    <row r="45" spans="2:12" x14ac:dyDescent="0.2">
      <c r="I45" s="25" t="s">
        <v>74</v>
      </c>
      <c r="L45" s="29">
        <f>L43/L42</f>
        <v>0.18494294053180405</v>
      </c>
    </row>
  </sheetData>
  <pageMargins left="0.7" right="0.7" top="0.75" bottom="0.75" header="0.3" footer="0.3"/>
  <ignoredErrors>
    <ignoredError sqref="K14:L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CC6C-6BF2-4505-BDC4-91960D14A7F6}">
  <dimension ref="C3:E7"/>
  <sheetViews>
    <sheetView showGridLines="0" workbookViewId="0">
      <selection activeCell="C3" sqref="C3:J8"/>
    </sheetView>
  </sheetViews>
  <sheetFormatPr defaultRowHeight="15" x14ac:dyDescent="0.25"/>
  <cols>
    <col min="3" max="3" width="13.28515625" bestFit="1" customWidth="1"/>
    <col min="4" max="4" width="1.7109375" customWidth="1"/>
  </cols>
  <sheetData>
    <row r="3" spans="3:5" ht="15.75" x14ac:dyDescent="0.25">
      <c r="C3" s="34">
        <v>472557.48</v>
      </c>
      <c r="E3" s="35" t="s">
        <v>66</v>
      </c>
    </row>
    <row r="4" spans="3:5" ht="15.75" x14ac:dyDescent="0.25">
      <c r="C4" s="36">
        <v>135214.54</v>
      </c>
      <c r="E4" s="35" t="s">
        <v>66</v>
      </c>
    </row>
    <row r="5" spans="3:5" ht="15.75" x14ac:dyDescent="0.25">
      <c r="C5" s="37">
        <v>22000</v>
      </c>
      <c r="E5" s="35" t="s">
        <v>67</v>
      </c>
    </row>
    <row r="6" spans="3:5" ht="15.75" x14ac:dyDescent="0.25">
      <c r="C6" s="35"/>
    </row>
    <row r="7" spans="3:5" ht="15.75" x14ac:dyDescent="0.25">
      <c r="C7" s="34">
        <f>SUM(C3:C5)</f>
        <v>629772.02</v>
      </c>
      <c r="E7" s="35" t="s">
        <v>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8434-9A9A-4F48-9D68-EED23F4D64F6}">
  <dimension ref="D5:F15"/>
  <sheetViews>
    <sheetView showGridLines="0" tabSelected="1" workbookViewId="0">
      <selection activeCell="F33" sqref="F33"/>
    </sheetView>
  </sheetViews>
  <sheetFormatPr defaultRowHeight="15" x14ac:dyDescent="0.25"/>
  <cols>
    <col min="4" max="4" width="34.28515625" bestFit="1" customWidth="1"/>
    <col min="5" max="5" width="1.7109375" customWidth="1"/>
    <col min="6" max="6" width="13.42578125" bestFit="1" customWidth="1"/>
  </cols>
  <sheetData>
    <row r="5" spans="4:6" x14ac:dyDescent="0.25">
      <c r="D5" t="s">
        <v>78</v>
      </c>
      <c r="F5" s="42">
        <f>-'Rate Design Phase 2'!L40</f>
        <v>886809.46322593512</v>
      </c>
    </row>
    <row r="6" spans="4:6" x14ac:dyDescent="0.25">
      <c r="D6" t="s">
        <v>79</v>
      </c>
      <c r="F6" s="43">
        <v>5</v>
      </c>
    </row>
    <row r="8" spans="4:6" x14ac:dyDescent="0.25">
      <c r="D8" t="s">
        <v>80</v>
      </c>
      <c r="F8" s="42">
        <f>F5/F6</f>
        <v>177361.89264518704</v>
      </c>
    </row>
    <row r="9" spans="4:6" x14ac:dyDescent="0.25">
      <c r="D9" t="s">
        <v>17</v>
      </c>
      <c r="F9" s="44">
        <f>'Revised Revenue Requirement'!E24</f>
        <v>1.0101010101010099</v>
      </c>
    </row>
    <row r="11" spans="4:6" x14ac:dyDescent="0.25">
      <c r="D11" t="s">
        <v>81</v>
      </c>
      <c r="F11" s="42">
        <f>F8*F9</f>
        <v>179153.42691433031</v>
      </c>
    </row>
    <row r="12" spans="4:6" x14ac:dyDescent="0.25">
      <c r="D12" t="s">
        <v>24</v>
      </c>
      <c r="F12" s="43">
        <f>'Revised Revenue Requirement'!E34</f>
        <v>3585640.0169330942</v>
      </c>
    </row>
    <row r="14" spans="4:6" ht="15.75" thickBot="1" x14ac:dyDescent="0.3">
      <c r="D14" t="s">
        <v>82</v>
      </c>
      <c r="F14" s="45">
        <f>F11+F12</f>
        <v>3764793.4438474244</v>
      </c>
    </row>
    <row r="15" spans="4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Revised Revenue Requirement</vt:lpstr>
      <vt:lpstr>Rate Design Phase 1</vt:lpstr>
      <vt:lpstr>Rate Design Phase 2</vt:lpstr>
      <vt:lpstr>Rate Design Phase 3</vt:lpstr>
      <vt:lpstr>Post Closing Entries Exhibit</vt:lpstr>
      <vt:lpstr>Unrecovered Phase In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Turnbull</dc:creator>
  <cp:lastModifiedBy>David Spenard</cp:lastModifiedBy>
  <dcterms:created xsi:type="dcterms:W3CDTF">2023-06-23T18:00:54Z</dcterms:created>
  <dcterms:modified xsi:type="dcterms:W3CDTF">2023-07-27T19:40:57Z</dcterms:modified>
</cp:coreProperties>
</file>