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omments1.xml" ContentType="application/vnd.openxmlformats-officedocument.spreadsheetml.comments+xml"/>
  <Override PartName="/xl/threadedComments/threadedComment1.xml" ContentType="application/vnd.ms-excel.threadedcomments+xml"/>
  <Override PartName="/xl/customProperty7.bin" ContentType="application/vnd.openxmlformats-officedocument.spreadsheetml.customProperty"/>
  <Override PartName="/xl/comments2.xml" ContentType="application/vnd.openxmlformats-officedocument.spreadsheetml.comments+xml"/>
  <Override PartName="/xl/threadedComments/threadedComment2.xml" ContentType="application/vnd.ms-excel.threadedcomments+xml"/>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Override PartName="/xl/customProperty26.bin" ContentType="application/vnd.openxmlformats-officedocument.spreadsheetml.customProperty"/>
  <Override PartName="/xl/customProperty27.bin" ContentType="application/vnd.openxmlformats-officedocument.spreadsheetml.customProperty"/>
  <Override PartName="/xl/customProperty28.bin" ContentType="application/vnd.openxmlformats-officedocument.spreadsheetml.customProperty"/>
  <Override PartName="/xl/customProperty29.bin" ContentType="application/vnd.openxmlformats-officedocument.spreadsheetml.customProperty"/>
  <Override PartName="/xl/customProperty30.bin" ContentType="application/vnd.openxmlformats-officedocument.spreadsheetml.customProperty"/>
  <Override PartName="/xl/customProperty31.bin" ContentType="application/vnd.openxmlformats-officedocument.spreadsheetml.customProperty"/>
  <Override PartName="/xl/customProperty32.bin" ContentType="application/vnd.openxmlformats-officedocument.spreadsheetml.customProperty"/>
  <Override PartName="/xl/customProperty33.bin" ContentType="application/vnd.openxmlformats-officedocument.spreadsheetml.customProperty"/>
  <Override PartName="/xl/comments3.xml" ContentType="application/vnd.openxmlformats-officedocument.spreadsheetml.comments+xml"/>
  <Override PartName="/xl/customProperty34.bin" ContentType="application/vnd.openxmlformats-officedocument.spreadsheetml.customProperty"/>
  <Override PartName="/xl/customProperty35.bin" ContentType="application/vnd.openxmlformats-officedocument.spreadsheetml.customProperty"/>
  <Override PartName="/xl/customProperty36.bin" ContentType="application/vnd.openxmlformats-officedocument.spreadsheetml.customProperty"/>
  <Override PartName="/xl/customProperty37.bin" ContentType="application/vnd.openxmlformats-officedocument.spreadsheetml.customProperty"/>
  <Override PartName="/xl/customProperty38.bin" ContentType="application/vnd.openxmlformats-officedocument.spreadsheetml.customProperty"/>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fileSharing readOnlyRecommended="1"/>
  <workbookPr codeName="ThisWorkbook"/>
  <mc:AlternateContent xmlns:mc="http://schemas.openxmlformats.org/markup-compatibility/2006">
    <mc:Choice Requires="x15">
      <x15ac:absPath xmlns:x15ac="http://schemas.microsoft.com/office/spreadsheetml/2010/11/ac" url="J:\CN2022\CN-00421 - Gas Supply Clause (Eff Feb 1)\0 - Efile 12-30-2022\"/>
    </mc:Choice>
  </mc:AlternateContent>
  <xr:revisionPtr revIDLastSave="0" documentId="13_ncr:1_{EB50F273-CA7F-430B-B368-B3A6A0B6D665}" xr6:coauthVersionLast="47" xr6:coauthVersionMax="47" xr10:uidLastSave="{00000000-0000-0000-0000-000000000000}"/>
  <bookViews>
    <workbookView xWindow="1470" yWindow="990" windowWidth="23400" windowHeight="11700" tabRatio="936" firstSheet="10" activeTab="10" xr2:uid="{00000000-000D-0000-FFFF-FFFF00000000}"/>
  </bookViews>
  <sheets>
    <sheet name="A216810396964DCDB399904ED81BA8E" sheetId="61" state="veryHidden" r:id="rId1"/>
    <sheet name="Typical Bill" sheetId="44" state="hidden" r:id="rId2"/>
    <sheet name="Databases &gt;" sheetId="49" state="hidden" r:id="rId3"/>
    <sheet name="Input Data" sheetId="5" state="hidden" r:id="rId4"/>
    <sheet name="Case Database" sheetId="16" state="hidden" r:id="rId5"/>
    <sheet name="Forecast" sheetId="33" state="hidden" r:id="rId6"/>
    <sheet name="Sales Volumes" sheetId="41" state="hidden" r:id="rId7"/>
    <sheet name="FT Data" sheetId="48" state="hidden" r:id="rId8"/>
    <sheet name="TS-2 Data" sheetId="47" state="hidden" r:id="rId9"/>
    <sheet name="FILING &gt;" sheetId="50" state="hidden" r:id="rId10"/>
    <sheet name="Cover Sheet" sheetId="40" r:id="rId11"/>
    <sheet name="Summary Sheet" sheetId="1" r:id="rId12"/>
    <sheet name="Exhibit A-1 Write-Up" sheetId="54" state="hidden" r:id="rId13"/>
    <sheet name="Ex A 1 of 2" sheetId="2" r:id="rId14"/>
    <sheet name="Ex A 2 of 2" sheetId="3" r:id="rId15"/>
    <sheet name="Exhibit B Write-Up" sheetId="59" state="hidden" r:id="rId16"/>
    <sheet name="Ex B-1 1 of 7" sheetId="4" r:id="rId17"/>
    <sheet name="Ex B-1 2 of 7" sheetId="6" r:id="rId18"/>
    <sheet name="Ex B-1 3 of 7" sheetId="45" r:id="rId19"/>
    <sheet name="Ex B-1 4 of 7" sheetId="7" r:id="rId20"/>
    <sheet name="Ex B-1 5 of 7" sheetId="8" r:id="rId21"/>
    <sheet name="Ex B-1 6 of 7" sheetId="52" r:id="rId22"/>
    <sheet name="Ex B-1 7 of 7" sheetId="51" r:id="rId23"/>
    <sheet name="Ex B-2 1 of 1" sheetId="62" r:id="rId24"/>
    <sheet name="Exhibit C Write-Up" sheetId="58" state="hidden" r:id="rId25"/>
    <sheet name="Ex C-1 1 of 3" sheetId="9" r:id="rId26"/>
    <sheet name="Ex C-1 2 of 3" sheetId="10" r:id="rId27"/>
    <sheet name="Ex C-1 3 of 3" sheetId="37" r:id="rId28"/>
    <sheet name="Exhibit D Write-Up" sheetId="57" state="hidden" r:id="rId29"/>
    <sheet name="Ex D-1 1 of 2" sheetId="11" r:id="rId30"/>
    <sheet name="Ex D-1 2 of 2" sheetId="34" r:id="rId31"/>
    <sheet name="Exhibit E Write-Up" sheetId="56" state="hidden" r:id="rId32"/>
    <sheet name="Ex E-1 1 of 1" sheetId="12" r:id="rId33"/>
    <sheet name="Ex E-1 2 of 2" sheetId="36" state="hidden" r:id="rId34"/>
    <sheet name="Exhibit F Write-Up" sheetId="55" state="hidden" r:id="rId35"/>
    <sheet name="Ex F-1 1 of 1" sheetId="39" r:id="rId36"/>
    <sheet name="Effective Rates" sheetId="14" r:id="rId37"/>
    <sheet name="FT Rate Summary" sheetId="15" r:id="rId38"/>
    <sheet name="Rate LGDS" sheetId="53" r:id="rId39"/>
  </sheets>
  <definedNames>
    <definedName name="_xlnm._FilterDatabase" localSheetId="0" hidden="1">A216810396964DCDB399904ED81BA8E!$A$1:$C$1</definedName>
    <definedName name="_ftn1" localSheetId="12">'Exhibit A-1 Write-Up'!#REF!</definedName>
    <definedName name="_ftnref1" localSheetId="12">'Exhibit A-1 Write-Up'!#REF!</definedName>
    <definedName name="_xlnm.Print_Area" localSheetId="4">'Case Database'!$A$1:$F$71</definedName>
    <definedName name="_xlnm.Print_Area" localSheetId="36">'Effective Rates'!$A$1:$S$134</definedName>
    <definedName name="_xlnm.Print_Area" localSheetId="13">'Ex A 1 of 2'!$A$1:$G$80</definedName>
    <definedName name="_xlnm.Print_Area" localSheetId="14">'Ex A 2 of 2'!$A$9:$F$59</definedName>
    <definedName name="_xlnm.Print_Area" localSheetId="16">'Ex B-1 1 of 7'!$A$1:$G$31</definedName>
    <definedName name="_xlnm.Print_Area" localSheetId="17">'Ex B-1 2 of 7'!$A$1:$N$29</definedName>
    <definedName name="_xlnm.Print_Area" localSheetId="18">'Ex B-1 3 of 7'!$A$1:$N$28</definedName>
    <definedName name="_xlnm.Print_Area" localSheetId="19">'Ex B-1 4 of 7'!$A$1:$N$29</definedName>
    <definedName name="_xlnm.Print_Area" localSheetId="20">'Ex B-1 5 of 7'!$A$1:$I$37</definedName>
    <definedName name="_xlnm.Print_Area" localSheetId="25">'Ex C-1 1 of 3'!$A$1:$D$29</definedName>
    <definedName name="_xlnm.Print_Area" localSheetId="26">'Ex C-1 2 of 3'!$A$1:$H$29</definedName>
    <definedName name="_xlnm.Print_Area" localSheetId="27">'Ex C-1 3 of 3'!$A$6:$H$27</definedName>
    <definedName name="_xlnm.Print_Area" localSheetId="29">'Ex D-1 1 of 2'!$A$1:$J$21</definedName>
    <definedName name="_xlnm.Print_Area" localSheetId="30">'Ex D-1 2 of 2'!$A$1:$H$35</definedName>
    <definedName name="_xlnm.Print_Area" localSheetId="32">'Ex E-1 1 of 1'!$A$1:$E$24</definedName>
    <definedName name="_xlnm.Print_Area" localSheetId="33">'Ex E-1 2 of 2'!$A$1:$K$33</definedName>
    <definedName name="_xlnm.Print_Area" localSheetId="35">'Ex F-1 1 of 1'!$A$1:$F$22</definedName>
    <definedName name="_xlnm.Print_Area" localSheetId="12">'Exhibit A-1 Write-Up'!$A$1:$K$153</definedName>
    <definedName name="_xlnm.Print_Area" localSheetId="15">'Exhibit B Write-Up'!$B$1:$I$33</definedName>
    <definedName name="_xlnm.Print_Area" localSheetId="7">'FT Data'!$A$1:$BJ$10</definedName>
    <definedName name="_xlnm.Print_Area" localSheetId="37">'FT Rate Summary'!$A$1:$I$57</definedName>
    <definedName name="_xlnm.Print_Area" localSheetId="3">'Input Data'!$B$1:$D$16</definedName>
    <definedName name="_xlnm.Print_Area" localSheetId="38">'Rate LGDS'!$A$1:$I$56</definedName>
    <definedName name="_xlnm.Print_Area" localSheetId="6">'Sales Volumes'!$A$1:$H$14</definedName>
    <definedName name="_xlnm.Print_Area" localSheetId="11">'Summary Sheet'!$A$1:$K$59</definedName>
    <definedName name="_xlnm.Print_Titles" localSheetId="4">'Case Database'!$3:$3</definedName>
    <definedName name="_xlnm.Print_Titles" localSheetId="6">'Sales Volumes'!$2:$3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94" i="16" l="1"/>
  <c r="B94" i="16"/>
  <c r="D71" i="2" l="1"/>
  <c r="E71" i="2"/>
  <c r="C71" i="2"/>
  <c r="D10" i="2"/>
  <c r="E10" i="2"/>
  <c r="C10" i="2"/>
  <c r="F15" i="3"/>
  <c r="C48" i="2" l="1"/>
  <c r="F10" i="2"/>
  <c r="D48" i="2"/>
  <c r="E48" i="2"/>
  <c r="A71" i="2"/>
  <c r="A72" i="2"/>
  <c r="C15" i="3"/>
  <c r="D15" i="3"/>
  <c r="F93" i="16" l="1"/>
  <c r="C18" i="5" l="1"/>
  <c r="B93" i="16" l="1"/>
  <c r="U19" i="44" l="1"/>
  <c r="F91" i="16" l="1"/>
  <c r="C5" i="5" l="1"/>
  <c r="F92" i="16"/>
  <c r="B92" i="16"/>
  <c r="B91" i="16" l="1"/>
  <c r="B17" i="59"/>
  <c r="F191" i="5" l="1"/>
  <c r="F90" i="16" l="1"/>
  <c r="E180" i="5" l="1"/>
  <c r="E181" i="5"/>
  <c r="E182" i="5"/>
  <c r="E183" i="5"/>
  <c r="E184" i="5"/>
  <c r="E185" i="5"/>
  <c r="E186" i="5"/>
  <c r="E187" i="5"/>
  <c r="E188" i="5"/>
  <c r="E189" i="5"/>
  <c r="E190" i="5"/>
  <c r="E179" i="5"/>
  <c r="E191" i="5" l="1"/>
  <c r="B90" i="16"/>
  <c r="G19" i="44" l="1"/>
  <c r="N19" i="44"/>
  <c r="F89" i="16" l="1"/>
  <c r="B89" i="16"/>
  <c r="J16" i="7" l="1"/>
  <c r="C107" i="5" l="1"/>
  <c r="F88" i="16" l="1"/>
  <c r="B88" i="16"/>
  <c r="F87" i="16" l="1"/>
  <c r="B87" i="16"/>
  <c r="E107" i="5" l="1"/>
  <c r="U7" i="44" l="1"/>
  <c r="G6" i="48" l="1"/>
  <c r="F6" i="48"/>
  <c r="K44" i="14" l="1"/>
  <c r="K24" i="14"/>
  <c r="K33" i="14" l="1"/>
  <c r="B179" i="5"/>
  <c r="B180" i="5" s="1"/>
  <c r="B181" i="5" s="1"/>
  <c r="B182" i="5" s="1"/>
  <c r="B183" i="5" s="1"/>
  <c r="B184" i="5" s="1"/>
  <c r="B185" i="5" s="1"/>
  <c r="B186" i="5" s="1"/>
  <c r="B187" i="5" s="1"/>
  <c r="B188" i="5" s="1"/>
  <c r="B189" i="5" s="1"/>
  <c r="B190" i="5" s="1"/>
  <c r="D107" i="5" l="1"/>
  <c r="D100" i="5"/>
  <c r="E100" i="5"/>
  <c r="C100" i="5"/>
  <c r="B84" i="41" l="1"/>
  <c r="B85" i="41"/>
  <c r="B86" i="41"/>
  <c r="F7" i="48"/>
  <c r="G7" i="48"/>
  <c r="O7" i="48"/>
  <c r="P7" i="48"/>
  <c r="F86" i="16" l="1"/>
  <c r="B86" i="16"/>
  <c r="B21" i="40" l="1"/>
  <c r="B17" i="39" l="1"/>
  <c r="B15" i="39"/>
  <c r="F85" i="16"/>
  <c r="B81" i="41" l="1"/>
  <c r="B82" i="41"/>
  <c r="B83" i="41"/>
  <c r="O6" i="48" l="1"/>
  <c r="P6" i="48"/>
  <c r="B85" i="16" l="1"/>
  <c r="B18" i="58" l="1"/>
  <c r="N15" i="44" l="1"/>
  <c r="B19" i="59" l="1"/>
  <c r="B10" i="58"/>
  <c r="B9" i="55"/>
  <c r="H16" i="36"/>
  <c r="E16" i="36"/>
  <c r="K14" i="36"/>
  <c r="D13" i="12"/>
  <c r="C13" i="12"/>
  <c r="H13" i="34"/>
  <c r="E12" i="11"/>
  <c r="D12" i="11"/>
  <c r="H18" i="37"/>
  <c r="H11" i="10"/>
  <c r="H33" i="8"/>
  <c r="H32" i="8"/>
  <c r="H31" i="8"/>
  <c r="G33" i="8"/>
  <c r="G32" i="8"/>
  <c r="G31" i="8"/>
  <c r="F33" i="8"/>
  <c r="F32" i="8"/>
  <c r="F31" i="8"/>
  <c r="E33" i="8"/>
  <c r="E32" i="8"/>
  <c r="E31" i="8"/>
  <c r="D33" i="8"/>
  <c r="D32" i="8"/>
  <c r="D31" i="8"/>
  <c r="C33" i="8"/>
  <c r="C32" i="8"/>
  <c r="C31" i="8"/>
  <c r="B33" i="8"/>
  <c r="B32" i="8"/>
  <c r="B31" i="8"/>
  <c r="H19" i="8"/>
  <c r="H18" i="8"/>
  <c r="H17" i="8"/>
  <c r="G19" i="8"/>
  <c r="G18" i="8"/>
  <c r="G17" i="8"/>
  <c r="F19" i="8"/>
  <c r="F18" i="8"/>
  <c r="F17" i="8"/>
  <c r="E19" i="8"/>
  <c r="E18" i="8"/>
  <c r="E17" i="8"/>
  <c r="D19" i="8"/>
  <c r="D18" i="8"/>
  <c r="D17" i="8"/>
  <c r="C19" i="8"/>
  <c r="C18" i="8"/>
  <c r="C17" i="8"/>
  <c r="L15" i="45"/>
  <c r="L14" i="45"/>
  <c r="L13" i="45"/>
  <c r="H21" i="6"/>
  <c r="H20" i="6"/>
  <c r="H19" i="6"/>
  <c r="K54" i="3"/>
  <c r="K53" i="3"/>
  <c r="K52" i="3"/>
  <c r="K51" i="3"/>
  <c r="F17" i="3"/>
  <c r="D16" i="3"/>
  <c r="C16" i="3"/>
  <c r="D14" i="3"/>
  <c r="C14" i="3"/>
  <c r="D13" i="3"/>
  <c r="C13" i="3"/>
  <c r="F13" i="3" s="1"/>
  <c r="E72" i="2"/>
  <c r="D72" i="2"/>
  <c r="C72" i="2"/>
  <c r="E70" i="2"/>
  <c r="D70" i="2"/>
  <c r="C70" i="2"/>
  <c r="E69" i="2"/>
  <c r="D69" i="2"/>
  <c r="C69" i="2"/>
  <c r="E15" i="2"/>
  <c r="E14" i="2"/>
  <c r="D15" i="2"/>
  <c r="D14" i="2"/>
  <c r="C15" i="2"/>
  <c r="C14" i="2"/>
  <c r="E11" i="2"/>
  <c r="D11" i="2"/>
  <c r="C11" i="2"/>
  <c r="E9" i="2"/>
  <c r="D9" i="2"/>
  <c r="C9" i="2"/>
  <c r="E8" i="2"/>
  <c r="D8" i="2"/>
  <c r="C8" i="2"/>
  <c r="C12" i="2" l="1"/>
  <c r="C20" i="2" s="1"/>
  <c r="C46" i="2"/>
  <c r="C52" i="2"/>
  <c r="C49" i="2"/>
  <c r="F16" i="3"/>
  <c r="F18" i="3" s="1"/>
  <c r="D49" i="2"/>
  <c r="C51" i="2"/>
  <c r="C95" i="5"/>
  <c r="D95" i="5" s="1"/>
  <c r="E95" i="5" s="1"/>
  <c r="L10" i="11" l="1"/>
  <c r="C2" i="16" l="1"/>
  <c r="D2" i="16" s="1"/>
  <c r="E2" i="16" s="1"/>
  <c r="F2" i="16" s="1"/>
  <c r="G2" i="16" s="1"/>
  <c r="H2" i="16" s="1"/>
  <c r="I2" i="16" s="1"/>
  <c r="J2" i="16" s="1"/>
  <c r="K2" i="16" s="1"/>
  <c r="L2" i="16" s="1"/>
  <c r="M2" i="16" s="1"/>
  <c r="N2" i="16" s="1"/>
  <c r="O2" i="16" s="1"/>
  <c r="P2" i="16" s="1"/>
  <c r="Q2" i="16" s="1"/>
  <c r="B2" i="16"/>
  <c r="C83" i="5"/>
  <c r="C112" i="5" l="1"/>
  <c r="C77" i="5"/>
  <c r="D83" i="5"/>
  <c r="D77" i="5" s="1"/>
  <c r="C23" i="5"/>
  <c r="D23" i="5" s="1"/>
  <c r="E23" i="5" s="1"/>
  <c r="B3" i="55"/>
  <c r="B17" i="55"/>
  <c r="B15" i="55"/>
  <c r="B3" i="58" l="1"/>
  <c r="B3" i="59"/>
  <c r="D112" i="5"/>
  <c r="E83" i="5"/>
  <c r="B3" i="57"/>
  <c r="B3" i="56"/>
  <c r="B5" i="54"/>
  <c r="B3" i="54"/>
  <c r="E112" i="5" l="1"/>
  <c r="E77" i="5"/>
  <c r="I31" i="8"/>
  <c r="I17" i="8"/>
  <c r="B78" i="41" l="1"/>
  <c r="B79" i="41"/>
  <c r="B80" i="41"/>
  <c r="B84" i="16"/>
  <c r="F84" i="16"/>
  <c r="B75" i="41" l="1"/>
  <c r="B76" i="41"/>
  <c r="B77" i="41"/>
  <c r="F83" i="16"/>
  <c r="B83" i="16"/>
  <c r="B72" i="41" l="1"/>
  <c r="B73" i="41"/>
  <c r="B74" i="41"/>
  <c r="B82" i="16" l="1"/>
  <c r="F82" i="16"/>
  <c r="BL6" i="48" l="1"/>
  <c r="BL7" i="48"/>
  <c r="BL5" i="48"/>
  <c r="B69" i="41"/>
  <c r="B70" i="41"/>
  <c r="B71" i="41"/>
  <c r="F81" i="16"/>
  <c r="B81" i="16"/>
  <c r="N7" i="44" l="1"/>
  <c r="G7" i="44"/>
  <c r="F9" i="2" l="1"/>
  <c r="B66" i="41" l="1"/>
  <c r="B67" i="41"/>
  <c r="B68" i="41"/>
  <c r="B80" i="16"/>
  <c r="F79" i="16"/>
  <c r="F80" i="16"/>
  <c r="B79" i="16" l="1"/>
  <c r="U17" i="44" l="1"/>
  <c r="B63" i="41" l="1"/>
  <c r="B64" i="41"/>
  <c r="B65" i="41"/>
  <c r="B60" i="41" l="1"/>
  <c r="B61" i="41"/>
  <c r="B62" i="41"/>
  <c r="A11" i="33" l="1"/>
  <c r="F78" i="16"/>
  <c r="B78" i="16"/>
  <c r="A12" i="33" l="1"/>
  <c r="A13" i="33" s="1"/>
  <c r="A14" i="33" s="1"/>
  <c r="A15" i="33" s="1"/>
  <c r="A16" i="33" s="1"/>
  <c r="A17" i="33" s="1"/>
  <c r="A18" i="33" s="1"/>
  <c r="A19" i="33" s="1"/>
  <c r="A20" i="33" s="1"/>
  <c r="A21" i="33" s="1"/>
  <c r="A22" i="33" s="1"/>
  <c r="A23" i="33" s="1"/>
  <c r="A24" i="33" s="1"/>
  <c r="A25" i="33" s="1"/>
  <c r="A26" i="33" s="1"/>
  <c r="A27" i="33" s="1"/>
  <c r="A28" i="33" s="1"/>
  <c r="A29" i="33" s="1"/>
  <c r="A30" i="33" s="1"/>
  <c r="A31" i="33" s="1"/>
  <c r="Q66" i="14"/>
  <c r="D22" i="2" l="1"/>
  <c r="E22" i="2"/>
  <c r="C22" i="2"/>
  <c r="D21" i="2"/>
  <c r="E21" i="2"/>
  <c r="C21" i="2"/>
  <c r="C23" i="2" s="1"/>
  <c r="B57" i="41" l="1"/>
  <c r="B58" i="41"/>
  <c r="B59" i="41"/>
  <c r="F77" i="16" l="1"/>
  <c r="B77" i="16"/>
  <c r="H23" i="6" l="1"/>
  <c r="C43" i="44" l="1"/>
  <c r="C33" i="44"/>
  <c r="Q85" i="14" l="1"/>
  <c r="G83" i="14"/>
  <c r="G71" i="14"/>
  <c r="G64" i="14"/>
  <c r="N17" i="44" l="1"/>
  <c r="G17" i="44"/>
  <c r="U15" i="44" l="1"/>
  <c r="B54" i="41" l="1"/>
  <c r="B55" i="41"/>
  <c r="B56" i="41"/>
  <c r="F76" i="16"/>
  <c r="B76" i="16"/>
  <c r="B51" i="41" l="1"/>
  <c r="B52" i="41"/>
  <c r="B53" i="41"/>
  <c r="F75" i="16"/>
  <c r="B75" i="16"/>
  <c r="B6" i="12" l="1"/>
  <c r="B48" i="41" l="1"/>
  <c r="B49" i="41"/>
  <c r="B50" i="41"/>
  <c r="B74" i="16" l="1"/>
  <c r="F74" i="16"/>
  <c r="BM7" i="48" l="1"/>
  <c r="G15" i="44" l="1"/>
  <c r="B45" i="41" l="1"/>
  <c r="B46" i="41"/>
  <c r="B47" i="41"/>
  <c r="F73" i="16" l="1"/>
  <c r="B73" i="16"/>
  <c r="I91" i="14" l="1"/>
  <c r="Q73" i="14" l="1"/>
  <c r="G52" i="53" l="1"/>
  <c r="G51" i="53"/>
  <c r="G50" i="53"/>
  <c r="G49" i="53"/>
  <c r="G48" i="53"/>
  <c r="G45" i="53"/>
  <c r="G44" i="53"/>
  <c r="G43" i="53"/>
  <c r="G42" i="53"/>
  <c r="A6" i="53"/>
  <c r="K55" i="3" l="1"/>
  <c r="F54" i="3" s="1"/>
  <c r="Q92" i="14" l="1"/>
  <c r="Q53" i="14"/>
  <c r="Q51" i="14"/>
  <c r="Q50" i="14"/>
  <c r="Q59" i="14" s="1"/>
  <c r="Q44" i="14"/>
  <c r="Q42" i="14"/>
  <c r="Q35" i="14"/>
  <c r="Q33" i="14"/>
  <c r="Q32" i="14"/>
  <c r="Q26" i="14"/>
  <c r="Q24" i="14"/>
  <c r="G90" i="14" l="1"/>
  <c r="B42" i="41" l="1"/>
  <c r="B43" i="41"/>
  <c r="B44" i="41"/>
  <c r="F72" i="16" l="1"/>
  <c r="B72" i="16"/>
  <c r="B39" i="41" l="1"/>
  <c r="B40" i="41"/>
  <c r="B41" i="41"/>
  <c r="F71" i="16" l="1"/>
  <c r="B71" i="16"/>
  <c r="C47" i="2" l="1"/>
  <c r="F70" i="16" l="1"/>
  <c r="B70" i="16"/>
  <c r="B36" i="41" l="1"/>
  <c r="B37" i="41"/>
  <c r="B38" i="41"/>
  <c r="A9" i="2" l="1"/>
  <c r="A10" i="2" l="1"/>
  <c r="A11" i="2" s="1"/>
  <c r="A12" i="2" s="1"/>
  <c r="I32" i="8"/>
  <c r="I18" i="8"/>
  <c r="B33" i="41" l="1"/>
  <c r="B34" i="41"/>
  <c r="B35" i="41"/>
  <c r="F69" i="16" l="1"/>
  <c r="B69" i="16"/>
  <c r="B4" i="12" l="1"/>
  <c r="M10" i="6" l="1"/>
  <c r="M11" i="6"/>
  <c r="M9" i="6"/>
  <c r="M13" i="6" l="1"/>
  <c r="M14" i="45"/>
  <c r="M15" i="45"/>
  <c r="M13" i="45"/>
  <c r="BM6" i="48" l="1"/>
  <c r="BM5" i="48"/>
  <c r="B30" i="41" l="1"/>
  <c r="B31" i="41"/>
  <c r="B32" i="41"/>
  <c r="F68" i="16"/>
  <c r="B68" i="16"/>
  <c r="I19" i="8" l="1"/>
  <c r="C11" i="5" l="1"/>
  <c r="B27" i="41" l="1"/>
  <c r="B28" i="41"/>
  <c r="B29" i="41"/>
  <c r="M16" i="7" l="1"/>
  <c r="M17" i="7"/>
  <c r="M15" i="7"/>
  <c r="L16" i="7"/>
  <c r="L17" i="7"/>
  <c r="L15" i="7"/>
  <c r="J17" i="7"/>
  <c r="J15" i="7"/>
  <c r="I16" i="7"/>
  <c r="I17" i="7"/>
  <c r="I15" i="7"/>
  <c r="H16" i="7"/>
  <c r="H17" i="7"/>
  <c r="H15" i="7"/>
  <c r="G16" i="7"/>
  <c r="G17" i="7"/>
  <c r="G15" i="7"/>
  <c r="F16" i="7"/>
  <c r="F17" i="7"/>
  <c r="F15" i="7"/>
  <c r="K14" i="45"/>
  <c r="K15" i="45"/>
  <c r="K13" i="45"/>
  <c r="J14" i="45"/>
  <c r="J15" i="45"/>
  <c r="J13" i="45"/>
  <c r="I14" i="45"/>
  <c r="I15" i="45"/>
  <c r="I13" i="45"/>
  <c r="H14" i="45"/>
  <c r="H15" i="45"/>
  <c r="H13" i="45"/>
  <c r="G14" i="45"/>
  <c r="G15" i="45"/>
  <c r="G13" i="45"/>
  <c r="D14" i="45"/>
  <c r="D15" i="45"/>
  <c r="D13" i="45"/>
  <c r="A14" i="2" l="1"/>
  <c r="A15" i="2" s="1"/>
  <c r="A16" i="2" s="1"/>
  <c r="A20" i="2" s="1"/>
  <c r="A21" i="2" s="1"/>
  <c r="A22" i="2" s="1"/>
  <c r="A23" i="2" s="1"/>
  <c r="A26" i="2" s="1"/>
  <c r="A27" i="2" s="1"/>
  <c r="A29" i="2" s="1"/>
  <c r="A30" i="2" s="1"/>
  <c r="A31" i="2" s="1"/>
  <c r="A33" i="2" s="1"/>
  <c r="A34" i="2" s="1"/>
  <c r="A35" i="2" s="1"/>
  <c r="A36" i="2" s="1"/>
  <c r="A37" i="2" s="1"/>
  <c r="A38" i="2" s="1"/>
  <c r="A40" i="2" s="1"/>
  <c r="A43" i="2" s="1"/>
  <c r="A44" i="2" s="1"/>
  <c r="A45" i="2" s="1"/>
  <c r="A46" i="2" s="1"/>
  <c r="A47" i="2" l="1"/>
  <c r="F67" i="16"/>
  <c r="B67" i="16"/>
  <c r="A48" i="2" l="1"/>
  <c r="A49" i="2" s="1"/>
  <c r="A50" i="2" s="1"/>
  <c r="A51" i="2" s="1"/>
  <c r="A52" i="2" s="1"/>
  <c r="A53" i="2" s="1"/>
  <c r="A54" i="2" s="1"/>
  <c r="A55" i="2" s="1"/>
  <c r="A56" i="2" s="1"/>
  <c r="A58" i="2" s="1"/>
  <c r="A59" i="2" s="1"/>
  <c r="A60" i="2" s="1"/>
  <c r="A61" i="2" s="1"/>
  <c r="A62" i="2" s="1"/>
  <c r="A63" i="2" s="1"/>
  <c r="A65" i="2" s="1"/>
  <c r="A68" i="2" s="1"/>
  <c r="A69" i="2" s="1"/>
  <c r="A70" i="2" s="1"/>
  <c r="A73" i="2" s="1"/>
  <c r="A74" i="2" s="1"/>
  <c r="A77" i="2" s="1"/>
  <c r="A80" i="2" s="1"/>
  <c r="A4" i="6"/>
  <c r="B19" i="12" l="1"/>
  <c r="F66" i="16" l="1"/>
  <c r="B66" i="16"/>
  <c r="A4" i="45" l="1"/>
  <c r="F14" i="3" l="1"/>
  <c r="B23" i="41" l="1"/>
  <c r="B24" i="41"/>
  <c r="B25" i="41"/>
  <c r="B26" i="41"/>
  <c r="F65" i="16" l="1"/>
  <c r="B65" i="16"/>
  <c r="G48" i="14"/>
  <c r="G30" i="14"/>
  <c r="K26" i="14" l="1"/>
  <c r="Q13" i="44" l="1"/>
  <c r="U13" i="44" s="1"/>
  <c r="J13" i="44"/>
  <c r="N13" i="44" s="1"/>
  <c r="C13" i="44"/>
  <c r="G13" i="44" s="1"/>
  <c r="Q11" i="44"/>
  <c r="U11" i="44" s="1"/>
  <c r="J11" i="44"/>
  <c r="C11" i="44"/>
  <c r="G11" i="44" s="1"/>
  <c r="Q9" i="44"/>
  <c r="U9" i="44" s="1"/>
  <c r="J9" i="44"/>
  <c r="N9" i="44" s="1"/>
  <c r="G9" i="44"/>
  <c r="J5" i="44"/>
  <c r="C5" i="44" s="1"/>
  <c r="B33" i="44" s="1"/>
  <c r="B37" i="44" s="1"/>
  <c r="U21" i="44" l="1"/>
  <c r="U27" i="44" s="1"/>
  <c r="C45" i="44" s="1"/>
  <c r="G21" i="44"/>
  <c r="G27" i="44" s="1"/>
  <c r="Q5" i="44"/>
  <c r="B32" i="44"/>
  <c r="B38" i="44" s="1"/>
  <c r="C37" i="44" l="1"/>
  <c r="B18" i="41"/>
  <c r="B19" i="41"/>
  <c r="B20" i="41"/>
  <c r="B21" i="41"/>
  <c r="B22" i="41"/>
  <c r="F64" i="16" l="1"/>
  <c r="B64" i="16"/>
  <c r="B17" i="41" l="1"/>
  <c r="B16" i="41" l="1"/>
  <c r="B15" i="41"/>
  <c r="F63" i="16" l="1"/>
  <c r="B63" i="16"/>
  <c r="B14" i="41" l="1"/>
  <c r="E13" i="12" l="1"/>
  <c r="B13" i="41" l="1"/>
  <c r="F62" i="16"/>
  <c r="B62" i="16"/>
  <c r="D11" i="41" l="1"/>
  <c r="C11" i="41"/>
  <c r="B12" i="41"/>
  <c r="B11" i="41" l="1"/>
  <c r="D10" i="41"/>
  <c r="B10" i="41" s="1"/>
  <c r="D9" i="41"/>
  <c r="C9" i="41"/>
  <c r="B9" i="41" l="1"/>
  <c r="F61" i="16"/>
  <c r="B61" i="16"/>
  <c r="D8" i="41" l="1"/>
  <c r="C8" i="41"/>
  <c r="D7" i="41"/>
  <c r="C7" i="41"/>
  <c r="D6" i="41"/>
  <c r="C6" i="41"/>
  <c r="F60" i="16"/>
  <c r="B60" i="16"/>
  <c r="B6" i="41" l="1"/>
  <c r="B7" i="41"/>
  <c r="B8" i="41"/>
  <c r="B6" i="39" l="1"/>
  <c r="B3" i="36"/>
  <c r="B4" i="34"/>
  <c r="B4" i="11"/>
  <c r="B8" i="37"/>
  <c r="B3" i="10"/>
  <c r="B3" i="9"/>
  <c r="B3" i="8"/>
  <c r="B4" i="7"/>
  <c r="A5" i="4"/>
  <c r="F59" i="16" l="1"/>
  <c r="B59" i="16"/>
  <c r="C33" i="2" l="1"/>
  <c r="C58" i="2" s="1"/>
  <c r="I33" i="8" l="1"/>
  <c r="D12" i="2" l="1"/>
  <c r="D16" i="2" s="1"/>
  <c r="E12" i="2"/>
  <c r="E16" i="2" s="1"/>
  <c r="I35" i="8"/>
  <c r="E20" i="2" l="1"/>
  <c r="D20" i="2"/>
  <c r="C16" i="2"/>
  <c r="I21" i="8"/>
  <c r="F12" i="2"/>
  <c r="F58" i="16" l="1"/>
  <c r="B58" i="16"/>
  <c r="F11" i="2" l="1"/>
  <c r="F8" i="2"/>
  <c r="E15" i="4" l="1"/>
  <c r="F57" i="16" l="1"/>
  <c r="B57" i="16"/>
  <c r="F56" i="16"/>
  <c r="B56" i="16"/>
  <c r="E47" i="2" l="1"/>
  <c r="E49" i="2"/>
  <c r="D47" i="2"/>
  <c r="B28" i="40"/>
  <c r="B3" i="39" l="1"/>
  <c r="B78" i="2" l="1"/>
  <c r="A6" i="15" l="1"/>
  <c r="A5" i="14"/>
  <c r="A99" i="14" s="1"/>
  <c r="O24" i="14"/>
  <c r="H18" i="36" l="1"/>
  <c r="H19" i="36"/>
  <c r="H20" i="36"/>
  <c r="H21" i="36"/>
  <c r="H22" i="36"/>
  <c r="H23" i="36"/>
  <c r="H24" i="36"/>
  <c r="H25" i="36"/>
  <c r="H26" i="36"/>
  <c r="H27" i="36"/>
  <c r="H28" i="36"/>
  <c r="H17" i="36"/>
  <c r="E19" i="36"/>
  <c r="E23" i="36"/>
  <c r="E27" i="36"/>
  <c r="E18" i="36"/>
  <c r="E17" i="36" l="1"/>
  <c r="E25" i="36"/>
  <c r="E21" i="36"/>
  <c r="E28" i="36"/>
  <c r="E24" i="36"/>
  <c r="E20" i="36"/>
  <c r="E26" i="36"/>
  <c r="E22" i="36"/>
  <c r="B16" i="36" l="1"/>
  <c r="B12" i="11"/>
  <c r="G16" i="36" l="1"/>
  <c r="I16" i="36" s="1"/>
  <c r="B6" i="36"/>
  <c r="D16" i="36"/>
  <c r="B17" i="36"/>
  <c r="C6" i="5"/>
  <c r="C8" i="5" s="1"/>
  <c r="B15" i="34" s="1"/>
  <c r="D15" i="34" l="1"/>
  <c r="E15" i="34"/>
  <c r="G17" i="36"/>
  <c r="I17" i="36" s="1"/>
  <c r="D17" i="36"/>
  <c r="F17" i="36" s="1"/>
  <c r="B18" i="36"/>
  <c r="F16" i="36"/>
  <c r="G18" i="36" l="1"/>
  <c r="I18" i="36" s="1"/>
  <c r="D18" i="36"/>
  <c r="B19" i="36"/>
  <c r="D19" i="36" l="1"/>
  <c r="F19" i="36" s="1"/>
  <c r="G19" i="36"/>
  <c r="I19" i="36" s="1"/>
  <c r="F18" i="36"/>
  <c r="B20" i="36"/>
  <c r="G20" i="36" l="1"/>
  <c r="I20" i="36" s="1"/>
  <c r="D20" i="36"/>
  <c r="F20" i="36" s="1"/>
  <c r="B21" i="36"/>
  <c r="G21" i="36" l="1"/>
  <c r="I21" i="36" s="1"/>
  <c r="D21" i="36"/>
  <c r="B22" i="36"/>
  <c r="G22" i="36" l="1"/>
  <c r="I22" i="36" s="1"/>
  <c r="D22" i="36"/>
  <c r="F22" i="36" s="1"/>
  <c r="F21" i="36"/>
  <c r="B23" i="36"/>
  <c r="G23" i="36" l="1"/>
  <c r="I23" i="36" s="1"/>
  <c r="D23" i="36"/>
  <c r="F23" i="36" s="1"/>
  <c r="B24" i="36"/>
  <c r="G24" i="36" l="1"/>
  <c r="I24" i="36" s="1"/>
  <c r="D24" i="36"/>
  <c r="F24" i="36" s="1"/>
  <c r="B25" i="36"/>
  <c r="G25" i="36" l="1"/>
  <c r="I25" i="36" s="1"/>
  <c r="D25" i="36"/>
  <c r="F25" i="36" s="1"/>
  <c r="B26" i="36"/>
  <c r="G26" i="36" l="1"/>
  <c r="I26" i="36" s="1"/>
  <c r="D26" i="36"/>
  <c r="F26" i="36" s="1"/>
  <c r="B27" i="36"/>
  <c r="G27" i="36" l="1"/>
  <c r="I27" i="36" s="1"/>
  <c r="D27" i="36"/>
  <c r="F27" i="36" s="1"/>
  <c r="B28" i="36"/>
  <c r="D28" i="36" s="1"/>
  <c r="I28" i="36" l="1"/>
  <c r="D29" i="36"/>
  <c r="B15" i="1"/>
  <c r="C7" i="5"/>
  <c r="F55" i="16"/>
  <c r="B55" i="16"/>
  <c r="B54" i="16"/>
  <c r="B53" i="16"/>
  <c r="B52" i="16"/>
  <c r="F54" i="16"/>
  <c r="F53" i="16"/>
  <c r="F52" i="16"/>
  <c r="F51" i="16"/>
  <c r="F50" i="16"/>
  <c r="F49" i="16"/>
  <c r="F48" i="16"/>
  <c r="F47" i="16"/>
  <c r="F46" i="16"/>
  <c r="F45" i="16"/>
  <c r="F44" i="16"/>
  <c r="F43" i="16"/>
  <c r="F42" i="16"/>
  <c r="F41" i="16"/>
  <c r="F40" i="16"/>
  <c r="F39" i="16"/>
  <c r="F38" i="16"/>
  <c r="F37" i="16"/>
  <c r="F36" i="16"/>
  <c r="F35" i="16"/>
  <c r="F34" i="16"/>
  <c r="F33" i="16"/>
  <c r="F32" i="16"/>
  <c r="F31" i="16"/>
  <c r="F30" i="16"/>
  <c r="F29" i="16"/>
  <c r="F28" i="16"/>
  <c r="F27" i="16"/>
  <c r="F26" i="16"/>
  <c r="F25" i="16"/>
  <c r="F24" i="16"/>
  <c r="F23" i="16"/>
  <c r="F22" i="16"/>
  <c r="F21" i="16"/>
  <c r="F20" i="16"/>
  <c r="F19" i="16"/>
  <c r="F18" i="16"/>
  <c r="F17" i="16"/>
  <c r="F16" i="16"/>
  <c r="F15" i="16"/>
  <c r="F14" i="16"/>
  <c r="A6" i="16"/>
  <c r="B5" i="16"/>
  <c r="F28" i="36" l="1"/>
  <c r="F29" i="36" s="1"/>
  <c r="G29" i="36"/>
  <c r="A5" i="48"/>
  <c r="A6" i="48" s="1"/>
  <c r="A7" i="48" s="1"/>
  <c r="A5" i="47"/>
  <c r="A6" i="47" s="1"/>
  <c r="A7" i="47" s="1"/>
  <c r="B20" i="37"/>
  <c r="B13" i="45"/>
  <c r="B14" i="45" s="1"/>
  <c r="B15" i="45" s="1"/>
  <c r="B6" i="16"/>
  <c r="A7" i="16"/>
  <c r="E20" i="37" l="1"/>
  <c r="D20" i="37"/>
  <c r="B7" i="16"/>
  <c r="A8" i="16"/>
  <c r="A9" i="16" l="1"/>
  <c r="B8" i="16"/>
  <c r="B9" i="16" l="1"/>
  <c r="A10" i="16"/>
  <c r="B10" i="16" l="1"/>
  <c r="A11" i="16"/>
  <c r="B11" i="16" l="1"/>
  <c r="A12" i="16"/>
  <c r="A13" i="16" l="1"/>
  <c r="B12" i="16"/>
  <c r="B13" i="16" l="1"/>
  <c r="A14" i="16"/>
  <c r="A15" i="16" l="1"/>
  <c r="B14" i="16"/>
  <c r="B15" i="16" l="1"/>
  <c r="A16" i="16"/>
  <c r="B16" i="16" l="1"/>
  <c r="A17" i="16"/>
  <c r="A18" i="16" l="1"/>
  <c r="B17" i="16"/>
  <c r="A19" i="16" l="1"/>
  <c r="B18" i="16"/>
  <c r="A20" i="16" l="1"/>
  <c r="B19" i="16"/>
  <c r="B20" i="16" l="1"/>
  <c r="A21" i="16"/>
  <c r="B21" i="16" l="1"/>
  <c r="A22" i="16"/>
  <c r="A23" i="16" l="1"/>
  <c r="B22" i="16"/>
  <c r="B23" i="16" l="1"/>
  <c r="A24" i="16"/>
  <c r="B24" i="16" l="1"/>
  <c r="A25" i="16"/>
  <c r="A26" i="16" l="1"/>
  <c r="B25" i="16"/>
  <c r="A27" i="16" l="1"/>
  <c r="B26" i="16"/>
  <c r="A28" i="16" l="1"/>
  <c r="B27" i="16"/>
  <c r="B28" i="16" l="1"/>
  <c r="A29" i="16"/>
  <c r="A30" i="16" l="1"/>
  <c r="B29" i="16"/>
  <c r="A31" i="16" l="1"/>
  <c r="B30" i="16"/>
  <c r="A32" i="16" l="1"/>
  <c r="B31" i="16"/>
  <c r="B32" i="16" l="1"/>
  <c r="A33" i="16"/>
  <c r="B33" i="16" l="1"/>
  <c r="A34" i="16"/>
  <c r="A35" i="16" l="1"/>
  <c r="B34" i="16"/>
  <c r="A36" i="16" l="1"/>
  <c r="B35" i="16"/>
  <c r="B36" i="16" l="1"/>
  <c r="A37" i="16"/>
  <c r="B37" i="16" l="1"/>
  <c r="A38" i="16"/>
  <c r="A39" i="16" l="1"/>
  <c r="B38" i="16"/>
  <c r="B39" i="16" l="1"/>
  <c r="A40" i="16"/>
  <c r="B40" i="16" l="1"/>
  <c r="A41" i="16"/>
  <c r="A42" i="16" l="1"/>
  <c r="B41" i="16"/>
  <c r="A43" i="16" l="1"/>
  <c r="B42" i="16"/>
  <c r="A44" i="16" l="1"/>
  <c r="B43" i="16"/>
  <c r="B44" i="16" l="1"/>
  <c r="A45" i="16"/>
  <c r="B45" i="16" l="1"/>
  <c r="A46" i="16"/>
  <c r="A47" i="16" l="1"/>
  <c r="B46" i="16"/>
  <c r="B47" i="16" l="1"/>
  <c r="A48" i="16"/>
  <c r="B48" i="16" l="1"/>
  <c r="A49" i="16"/>
  <c r="B49" i="16" l="1"/>
  <c r="A50" i="16"/>
  <c r="A51" i="16" l="1"/>
  <c r="B51" i="16" s="1"/>
  <c r="B50" i="16"/>
  <c r="C12" i="11" l="1"/>
  <c r="D197" i="5"/>
  <c r="B7" i="34"/>
  <c r="B13" i="37"/>
  <c r="B13" i="11"/>
  <c r="F15" i="34" l="1"/>
  <c r="F25" i="34" s="1"/>
  <c r="D161" i="5"/>
  <c r="C13" i="11"/>
  <c r="D145" i="5"/>
  <c r="F20" i="37"/>
  <c r="B14" i="11"/>
  <c r="A4" i="2"/>
  <c r="C6" i="2"/>
  <c r="F14" i="2"/>
  <c r="F15" i="2"/>
  <c r="B107" i="54" l="1"/>
  <c r="B118" i="54" s="1"/>
  <c r="G15" i="34"/>
  <c r="F23" i="34"/>
  <c r="F18" i="34"/>
  <c r="F27" i="34"/>
  <c r="F20" i="34"/>
  <c r="F26" i="34"/>
  <c r="F21" i="34"/>
  <c r="F16" i="34"/>
  <c r="F22" i="34"/>
  <c r="F17" i="34"/>
  <c r="F24" i="34"/>
  <c r="F19" i="34"/>
  <c r="G20" i="37"/>
  <c r="F21" i="37"/>
  <c r="F23" i="37"/>
  <c r="F22" i="37"/>
  <c r="C14" i="11"/>
  <c r="D13" i="11"/>
  <c r="E13" i="11"/>
  <c r="D23" i="2"/>
  <c r="D6" i="2"/>
  <c r="E23" i="2"/>
  <c r="F16" i="2"/>
  <c r="B15" i="11"/>
  <c r="B140" i="54" l="1"/>
  <c r="B129" i="54"/>
  <c r="B108" i="54"/>
  <c r="B119" i="54" s="1"/>
  <c r="C15" i="11"/>
  <c r="D14" i="11"/>
  <c r="E14" i="11"/>
  <c r="E6" i="2"/>
  <c r="B109" i="54" s="1"/>
  <c r="B120" i="54" s="1"/>
  <c r="B141" i="54" l="1"/>
  <c r="B130" i="54"/>
  <c r="B142" i="54"/>
  <c r="B131" i="54"/>
  <c r="D15" i="11"/>
  <c r="E15" i="11"/>
  <c r="A3" i="3"/>
  <c r="B52" i="1"/>
  <c r="A6" i="1"/>
  <c r="B21" i="37" l="1"/>
  <c r="D21" i="37" s="1"/>
  <c r="B22" i="37" l="1"/>
  <c r="D22" i="37" s="1"/>
  <c r="E21" i="37"/>
  <c r="G21" i="37" s="1"/>
  <c r="B23" i="37" l="1"/>
  <c r="E22" i="37"/>
  <c r="G22" i="37" s="1"/>
  <c r="I29" i="36"/>
  <c r="J17" i="36"/>
  <c r="J27" i="36"/>
  <c r="J28" i="36"/>
  <c r="J24" i="36"/>
  <c r="J20" i="36"/>
  <c r="J23" i="36"/>
  <c r="J19" i="36"/>
  <c r="J25" i="36"/>
  <c r="J21" i="36"/>
  <c r="J26" i="36"/>
  <c r="J22" i="36"/>
  <c r="J18" i="36"/>
  <c r="J16" i="36"/>
  <c r="E23" i="37" l="1"/>
  <c r="G23" i="37" s="1"/>
  <c r="D23" i="37"/>
  <c r="K16" i="36"/>
  <c r="K17" i="36" s="1"/>
  <c r="K18" i="36" s="1"/>
  <c r="K19" i="36" s="1"/>
  <c r="K20" i="36" s="1"/>
  <c r="K21" i="36" s="1"/>
  <c r="K22" i="36" s="1"/>
  <c r="K23" i="36" s="1"/>
  <c r="K24" i="36" s="1"/>
  <c r="K25" i="36" s="1"/>
  <c r="K26" i="36" s="1"/>
  <c r="K27" i="36" s="1"/>
  <c r="K28" i="36" s="1"/>
  <c r="J29" i="36"/>
  <c r="H15" i="34"/>
  <c r="B16" i="34"/>
  <c r="D16" i="34" l="1"/>
  <c r="E16" i="34"/>
  <c r="J31" i="36"/>
  <c r="D12" i="9" s="1"/>
  <c r="B17" i="34"/>
  <c r="B13" i="10"/>
  <c r="B12" i="4"/>
  <c r="C12" i="4" s="1"/>
  <c r="B9" i="59" s="1"/>
  <c r="B17" i="8"/>
  <c r="D17" i="34" l="1"/>
  <c r="E17" i="34"/>
  <c r="F13" i="10"/>
  <c r="D13" i="10"/>
  <c r="D139" i="5"/>
  <c r="C5" i="10"/>
  <c r="E13" i="10"/>
  <c r="G16" i="34"/>
  <c r="H16" i="34" s="1"/>
  <c r="B14" i="10"/>
  <c r="D14" i="10" s="1"/>
  <c r="B13" i="4"/>
  <c r="B14" i="4" s="1"/>
  <c r="B15" i="4" s="1"/>
  <c r="C13" i="45"/>
  <c r="E13" i="45" s="1"/>
  <c r="F13" i="45" s="1"/>
  <c r="L11" i="11"/>
  <c r="B18" i="34"/>
  <c r="B18" i="8"/>
  <c r="B15" i="7"/>
  <c r="D18" i="34" l="1"/>
  <c r="E18" i="34"/>
  <c r="F16" i="10"/>
  <c r="F20" i="10"/>
  <c r="F24" i="10"/>
  <c r="F15" i="10"/>
  <c r="F23" i="10"/>
  <c r="F17" i="10"/>
  <c r="F21" i="10"/>
  <c r="F25" i="10"/>
  <c r="F18" i="10"/>
  <c r="F22" i="10"/>
  <c r="F14" i="10"/>
  <c r="F19" i="10"/>
  <c r="N13" i="45"/>
  <c r="E15" i="45"/>
  <c r="F15" i="45" s="1"/>
  <c r="N15" i="45" s="1"/>
  <c r="D21" i="6" s="1"/>
  <c r="E14" i="45"/>
  <c r="F14" i="45" s="1"/>
  <c r="N14" i="45" s="1"/>
  <c r="D20" i="6" s="1"/>
  <c r="G13" i="10"/>
  <c r="H13" i="10" s="1"/>
  <c r="C15" i="45"/>
  <c r="C14" i="45"/>
  <c r="G17" i="34"/>
  <c r="H17" i="34" s="1"/>
  <c r="B15" i="10"/>
  <c r="D15" i="10" s="1"/>
  <c r="E14" i="10"/>
  <c r="F9" i="6"/>
  <c r="L9" i="6" s="1"/>
  <c r="D15" i="7"/>
  <c r="E15" i="7" s="1"/>
  <c r="L12" i="11"/>
  <c r="B19" i="34"/>
  <c r="B19" i="8"/>
  <c r="D19" i="34" l="1"/>
  <c r="E19" i="34"/>
  <c r="L11" i="6"/>
  <c r="L10" i="6"/>
  <c r="L12" i="6"/>
  <c r="K15" i="7"/>
  <c r="N15" i="7" s="1"/>
  <c r="E16" i="7"/>
  <c r="E17" i="7"/>
  <c r="K17" i="7" s="1"/>
  <c r="N17" i="7" s="1"/>
  <c r="N17" i="45"/>
  <c r="D19" i="6"/>
  <c r="D23" i="6" s="1"/>
  <c r="G14" i="10"/>
  <c r="H14" i="10" s="1"/>
  <c r="F10" i="6"/>
  <c r="G18" i="34"/>
  <c r="H18" i="34" s="1"/>
  <c r="B16" i="10"/>
  <c r="D16" i="10" s="1"/>
  <c r="E15" i="10"/>
  <c r="F12" i="6"/>
  <c r="F11" i="6"/>
  <c r="D17" i="7"/>
  <c r="D16" i="7"/>
  <c r="L13" i="11"/>
  <c r="B20" i="34"/>
  <c r="E20" i="34" l="1"/>
  <c r="D20" i="34"/>
  <c r="K16" i="7"/>
  <c r="N16" i="7" s="1"/>
  <c r="N19" i="7" s="1"/>
  <c r="F19" i="6"/>
  <c r="G15" i="10"/>
  <c r="H15" i="10" s="1"/>
  <c r="G19" i="34"/>
  <c r="H19" i="34" s="1"/>
  <c r="B17" i="10"/>
  <c r="D17" i="10" s="1"/>
  <c r="E16" i="10"/>
  <c r="L14" i="11"/>
  <c r="B21" i="34"/>
  <c r="D21" i="34" l="1"/>
  <c r="E21" i="34"/>
  <c r="G16" i="10"/>
  <c r="H16" i="10" s="1"/>
  <c r="G20" i="34"/>
  <c r="H20" i="34" s="1"/>
  <c r="B18" i="10"/>
  <c r="D18" i="10" s="1"/>
  <c r="E17" i="10"/>
  <c r="L15" i="11"/>
  <c r="B22" i="34"/>
  <c r="D22" i="34" l="1"/>
  <c r="E22" i="34"/>
  <c r="G17" i="10"/>
  <c r="H17" i="10" s="1"/>
  <c r="G21" i="34"/>
  <c r="H21" i="34" s="1"/>
  <c r="B19" i="10"/>
  <c r="D19" i="10" s="1"/>
  <c r="E18" i="10"/>
  <c r="L16" i="11"/>
  <c r="B23" i="34"/>
  <c r="B9" i="6"/>
  <c r="E23" i="34" l="1"/>
  <c r="D23" i="34"/>
  <c r="B19" i="6"/>
  <c r="H9" i="6"/>
  <c r="J9" i="6"/>
  <c r="N9" i="6" s="1"/>
  <c r="J19" i="6" s="1"/>
  <c r="G18" i="10"/>
  <c r="H18" i="10" s="1"/>
  <c r="G22" i="34"/>
  <c r="H22" i="34" s="1"/>
  <c r="B20" i="10"/>
  <c r="D20" i="10" s="1"/>
  <c r="E19" i="10"/>
  <c r="L17" i="11"/>
  <c r="B24" i="34"/>
  <c r="B10" i="6"/>
  <c r="H10" i="6" s="1"/>
  <c r="D24" i="34" l="1"/>
  <c r="E24" i="34"/>
  <c r="J10" i="6"/>
  <c r="N10" i="6" s="1"/>
  <c r="B20" i="6"/>
  <c r="G19" i="10"/>
  <c r="H19" i="10" s="1"/>
  <c r="G23" i="34"/>
  <c r="H23" i="34" s="1"/>
  <c r="B21" i="10"/>
  <c r="D21" i="10" s="1"/>
  <c r="E20" i="10"/>
  <c r="L18" i="11"/>
  <c r="B25" i="34"/>
  <c r="B11" i="6"/>
  <c r="H11" i="6" s="1"/>
  <c r="I11" i="4"/>
  <c r="E25" i="34" l="1"/>
  <c r="D25" i="34"/>
  <c r="I12" i="4"/>
  <c r="J11" i="6"/>
  <c r="N11" i="6" s="1"/>
  <c r="B21" i="6"/>
  <c r="G20" i="10"/>
  <c r="H20" i="10" s="1"/>
  <c r="G24" i="34"/>
  <c r="H24" i="34" s="1"/>
  <c r="B22" i="10"/>
  <c r="D22" i="10" s="1"/>
  <c r="E21" i="10"/>
  <c r="H20" i="37"/>
  <c r="L19" i="11"/>
  <c r="B26" i="34"/>
  <c r="B12" i="6"/>
  <c r="D26" i="34" l="1"/>
  <c r="E26" i="34"/>
  <c r="B22" i="6"/>
  <c r="J12" i="6"/>
  <c r="J13" i="6" s="1"/>
  <c r="H12" i="6"/>
  <c r="I13" i="4"/>
  <c r="G21" i="10"/>
  <c r="H21" i="10" s="1"/>
  <c r="B27" i="34"/>
  <c r="D27" i="34" s="1"/>
  <c r="G25" i="34"/>
  <c r="H25" i="34" s="1"/>
  <c r="B23" i="10"/>
  <c r="D23" i="10" s="1"/>
  <c r="E22" i="10"/>
  <c r="H21" i="37"/>
  <c r="L20" i="11"/>
  <c r="E27" i="34" l="1"/>
  <c r="I14" i="4"/>
  <c r="G22" i="10"/>
  <c r="H22" i="10" s="1"/>
  <c r="N12" i="6"/>
  <c r="N13" i="6" s="1"/>
  <c r="G26" i="34"/>
  <c r="H26" i="34" s="1"/>
  <c r="B24" i="10"/>
  <c r="D24" i="10" s="1"/>
  <c r="E23" i="10"/>
  <c r="G25" i="37"/>
  <c r="H22" i="37"/>
  <c r="L21" i="11"/>
  <c r="I15" i="4" l="1"/>
  <c r="J22" i="6"/>
  <c r="D15" i="4" s="1"/>
  <c r="F15" i="4" s="1"/>
  <c r="G23" i="10"/>
  <c r="H23" i="10" s="1"/>
  <c r="G27" i="34"/>
  <c r="G29" i="34" s="1"/>
  <c r="B25" i="10"/>
  <c r="E24" i="10"/>
  <c r="H23" i="37"/>
  <c r="G27" i="37" s="1"/>
  <c r="D25" i="10" l="1"/>
  <c r="E25" i="10"/>
  <c r="I16" i="4"/>
  <c r="D10" i="9"/>
  <c r="G24" i="10"/>
  <c r="H24" i="10" s="1"/>
  <c r="H27" i="34"/>
  <c r="G31" i="34" l="1"/>
  <c r="D11" i="9" s="1"/>
  <c r="I17" i="4"/>
  <c r="G25" i="10"/>
  <c r="G27" i="10" s="1"/>
  <c r="I18" i="4" l="1"/>
  <c r="H25" i="10"/>
  <c r="G29" i="10" s="1"/>
  <c r="I19" i="4" l="1"/>
  <c r="D9" i="9"/>
  <c r="D13" i="9" l="1"/>
  <c r="E12" i="58" s="1"/>
  <c r="B151" i="5" s="1"/>
  <c r="B14" i="58" s="1"/>
  <c r="I20" i="4"/>
  <c r="I21" i="4" l="1"/>
  <c r="I22" i="4" l="1"/>
  <c r="F12" i="11" l="1"/>
  <c r="F13" i="11"/>
  <c r="F14" i="11"/>
  <c r="F15" i="11"/>
  <c r="I15" i="3"/>
  <c r="I16" i="3" l="1"/>
  <c r="I17" i="3" l="1"/>
  <c r="I18" i="3" l="1"/>
  <c r="I19" i="3" l="1"/>
  <c r="I20" i="3" l="1"/>
  <c r="I21" i="3" l="1"/>
  <c r="I22" i="3" l="1"/>
  <c r="A32" i="33"/>
  <c r="I23" i="3" l="1"/>
  <c r="A33" i="33"/>
  <c r="I24" i="3" l="1"/>
  <c r="A34" i="33"/>
  <c r="I25" i="3" l="1"/>
  <c r="A35" i="33"/>
  <c r="I26" i="3" l="1"/>
  <c r="A36" i="33"/>
  <c r="A37" i="33" l="1"/>
  <c r="A38" i="33" l="1"/>
  <c r="A39" i="33" l="1"/>
  <c r="F22" i="1"/>
  <c r="G22" i="1" l="1"/>
  <c r="G25" i="59" s="1"/>
  <c r="E25" i="59"/>
  <c r="A40" i="33"/>
  <c r="F23" i="1"/>
  <c r="B16" i="7"/>
  <c r="B17" i="7" s="1"/>
  <c r="G23" i="1" l="1"/>
  <c r="G27" i="59" s="1"/>
  <c r="E27" i="59"/>
  <c r="A41" i="33"/>
  <c r="F24" i="1"/>
  <c r="J23" i="1" l="1"/>
  <c r="K23" i="1"/>
  <c r="I27" i="59" s="1"/>
  <c r="G24" i="1"/>
  <c r="G29" i="59" s="1"/>
  <c r="E29" i="59"/>
  <c r="A42" i="33"/>
  <c r="F25" i="1"/>
  <c r="G25" i="1" l="1"/>
  <c r="G31" i="59" s="1"/>
  <c r="E31" i="59"/>
  <c r="J24" i="1"/>
  <c r="K24" i="1"/>
  <c r="I29" i="59" s="1"/>
  <c r="A43" i="33"/>
  <c r="E14" i="4"/>
  <c r="E13" i="4"/>
  <c r="E12" i="4"/>
  <c r="E16" i="4" l="1"/>
  <c r="J25" i="1"/>
  <c r="K25" i="1"/>
  <c r="I31" i="59" s="1"/>
  <c r="A44" i="33"/>
  <c r="K92" i="14"/>
  <c r="K50" i="14"/>
  <c r="K42" i="14"/>
  <c r="K32" i="14"/>
  <c r="K35" i="14"/>
  <c r="C15" i="39" l="1"/>
  <c r="D15" i="55" s="1"/>
  <c r="K51" i="14"/>
  <c r="K53" i="14"/>
  <c r="A45" i="33"/>
  <c r="F38" i="1"/>
  <c r="G44" i="15"/>
  <c r="G45" i="15"/>
  <c r="G46" i="15"/>
  <c r="G47" i="15"/>
  <c r="G50" i="15"/>
  <c r="G51" i="15"/>
  <c r="G52" i="15"/>
  <c r="G53" i="15"/>
  <c r="G54" i="15"/>
  <c r="O26" i="14"/>
  <c r="O32" i="14"/>
  <c r="O33" i="14"/>
  <c r="O35" i="14"/>
  <c r="O41" i="14" s="1"/>
  <c r="A98" i="14"/>
  <c r="A8" i="1"/>
  <c r="O44" i="14" l="1"/>
  <c r="O53" i="14" s="1"/>
  <c r="O50" i="14"/>
  <c r="O59" i="14" s="1"/>
  <c r="O42" i="14"/>
  <c r="O51" i="14" s="1"/>
  <c r="A46" i="33"/>
  <c r="F39" i="1"/>
  <c r="O73" i="14" l="1"/>
  <c r="O66" i="14"/>
  <c r="A47" i="33"/>
  <c r="A48" i="33" s="1"/>
  <c r="F26" i="3"/>
  <c r="F53" i="3"/>
  <c r="F55" i="3" s="1"/>
  <c r="F40" i="1"/>
  <c r="A49" i="33" l="1"/>
  <c r="A50" i="33" s="1"/>
  <c r="F41" i="1"/>
  <c r="A51" i="33" l="1"/>
  <c r="A52" i="33" s="1"/>
  <c r="A53" i="33" s="1"/>
  <c r="A54" i="33" s="1"/>
  <c r="A55" i="33" s="1"/>
  <c r="A56" i="33" s="1"/>
  <c r="A57" i="33" s="1"/>
  <c r="A58" i="33" s="1"/>
  <c r="A59" i="33" s="1"/>
  <c r="A60" i="33" s="1"/>
  <c r="A61" i="33" s="1"/>
  <c r="A62" i="33" s="1"/>
  <c r="A63" i="33" s="1"/>
  <c r="G31" i="15"/>
  <c r="G33" i="15" s="1"/>
  <c r="G29" i="53"/>
  <c r="G31" i="53" s="1"/>
  <c r="A64" i="33" l="1"/>
  <c r="A65" i="33" l="1"/>
  <c r="A66" i="33" s="1"/>
  <c r="A67" i="33" s="1"/>
  <c r="A68" i="33" s="1"/>
  <c r="A69" i="33" s="1"/>
  <c r="A70" i="33" s="1"/>
  <c r="A71" i="33" s="1"/>
  <c r="A72" i="33" s="1"/>
  <c r="A73" i="33" s="1"/>
  <c r="A74" i="33" s="1"/>
  <c r="A75" i="33" s="1"/>
  <c r="A76" i="33" l="1"/>
  <c r="A77" i="33" l="1"/>
  <c r="A78" i="33" l="1"/>
  <c r="A79" i="33" l="1"/>
  <c r="A80" i="33" l="1"/>
  <c r="C13" i="4"/>
  <c r="C14" i="4" s="1"/>
  <c r="A81" i="33" l="1"/>
  <c r="C25" i="10"/>
  <c r="A82" i="33" l="1"/>
  <c r="F21" i="6"/>
  <c r="J21" i="6" s="1"/>
  <c r="F20" i="6"/>
  <c r="F23" i="6" l="1"/>
  <c r="J20" i="6"/>
  <c r="J23" i="6" s="1"/>
  <c r="D14" i="4"/>
  <c r="A83" i="33"/>
  <c r="D13" i="4" l="1"/>
  <c r="F13" i="4" s="1"/>
  <c r="A84" i="33"/>
  <c r="D12" i="4"/>
  <c r="F14" i="4"/>
  <c r="D16" i="4" l="1"/>
  <c r="A85" i="33"/>
  <c r="F12" i="4"/>
  <c r="F16" i="4" s="1"/>
  <c r="D18" i="4" s="1"/>
  <c r="A86" i="33" l="1"/>
  <c r="A87" i="33" l="1"/>
  <c r="D11" i="59"/>
  <c r="B73" i="5" s="1"/>
  <c r="B13" i="59" s="1"/>
  <c r="A88" i="33" l="1"/>
  <c r="A89" i="33" l="1"/>
  <c r="A90" i="33" l="1"/>
  <c r="D51" i="2"/>
  <c r="D52" i="2"/>
  <c r="D46" i="2"/>
  <c r="A91" i="33" l="1"/>
  <c r="A92" i="33" l="1"/>
  <c r="A93" i="33" l="1"/>
  <c r="A94" i="33" l="1"/>
  <c r="A95" i="33" l="1"/>
  <c r="A96" i="33" l="1"/>
  <c r="A97" i="33" l="1"/>
  <c r="E52" i="2"/>
  <c r="F52" i="2" s="1"/>
  <c r="E51" i="2"/>
  <c r="F51" i="2" s="1"/>
  <c r="E46" i="2"/>
  <c r="A98" i="33" l="1"/>
  <c r="A99" i="33" l="1"/>
  <c r="A100" i="33" s="1"/>
  <c r="A101" i="33" l="1"/>
  <c r="A102" i="33" l="1"/>
  <c r="A103" i="33" s="1"/>
  <c r="A104" i="33" s="1"/>
  <c r="A105" i="33" s="1"/>
  <c r="A106" i="33" s="1"/>
  <c r="A107" i="33" s="1"/>
  <c r="A108" i="33" s="1"/>
  <c r="A109" i="33" s="1"/>
  <c r="N10" i="11" s="1"/>
  <c r="A110" i="33"/>
  <c r="A111" i="33" s="1"/>
  <c r="A112" i="33" s="1"/>
  <c r="A113" i="33" s="1"/>
  <c r="A114" i="33" s="1"/>
  <c r="A115" i="33" s="1"/>
  <c r="A116" i="33" s="1"/>
  <c r="A117" i="33" s="1"/>
  <c r="A118" i="33" s="1"/>
  <c r="A119" i="33" s="1"/>
  <c r="A120" i="33" s="1"/>
  <c r="A121" i="33" s="1"/>
  <c r="A122" i="33" s="1"/>
  <c r="A123" i="33" s="1"/>
  <c r="A124" i="33" s="1"/>
  <c r="N12" i="11"/>
  <c r="N11" i="11"/>
  <c r="P23" i="3" l="1"/>
  <c r="N20" i="3"/>
  <c r="N21" i="3"/>
  <c r="N17" i="4"/>
  <c r="P22" i="3"/>
  <c r="N18" i="4"/>
  <c r="P19" i="4"/>
  <c r="N19" i="4"/>
  <c r="N22" i="3"/>
  <c r="N23" i="3"/>
  <c r="N16" i="4"/>
  <c r="P18" i="4"/>
  <c r="P17" i="4"/>
  <c r="A125" i="33"/>
  <c r="P14" i="4"/>
  <c r="P15" i="3"/>
  <c r="P11" i="4"/>
  <c r="N11" i="4"/>
  <c r="N15" i="3"/>
  <c r="P16" i="3"/>
  <c r="N18" i="3"/>
  <c r="N12" i="4"/>
  <c r="P13" i="4"/>
  <c r="N16" i="3"/>
  <c r="P17" i="3"/>
  <c r="P12" i="4"/>
  <c r="N17" i="3"/>
  <c r="G15" i="11"/>
  <c r="H15" i="11" s="1"/>
  <c r="G14" i="11"/>
  <c r="H14" i="11" s="1"/>
  <c r="N13" i="4"/>
  <c r="N14" i="4"/>
  <c r="G13" i="11"/>
  <c r="H13" i="11" s="1"/>
  <c r="P20" i="3"/>
  <c r="P18" i="3"/>
  <c r="N19" i="3"/>
  <c r="N15" i="4"/>
  <c r="P15" i="4"/>
  <c r="P19" i="3"/>
  <c r="P16" i="4"/>
  <c r="P21" i="3"/>
  <c r="P24" i="3"/>
  <c r="N20" i="4"/>
  <c r="P22" i="4"/>
  <c r="P26" i="3"/>
  <c r="N24" i="3"/>
  <c r="P21" i="4"/>
  <c r="N22" i="4"/>
  <c r="N26" i="3"/>
  <c r="P20" i="4"/>
  <c r="N25" i="3"/>
  <c r="P25" i="3"/>
  <c r="N21" i="4"/>
  <c r="K15" i="4" l="1"/>
  <c r="Q15" i="4" s="1"/>
  <c r="O11" i="11"/>
  <c r="O13" i="11"/>
  <c r="M15" i="11"/>
  <c r="O15" i="11"/>
  <c r="M13" i="11"/>
  <c r="M10" i="11"/>
  <c r="K19" i="4"/>
  <c r="Q19" i="4" s="1"/>
  <c r="K12" i="4"/>
  <c r="Q12" i="4" s="1"/>
  <c r="M14" i="11"/>
  <c r="J14" i="4"/>
  <c r="M17" i="11"/>
  <c r="J11" i="4"/>
  <c r="J15" i="4"/>
  <c r="K13" i="4"/>
  <c r="Q13" i="4" s="1"/>
  <c r="K11" i="4"/>
  <c r="Q11" i="4" s="1"/>
  <c r="O16" i="11"/>
  <c r="O18" i="11"/>
  <c r="J12" i="4"/>
  <c r="O14" i="11"/>
  <c r="O12" i="11"/>
  <c r="K16" i="4"/>
  <c r="Q16" i="4" s="1"/>
  <c r="M11" i="11"/>
  <c r="J13" i="4"/>
  <c r="K14" i="4"/>
  <c r="Q14" i="4" s="1"/>
  <c r="O10" i="11"/>
  <c r="M16" i="11"/>
  <c r="O17" i="11"/>
  <c r="J18" i="4"/>
  <c r="J16" i="4"/>
  <c r="J17" i="4"/>
  <c r="K17" i="4"/>
  <c r="Q17" i="4" s="1"/>
  <c r="M12" i="11"/>
  <c r="K18" i="4"/>
  <c r="Q18" i="4" s="1"/>
  <c r="M18" i="11"/>
  <c r="J19" i="4"/>
  <c r="I15" i="11"/>
  <c r="K41" i="1" s="1"/>
  <c r="J41" i="1"/>
  <c r="P28" i="3"/>
  <c r="N23" i="4"/>
  <c r="P23" i="4"/>
  <c r="I13" i="11"/>
  <c r="K39" i="1" s="1"/>
  <c r="J39" i="1"/>
  <c r="I14" i="11"/>
  <c r="K40" i="1" s="1"/>
  <c r="J40" i="1"/>
  <c r="A126" i="33"/>
  <c r="A127" i="33" s="1"/>
  <c r="A128" i="33" s="1"/>
  <c r="A129" i="33" s="1"/>
  <c r="A130" i="33" s="1"/>
  <c r="A131" i="33" s="1"/>
  <c r="A132" i="33" s="1"/>
  <c r="O20" i="11"/>
  <c r="J21" i="4"/>
  <c r="K20" i="4"/>
  <c r="Q20" i="4" s="1"/>
  <c r="O19" i="11"/>
  <c r="J20" i="4"/>
  <c r="K22" i="4"/>
  <c r="Q22" i="4" s="1"/>
  <c r="M21" i="11"/>
  <c r="M19" i="11"/>
  <c r="O21" i="11"/>
  <c r="J22" i="4"/>
  <c r="K21" i="4"/>
  <c r="Q21" i="4" s="1"/>
  <c r="M20" i="11"/>
  <c r="N13" i="11" l="1"/>
  <c r="N14" i="11"/>
  <c r="N15" i="11"/>
  <c r="P13" i="11"/>
  <c r="L15" i="4"/>
  <c r="L12" i="4"/>
  <c r="L11" i="4"/>
  <c r="P15" i="11"/>
  <c r="O11" i="4"/>
  <c r="L13" i="4"/>
  <c r="L16" i="4"/>
  <c r="O16" i="4"/>
  <c r="O18" i="4"/>
  <c r="L18" i="4"/>
  <c r="O19" i="4"/>
  <c r="L19" i="4"/>
  <c r="L14" i="4"/>
  <c r="O14" i="4"/>
  <c r="P14" i="11"/>
  <c r="P12" i="11"/>
  <c r="A133" i="33"/>
  <c r="A134" i="33" s="1"/>
  <c r="A135" i="33" s="1"/>
  <c r="A136" i="33" s="1"/>
  <c r="A137" i="33" s="1"/>
  <c r="A138" i="33" s="1"/>
  <c r="A139" i="33" s="1"/>
  <c r="N18" i="11"/>
  <c r="P18" i="11" s="1"/>
  <c r="N17" i="11"/>
  <c r="P17" i="11" s="1"/>
  <c r="N21" i="11"/>
  <c r="N16" i="11"/>
  <c r="P16" i="11" s="1"/>
  <c r="N19" i="11"/>
  <c r="P19" i="11" s="1"/>
  <c r="N20" i="11"/>
  <c r="P20" i="11" s="1"/>
  <c r="O12" i="4"/>
  <c r="O17" i="4"/>
  <c r="L17" i="4"/>
  <c r="P11" i="11"/>
  <c r="P10" i="11"/>
  <c r="O13" i="4"/>
  <c r="O15" i="4"/>
  <c r="L21" i="4"/>
  <c r="C30" i="2"/>
  <c r="C34" i="2" s="1"/>
  <c r="D30" i="2"/>
  <c r="D34" i="2" s="1"/>
  <c r="D37" i="2"/>
  <c r="D36" i="2"/>
  <c r="C36" i="2"/>
  <c r="D26" i="2"/>
  <c r="C26" i="2"/>
  <c r="C27" i="2" s="1"/>
  <c r="C37" i="2"/>
  <c r="D29" i="2"/>
  <c r="C29" i="2"/>
  <c r="C31" i="2" s="1"/>
  <c r="K16" i="3"/>
  <c r="Q16" i="3" s="1"/>
  <c r="J15" i="3"/>
  <c r="K17" i="3"/>
  <c r="Q17" i="3" s="1"/>
  <c r="J17" i="3"/>
  <c r="J18" i="3"/>
  <c r="J16" i="3"/>
  <c r="K15" i="3"/>
  <c r="Q15" i="3" s="1"/>
  <c r="K19" i="3"/>
  <c r="Q19" i="3" s="1"/>
  <c r="K18" i="3"/>
  <c r="Q18" i="3" s="1"/>
  <c r="K20" i="3"/>
  <c r="Q20" i="3" s="1"/>
  <c r="J19" i="3"/>
  <c r="J20" i="3"/>
  <c r="J21" i="3"/>
  <c r="J22" i="3"/>
  <c r="K22" i="3"/>
  <c r="Q22" i="3" s="1"/>
  <c r="K24" i="3"/>
  <c r="Q24" i="3" s="1"/>
  <c r="J24" i="3"/>
  <c r="K21" i="3"/>
  <c r="Q21" i="3" s="1"/>
  <c r="K23" i="3"/>
  <c r="Q23" i="3" s="1"/>
  <c r="J23" i="3"/>
  <c r="J25" i="3"/>
  <c r="J26" i="3"/>
  <c r="K26" i="3"/>
  <c r="Q26" i="3" s="1"/>
  <c r="K25" i="3"/>
  <c r="Q25" i="3" s="1"/>
  <c r="L22" i="4"/>
  <c r="O22" i="4"/>
  <c r="P21" i="11"/>
  <c r="O21" i="4"/>
  <c r="L20" i="4"/>
  <c r="O20" i="4"/>
  <c r="N25" i="4"/>
  <c r="C40" i="2" l="1"/>
  <c r="E37" i="2"/>
  <c r="F37" i="2" s="1"/>
  <c r="E29" i="2"/>
  <c r="E26" i="2"/>
  <c r="E27" i="2" s="1"/>
  <c r="E30" i="2"/>
  <c r="E34" i="2" s="1"/>
  <c r="E36" i="2"/>
  <c r="F36" i="2" s="1"/>
  <c r="P23" i="11"/>
  <c r="G12" i="11" s="1"/>
  <c r="H12" i="11" s="1"/>
  <c r="J38" i="1" s="1"/>
  <c r="J42" i="1" s="1"/>
  <c r="J57" i="1" s="1"/>
  <c r="L24" i="3"/>
  <c r="O24" i="3"/>
  <c r="L15" i="3"/>
  <c r="O15" i="3"/>
  <c r="D31" i="2"/>
  <c r="D40" i="2" s="1"/>
  <c r="C35" i="2"/>
  <c r="C38" i="2" s="1"/>
  <c r="D33" i="2" s="1"/>
  <c r="D35" i="2" s="1"/>
  <c r="D38" i="2" s="1"/>
  <c r="E33" i="2" s="1"/>
  <c r="L25" i="4"/>
  <c r="D22" i="4" s="1"/>
  <c r="D24" i="4" s="1"/>
  <c r="L26" i="3"/>
  <c r="O26" i="3"/>
  <c r="L22" i="3"/>
  <c r="O22" i="3"/>
  <c r="O16" i="3"/>
  <c r="L16" i="3"/>
  <c r="L25" i="3"/>
  <c r="O25" i="3"/>
  <c r="L21" i="3"/>
  <c r="O21" i="3"/>
  <c r="L18" i="3"/>
  <c r="O18" i="3"/>
  <c r="L23" i="3"/>
  <c r="O23" i="3"/>
  <c r="L20" i="3"/>
  <c r="O20" i="3"/>
  <c r="O17" i="3"/>
  <c r="L17" i="3"/>
  <c r="D27" i="2"/>
  <c r="O19" i="3"/>
  <c r="L19" i="3"/>
  <c r="E35" i="2" l="1"/>
  <c r="E38" i="2" s="1"/>
  <c r="E31" i="2"/>
  <c r="E40" i="2" s="1"/>
  <c r="F40" i="2" s="1"/>
  <c r="L28" i="3"/>
  <c r="I12" i="11"/>
  <c r="K38" i="1" s="1"/>
  <c r="K42" i="1" s="1"/>
  <c r="K57" i="1" s="1"/>
  <c r="H17" i="11"/>
  <c r="F40" i="3" s="1"/>
  <c r="O25" i="4"/>
  <c r="D17" i="12"/>
  <c r="D21" i="12" s="1"/>
  <c r="C17" i="12"/>
  <c r="C21" i="12" s="1"/>
  <c r="J22" i="1"/>
  <c r="J26" i="1" s="1"/>
  <c r="C209" i="5" s="1"/>
  <c r="D25" i="4"/>
  <c r="F31" i="2" l="1"/>
  <c r="F27" i="3"/>
  <c r="F28" i="3" s="1"/>
  <c r="Q28" i="3"/>
  <c r="J55" i="1"/>
  <c r="E15" i="59"/>
  <c r="K22" i="1"/>
  <c r="C23" i="12"/>
  <c r="J48" i="1"/>
  <c r="E21" i="12"/>
  <c r="D23" i="12"/>
  <c r="F41" i="3"/>
  <c r="F77" i="2" l="1"/>
  <c r="C17" i="39"/>
  <c r="D17" i="55" s="1"/>
  <c r="E12" i="56"/>
  <c r="E23" i="12"/>
  <c r="K48" i="1"/>
  <c r="K58" i="1" s="1"/>
  <c r="I25" i="59"/>
  <c r="I33" i="59" s="1"/>
  <c r="K26" i="1"/>
  <c r="K55" i="1" s="1"/>
  <c r="E15" i="39"/>
  <c r="J15" i="55" s="1"/>
  <c r="E209" i="5"/>
  <c r="J58" i="1"/>
  <c r="H13" i="56"/>
  <c r="H14" i="56" s="1"/>
  <c r="E13" i="56"/>
  <c r="C68" i="2"/>
  <c r="F39" i="3"/>
  <c r="F42" i="3" s="1"/>
  <c r="M115" i="14" s="1"/>
  <c r="I15" i="1" l="1"/>
  <c r="D15" i="9"/>
  <c r="D17" i="9" s="1"/>
  <c r="J32" i="1" s="1"/>
  <c r="D208" i="5" s="1"/>
  <c r="C43" i="2"/>
  <c r="C44" i="2"/>
  <c r="E17" i="39"/>
  <c r="J17" i="55" s="1"/>
  <c r="E14" i="56"/>
  <c r="B8" i="56" s="1"/>
  <c r="M123" i="14"/>
  <c r="M118" i="14"/>
  <c r="M132" i="14"/>
  <c r="M124" i="14"/>
  <c r="M116" i="14"/>
  <c r="M126" i="14"/>
  <c r="M129" i="14"/>
  <c r="E68" i="2"/>
  <c r="D68" i="2"/>
  <c r="D19" i="9" l="1"/>
  <c r="K32" i="1" s="1"/>
  <c r="K56" i="1" s="1"/>
  <c r="J56" i="1"/>
  <c r="D209" i="5"/>
  <c r="C45" i="2"/>
  <c r="C50" i="2" s="1"/>
  <c r="C53" i="2" s="1"/>
  <c r="C73" i="2" s="1"/>
  <c r="D15" i="39"/>
  <c r="G15" i="55" s="1"/>
  <c r="E44" i="2"/>
  <c r="E43" i="2"/>
  <c r="D44" i="2"/>
  <c r="D43" i="2"/>
  <c r="E16" i="58" l="1"/>
  <c r="D17" i="39"/>
  <c r="G17" i="55" s="1"/>
  <c r="F15" i="39"/>
  <c r="M15" i="55" s="1"/>
  <c r="E45" i="2"/>
  <c r="D45" i="2"/>
  <c r="F17" i="39" l="1"/>
  <c r="M17" i="55" s="1"/>
  <c r="D50" i="2"/>
  <c r="E50" i="2"/>
  <c r="E53" i="2" s="1"/>
  <c r="E73" i="2" s="1"/>
  <c r="F50" i="2" l="1"/>
  <c r="E54" i="2"/>
  <c r="E55" i="2"/>
  <c r="E59" i="2" s="1"/>
  <c r="D53" i="2"/>
  <c r="C54" i="2"/>
  <c r="C55" i="2"/>
  <c r="C59" i="2" s="1"/>
  <c r="C60" i="2" s="1"/>
  <c r="C74" i="2" s="1"/>
  <c r="C61" i="2" s="1"/>
  <c r="C56" i="2" l="1"/>
  <c r="E56" i="2"/>
  <c r="D73" i="2"/>
  <c r="F53" i="2"/>
  <c r="D55" i="2" l="1"/>
  <c r="D54" i="2"/>
  <c r="C62" i="2"/>
  <c r="C63" i="2" l="1"/>
  <c r="D58" i="2" s="1"/>
  <c r="D56" i="2"/>
  <c r="F56" i="2" s="1"/>
  <c r="F54" i="2"/>
  <c r="D59" i="2"/>
  <c r="F55" i="2"/>
  <c r="C65" i="2"/>
  <c r="D60" i="2" l="1"/>
  <c r="D74" i="2" s="1"/>
  <c r="D61" i="2" s="1"/>
  <c r="D62" i="2" l="1"/>
  <c r="D65" i="2" s="1"/>
  <c r="D63" i="2" l="1"/>
  <c r="E58" i="2" s="1"/>
  <c r="E60" i="2" s="1"/>
  <c r="E74" i="2" s="1"/>
  <c r="E61" i="2" l="1"/>
  <c r="F61" i="2" s="1"/>
  <c r="E62" i="2"/>
  <c r="F62" i="2" s="1"/>
  <c r="F65" i="2" l="1"/>
  <c r="E65" i="2"/>
  <c r="E63" i="2"/>
  <c r="F80" i="2" l="1"/>
  <c r="I14" i="1"/>
  <c r="K16" i="1" l="1"/>
  <c r="K54" i="1" s="1"/>
  <c r="J16" i="1"/>
  <c r="J54" i="1" s="1"/>
  <c r="J59" i="1" s="1"/>
  <c r="K59" i="1" l="1"/>
  <c r="M17" i="14" s="1"/>
  <c r="S17" i="14" s="1"/>
  <c r="L11" i="44" l="1"/>
  <c r="C41" i="44" s="1"/>
  <c r="C42" i="44" s="1"/>
  <c r="M59" i="14"/>
  <c r="M51" i="14"/>
  <c r="S51" i="14" s="1"/>
  <c r="M35" i="14"/>
  <c r="S35" i="14" s="1"/>
  <c r="M42" i="14"/>
  <c r="S42" i="14" s="1"/>
  <c r="M85" i="14"/>
  <c r="S85" i="14" s="1"/>
  <c r="M92" i="14"/>
  <c r="S92" i="14" s="1"/>
  <c r="M53" i="14"/>
  <c r="S53" i="14" s="1"/>
  <c r="M23" i="14"/>
  <c r="S23" i="14" s="1"/>
  <c r="M32" i="14"/>
  <c r="S32" i="14" s="1"/>
  <c r="M33" i="14"/>
  <c r="S33" i="14" s="1"/>
  <c r="M24" i="14"/>
  <c r="S24" i="14" s="1"/>
  <c r="M44" i="14"/>
  <c r="S44" i="14" s="1"/>
  <c r="M50" i="14"/>
  <c r="M41" i="14"/>
  <c r="S41" i="14" s="1"/>
  <c r="M26" i="14"/>
  <c r="S26" i="14" s="1"/>
  <c r="N11" i="44" l="1"/>
  <c r="N21" i="44" s="1"/>
  <c r="N27" i="44" s="1"/>
  <c r="C32" i="44"/>
  <c r="C35" i="44" s="1"/>
  <c r="M66" i="14"/>
  <c r="M73" i="14"/>
  <c r="S50" i="14"/>
  <c r="S59" i="14"/>
  <c r="C36" i="44" l="1"/>
  <c r="N31" i="44"/>
  <c r="N29" i="44"/>
  <c r="C38" i="44"/>
  <c r="C39" i="44" s="1"/>
  <c r="U29" i="44"/>
  <c r="C44" i="44"/>
  <c r="C46" i="44" s="1"/>
  <c r="S73" i="14"/>
  <c r="S66"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tc={31E617CC-C756-44B2-B339-B9501339B6FF}</author>
    <author>tc={ED825CE3-E161-4E3F-9615-70D9E671AE17}</author>
    <author>Knoy, Jason</author>
  </authors>
  <commentList>
    <comment ref="A7" authorId="0" shapeId="0" xr:uid="{31E617CC-C756-44B2-B339-B9501339B6FF}">
      <text>
        <t>[Threaded comment]
Your version of Excel allows you to read this threaded comment; however, any edits to it will get removed if the file is opened in a newer version of Excel. Learn more: https://go.microsoft.com/fwlink/?linkid=870924
Comment:
    GAS PURCHASES AND END-USER TRANSPORTATION THROUGHPUT</t>
      </text>
    </comment>
    <comment ref="D7" authorId="1" shapeId="0" xr:uid="{ED825CE3-E161-4E3F-9615-70D9E671AE17}">
      <text>
        <t>[Threaded comment]
Your version of Excel allows you to read this threaded comment; however, any edits to it will get removed if the file is opened in a newer version of Excel. Learn more: https://go.microsoft.com/fwlink/?linkid=870924
Comment:
    BP GAS SUPPLY COMPOSITION FORECAST (MCF)</t>
      </text>
    </comment>
    <comment ref="A8" authorId="2" shapeId="0" xr:uid="{00000000-0006-0000-0500-000001000000}">
      <text>
        <r>
          <rPr>
            <sz val="9"/>
            <color indexed="81"/>
            <rFont val="Tahoma"/>
            <family val="2"/>
          </rPr>
          <t>Generally provided July-August timeframe and incorporated into November filing.</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tc={8412885B-621C-454B-80D0-F26960296EFC}</author>
  </authors>
  <commentList>
    <comment ref="E92" authorId="0" shapeId="0" xr:uid="{8412885B-621C-454B-80D0-F26960296EFC}">
      <text>
        <t>[Threaded comment]
Your version of Excel allows you to read this threaded comment; however, any edits to it will get removed if the file is opened in a newer version of Excel. Learn more: https://go.microsoft.com/fwlink/?linkid=870924
Comment:
    One Month Delay on Numbers (i.e. May numbers will be available in June)</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Knoy, Jason</author>
    <author>McGee, Dawn</author>
  </authors>
  <commentList>
    <comment ref="K14" authorId="0" shapeId="0" xr:uid="{00000000-0006-0000-1B00-000001000000}">
      <text>
        <r>
          <rPr>
            <sz val="9"/>
            <color indexed="81"/>
            <rFont val="Tahoma"/>
            <family val="2"/>
          </rPr>
          <t>Comes from case for first month schedule E-1 1 of 2</t>
        </r>
      </text>
    </comment>
    <comment ref="E16" authorId="1" shapeId="0" xr:uid="{00000000-0006-0000-1B00-000002000000}">
      <text>
        <r>
          <rPr>
            <sz val="9"/>
            <color indexed="81"/>
            <rFont val="Tahoma"/>
            <family val="2"/>
          </rPr>
          <t>Combined Demand and Commodity Factor from expired PBR factor.  Refer to case identified in cell B6, Exhibit E-1 1 of 2.</t>
        </r>
      </text>
    </comment>
    <comment ref="H16" authorId="1" shapeId="0" xr:uid="{00000000-0006-0000-1B00-000003000000}">
      <text>
        <r>
          <rPr>
            <sz val="9"/>
            <color indexed="81"/>
            <rFont val="Tahoma"/>
            <family val="2"/>
          </rPr>
          <t>Demand factor only</t>
        </r>
      </text>
    </comment>
  </commentList>
</comments>
</file>

<file path=xl/sharedStrings.xml><?xml version="1.0" encoding="utf-8"?>
<sst xmlns="http://schemas.openxmlformats.org/spreadsheetml/2006/main" count="1568" uniqueCount="844">
  <si>
    <t>Case Number</t>
  </si>
  <si>
    <t>(Case No. 2008-00430)</t>
  </si>
  <si>
    <t>(Case No. 2009-00140)</t>
  </si>
  <si>
    <t>(Case No. 2008-00564)</t>
  </si>
  <si>
    <t xml:space="preserve">          ALL CCF</t>
  </si>
  <si>
    <t>LOUISVILLE GAS AND ELECTRIC COMPANY</t>
  </si>
  <si>
    <t>Derivation of Gas Supply Component Applicable to</t>
  </si>
  <si>
    <t>Gas Supply Cost - See Exhibit A for Detail</t>
  </si>
  <si>
    <t>Unit</t>
  </si>
  <si>
    <t>Total Expected Gas Supply Cost</t>
  </si>
  <si>
    <t>$</t>
  </si>
  <si>
    <t>Mcf</t>
  </si>
  <si>
    <t>$/Mcf</t>
  </si>
  <si>
    <t>Gas Cost Actual Adjustment  (GCAA) - See Exhibit B for Detail</t>
  </si>
  <si>
    <t>Current Quarter Actual Adjustment</t>
  </si>
  <si>
    <t>Previous Quarter Actual Adjustment</t>
  </si>
  <si>
    <t>2nd Previous Qrt. Actual Adjustment</t>
  </si>
  <si>
    <t>3rd Previous Qrt. Actual Adjustment</t>
  </si>
  <si>
    <t xml:space="preserve">   Total Gas Cost Actual Adjustment  (GCAA)</t>
  </si>
  <si>
    <t>Gas Cost Balance Adjustment (GCBA) - See Exhibit C for Detail</t>
  </si>
  <si>
    <t>Refund Factors  (RF) - See Exhibit D for Detail</t>
  </si>
  <si>
    <t xml:space="preserve">   Total Refund Factors Per 100 Cubic Feet</t>
  </si>
  <si>
    <t>Performance-Based Rate Recovery Component  (PBRRC) - See Exhibit E for Detail</t>
  </si>
  <si>
    <t>Gas Supply Cost</t>
  </si>
  <si>
    <t>Gas Cost Actual Adjustment  (GCAA)</t>
  </si>
  <si>
    <t>Gas Cost Balance Adjustment  (GCBA)</t>
  </si>
  <si>
    <t>Refund Factors  (RF)</t>
  </si>
  <si>
    <t>Perfomance-Based Rate Recovery Component (PBRRC)</t>
  </si>
  <si>
    <t xml:space="preserve">   Total Gas Supply Cost Component  (GSCC)</t>
  </si>
  <si>
    <t>LOUISVILLE  GAS  AND  ELECTRIC  COMPANY</t>
  </si>
  <si>
    <t>Total</t>
  </si>
  <si>
    <t>MMBtu</t>
  </si>
  <si>
    <t>Total MMBtu Purchased</t>
  </si>
  <si>
    <t xml:space="preserve">    Plus:  Withdrawals from Texas Gas' NNS Storage Service</t>
  </si>
  <si>
    <t xml:space="preserve">    Less:  Injections into Texas Gas' NNS Storage Service</t>
  </si>
  <si>
    <t>Expected Monthly Deliveries from TGT/TGPL to LG&amp;E</t>
  </si>
  <si>
    <t xml:space="preserve"> Mcf </t>
  </si>
  <si>
    <t>Total Purchases in Mcf</t>
  </si>
  <si>
    <t>(Case No. 2007-00559)</t>
  </si>
  <si>
    <t xml:space="preserve">     Plus:  Withdrawals from Texas Gas' NNS Storage Service</t>
  </si>
  <si>
    <t xml:space="preserve">     Less:  Injections Texas Gas' NNS Storage Service</t>
  </si>
  <si>
    <t xml:space="preserve">    Less:  Purchases for Depts. Other Than Gas Dept.</t>
  </si>
  <si>
    <t xml:space="preserve">    Less:  Purchases Injected into LG&amp;E's Underground Storage</t>
  </si>
  <si>
    <t>LG&amp;E's Storage Inventory - Beginning of Month</t>
  </si>
  <si>
    <t>LG&amp;E's Storage Inventory - Including Injections</t>
  </si>
  <si>
    <t xml:space="preserve">    Less:  Storage Withdrawals from LG&amp;E's Underground Storage</t>
  </si>
  <si>
    <t xml:space="preserve">    Less:  Storage Losses</t>
  </si>
  <si>
    <t>LG&amp;E's Storage Inventory - End of Month</t>
  </si>
  <si>
    <t xml:space="preserve"> Cost </t>
  </si>
  <si>
    <t>Total Purchased Gas Cost</t>
  </si>
  <si>
    <t>Total Cost of Gas Delivered to LG&amp;E</t>
  </si>
  <si>
    <t>Pipeline Deliveries Expensed During Month</t>
  </si>
  <si>
    <t xml:space="preserve">Unit Cost </t>
  </si>
  <si>
    <t>12-Month Average Demand Cost - per Mcf  (see Page 2)</t>
  </si>
  <si>
    <t xml:space="preserve">Gas Supply Cost </t>
  </si>
  <si>
    <t>Total Expected Mcf Deliveries (Sales) to Customers</t>
  </si>
  <si>
    <t xml:space="preserve"> Mcf</t>
  </si>
  <si>
    <t>/ Mcf</t>
  </si>
  <si>
    <t>Long-Term Firm Contracts with Suppliers  (Annualized)</t>
  </si>
  <si>
    <t>Pipeline Supplier's Demand Component Applicable to Billings</t>
  </si>
  <si>
    <t>(1)</t>
  </si>
  <si>
    <t>(2)</t>
  </si>
  <si>
    <t>(3)</t>
  </si>
  <si>
    <t>(4)</t>
  </si>
  <si>
    <t>(5)</t>
  </si>
  <si>
    <t>(6)</t>
  </si>
  <si>
    <t>(7)</t>
  </si>
  <si>
    <t>Gas Supply</t>
  </si>
  <si>
    <t>Monthly $'s</t>
  </si>
  <si>
    <t>UCDI</t>
  </si>
  <si>
    <t>Recovered</t>
  </si>
  <si>
    <t>(Case No. 2008-00246)</t>
  </si>
  <si>
    <t>Case</t>
  </si>
  <si>
    <t>Demand</t>
  </si>
  <si>
    <t>Cash-Out</t>
  </si>
  <si>
    <t>MMBTU</t>
  </si>
  <si>
    <t>UCDI $</t>
  </si>
  <si>
    <t>OFO $</t>
  </si>
  <si>
    <t>Month</t>
  </si>
  <si>
    <t>Number</t>
  </si>
  <si>
    <t>Chrg / Mcf</t>
  </si>
  <si>
    <t>Sales (Mcf)</t>
  </si>
  <si>
    <t>Sales ($)</t>
  </si>
  <si>
    <t>Adjust. (Mcf)</t>
  </si>
  <si>
    <t>Adjust. ($)</t>
  </si>
  <si>
    <t>2000-080-A</t>
  </si>
  <si>
    <t xml:space="preserve">Note:   Should a Customer served under Rate FT under-nominate its monthly gas supply needs, a Cash-Out Sale is made to the Customer.  </t>
  </si>
  <si>
    <t>This sale, which is based upon the cash-out price established in Rate FT, is also flowed through the GCAA as revenue.</t>
  </si>
  <si>
    <t>Note:   Changes in billings of the Cash-out Provision caused by variations in the MMBTU content of the gas are corrected on the following month's bill.</t>
  </si>
  <si>
    <t>Should such change occur as a charge to the customer, such revenue is flowed through the GCAA.</t>
  </si>
  <si>
    <t>MCF</t>
  </si>
  <si>
    <t>DOLLARS</t>
  </si>
  <si>
    <t>Less:</t>
  </si>
  <si>
    <t>Plus:</t>
  </si>
  <si>
    <t>Purchases</t>
  </si>
  <si>
    <t>Cost of Gas</t>
  </si>
  <si>
    <t>for Depts.</t>
  </si>
  <si>
    <t>Injected</t>
  </si>
  <si>
    <t>Withdrawn</t>
  </si>
  <si>
    <t>Purchased</t>
  </si>
  <si>
    <t>other Than</t>
  </si>
  <si>
    <t>Into</t>
  </si>
  <si>
    <t>From</t>
  </si>
  <si>
    <t>Storage</t>
  </si>
  <si>
    <t>Sendout</t>
  </si>
  <si>
    <t>Gas Costs</t>
  </si>
  <si>
    <t>for Non-Gas</t>
  </si>
  <si>
    <t>for OSS</t>
  </si>
  <si>
    <t>Gas Dept.</t>
  </si>
  <si>
    <t>Losses</t>
  </si>
  <si>
    <t>Cost</t>
  </si>
  <si>
    <t>(8)</t>
  </si>
  <si>
    <t>(9)</t>
  </si>
  <si>
    <t>(10)</t>
  </si>
  <si>
    <t>PBRRC</t>
  </si>
  <si>
    <t>See Exhibit C-1, page 2.</t>
  </si>
  <si>
    <t>Case No.</t>
  </si>
  <si>
    <t>Calculation of Refund Factor</t>
  </si>
  <si>
    <t>Commodity</t>
  </si>
  <si>
    <t>Expected Mcf Sales for the</t>
  </si>
  <si>
    <t>12 month period beginning</t>
  </si>
  <si>
    <t>PBRRC factor per Mcf</t>
  </si>
  <si>
    <t>PBRRC factor per Ccf</t>
  </si>
  <si>
    <t>Shareholder Portion of PBR Savings</t>
  </si>
  <si>
    <t>Split between Demand (Fixed) and Commodity (Volumetric) Components</t>
  </si>
  <si>
    <t>Company Share of</t>
  </si>
  <si>
    <t>(CSPBR)</t>
  </si>
  <si>
    <t>Case Reference</t>
  </si>
  <si>
    <t>RATE PER 100 CUBIC FEET</t>
  </si>
  <si>
    <t>DISTRIBUTION</t>
  </si>
  <si>
    <t>GAS SUPPLY</t>
  </si>
  <si>
    <t>DSM COST</t>
  </si>
  <si>
    <t>CHARGE</t>
  </si>
  <si>
    <t>COST</t>
  </si>
  <si>
    <t>COST COMPONENT</t>
  </si>
  <si>
    <t>RECOVERY</t>
  </si>
  <si>
    <t>(PER MONTH)</t>
  </si>
  <si>
    <t xml:space="preserve"> COMPONENT</t>
  </si>
  <si>
    <t>(GSCC)</t>
  </si>
  <si>
    <t>COMPONENT</t>
  </si>
  <si>
    <t>TOTAL</t>
  </si>
  <si>
    <t>ALL CCF</t>
  </si>
  <si>
    <t>RATE CGS - COMMERCIAL</t>
  </si>
  <si>
    <t>(meter capacity&lt; 5000 CF/HR)</t>
  </si>
  <si>
    <t xml:space="preserve">   APRIL THRU OCTOBER</t>
  </si>
  <si>
    <t>FIRST 1000 CCF/MONTH</t>
  </si>
  <si>
    <t>OVER 1000 CCF/MONTH</t>
  </si>
  <si>
    <t xml:space="preserve">   NOVEMBER THRU MARCH</t>
  </si>
  <si>
    <t>(meter capacity&gt;= 5000 CF/HR)</t>
  </si>
  <si>
    <t>RATE IGS - INDUSTRIAL</t>
  </si>
  <si>
    <t>(meter capacity &lt; 5000 CF/HR)</t>
  </si>
  <si>
    <t>(meter capacity &gt;= 5000 CF/HR)</t>
  </si>
  <si>
    <t>Rate AAGS</t>
  </si>
  <si>
    <t>RATE PER MCF</t>
  </si>
  <si>
    <t>PIPELINE</t>
  </si>
  <si>
    <t>ADMIN.</t>
  </si>
  <si>
    <t>SUPPLIER'S</t>
  </si>
  <si>
    <t>DEMAND</t>
  </si>
  <si>
    <t>FIRST 100 MCF/MONTH</t>
  </si>
  <si>
    <t>OVER 100 MCF/MONTH</t>
  </si>
  <si>
    <t>ALL MCF</t>
  </si>
  <si>
    <t>L G &amp; E</t>
  </si>
  <si>
    <t>Transportation Service:</t>
  </si>
  <si>
    <t xml:space="preserve">  Monthly Transportation Administrative Charge</t>
  </si>
  <si>
    <t xml:space="preserve">  Distribution Charge / Mcf Delivered</t>
  </si>
  <si>
    <t>Ancillary Services:</t>
  </si>
  <si>
    <t xml:space="preserve">  Daily Demand Charge</t>
  </si>
  <si>
    <t xml:space="preserve">  Daily Storage Charge</t>
  </si>
  <si>
    <t xml:space="preserve">  Utilization Charge per Mcf for Daily Balancing</t>
  </si>
  <si>
    <t>Cash-Out Provision for  Monthly Imbalances</t>
  </si>
  <si>
    <t>Percentage to be</t>
  </si>
  <si>
    <t>Cash-Out Provision for Monthly Imbalances:</t>
  </si>
  <si>
    <t>Where Usage is Greater than Transported Volume - Billing:</t>
  </si>
  <si>
    <t>First 5% or less</t>
  </si>
  <si>
    <t>next 5%</t>
  </si>
  <si>
    <t>&gt; than 20%</t>
  </si>
  <si>
    <t>Where Transported Volume is Greater than Usage - Purchase:</t>
  </si>
  <si>
    <t>(Case No. 2002-00261)</t>
  </si>
  <si>
    <t>(Case No. 2002-00368)</t>
  </si>
  <si>
    <t>(Case No. 2003-00004)</t>
  </si>
  <si>
    <t>(Case No. 2003-00121)</t>
  </si>
  <si>
    <t>(Case No. 2003-00260)</t>
  </si>
  <si>
    <t>(Case No. 2003-00385)</t>
  </si>
  <si>
    <t>(Case No. 2004-00506)</t>
  </si>
  <si>
    <t>(Case No. 2004-00117)</t>
  </si>
  <si>
    <t>(Case No. 2004-00271)</t>
  </si>
  <si>
    <t>(Case No. 2004-00390)</t>
  </si>
  <si>
    <t>(Case No. 2004-00526)</t>
  </si>
  <si>
    <t>(Case No. 2005-00143)</t>
  </si>
  <si>
    <t>(Case No. 2005-00401)</t>
  </si>
  <si>
    <t>(Case No. 2006-00005)</t>
  </si>
  <si>
    <t>(Case No. 2006-00138)</t>
  </si>
  <si>
    <t>(Case No. 2006-00335)</t>
  </si>
  <si>
    <t>Start Date</t>
  </si>
  <si>
    <t>(Case No. 2005-00274)</t>
  </si>
  <si>
    <t>Eff.</t>
  </si>
  <si>
    <t>(Case No. 2000-080-B)</t>
  </si>
  <si>
    <t>(Case No. 2000-080-D)</t>
  </si>
  <si>
    <t>(Case No. 2000-080-G)</t>
  </si>
  <si>
    <t>(Case No. 2000-080-H)</t>
  </si>
  <si>
    <t>(Case No. 2000-080-I)</t>
  </si>
  <si>
    <t>(Case No. 2002-00110)</t>
  </si>
  <si>
    <t>RENDERED FROM</t>
  </si>
  <si>
    <t>PBR Year</t>
  </si>
  <si>
    <t>PBR Effective Date</t>
  </si>
  <si>
    <t>(Case No. 2006-00431)</t>
  </si>
  <si>
    <t>(Case No. 2007-00001)</t>
  </si>
  <si>
    <t>(Case No. 2007-00141)</t>
  </si>
  <si>
    <t>(Case No. 2007-00267)</t>
  </si>
  <si>
    <t>(Case No. 2007-00428)</t>
  </si>
  <si>
    <t>Commodity = Gas Sales Compostion "Sales"</t>
  </si>
  <si>
    <t>Forecast</t>
  </si>
  <si>
    <t>Demand = TS portion of Gas Purchases and End-User transport throughput</t>
  </si>
  <si>
    <t>GSC</t>
  </si>
  <si>
    <t>Gas Supply Clause</t>
  </si>
  <si>
    <t>(Case No. 2008-00117)</t>
  </si>
  <si>
    <t>¢</t>
  </si>
  <si>
    <t>Total Cash Refund Related to Demand</t>
  </si>
  <si>
    <t>Plus Interest on Refundable Amount</t>
  </si>
  <si>
    <t>Expected Refund Obligation Including Interest</t>
  </si>
  <si>
    <t>Expected Mcf Sales for the 12-month Period</t>
  </si>
  <si>
    <t>Check</t>
  </si>
  <si>
    <t>Current Quarter Refund Factor</t>
  </si>
  <si>
    <t>1st Previous Quarter Refund Factor</t>
  </si>
  <si>
    <t>Calculation of Gas Supply Costs</t>
  </si>
  <si>
    <t xml:space="preserve">RATE DGGS - COMMERCIAL &amp; INDUSTRIAL </t>
  </si>
  <si>
    <t>(meter capacity &lt;5000 CF/HR)</t>
  </si>
  <si>
    <t>BASIC SERVICE CHARGE</t>
  </si>
  <si>
    <t>BASIC SERVICE</t>
  </si>
  <si>
    <t>2nd Previous Quarter Refund Factor</t>
  </si>
  <si>
    <t>Back-up Information - Not Included in Filings (Updated Mcfs for filing effective Feb only)</t>
  </si>
  <si>
    <t>3rd Previous Quarter Refund Factor</t>
  </si>
  <si>
    <t>Refund Factor per Mcf ($/Mcf)</t>
  </si>
  <si>
    <t>Total Customer Delivery Sales</t>
  </si>
  <si>
    <t>2011-00523</t>
  </si>
  <si>
    <t>Rate TS Transport</t>
  </si>
  <si>
    <t>Storage Injections</t>
  </si>
  <si>
    <t>Storage Withdrawals</t>
  </si>
  <si>
    <t>Storage Losses</t>
  </si>
  <si>
    <t>Gas Purchases and End-User Transportation Throughput (Mcf)</t>
  </si>
  <si>
    <t>MTP Gas Supply Composition Forecast (Mcf)</t>
  </si>
  <si>
    <t>Other Depts</t>
  </si>
  <si>
    <t>FORECASTED PURCHASES AND THROUGHPUT</t>
  </si>
  <si>
    <t>Customer Deliveries Sales</t>
  </si>
  <si>
    <t>Electric Generation: Zorn</t>
  </si>
  <si>
    <t>DO NOT PRINT</t>
  </si>
  <si>
    <t>GCAA Beginning Month</t>
  </si>
  <si>
    <t>Line No.</t>
  </si>
  <si>
    <t>1</t>
  </si>
  <si>
    <t>Annual Demand Costs</t>
  </si>
  <si>
    <t>Average Demand Cost per Mcf</t>
  </si>
  <si>
    <t>Monthly Demand Charge</t>
  </si>
  <si>
    <t xml:space="preserve">No. of Months </t>
  </si>
  <si>
    <t>Texas Gas No-Notice Service (Rate NNS)</t>
  </si>
  <si>
    <t>Pipeline and Rate</t>
  </si>
  <si>
    <t>Design Day Requirements in Mcf (determined in last rate case)</t>
  </si>
  <si>
    <t>Total Annual Demand Costs</t>
  </si>
  <si>
    <t>Daily Demand Charge Component of Utilization Charge</t>
  </si>
  <si>
    <t>PSDC Charge per Mcf</t>
  </si>
  <si>
    <t>PBR Savings or (Expenses)</t>
  </si>
  <si>
    <t>SubTotal</t>
  </si>
  <si>
    <t>Calculation Of Various Demand Charges Applicable</t>
  </si>
  <si>
    <t>2012-00125</t>
  </si>
  <si>
    <t>Period</t>
  </si>
  <si>
    <t>Dollars Recovered Under GSC</t>
  </si>
  <si>
    <t>$ from OSS</t>
  </si>
  <si>
    <t xml:space="preserve">Total $ Recovered </t>
  </si>
  <si>
    <t>(Note 3)</t>
  </si>
  <si>
    <t>Gas Supply Cost per Mcf</t>
  </si>
  <si>
    <t>GCBA Beginning Month</t>
  </si>
  <si>
    <t>Beginning Balance</t>
  </si>
  <si>
    <t>Balance Remaining</t>
  </si>
  <si>
    <t>GCAA/Mcf Factor</t>
  </si>
  <si>
    <t>Sales Applicable to GCAA Recovery</t>
  </si>
  <si>
    <t>(6)=(Beg Bal)+(5)</t>
  </si>
  <si>
    <t>First date will pull from input tab, rest are date formulas</t>
  </si>
  <si>
    <t>RA True Up Beginning Month</t>
  </si>
  <si>
    <t>RA/Mcf Factor</t>
  </si>
  <si>
    <t>TS Transport</t>
  </si>
  <si>
    <t>(Refund)</t>
  </si>
  <si>
    <t>MCF Sales per 4022 Billed Revenue - Gas</t>
  </si>
  <si>
    <t xml:space="preserve">     Gas Sales report volume, minus FT volumes for "MCF Sales"</t>
  </si>
  <si>
    <t xml:space="preserve">     Schedule Transport Customers Rate TS for "MCF TS Transport"</t>
  </si>
  <si>
    <t xml:space="preserve">     Be careful on split months - Be sure to split volumes correctly</t>
  </si>
  <si>
    <t>GSC Rates per Exhibit E</t>
  </si>
  <si>
    <t xml:space="preserve">Factor </t>
  </si>
  <si>
    <t>(Returned)</t>
  </si>
  <si>
    <t>Total Collected/</t>
  </si>
  <si>
    <t>Performance Based Ratemaking Mechanism</t>
  </si>
  <si>
    <t>Transporation Rider TS</t>
  </si>
  <si>
    <t>2011-00402</t>
  </si>
  <si>
    <t>2011-00228</t>
  </si>
  <si>
    <t>2011-00119</t>
  </si>
  <si>
    <t xml:space="preserve">Calculation of Gas Costs Recovered </t>
  </si>
  <si>
    <t xml:space="preserve">Under Company's Gas Supply Clause </t>
  </si>
  <si>
    <t>Calculation of Gas Cost Actual Adjustment</t>
  </si>
  <si>
    <t>Recoveries of Gas Supply Costs</t>
  </si>
  <si>
    <t>Summary of Gas Costs Recovered</t>
  </si>
  <si>
    <t>Under Provisions of Rate FT</t>
  </si>
  <si>
    <t>Sales Applicable to GCBA Recovery</t>
  </si>
  <si>
    <t>GCBA/Mcf Factor</t>
  </si>
  <si>
    <t>Amount Refunded per Month</t>
  </si>
  <si>
    <t>Balance</t>
  </si>
  <si>
    <t>Remaining Balance to Transfer to Exhibit C-1, Page 1 of 3</t>
  </si>
  <si>
    <t>See Exhibit C-1, page 3.</t>
  </si>
  <si>
    <t>Calculation of Quarterly Gas Cost Balance Adjustment</t>
  </si>
  <si>
    <t>Total Remaining (Over)/Under Recovery</t>
  </si>
  <si>
    <t>GCBA Factor Per Mcf</t>
  </si>
  <si>
    <t>GCBA Factor Per Ccf</t>
  </si>
  <si>
    <t>(Over)/Under Recovery</t>
  </si>
  <si>
    <t>Comments</t>
  </si>
  <si>
    <t>Total Gas Supply Cost Per Books</t>
  </si>
  <si>
    <t>Revenue Collected Under the GCBA Factor</t>
  </si>
  <si>
    <t>Calculation of Revenue Collected Under PBR Factor</t>
  </si>
  <si>
    <t>Total Refund Factor</t>
  </si>
  <si>
    <t>(7)=(3)+(6)</t>
  </si>
  <si>
    <t>(8)=(Bal)-(7)</t>
  </si>
  <si>
    <t>GCAA Factor per Mcf</t>
  </si>
  <si>
    <t>Expected Mcf Sales for</t>
  </si>
  <si>
    <t>12-Month Period from Date Implemented</t>
  </si>
  <si>
    <t>GCAA Factor per Ccf</t>
  </si>
  <si>
    <t>Line</t>
  </si>
  <si>
    <t>No.</t>
  </si>
  <si>
    <t>Factor</t>
  </si>
  <si>
    <t>FORECAST DATA</t>
  </si>
  <si>
    <t>2012-00286</t>
  </si>
  <si>
    <t>Mcf Sales for Sales Customers</t>
  </si>
  <si>
    <t>Mcf Sales for TS Customers</t>
  </si>
  <si>
    <t>(7)=(Bal)-(6)</t>
  </si>
  <si>
    <t>Gas Cost True-Up Charge Applicable to Customers</t>
  </si>
  <si>
    <t>Served Under Rate FT and Rider TS-2</t>
  </si>
  <si>
    <t>With Service Elected Effective</t>
  </si>
  <si>
    <t>PBRRC/Mcf</t>
  </si>
  <si>
    <t>Total/Mcf</t>
  </si>
  <si>
    <t>End Date</t>
  </si>
  <si>
    <t>GCAA Case Reference</t>
  </si>
  <si>
    <t>(Case No. 2009-00248)</t>
  </si>
  <si>
    <t>(Case No. 2009-00395)</t>
  </si>
  <si>
    <t>(Case No. 2009-00457)</t>
  </si>
  <si>
    <t>(Case No. 2010-00140)</t>
  </si>
  <si>
    <t>(Case No. 2010-00263)</t>
  </si>
  <si>
    <t>(Case No. 2010-00387)</t>
  </si>
  <si>
    <t>(Case No. 2010-00525)</t>
  </si>
  <si>
    <t>Recovery/</t>
  </si>
  <si>
    <t>Which Compensates for Over- or Under-</t>
  </si>
  <si>
    <t>GSC Effective Date</t>
  </si>
  <si>
    <t>End of 3-Month Period</t>
  </si>
  <si>
    <t>Storage Inventory WACOG</t>
  </si>
  <si>
    <t>Recovery Period</t>
  </si>
  <si>
    <t>2012-00446</t>
  </si>
  <si>
    <t>2012-00591</t>
  </si>
  <si>
    <t>PBR True Up Beginning Month</t>
  </si>
  <si>
    <t>From Case No.</t>
  </si>
  <si>
    <t>Recovery/(Refund) per Month</t>
  </si>
  <si>
    <t>Source Information - Not Included in Filings</t>
  </si>
  <si>
    <t>Gas Commodity</t>
  </si>
  <si>
    <t>Portion of Bad</t>
  </si>
  <si>
    <t>Debt Expense</t>
  </si>
  <si>
    <t xml:space="preserve">Supporting Calculations For The </t>
  </si>
  <si>
    <t xml:space="preserve">For the Period </t>
  </si>
  <si>
    <t>2013-00126</t>
  </si>
  <si>
    <t>Mcf Sales Applicable to GCAA Period</t>
  </si>
  <si>
    <t>Amount Refunded</t>
  </si>
  <si>
    <t>Rate TS-2 Transport</t>
  </si>
  <si>
    <t>Prorated</t>
  </si>
  <si>
    <t>(12)</t>
  </si>
  <si>
    <t>Numerical Date</t>
  </si>
  <si>
    <t>Text Date</t>
  </si>
  <si>
    <t>2013-00253</t>
  </si>
  <si>
    <t>Total Mcf Sales for Month</t>
  </si>
  <si>
    <t>(13)</t>
  </si>
  <si>
    <t>Effective Date</t>
  </si>
  <si>
    <t>Recovery</t>
  </si>
  <si>
    <t>Mcf Sales Applicable</t>
  </si>
  <si>
    <t>to PBR Recovery</t>
  </si>
  <si>
    <t>(11)</t>
  </si>
  <si>
    <t>(14)</t>
  </si>
  <si>
    <t>(15)</t>
  </si>
  <si>
    <t>Refund Returned Under RA Factor</t>
  </si>
  <si>
    <t>Tenn. Gas Firm Transportation (Rate FT-A)</t>
  </si>
  <si>
    <t>Total Amount to Transfer to Exhibit B-1, Page 2</t>
  </si>
  <si>
    <t>2013-00361</t>
  </si>
  <si>
    <t>GSC Volumes</t>
  </si>
  <si>
    <t>TS Volumes</t>
  </si>
  <si>
    <t>FT Volumes</t>
  </si>
  <si>
    <t>N/A</t>
  </si>
  <si>
    <t xml:space="preserve"> </t>
  </si>
  <si>
    <t>Prorated GSC Volumes</t>
  </si>
  <si>
    <t>First Half of Month</t>
  </si>
  <si>
    <t>Second Half of Month</t>
  </si>
  <si>
    <t>Prorated TS Volumes</t>
  </si>
  <si>
    <t>Storage Inventory Volume</t>
  </si>
  <si>
    <r>
      <t xml:space="preserve">Total Dollars of Gas Cost Recovered </t>
    </r>
    <r>
      <rPr>
        <vertAlign val="superscript"/>
        <sz val="12"/>
        <rFont val="Times New Roman"/>
        <family val="1"/>
      </rPr>
      <t>1</t>
    </r>
  </si>
  <si>
    <r>
      <t xml:space="preserve">Gas Supply Cost Per Books </t>
    </r>
    <r>
      <rPr>
        <vertAlign val="superscript"/>
        <sz val="12"/>
        <rFont val="Times New Roman"/>
        <family val="1"/>
      </rPr>
      <t>2</t>
    </r>
  </si>
  <si>
    <r>
      <t>1</t>
    </r>
    <r>
      <rPr>
        <sz val="12"/>
        <rFont val="Times New Roman"/>
        <family val="1"/>
      </rPr>
      <t xml:space="preserve"> See Page 2 of this Exhibit.</t>
    </r>
  </si>
  <si>
    <t>Total MCF</t>
  </si>
  <si>
    <t>For Daily Imbalance under Rate FT and Rider PS-FT</t>
  </si>
  <si>
    <t>Comparison to Last Quarter &amp; Same Period 1 Year Ago</t>
  </si>
  <si>
    <t>(Next Quarter)</t>
  </si>
  <si>
    <t>(Next Quarter - 1 year ago)</t>
  </si>
  <si>
    <t>Basic Service Charge</t>
  </si>
  <si>
    <t>Base</t>
  </si>
  <si>
    <t>X</t>
  </si>
  <si>
    <t>=</t>
  </si>
  <si>
    <t>DSM</t>
  </si>
  <si>
    <t xml:space="preserve">X </t>
  </si>
  <si>
    <t>Subtotal</t>
  </si>
  <si>
    <t>GLT</t>
  </si>
  <si>
    <t>HEA</t>
  </si>
  <si>
    <t>Difference - Last Quarter</t>
  </si>
  <si>
    <t>Difference vs Last Year</t>
  </si>
  <si>
    <t>Filed Rate</t>
  </si>
  <si>
    <t>Factor $ Change</t>
  </si>
  <si>
    <t>Factor% Change</t>
  </si>
  <si>
    <t>Ave Charge</t>
  </si>
  <si>
    <t>% Change</t>
  </si>
  <si>
    <t>CY Rate</t>
  </si>
  <si>
    <t>PY Rate</t>
  </si>
  <si>
    <t>CY Bill</t>
  </si>
  <si>
    <t>PY Bill</t>
  </si>
  <si>
    <t>2013-00486</t>
  </si>
  <si>
    <t>Remaining</t>
  </si>
  <si>
    <t>Calculation of Revenue Collected or Refunded Under GCAA Factor</t>
  </si>
  <si>
    <t>2014-00115</t>
  </si>
  <si>
    <t>See Exhibit A, page 1.</t>
  </si>
  <si>
    <r>
      <t xml:space="preserve">Remaining (Over)/Under Recovery From GCAA </t>
    </r>
    <r>
      <rPr>
        <vertAlign val="superscript"/>
        <sz val="12"/>
        <rFont val="Times New Roman"/>
        <family val="1"/>
      </rPr>
      <t>1</t>
    </r>
  </si>
  <si>
    <r>
      <t xml:space="preserve">Remaining (Over)/Under Recovery From GCBA </t>
    </r>
    <r>
      <rPr>
        <vertAlign val="superscript"/>
        <sz val="12"/>
        <rFont val="Times New Roman"/>
        <family val="1"/>
      </rPr>
      <t>2</t>
    </r>
  </si>
  <si>
    <r>
      <t xml:space="preserve">Remaining (Under)/Over Refund From RA </t>
    </r>
    <r>
      <rPr>
        <vertAlign val="superscript"/>
        <sz val="12"/>
        <rFont val="Times New Roman"/>
        <family val="1"/>
      </rPr>
      <t>3</t>
    </r>
  </si>
  <si>
    <r>
      <t xml:space="preserve">Remaining (Over)/Under Recovery From PBRRC </t>
    </r>
    <r>
      <rPr>
        <vertAlign val="superscript"/>
        <sz val="12"/>
        <rFont val="Times New Roman"/>
        <family val="1"/>
      </rPr>
      <t>4</t>
    </r>
  </si>
  <si>
    <r>
      <t xml:space="preserve">Expected Mcf Sales for 3 Month Period </t>
    </r>
    <r>
      <rPr>
        <vertAlign val="superscript"/>
        <sz val="12"/>
        <rFont val="Times New Roman"/>
        <family val="1"/>
      </rPr>
      <t>5</t>
    </r>
  </si>
  <si>
    <t>2014-00217</t>
  </si>
  <si>
    <t>missing data found and reported in later revised</t>
  </si>
  <si>
    <t xml:space="preserve">report. </t>
  </si>
  <si>
    <t>2014-00348</t>
  </si>
  <si>
    <t>2014-00475</t>
  </si>
  <si>
    <t>Rate FT Gas True-Up</t>
  </si>
  <si>
    <t>Charge Revenue</t>
  </si>
  <si>
    <t>2015-00105</t>
  </si>
  <si>
    <t>(8)=(2)+(3)+(4)+(5)+(6)+(7)</t>
  </si>
  <si>
    <t>(16)=(9)+(10)+(11)+(12)+(13)+(14)+(15)</t>
  </si>
  <si>
    <t>AAGS Interruption Penalty</t>
  </si>
  <si>
    <t>Balance to be transferred to Exhibit C-1, Page 1 of 3</t>
  </si>
  <si>
    <t>Under LG&amp;E's Gas Transportation Service/Standby - Rider TS-2</t>
  </si>
  <si>
    <t xml:space="preserve">    (excluding transportation volumes under LG&amp;E Rider TS-2)</t>
  </si>
  <si>
    <t xml:space="preserve">     Plus:  Customer Transportation Volumes under Rider TS-2</t>
  </si>
  <si>
    <t>Demand Cost - Net of Demand Costs Recovered thru LG&amp;E Rider TS-2</t>
  </si>
  <si>
    <t>RGS Demands</t>
  </si>
  <si>
    <t>CGS Demands</t>
  </si>
  <si>
    <t>IGS Demands</t>
  </si>
  <si>
    <t>GAS LINE TRACKER</t>
  </si>
  <si>
    <t>2015-00218</t>
  </si>
  <si>
    <t>Under Provisions of Rider TS-2</t>
  </si>
  <si>
    <t>Rider TS-2 Gas True-Up Charge Revenue</t>
  </si>
  <si>
    <t>MMBtu Adjust. ($)</t>
  </si>
  <si>
    <t>Action Alert $</t>
  </si>
  <si>
    <t>Monthly $'s Recovered Under Rider TS-2</t>
  </si>
  <si>
    <t>PSDC Revenue Collected from TS-2 Customers</t>
  </si>
  <si>
    <t>$ Recovered Under Rate FT</t>
  </si>
  <si>
    <t>[(5)+(7)+(9)+(10)+(11)]</t>
  </si>
  <si>
    <t>AAGS TS-2 Interruption Penalty</t>
  </si>
  <si>
    <t>Mcf  Transported Under Rider TS-2</t>
  </si>
  <si>
    <t>PSDC Per Mcf</t>
  </si>
  <si>
    <r>
      <t>2</t>
    </r>
    <r>
      <rPr>
        <sz val="12"/>
        <rFont val="Times New Roman"/>
        <family val="1"/>
      </rPr>
      <t xml:space="preserve"> See Page 5 of this Exhibit.</t>
    </r>
  </si>
  <si>
    <t>$ Recovered Under Rider TS-2</t>
  </si>
  <si>
    <t>MMBtu Adjust. (Mcf)</t>
  </si>
  <si>
    <t>Cash-Out Sales ($)</t>
  </si>
  <si>
    <t>(13)=(5)+(6)+(8)+(10)+(11)+(12)</t>
  </si>
  <si>
    <t>GCAA/Mcf</t>
  </si>
  <si>
    <t>GCBA/Mcf</t>
  </si>
  <si>
    <t xml:space="preserve">Applicable Components of </t>
  </si>
  <si>
    <t>Refund Factor for Demand Portion of Texas Gas Refund (see Exhibit D-1)</t>
  </si>
  <si>
    <t>Performance Based Rate Recovery Demand Component (see Exhibit E-1)</t>
  </si>
  <si>
    <t>2015-00329</t>
  </si>
  <si>
    <r>
      <rPr>
        <vertAlign val="superscript"/>
        <sz val="12"/>
        <rFont val="Times New Roman"/>
        <family val="1"/>
      </rPr>
      <t>3</t>
    </r>
    <r>
      <rPr>
        <sz val="12"/>
        <rFont val="Times New Roman"/>
        <family val="1"/>
      </rPr>
      <t xml:space="preserve"> Current sales included in meter readings for prior month.</t>
    </r>
  </si>
  <si>
    <t>(13)=(9)+(10)+(11)+(12)</t>
  </si>
  <si>
    <t>For information purposes only, volumes will be prorated.</t>
  </si>
  <si>
    <t>Portion of month billed at rate effective this quarter.</t>
  </si>
  <si>
    <t>See Page 3 of this Exhibit.</t>
  </si>
  <si>
    <t>See Page 4 of this Exhibit.</t>
  </si>
  <si>
    <t>(Gas Dept.)</t>
  </si>
  <si>
    <t xml:space="preserve">Note:   Should a Customer served under Rider TS-2 under-nominate its monthly gas supply needs, a Cash-Out Sale is made to the Customer.  </t>
  </si>
  <si>
    <t>This sale, which is based upon the cash-out price established in Rider TS-2, is also flowed through the GCAA as revenue.</t>
  </si>
  <si>
    <t>(5)=(3)x(4)</t>
  </si>
  <si>
    <t>[(3)x(8)]</t>
  </si>
  <si>
    <t>(6)=(4)x(5)</t>
  </si>
  <si>
    <t>(7) = (5)/(6)</t>
  </si>
  <si>
    <t>(6)=(3+4)x(5)</t>
  </si>
  <si>
    <t>(3)=(1)x(2)</t>
  </si>
  <si>
    <t>(5)=(2)+(3)+(4)</t>
  </si>
  <si>
    <t>(5)=(3)+(4)</t>
  </si>
  <si>
    <t>(9)=[(6)x(7)]+(8)</t>
  </si>
  <si>
    <t>(6)=(5)-(4)</t>
  </si>
  <si>
    <t>Cash-Out Sales (Mcf)</t>
  </si>
  <si>
    <t>2015-00429</t>
  </si>
  <si>
    <t>TYPICAL RESIDENTIAL GAS BILL</t>
  </si>
  <si>
    <t>EFFECTIVE RATES FOR RIDER TS-2 TRANSPORTATION SERVICE</t>
  </si>
  <si>
    <t xml:space="preserve">          ALL MCF</t>
  </si>
  <si>
    <t>RATE PER 1000 CUBIC FEET</t>
  </si>
  <si>
    <t>Rider TS-2</t>
  </si>
  <si>
    <t>Charges in addition to Customer's Retail Rate</t>
  </si>
  <si>
    <t>Transport</t>
  </si>
  <si>
    <t>Min. Annual</t>
  </si>
  <si>
    <t>Pipeline Supplier</t>
  </si>
  <si>
    <t>Gas Cost</t>
  </si>
  <si>
    <t>Action</t>
  </si>
  <si>
    <t xml:space="preserve">Add'l </t>
  </si>
  <si>
    <t>MMBtu Negative</t>
  </si>
  <si>
    <t>MMBtu Positive</t>
  </si>
  <si>
    <t>Cashout Negative</t>
  </si>
  <si>
    <t>Cashout Positive</t>
  </si>
  <si>
    <t>Distribution</t>
  </si>
  <si>
    <t>Gas Line</t>
  </si>
  <si>
    <t>Customer</t>
  </si>
  <si>
    <t>Franchise</t>
  </si>
  <si>
    <t>Admin Chg</t>
  </si>
  <si>
    <t>Distribution Chg</t>
  </si>
  <si>
    <t>Thrshld</t>
  </si>
  <si>
    <t>Demand Comp.</t>
  </si>
  <si>
    <t>True-up</t>
  </si>
  <si>
    <t>Alert</t>
  </si>
  <si>
    <t>Telemetry</t>
  </si>
  <si>
    <t>Trip Chg</t>
  </si>
  <si>
    <t>Amount</t>
  </si>
  <si>
    <t>Charge</t>
  </si>
  <si>
    <t>Tracker</t>
  </si>
  <si>
    <t>Fee</t>
  </si>
  <si>
    <t>Taxes</t>
  </si>
  <si>
    <t>Demand Chrg</t>
  </si>
  <si>
    <t>Storage Chrg</t>
  </si>
  <si>
    <t>MMBTU Adjust</t>
  </si>
  <si>
    <t>MMBTU Negative</t>
  </si>
  <si>
    <t>MMBTU Positive</t>
  </si>
  <si>
    <t>OFO</t>
  </si>
  <si>
    <t>Min Daily</t>
  </si>
  <si>
    <t>ADM</t>
  </si>
  <si>
    <t>True-Up</t>
  </si>
  <si>
    <t>Thrshld MCF</t>
  </si>
  <si>
    <t>Thrshld Amt</t>
  </si>
  <si>
    <t>School Tax</t>
  </si>
  <si>
    <t>State Tax</t>
  </si>
  <si>
    <t>*Cashout</t>
  </si>
  <si>
    <t>NO REFUNDS CURRENTLY</t>
  </si>
  <si>
    <t>Total Amount Recovered/(Refunded) During Period</t>
  </si>
  <si>
    <t>Expected Gas Supply Transported Under Texas' No-Notice Service (South-to-North)</t>
  </si>
  <si>
    <t>Commodity Cost (per MMBtu) under Texas Gas's No-Notice Service (South-to-North)</t>
  </si>
  <si>
    <t>Expected Gas Supply Transported Under Texas' Rate FT (North-to-South)</t>
  </si>
  <si>
    <t>Commodity Cost (per MMBtu) under Texas Gas's Rate FT (North-to-South)</t>
  </si>
  <si>
    <t>PBR Case Reference</t>
  </si>
  <si>
    <t>2016-00225</t>
  </si>
  <si>
    <t>check calc on forecast</t>
  </si>
  <si>
    <t>Check calc for forecast</t>
  </si>
  <si>
    <t>Expected Gas Supply Transported Under Tenn.'s Rate FT-A (Zone 0-2)</t>
  </si>
  <si>
    <t>Texas Gas Firm Transportation (Rate FT)</t>
  </si>
  <si>
    <t>Cash-Out Price as Decribed in Rate FT</t>
  </si>
  <si>
    <t>2016-00353</t>
  </si>
  <si>
    <t>2016-00137</t>
  </si>
  <si>
    <t>2016-00428</t>
  </si>
  <si>
    <t>As Determined in LG&amp;E's Annual PBR Filing</t>
  </si>
  <si>
    <t>Total Annual Demand Costs (Line 5)</t>
  </si>
  <si>
    <t>Average Demand Cost (Line 8)</t>
  </si>
  <si>
    <t>Commodity Cost (per MMBtu) under Tenn. Gas's Rate FT-A (Zone 0-2)</t>
  </si>
  <si>
    <t>2017-00131</t>
  </si>
  <si>
    <t>2017-00235</t>
  </si>
  <si>
    <t>Intra Company</t>
  </si>
  <si>
    <t>PROJECTS</t>
  </si>
  <si>
    <t>TRANSMISSION</t>
  </si>
  <si>
    <t>Rate DGGS</t>
  </si>
  <si>
    <t>Delivery Service</t>
  </si>
  <si>
    <t xml:space="preserve">  Basic Service Charge</t>
  </si>
  <si>
    <t>Cash-Out Price as Decribed in Rate LGDS</t>
  </si>
  <si>
    <t xml:space="preserve">  Demand Charge / Mcf Delivered</t>
  </si>
  <si>
    <t xml:space="preserve">          MONTHLY BILLING DEMAND</t>
  </si>
  <si>
    <t>RATE SGSS - COMMERCIAL</t>
  </si>
  <si>
    <t>RATE SGSS - INDUSTRIAL</t>
  </si>
  <si>
    <t>Where Usage is Greater than Delivered Volume - Billing:</t>
  </si>
  <si>
    <t>Where Delivered Volume is Greater than Usage - Purchase:</t>
  </si>
  <si>
    <t>2017-00364</t>
  </si>
  <si>
    <t>XM Charge</t>
  </si>
  <si>
    <t>2017-00457</t>
  </si>
  <si>
    <t>2018-00088</t>
  </si>
  <si>
    <t>_____________________________________________________________________________________</t>
  </si>
  <si>
    <t>$/Ccf</t>
  </si>
  <si>
    <t xml:space="preserve">   Gas Supply Cost</t>
  </si>
  <si>
    <t xml:space="preserve">   Gas Cost Balance Adjustment  (GCBA)</t>
  </si>
  <si>
    <t>Refund Factor per Ccf ($/Ccf)</t>
  </si>
  <si>
    <t xml:space="preserve">   Description</t>
  </si>
  <si>
    <t xml:space="preserve">   Performance-Based Rate Recovery Component  (PBRRC) </t>
  </si>
  <si>
    <t>2018-00182</t>
  </si>
  <si>
    <t>TCJA</t>
  </si>
  <si>
    <t>Surcredit</t>
  </si>
  <si>
    <t>Trans Chrg</t>
  </si>
  <si>
    <t>TCJA Surcredit</t>
  </si>
  <si>
    <t>Charges for Gas Delivery Services Provided Under Rate LGDS</t>
  </si>
  <si>
    <t>Charges for Gas Transportation Services Provided Under Rate FT</t>
  </si>
  <si>
    <t>2018-00302</t>
  </si>
  <si>
    <t>File with August filing (effective August-October)</t>
  </si>
  <si>
    <t>Source: Natural Gas Forecast Forecast</t>
  </si>
  <si>
    <t>BTU Adjustment from forecast</t>
  </si>
  <si>
    <t>LAUFG Adjustment</t>
  </si>
  <si>
    <t>See Exhibit D.  LG&amp;E is not receiving any pipeline refunds at this time.</t>
  </si>
  <si>
    <t>2018-00403</t>
  </si>
  <si>
    <t>2019-00078</t>
  </si>
  <si>
    <t>(PER DAY)</t>
  </si>
  <si>
    <t>2019-00179</t>
  </si>
  <si>
    <t xml:space="preserve">Basic </t>
  </si>
  <si>
    <t>Service Charge</t>
  </si>
  <si>
    <t>GLT (per meter)</t>
  </si>
  <si>
    <t>GLT Transmission Projects (per CCF)</t>
  </si>
  <si>
    <t>2019-00327</t>
  </si>
  <si>
    <t>2019-00436</t>
  </si>
  <si>
    <t>Customer Delivery Sales Mill Creek</t>
  </si>
  <si>
    <t>See Exhibit E-1, page 2.  Only applicable for August filing.</t>
  </si>
  <si>
    <t>2020-00070</t>
  </si>
  <si>
    <t>GCAA $/MCF</t>
  </si>
  <si>
    <t>GCAA $/CCF</t>
  </si>
  <si>
    <t>Texas Gas Transmission, LLC</t>
  </si>
  <si>
    <t>Rate Schedule NNS (No-Notice Service: South-to-North)</t>
  </si>
  <si>
    <r>
      <t>On June 24, 2015, TGT submitted tariff sheets to the FERC in Docket No. RP15-1077 to reflect the expiration via abandonment of the operating lease with Gulf South Pipeline Company which required the removal of references to the incremental recourse rate applicable to the Gulf South lease.  The associated revised tariff sheets were dated to be effective April 1, 2015.  TGT did</t>
    </r>
    <r>
      <rPr>
        <sz val="12"/>
        <rFont val="Times New Roman"/>
        <family val="1"/>
      </rPr>
      <t xml:space="preserve"> not otherwise modify its existing rates or otherwise affect the rights or duties of customers.</t>
    </r>
  </si>
  <si>
    <t>Rate Schedule FT (Firm Transportation: Annual: North-to-South)</t>
  </si>
  <si>
    <t>Tennessee Gas Pipeline Company, LLC</t>
  </si>
  <si>
    <t>On June 24, 2015, TGT submitted tariff sheets to the FERC in Docket No. RP15-1077 to reflect the expiration via abandonment of the operating lease with Gulf South Pipeline Company which required the removal of references to the incremental recourse rate applicable to the Gulf South lease.  The associated revised tariff sheets were dated to be effective April 1, 2015.  TGT did not otherwise modify its existing rates or otherwise affect the rights or duties of customers.</t>
  </si>
  <si>
    <t>Gas Supply Costs</t>
  </si>
  <si>
    <t>Gas Cost True-Up Charge Applicable to Customers Served</t>
  </si>
  <si>
    <t>Under Rate FT and Rider TS-2</t>
  </si>
  <si>
    <t>Applicable Components of GCAA</t>
  </si>
  <si>
    <t>/Mcf</t>
  </si>
  <si>
    <t>Applicable Components of GCBA</t>
  </si>
  <si>
    <t>Applicable Components of PBRRC</t>
  </si>
  <si>
    <t>Calculation of Performance Based Rate Recovery Component (PBRRC)</t>
  </si>
  <si>
    <t>Transportation Volumes</t>
  </si>
  <si>
    <t>Sales Volumes</t>
  </si>
  <si>
    <t>Commodity-Related Portion</t>
  </si>
  <si>
    <t>Demand-Related Portion</t>
  </si>
  <si>
    <t>Total PBRRC</t>
  </si>
  <si>
    <t>/Ccf</t>
  </si>
  <si>
    <t>Please note that Louisville Gas and Electric Company's tariff sales volumes receive both the commodity-related and demand-related portion of the PBRRC.  Transportation volumes under Rider TS-2 receive only the demand-related portion of the PBRRC.</t>
  </si>
  <si>
    <t xml:space="preserve">The Company has received no refunds this quarter and has completed refunding all previous obligations.  </t>
  </si>
  <si>
    <t xml:space="preserve">Therefore, the Refund Factor will be as follows:  </t>
  </si>
  <si>
    <t>None</t>
  </si>
  <si>
    <t>Calculation of Gas Cost Balance Adjustment (GCBA)</t>
  </si>
  <si>
    <t xml:space="preserve">The purpose of this adjustment is to compensate for any over- or under-recoveries remaining from prior Gas Cost Actual Adjustments and Gas Cost Balance Adjustments.    </t>
  </si>
  <si>
    <t>(Over)/Under GCBA Recovery:</t>
  </si>
  <si>
    <t>GCBA Factor per 100 cubic feet:</t>
  </si>
  <si>
    <t>Prior GSC Case Reference</t>
  </si>
  <si>
    <t>Mcf Purchases</t>
  </si>
  <si>
    <t>Purchases for OSS</t>
  </si>
  <si>
    <t>Purchases for Departments other than Gas Department</t>
  </si>
  <si>
    <t>Purchases Injected Into Storage</t>
  </si>
  <si>
    <t>Mcf Withdrawn from Storage</t>
  </si>
  <si>
    <t>Dollars</t>
  </si>
  <si>
    <t>Purchased Gas Costs</t>
  </si>
  <si>
    <t>Purchases Gas Costs for OSS</t>
  </si>
  <si>
    <t>Purchases for Non-Gas Departments</t>
  </si>
  <si>
    <t>Cost of Gas Withdrawn From Storage</t>
  </si>
  <si>
    <t>Gas Commodity Portion of Bad Debt Expense</t>
  </si>
  <si>
    <t xml:space="preserve">Remaining (Over)/Under Recovery From PBRRC </t>
  </si>
  <si>
    <t>2020-00204</t>
  </si>
  <si>
    <t>Ex A 1 of 2 Tab - Calculation of Gas Supply Costs</t>
  </si>
  <si>
    <t>Ex A 2 of 2 Tab - Calculation of Various Demand Charges Applicable</t>
  </si>
  <si>
    <t>All Formula Based - No Inputs</t>
  </si>
  <si>
    <t>Ex B-1 1 of 7 Tab - Calculation of Actual Gas Cost Adjustment</t>
  </si>
  <si>
    <t>Ex B-1 2 of 7 Tab - Calculation of Gas Cost Recovered</t>
  </si>
  <si>
    <t>Ex B-1 3 of 7 Tab - Summary of Gas Cost Recovered</t>
  </si>
  <si>
    <t>Ex B-1 4 of 7 Tab- Summary of Gas Cost Recovered</t>
  </si>
  <si>
    <t>Ex B-1 5 of 7 Tab - Total Gas Supply Cost per Books</t>
  </si>
  <si>
    <t xml:space="preserve">Ex B-1 6 of 7 Tab </t>
  </si>
  <si>
    <t xml:space="preserve">Ex B-1 7 of 7 Tab </t>
  </si>
  <si>
    <t>No input needed - Create PDF of redacted supplier data</t>
  </si>
  <si>
    <t>Ex C-1 1 of 3 Tab - Calculation of Quarterly Gas Cost Balance Adjustment</t>
  </si>
  <si>
    <t>Ex C-1 2 of 3 Tab - Calculation of Revenue Collected or Refunded Under GCAA Factor</t>
  </si>
  <si>
    <t>Ex C-1 3 of 3 Tab - Revenue Collected Under the GCBA Factor</t>
  </si>
  <si>
    <t>Ex D-1 1 of 2 Tab - Calculation of Refund Factor</t>
  </si>
  <si>
    <t>Ex D-1 2 of 2 Tab - Refund Returned Under Refund Factor</t>
  </si>
  <si>
    <t>Ex E-1 2 of 2 Tab - Calculation of Revenue Collected Under PBR Factor</t>
  </si>
  <si>
    <t>Gas Supply Cost $/Mcf</t>
  </si>
  <si>
    <t>Gas Supply Cost $Ccf</t>
  </si>
  <si>
    <t>Gas Cost Actual Adjustment (GCAA)</t>
  </si>
  <si>
    <t>Avg. Demand Cost per Mcf</t>
  </si>
  <si>
    <t>Pipeline Supplier's Demand Component Applicable to Billings per Mcf</t>
  </si>
  <si>
    <t>Daily Demand Charge Component of Utilization Charge per Mcf</t>
  </si>
  <si>
    <t>Gas Cost Balance Adjustment</t>
  </si>
  <si>
    <t>Gas Cost Balance Adjustment (GCBA) $/Mcf</t>
  </si>
  <si>
    <t>Gas Cost Balance Adjustment (GCBA) $/Ccf</t>
  </si>
  <si>
    <t>Refund Factor</t>
  </si>
  <si>
    <t>Refund Factor $/Mcf</t>
  </si>
  <si>
    <t>Refund Factor $/Ccf</t>
  </si>
  <si>
    <t>Ex E-1 1 of 2 Tab - Shareholder Portion of PBR Savings</t>
  </si>
  <si>
    <t>Company Share of PBR Savings or (Expenses) (CSPBR)</t>
  </si>
  <si>
    <t>PBRRC Factor</t>
  </si>
  <si>
    <t>TS Transport Factor</t>
  </si>
  <si>
    <t xml:space="preserve">Ex F-1 1 of 1 Tab - Gas Cost True-Up Charge Applicable to Customers </t>
  </si>
  <si>
    <t>Service Effective</t>
  </si>
  <si>
    <t>Component of GCAA</t>
  </si>
  <si>
    <t>Component of GCBA</t>
  </si>
  <si>
    <t>Component of PBRRC</t>
  </si>
  <si>
    <t>Applicable</t>
  </si>
  <si>
    <t xml:space="preserve">The purpose of the Gas Cost True-Up is to collect or refund any under- or over-collected gas costs incurred by transportation customers in previous quarters.  Pursuant to the Order dated December 20, 2012, in Case No. 2012-00222, the charge (or credit) applies only to those transportation customers that were previously Louisville Gas and Electric Company sales customers.  These under- or over-collected amounts (in the form of the GCAA, GCBA, and PBRRC) that transferring customers would have paid as sales customers will be applied for eighteen months.  </t>
  </si>
  <si>
    <t>Exhibit B</t>
  </si>
  <si>
    <t>Exhibit C</t>
  </si>
  <si>
    <t>Exhibit E</t>
  </si>
  <si>
    <t>Exhibit F</t>
  </si>
  <si>
    <t xml:space="preserve">The purpose of the PBRRC is to collect Louisville Gas and Electric Company's portion of the savings created under the gas supply cost PBR.  In accordance with the Order of the Commission in Case No. 2009-00550, LG&amp;E is making this filing.  </t>
  </si>
  <si>
    <t>Calculation of Gas Cost Actual Adjustment (GCAA)</t>
  </si>
  <si>
    <t xml:space="preserve">The purpose of this adjustment is to compensate for over- or under-recoveries which result from differences between various quarters' revenues collected to recover expected gas costs and the actual gas costs incurred during each such quarter.  </t>
  </si>
  <si>
    <t>(Over)/Under Recovery:</t>
  </si>
  <si>
    <t>GCAA Factor per 100 cubic feet:</t>
  </si>
  <si>
    <t>Therefore, the Gas Cost Actual Adjustment will be as follows:</t>
  </si>
  <si>
    <t>Current Quarter Actual Adjustment:</t>
  </si>
  <si>
    <t>Previous Quarter Actual Adjustment:</t>
  </si>
  <si>
    <r>
      <t>2</t>
    </r>
    <r>
      <rPr>
        <vertAlign val="superscript"/>
        <sz val="12"/>
        <rFont val="Times New Roman"/>
        <family val="1"/>
      </rPr>
      <t>nd</t>
    </r>
    <r>
      <rPr>
        <sz val="12"/>
        <rFont val="Times New Roman"/>
        <family val="1"/>
      </rPr>
      <t xml:space="preserve"> Previous Quarter Actual Adjustment</t>
    </r>
  </si>
  <si>
    <r>
      <t>3</t>
    </r>
    <r>
      <rPr>
        <vertAlign val="superscript"/>
        <sz val="12"/>
        <rFont val="Times New Roman"/>
        <family val="1"/>
      </rPr>
      <t>rd</t>
    </r>
    <r>
      <rPr>
        <sz val="12"/>
        <rFont val="Times New Roman"/>
        <family val="1"/>
      </rPr>
      <t xml:space="preserve"> Previous Quarter Actual Adjustment:</t>
    </r>
  </si>
  <si>
    <t>GCAA Factor $/Ccf</t>
  </si>
  <si>
    <t>Total Gas Cost Actual Adjustment (GCAA)</t>
  </si>
  <si>
    <t>•</t>
  </si>
  <si>
    <t>RATE NNS</t>
  </si>
  <si>
    <t>SYSTEM SUPPLY SOUTH-TO-NORTH PURCHASE PRICE PER MMBTU</t>
  </si>
  <si>
    <t>UNDER TEXAS GAS’S NO-NOTICE SERVICE RATE</t>
  </si>
  <si>
    <t>RATE FT</t>
  </si>
  <si>
    <t>SYSTEM SUPPLY NORTH-TO-SOUTH PURCHASE PRICE PER MMBTU</t>
  </si>
  <si>
    <t>UNDER TEXAS GAS’S FIRM TRANSPORTATION SERVICE RATE</t>
  </si>
  <si>
    <t>TOTAL ESTIMATED DELIVERED PRICE</t>
  </si>
  <si>
    <t>TRANSPORT CHARGE</t>
  </si>
  <si>
    <t>ESTIMATED PRICE AS DELIVERED TO TEXAS GAS</t>
  </si>
  <si>
    <t>MONTH</t>
  </si>
  <si>
    <t>UNDER TENNESSEE GAS'S FIRM TRANSPORTATION SERVICE RATE</t>
  </si>
  <si>
    <t>ESTIMATED PRICE AS DELIVERED TO TENNESSEE GAS</t>
  </si>
  <si>
    <t>RATE FT-A-2 TRANSPORT CHARGE</t>
  </si>
  <si>
    <t>RATE FT TRANSPORT CHARGE</t>
  </si>
  <si>
    <t>Rate FT and Rider PS-FT</t>
  </si>
  <si>
    <t>Any revenue collected from the application of these charges will flow directly into the Gas Supply Cost Actual Adjustment (“GCAA”) in future Gas Supply Clause filings.  Therefore, the revenue collected through application of these charges will reduce the total Gas Supply Cost Component (“GSCC”) charged to LG&amp;E’s sales customers.</t>
  </si>
  <si>
    <t>GAS SERVICE RATES EFFECTIVE WITH SERVICE</t>
  </si>
  <si>
    <t>February 1, 2021</t>
  </si>
  <si>
    <t>2020-00309</t>
  </si>
  <si>
    <t xml:space="preserve">   Plus, Purchased Gas: No Notice Storage Withdrawals</t>
  </si>
  <si>
    <t xml:space="preserve">   Purchased Gas: Retail Sales</t>
  </si>
  <si>
    <t xml:space="preserve">   Less, Purchased Gas: No Notice Storage Injections</t>
  </si>
  <si>
    <t xml:space="preserve">   Used in Electric Generation</t>
  </si>
  <si>
    <t xml:space="preserve">   Used for Start-up and Flame Stabilization</t>
  </si>
  <si>
    <t xml:space="preserve">   LAUFG for Transport Customers</t>
  </si>
  <si>
    <t xml:space="preserve">   Used by Other Departments</t>
  </si>
  <si>
    <t>TOTAL Purchases for Departments other than Gas Department</t>
  </si>
  <si>
    <t>TOTAL Mcf Purchases</t>
  </si>
  <si>
    <t>Forecast Delivery Sales - Mill Creek</t>
  </si>
  <si>
    <t>Forecast Delivery Sales</t>
  </si>
  <si>
    <t>TS Demand portion of Gas Purchases and End-User Transport Throughput</t>
  </si>
  <si>
    <t>Blue Cells = Formula Produced Cells</t>
  </si>
  <si>
    <t>2020-00401</t>
  </si>
  <si>
    <t>RATE RGS - RESIDENTIAL/RATE VFD - VOLUNTEER FIRE DEPARTMENT</t>
  </si>
  <si>
    <t>n/a</t>
  </si>
  <si>
    <t>2021-00130</t>
  </si>
  <si>
    <t>2021-00251</t>
  </si>
  <si>
    <t xml:space="preserve">  Gas Line Tracker Transmission Projects / Mcf Delivered</t>
  </si>
  <si>
    <t>Customer Deliveries Sales:  Mill Creek</t>
  </si>
  <si>
    <t>2021-00368</t>
  </si>
  <si>
    <t>2020 Rate Case</t>
  </si>
  <si>
    <t>Source: August 2021 Forecast</t>
  </si>
  <si>
    <t>Economic Relief Surcredit</t>
  </si>
  <si>
    <t>Gas supply disruptions, such as those caused by hurricanes or well freeze-offs, can affect prices.</t>
  </si>
  <si>
    <t xml:space="preserve">  Demand-Side Management Cost Recovery Mechanism / Mcf Delivered</t>
  </si>
  <si>
    <t>2021-00458</t>
  </si>
  <si>
    <t xml:space="preserve">REDACTED PAGE 7 OF 7 INCLUDED IN THE PDF </t>
  </si>
  <si>
    <t xml:space="preserve">REDACTED PAGE 6 OF 7 INCLUDED IN THE PDF </t>
  </si>
  <si>
    <t>RATE AAGS</t>
  </si>
  <si>
    <t>Multiplied by</t>
  </si>
  <si>
    <t>2022-00083</t>
  </si>
  <si>
    <t>Increased economic activity has increased the demand for natural gas in the U.S.</t>
  </si>
  <si>
    <t>Address</t>
  </si>
  <si>
    <t>ValueType</t>
  </si>
  <si>
    <t>Value</t>
  </si>
  <si>
    <t>2022-00180</t>
  </si>
  <si>
    <t>RETENTION 
(TO ZONE 2)</t>
  </si>
  <si>
    <t>RETENTION
(ZONE 4 TO 4)</t>
  </si>
  <si>
    <t>RATE NNS RETENTION 
(TO ZONE 4)</t>
  </si>
  <si>
    <t>February 1, 2023</t>
  </si>
  <si>
    <t>November 1, 2021 and November 1, 2022 is:</t>
  </si>
  <si>
    <t>All invoices are Confidential and are provided separately under seal.</t>
  </si>
  <si>
    <t>2022-00310</t>
  </si>
  <si>
    <t>Texas Gas Firm Transportation (Rate STF)</t>
  </si>
  <si>
    <t>Commodity Costs - Gas Supply Under NNS (South-to-North) (Line 1 x Line 47)</t>
  </si>
  <si>
    <t>Commodity Costs - Gas Supply Under Rate FT (North-to-South) (Line 2 x Line 48)</t>
  </si>
  <si>
    <t>Commodity Costs - Gas Supply Under Rate FT-A (Zone 0-2) (Line 4 x Line 50)</t>
  </si>
  <si>
    <t xml:space="preserve">    Plus:  Withdrawals from NNS Storage  (Line 6 x Line 47)</t>
  </si>
  <si>
    <t xml:space="preserve">    Less:  Purchases Injected into NNS Storage  (Line 7 x Line 45)</t>
  </si>
  <si>
    <t xml:space="preserve">    Less:  Purchases for Depts. Other Than Gas Dept.(Line 15 x Line 51)</t>
  </si>
  <si>
    <t xml:space="preserve">    Less:  Purchases Injected into LG&amp;E's Storage  (Line 16 x Line 51)</t>
  </si>
  <si>
    <t xml:space="preserve">    Plus:  LG&amp;E Storage Injections  (Line 37 above)</t>
  </si>
  <si>
    <t xml:space="preserve">    Less:  LG&amp;E Storage Withdrawals  (Line 21 x Line 52)</t>
  </si>
  <si>
    <t xml:space="preserve">    Less:  LG&amp;E Storage Losses  (Line 22 x Line 52)</t>
  </si>
  <si>
    <t>Gas Supply Expenses  (Line 38 + Line 42 + Line 43)</t>
  </si>
  <si>
    <t>Average Cost of Deliveries  (Line 35 / Line 12)</t>
  </si>
  <si>
    <t>Average Cost of Inventory - Including Injections (Line 41 / Line 20)</t>
  </si>
  <si>
    <t>Current Gas Supply Cost (Line 45 / Line 53)</t>
  </si>
  <si>
    <t>Total Expected Monthly Deliveries from TGT/TGPL to LG&amp;E  (Line 12 + Line 13)</t>
  </si>
  <si>
    <t>Mcf Purchases Expensed during Month  (Line 12 - Line 15 - Line 16)</t>
  </si>
  <si>
    <t xml:space="preserve">    Plus:  Storage Injections into LG&amp;E's Underground Storage  (Line 16)</t>
  </si>
  <si>
    <t>Mcf of Gas Supply Expensed during Month  (Line 17 + Line 21 + Line 22)</t>
  </si>
  <si>
    <t>Total Demand Cost - Including Transportation  (Line 14 x Line 46)</t>
  </si>
  <si>
    <t xml:space="preserve">    Less:  Demand Cost Recovered thru Rate TS-2  (Line 13 x Line 46)</t>
  </si>
  <si>
    <t>Production levels have increased somewhat to 95 Bcf/day.  Many producers are spending more to produce gas due to cost inflation.  Some producers have reduced capital spending on production to improve their balance sheets.</t>
  </si>
  <si>
    <t>Imports of natural gas via pipeline from Canada are about 6 Bcf/day.</t>
  </si>
  <si>
    <t>New pipeline infrastructure required to deliver natural gas supllies to the marketplace is growing at a slow pace due to regulatory and environmental challenges.</t>
  </si>
  <si>
    <t>Increasing gas-fired electric generation loads are impacting the demand for natural gas.</t>
  </si>
  <si>
    <t>¹ The weekly gas storage survey issued by the Energy Information Administration ("EIA") for the week ending September 16, 2022, indicated that storage inventory levels were 6.4% lower than last year's levels. Storage inventories across the nation are 197 Bcf (3,071 Bcf - 2,874 Bcf), or 6.4% lower this year than the same period one year ago.  Last year at this time, 3,071 Bcf was held in storage, while this year 2,874 Bcf is held in storage.  Storage inventories across the nation are 332 Bcf (3,206 Bcf - 2,874 Bcf), or 10.4%, lower this year than the five-year average. On average for the last five years at this time, 3,206 Bcf was held in storage. Higher storage inventory levels and the lack of demand for natural gas tend to drive natural gas prices lower.  Conversely, lower storage levels, interruptions of gas supply, or increases in demand for natural gas tend to cause increases in the expected price of natural gas.</t>
  </si>
  <si>
    <t>LG&amp;E is served by Texas Gas Transmission, LLC (“TGT”) pursuant to the terms of the transportation agreements under Rate Schedules NNS, FT, and STF.  LG&amp;E is served by Tennessee Gas Pipeline Company, LLC (“TGPL”) pursuant to the terms of a transportation agreement under Rate Schedule FT-A.  Both TGT and TGPL are subject to regulation by the Federal Energy Regulatory Commission (“FERC”).</t>
  </si>
  <si>
    <t xml:space="preserve">Set forth below are the commodity costs as delivered to LG&amp;E after giving effect to TGT’s and TGPL’s commodity charges for transporting the gas under Rates NNS, FT, STF and FT-A and the applicable retention percentages. </t>
  </si>
  <si>
    <t>RATE STF</t>
  </si>
  <si>
    <t>RETENTION
(ZONE 1 TO 4)</t>
  </si>
  <si>
    <t>UNDER TEXAS GAS’S SHORT-TERM FIRM SERVICE RATE</t>
  </si>
  <si>
    <t>The annual demand billings covering the 12 months from November 1, 2022 through October 31, 2023, for firm contracts with natural gas suppliers are currently expected to be $7,505,606.</t>
  </si>
  <si>
    <t>The demand-related supply costs applicable to the Utilization Charge for Daily Imbalances under Rate FT and Rider PS-FT applicable during the three-month period of November 1, 2022 through January 31, 2023 are set forth on Exhibit A, Page 2.</t>
  </si>
  <si>
    <t>Rate Schedule STF (Short-Term Firm: South-to-North)</t>
  </si>
  <si>
    <t>Firm Transportation Service (FT-A: South-to-North)</t>
  </si>
  <si>
    <t>RATE FT-A</t>
  </si>
  <si>
    <t>Expected Gas Supply Transported Under Texas' Rate STF (South-to-North)</t>
  </si>
  <si>
    <t>Commodity Costs - Gas Supply Under Texas Gas's Rate STF (South to North)</t>
  </si>
  <si>
    <t>Commodity Cost (per MMBtu) under Texas Gas's Rate STF (South-to-North)</t>
  </si>
  <si>
    <t>Commodity Costs - Gas Supply Under Rate STF (South-to-North) (Line 3 x Line 49)</t>
  </si>
  <si>
    <t>Expected  Annual  Deliveries from Pipeline Transporters in Mcf (including Rider TS-2)</t>
  </si>
  <si>
    <t>Average Demand Cost per Mcf (Line 7 / Line 8)</t>
  </si>
  <si>
    <t>UCDI Charge (Line 14 / Line 15 / 365 days)</t>
  </si>
  <si>
    <t>Effective October 1, 2022, the FERC ACA Unit Charge is $0.0015/MMBtu.</t>
  </si>
  <si>
    <t>Attached hereto as Exhibit A-1(a), Page 1, is the tariff sheet for No-Notice Service under Rate NNS which will be applicable on and after November 1, 2022.  The tariffed rates are as follows: (a) a daily demand charge of $0.4190/MMBtu, and (b) a commodity charge of $0.0629/MMBtu irrespective of the zone of receipt.</t>
  </si>
  <si>
    <t>The rates applicable to all three contracts for service under Rate Schedule NNS are a monthly demand charge of $12.7104/MMBtu and a volumetric throughput charge (“commodity charge”) of $0.0629/MMBtu irrespective of the zone of receipt.</t>
  </si>
  <si>
    <t>Attached hereto as Exhibit A-1(a), Pages 2 and 3, are the tariff sheets for transportation service under Rate FT which will be applicable on and after November 1, 2022.  Page 2 contains the tariff sheet which sets forth the TGT daily demand charges.  Page 3 contains the tariff sheet which sets forth the commodity charges.  The tariffed rates are as follows: (a) a daily demand charge of $0.1374/MMBtu, and (b) a commodity charge applicable to transportation from Zone 4 to Zone 4 of $0.0375/MMBtu.</t>
  </si>
  <si>
    <t>Exports of natural gas (by pipeline or as LNG) have grown year-over-year increasing the demand for natural gas.  LNG feed gas volumes were expected to surpass 14 Bcf/day in 2022, however, feed gas volumes are now about 12 Bcf/day because of the shut-down of the 2 Bcf/day Freeport LNG facility in Texas.  Freeport is expected to return to partial service in mid-November.  Exports of natural gas via pipeline to Mexico are about 6 Bcf/day.</t>
  </si>
  <si>
    <t>The rates applicable to service under this discounted rate agreement result in a monthly demand charge of $5.0676/MMBtu including the PS/GHG charge and a volumetric throughput charge (“commodity charge”) of $0.0415/MMBtu for deliveries from Zone 0 to Zone 2.</t>
  </si>
  <si>
    <t>On September 9, 2022, TGPL made its Compliance Filing to implement rates effective November 1, 2022, pursuant to the Settlement filed at FERC on April 4, 2019, in Docket No. RP19-351.  The April 4, 2019, Settlement supersedes in its entirety the settlement approved by FERC on July 1, 2015, in Docket No. RP15-990.  The 2019 Settlement provided for an immediate rate reduction of 8.5% effective November 1, 2019, with further reductions as follows: (1) a 2% reduction effective November 1, 2020, (2) an additional 2% reduction effective November 1, 2021, and (3) a 1% reduction effective November 1, 2022.  All rate reductions are expressed as percentages of the rates effective November 1, 2018.  The 2019 Settlement, approved by FERC on May 24, 2019, obviates the necessity of TGPL making a one-time filing of FERC Form No. 501-G as required by FERC Order 849.  FERC Order 849 was intended to assess the impact of the Tax Cuts and Jobs Act on the revenues and rates of natural gas pipelines.  The tariff sheets filed September 9, 2022 in RP19-351-006 also incorporate the revised Pipeline Safety and Green House Gas ("PS&amp;GHG") Surcharges as provided for in TGPL's settlements approved by FERC in Docket Nos. RP11-1566 and RP15-990.</t>
  </si>
  <si>
    <t>Attached hereto as Exhibit A-1(a), Page 4, is the tariff sheet for transportation service under Rate STF which will be applicable on and after November 1, 2022.  The tariffed rates are as follows: (a) a winter season daily demand charge of $0.4252/MMBtu, and (b) a commodity charge of $0.0523/MMBtu irrespective of the zone of receipt.</t>
  </si>
  <si>
    <t>National gas storage inventories are 6.4% lower compared to the same period one year ago, and 10.4% lower than the 5-year average. ¹  This is expected to increase demand for natural gas to refill storage during October and November.</t>
  </si>
  <si>
    <t>The average commodity cost of gas purchased from gas suppliers by LG&amp;E and delivered to TGT under the south-to-north NNS service is expected to be $7.1480 per MMBtu for November 2022, $7.3350 per MMBtu for December 2022, and $7.4770 per MMBtu for January 2023.  The average commodity cost of gas purchased from gas suppliers by LG&amp;E and delivered to TGT under the north-to-south FT service is expected to be $7.1160 per MMBtu for November 2022, $7.3030 per MMBtu for December 2022, and $7.4450 per MMBtu for January 2023.  The average commodity cost of gas purchased from gas suppliers by LG&amp;E and delivered to TGT under the south-to-north STF service is expected to be $7.1480 per MMBtu for November 2022, $7.3350 per MMBtu for December 2022, and $7.4770 per MMBtu for January 2023.The average commodity cost of gas purchased from gas suppliers by LG&amp;E and delivered to TGPL under Rate FT-A from its Zone 0 is expected to be $7.2220 per MMBtu for November 2022, $7.4090 per MMBtu for December 2022, and $7.5510 per MMBtu for January 2023.</t>
  </si>
  <si>
    <t>The average New York Mercantile Exchange (“NYMEX”) natural gas futures closes for September 21, 2022, September 22, 2022, and September 23, 2022, are $7.3370/MMBtu for November 2022, $7.5240/MMBtu for December 2022, and $7.660/MMBtu for January 2023.  The average of the NYMEX close for these three days has been used as a general price indicator.  The wholesale natural gas market is not price-regulated and is subject to the forces of supply and demand, as well as psychological factors that can affect the market.  Among the forces that are presumably affecting the price of natural gas are:</t>
  </si>
  <si>
    <t>The rates applicable to service under the negotiated rate agreement are the same as the tariffed rates and result in a monthly demand charge of $4.1793/MMBtu and a volumetric throughput charge (“commodity charge”) of $0.0375/MMBtu applicable to transportation from Zone 4 to Zone 4.</t>
  </si>
  <si>
    <t>The rates applicable to service under this agreement result in a monthly demand charge of $12.8410/MMBtu and a volumetric throughput charge (“commodity charge”) of $0.0523/MMBtu applicable to transportation from Zone 1 to Zone 4.</t>
  </si>
  <si>
    <t>Attached hereto as Exhibit A-1 (a), Pages 5 and 6, are the tariff sheet for transportation service under Rate FT-A, which are applicable as of November 1, 2022.  Page 5 contains the tariff sheet which sets forth the monthly demand charges and Page 6 contains the tariff sheet which sets forth the commodity charges.  The tariffed rates are as follows for deliveries from Zone 0 to Zone 2: (a) a monthly demand charge of $13.2440/MMBtu including the Pipeline Safety/Greenhouse Gas (PS/GHG) charge, and (b) a commodity charge of $0.0415/MMBtu.</t>
  </si>
  <si>
    <t>During the three-month period under review, November 1, 2022, through January 31, 2023, LG&amp;E estimates that its total purchases will be 11,556,341 MMBtu.  LG&amp;E expects that 5,127,841 MMBtu will be met with deliveries from TGT’s pipeline service under Rate NNS (3,401,841 MMBtu in pipeline south-to-north deliveries plus 1,726,000 MMBtu in storage withdrawals); 1,829,100 MMBtu from north-to-south deliveries under TGT’s pipeline service under Rate FT; 2,759,400 MMBtu from south-to-north deliveries under TGT’s pipeline service under  Rate STF; and 1,840,000 MMBtu will be met from deliveries under TGPL’s pipeline service under Rate FT-A from Zone 0.</t>
  </si>
  <si>
    <t>April 30, 2023</t>
  </si>
  <si>
    <t>August 2022</t>
  </si>
  <si>
    <t>October 2022</t>
  </si>
  <si>
    <t>May 1, 2023</t>
  </si>
  <si>
    <t>January 31, 2024</t>
  </si>
  <si>
    <t>May 1, 2023.</t>
  </si>
  <si>
    <t>2022-00421</t>
  </si>
  <si>
    <t>September includes prior month adjustment for August</t>
  </si>
  <si>
    <r>
      <t xml:space="preserve">Depts </t>
    </r>
    <r>
      <rPr>
        <vertAlign val="superscript"/>
        <sz val="12"/>
        <rFont val="Times New Roman"/>
        <family val="1"/>
      </rPr>
      <t>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</si>
</sst>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3">
    <numFmt numFmtId="5" formatCode="&quot;$&quot;#,##0_);\(&quot;$&quot;#,##0\)"/>
    <numFmt numFmtId="6" formatCode="&quot;$&quot;#,##0_);[Red]\(&quot;$&quot;#,##0\)"/>
    <numFmt numFmtId="7" formatCode="&quot;$&quot;#,##0.00_);\(&quot;$&quot;#,##0.00\)"/>
    <numFmt numFmtId="8" formatCode="&quot;$&quot;#,##0.00_);[Red]\(&quot;$&quot;#,##0.00\)"/>
    <numFmt numFmtId="41" formatCode="_(* #,##0_);_(* \(#,##0\);_(* &quot;-&quot;_);_(@_)"/>
    <numFmt numFmtId="44" formatCode="_(&quot;$&quot;* #,##0.00_);_(&quot;$&quot;* \(#,##0.00\);_(&quot;$&quot;* &quot;-&quot;??_);_(@_)"/>
    <numFmt numFmtId="43" formatCode="_(* #,##0.00_);_(* \(#,##0.00\);_(* &quot;-&quot;??_);_(@_)"/>
    <numFmt numFmtId="164" formatCode="0.0000_)"/>
    <numFmt numFmtId="165" formatCode="#,##0.000_);\(#,##0.000\)"/>
    <numFmt numFmtId="166" formatCode="#,##0.0000_);\(#,##0.0000\)"/>
    <numFmt numFmtId="167" formatCode="General_)"/>
    <numFmt numFmtId="168" formatCode="#,##0.00000_);\(#,##0.00000\)"/>
    <numFmt numFmtId="169" formatCode="0.00000"/>
    <numFmt numFmtId="170" formatCode="0.000_);\(0.000\)"/>
    <numFmt numFmtId="171" formatCode="0.0000_);\(0.0000\)"/>
    <numFmt numFmtId="172" formatCode="_(* #,##0.000_);_(* \(#,##0.000\);_(* &quot;-&quot;??_);_(@_)"/>
    <numFmt numFmtId="173" formatCode="&quot;$&quot;#,##0.0000_);\(&quot;$&quot;#,##0.0000\)"/>
    <numFmt numFmtId="174" formatCode="&quot;$&quot;#,##0.00"/>
    <numFmt numFmtId="175" formatCode="&quot;$&quot;#,##0.00000_);\(&quot;$&quot;#,##0.00000\)"/>
    <numFmt numFmtId="176" formatCode="_(* #,##0.0_);_(* \(#,##0.0\);_(* &quot;-&quot;??_);_(@_)"/>
    <numFmt numFmtId="177" formatCode="_(* #,##0_);_(* \(#,##0\);_(* &quot;-&quot;??_);_(@_)"/>
    <numFmt numFmtId="178" formatCode="&quot;$&quot;#,##0.0000"/>
    <numFmt numFmtId="179" formatCode="_(&quot;$&quot;* #,##0.0000_);_(&quot;$&quot;* \(#,##0.0000\);_(&quot;$&quot;* &quot;-&quot;??_);_(@_)"/>
    <numFmt numFmtId="180" formatCode="0_);\(0\)"/>
    <numFmt numFmtId="181" formatCode="[$-409]mmmm\ d\,\ yyyy;@"/>
    <numFmt numFmtId="182" formatCode="mmmm\ d\,\ yyyy"/>
    <numFmt numFmtId="183" formatCode="#,##0.0_);\(#,##0.0\)"/>
    <numFmt numFmtId="184" formatCode="&quot;$&quot;#,##0.00000"/>
    <numFmt numFmtId="185" formatCode="mmm\-yyyy"/>
    <numFmt numFmtId="186" formatCode="m/d/yy;@"/>
    <numFmt numFmtId="187" formatCode="[$-409]mmm\-yy;@"/>
    <numFmt numFmtId="188" formatCode="_(&quot;$&quot;* #,##0.00000_);_(&quot;$&quot;* \(#,##0.00000\);_(&quot;$&quot;* &quot;-&quot;??_);_(@_)"/>
    <numFmt numFmtId="189" formatCode="0.0000"/>
    <numFmt numFmtId="190" formatCode="_(* #,##0.000000_);_(* \(#,##0.000000\);_(* &quot;-&quot;??_);_(@_)"/>
    <numFmt numFmtId="191" formatCode="_(* #,##0.00000_);_(* \(#,##0.00000\);_(* &quot;-&quot;??_);_(@_)"/>
    <numFmt numFmtId="192" formatCode="[$-409]mmmm\-yy;@"/>
    <numFmt numFmtId="193" formatCode="&quot;$&quot;#,##0.0000_);[Red]\(&quot;$&quot;#,##0.0000\)"/>
    <numFmt numFmtId="194" formatCode="mmm\-yy_)"/>
    <numFmt numFmtId="195" formatCode="_(* #,##0.0_);_(* \(#,##0.0\);_(* &quot;-&quot;?_);_(@_)"/>
    <numFmt numFmtId="196" formatCode="#,##0.0"/>
    <numFmt numFmtId="197" formatCode="&quot;$&quot;#,##0"/>
    <numFmt numFmtId="198" formatCode="0.000%"/>
    <numFmt numFmtId="199" formatCode="0.000"/>
    <numFmt numFmtId="200" formatCode="#,##0.000000_);\(#,##0.000000\)"/>
    <numFmt numFmtId="201" formatCode="_(* #,##0.0_);_(* \(#,##0.0\);_(* &quot;0&quot;_);_(@_)"/>
    <numFmt numFmtId="202" formatCode="0.00000_)"/>
    <numFmt numFmtId="203" formatCode="_(* #,##0.0000_);_(* \(#,##0.0000\);_(* &quot;-&quot;??_);_(@_)"/>
    <numFmt numFmtId="204" formatCode="0.00000_);\(0.00000\)"/>
    <numFmt numFmtId="205" formatCode="&quot;$&quot;#,##0\ ;\(&quot;$&quot;#,##0\)"/>
    <numFmt numFmtId="206" formatCode="_([$€-2]* #,##0.00_);_([$€-2]* \(#,##0.00\);_([$€-2]* &quot;-&quot;??_)"/>
    <numFmt numFmtId="207" formatCode="_(&quot;$&quot;* #,##0.000000_);_(&quot;$&quot;* \(#,##0.000000\);_(&quot;$&quot;* &quot;-&quot;??_);_(@_)"/>
    <numFmt numFmtId="208" formatCode="_(&quot;$&quot;* #,##0.0000000_);_(&quot;$&quot;* \(#,##0.0000000\);_(&quot;$&quot;* &quot;-&quot;??_);_(@_)"/>
    <numFmt numFmtId="209" formatCode="_(&quot;$&quot;* #,##0_);_(&quot;$&quot;* \(#,##0\);_(&quot;$&quot;* &quot;-&quot;??_);_(@_)"/>
  </numFmts>
  <fonts count="75" x14ac:knownFonts="1">
    <font>
      <sz val="12"/>
      <name val="Helv"/>
    </font>
    <font>
      <sz val="11"/>
      <color theme="1"/>
      <name val="Calibri"/>
      <family val="2"/>
      <scheme val="minor"/>
    </font>
    <font>
      <sz val="10"/>
      <name val="Arial"/>
      <family val="2"/>
    </font>
    <font>
      <sz val="8"/>
      <name val="Helv"/>
    </font>
    <font>
      <sz val="10"/>
      <name val="Times New Roman"/>
      <family val="1"/>
    </font>
    <font>
      <sz val="11"/>
      <name val="Times New Roman"/>
      <family val="1"/>
    </font>
    <font>
      <sz val="12"/>
      <name val="Times New Roman"/>
      <family val="1"/>
    </font>
    <font>
      <sz val="8"/>
      <name val="Arial"/>
      <family val="2"/>
    </font>
    <font>
      <b/>
      <sz val="12"/>
      <name val="Times New Roman"/>
      <family val="1"/>
    </font>
    <font>
      <sz val="12"/>
      <name val="Helv"/>
    </font>
    <font>
      <b/>
      <sz val="14"/>
      <name val="Times New Roman"/>
      <family val="1"/>
    </font>
    <font>
      <sz val="14"/>
      <name val="Times New Roman"/>
      <family val="1"/>
    </font>
    <font>
      <sz val="12"/>
      <color indexed="12"/>
      <name val="Times New Roman"/>
      <family val="1"/>
    </font>
    <font>
      <b/>
      <sz val="10"/>
      <name val="Times New Roman"/>
      <family val="1"/>
    </font>
    <font>
      <b/>
      <sz val="11"/>
      <name val="Times New Roman"/>
      <family val="1"/>
    </font>
    <font>
      <sz val="18"/>
      <name val="Times New Roman"/>
      <family val="1"/>
    </font>
    <font>
      <u/>
      <sz val="11"/>
      <name val="Times New Roman"/>
      <family val="1"/>
    </font>
    <font>
      <u/>
      <sz val="12"/>
      <name val="Times New Roman"/>
      <family val="1"/>
    </font>
    <font>
      <b/>
      <u/>
      <sz val="12"/>
      <name val="Times New Roman"/>
      <family val="1"/>
    </font>
    <font>
      <sz val="12"/>
      <name val="Arial"/>
      <family val="2"/>
    </font>
    <font>
      <b/>
      <sz val="12"/>
      <name val="Arial"/>
      <family val="2"/>
    </font>
    <font>
      <sz val="14"/>
      <name val="Arial"/>
      <family val="2"/>
    </font>
    <font>
      <sz val="10"/>
      <color rgb="FF002060"/>
      <name val="Times New Roman"/>
      <family val="1"/>
    </font>
    <font>
      <sz val="12"/>
      <color rgb="FF002060"/>
      <name val="Times New Roman"/>
      <family val="1"/>
    </font>
    <font>
      <sz val="9"/>
      <color indexed="81"/>
      <name val="Tahoma"/>
      <family val="2"/>
    </font>
    <font>
      <sz val="11"/>
      <color theme="0"/>
      <name val="Calibri"/>
      <family val="2"/>
      <scheme val="minor"/>
    </font>
    <font>
      <b/>
      <u/>
      <sz val="14"/>
      <name val="Times New Roman"/>
      <family val="1"/>
    </font>
    <font>
      <u/>
      <sz val="14"/>
      <name val="Times New Roman"/>
      <family val="1"/>
    </font>
    <font>
      <b/>
      <u/>
      <sz val="11"/>
      <name val="Times New Roman"/>
      <family val="1"/>
    </font>
    <font>
      <vertAlign val="superscript"/>
      <sz val="12"/>
      <name val="Times New Roman"/>
      <family val="1"/>
    </font>
    <font>
      <sz val="10"/>
      <color indexed="12"/>
      <name val="Times New Roman"/>
      <family val="1"/>
    </font>
    <font>
      <sz val="14"/>
      <color rgb="FFFF0000"/>
      <name val="Times New Roman"/>
      <family val="1"/>
    </font>
    <font>
      <b/>
      <sz val="18"/>
      <name val="Times New Roman"/>
      <family val="1"/>
    </font>
    <font>
      <sz val="12"/>
      <color rgb="FFFF0000"/>
      <name val="Times New Roman"/>
      <family val="1"/>
    </font>
    <font>
      <u val="double"/>
      <sz val="12"/>
      <name val="Times New Roman"/>
      <family val="1"/>
    </font>
    <font>
      <i/>
      <sz val="12"/>
      <name val="Times New Roman"/>
      <family val="1"/>
    </font>
    <font>
      <b/>
      <sz val="20"/>
      <name val="Times New Roman"/>
      <family val="1"/>
    </font>
    <font>
      <sz val="14"/>
      <name val="Helv"/>
    </font>
    <font>
      <sz val="14"/>
      <color indexed="12"/>
      <name val="Times New Roman"/>
      <family val="1"/>
    </font>
    <font>
      <sz val="12"/>
      <color theme="1"/>
      <name val="Times New Roman"/>
      <family val="1"/>
    </font>
    <font>
      <b/>
      <u val="double"/>
      <sz val="14"/>
      <name val="Times New Roman"/>
      <family val="1"/>
    </font>
    <font>
      <sz val="11"/>
      <color rgb="FF0000FF"/>
      <name val="Times New Roman"/>
      <family val="1"/>
    </font>
    <font>
      <sz val="14"/>
      <color rgb="FF0000FF"/>
      <name val="Times New Roman"/>
      <family val="1"/>
    </font>
    <font>
      <sz val="12"/>
      <color rgb="FF0000FF"/>
      <name val="Times New Roman"/>
      <family val="1"/>
    </font>
    <font>
      <sz val="12"/>
      <color rgb="FFFF0000"/>
      <name val="Helv"/>
    </font>
    <font>
      <sz val="10"/>
      <color indexed="9"/>
      <name val="Arial"/>
      <family val="2"/>
    </font>
    <font>
      <b/>
      <sz val="10"/>
      <color indexed="9"/>
      <name val="Arial"/>
      <family val="2"/>
    </font>
    <font>
      <b/>
      <sz val="8"/>
      <color indexed="9"/>
      <name val="Arial"/>
      <family val="2"/>
    </font>
    <font>
      <b/>
      <sz val="8"/>
      <color indexed="8"/>
      <name val="Arial"/>
      <family val="2"/>
    </font>
    <font>
      <b/>
      <sz val="8"/>
      <color indexed="8"/>
      <name val="Courier New"/>
      <family val="3"/>
    </font>
    <font>
      <sz val="11"/>
      <color indexed="8"/>
      <name val="Calibri"/>
      <family val="2"/>
    </font>
    <font>
      <b/>
      <sz val="10"/>
      <name val="Arial"/>
      <family val="2"/>
    </font>
    <font>
      <b/>
      <sz val="14"/>
      <name val="Arial"/>
      <family val="2"/>
    </font>
    <font>
      <sz val="6"/>
      <name val="Arial"/>
      <family val="2"/>
    </font>
    <font>
      <b/>
      <sz val="11"/>
      <color indexed="62"/>
      <name val="Arial"/>
      <family val="2"/>
    </font>
    <font>
      <b/>
      <sz val="10"/>
      <color indexed="8"/>
      <name val="Arial"/>
      <family val="2"/>
    </font>
    <font>
      <sz val="8"/>
      <color theme="1"/>
      <name val="Arial"/>
      <family val="2"/>
    </font>
    <font>
      <sz val="10"/>
      <color indexed="8"/>
      <name val="Arial"/>
      <family val="2"/>
    </font>
    <font>
      <b/>
      <i/>
      <sz val="10"/>
      <color indexed="8"/>
      <name val="Arial"/>
      <family val="2"/>
    </font>
    <font>
      <b/>
      <i/>
      <sz val="22"/>
      <color indexed="8"/>
      <name val="Times New Roman"/>
      <family val="1"/>
    </font>
    <font>
      <b/>
      <sz val="12"/>
      <color indexed="8"/>
      <name val="Arial"/>
      <family val="2"/>
    </font>
    <font>
      <sz val="8"/>
      <color indexed="8"/>
      <name val="Arial"/>
      <family val="2"/>
    </font>
    <font>
      <sz val="8"/>
      <color indexed="12"/>
      <name val="Arial"/>
      <family val="2"/>
    </font>
    <font>
      <sz val="8"/>
      <color indexed="8"/>
      <name val="Wingdings"/>
      <charset val="2"/>
    </font>
    <font>
      <sz val="10"/>
      <color indexed="10"/>
      <name val="Arial"/>
      <family val="2"/>
    </font>
    <font>
      <sz val="12"/>
      <color rgb="FF000000"/>
      <name val="Times New Roman"/>
      <family val="1"/>
    </font>
    <font>
      <i/>
      <sz val="12"/>
      <color rgb="FFFF0000"/>
      <name val="Times New Roman"/>
      <family val="1"/>
    </font>
    <font>
      <u/>
      <sz val="12"/>
      <color rgb="FFFF0000"/>
      <name val="Times New Roman"/>
      <family val="1"/>
    </font>
    <font>
      <sz val="12"/>
      <color rgb="FF0000FF"/>
      <name val="Arial"/>
      <family val="2"/>
    </font>
    <font>
      <sz val="16"/>
      <name val="Times New Roman"/>
      <family val="1"/>
    </font>
    <font>
      <sz val="12"/>
      <color rgb="FF0066FF"/>
      <name val="Times New Roman"/>
      <family val="1"/>
    </font>
    <font>
      <u/>
      <sz val="12"/>
      <color rgb="FF0066FF"/>
      <name val="Times New Roman"/>
      <family val="1"/>
    </font>
    <font>
      <sz val="9"/>
      <name val="Times New Roman"/>
      <family val="1"/>
    </font>
    <font>
      <i/>
      <u/>
      <sz val="12"/>
      <color rgb="FFFF0000"/>
      <name val="Times New Roman"/>
      <family val="1"/>
    </font>
    <font>
      <b/>
      <sz val="36"/>
      <name val="Times New Roman"/>
      <family val="1"/>
    </font>
  </fonts>
  <fills count="30">
    <fill>
      <patternFill patternType="none"/>
    </fill>
    <fill>
      <patternFill patternType="gray125"/>
    </fill>
    <fill>
      <patternFill patternType="solid">
        <fgColor theme="9"/>
      </patternFill>
    </fill>
    <fill>
      <patternFill patternType="solid">
        <fgColor rgb="FFFFFF00"/>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indexed="9"/>
        <bgColor indexed="64"/>
      </patternFill>
    </fill>
    <fill>
      <patternFill patternType="solid">
        <fgColor indexed="25"/>
      </patternFill>
    </fill>
    <fill>
      <patternFill patternType="solid">
        <fgColor indexed="29"/>
      </patternFill>
    </fill>
    <fill>
      <patternFill patternType="solid">
        <fgColor indexed="24"/>
      </patternFill>
    </fill>
    <fill>
      <patternFill patternType="solid">
        <fgColor indexed="22"/>
      </patternFill>
    </fill>
    <fill>
      <patternFill patternType="solid">
        <fgColor indexed="47"/>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12"/>
      </patternFill>
    </fill>
    <fill>
      <patternFill patternType="solid">
        <fgColor indexed="9"/>
      </patternFill>
    </fill>
    <fill>
      <patternFill patternType="solid">
        <fgColor indexed="43"/>
      </patternFill>
    </fill>
    <fill>
      <patternFill patternType="solid">
        <fgColor theme="1"/>
        <bgColor indexed="64"/>
      </patternFill>
    </fill>
    <fill>
      <patternFill patternType="solid">
        <fgColor theme="8" tint="0.39997558519241921"/>
        <bgColor indexed="64"/>
      </patternFill>
    </fill>
    <fill>
      <patternFill patternType="solid">
        <fgColor rgb="FF92D050"/>
        <bgColor indexed="64"/>
      </patternFill>
    </fill>
    <fill>
      <patternFill patternType="solid">
        <fgColor theme="9" tint="0.39997558519241921"/>
        <bgColor indexed="64"/>
      </patternFill>
    </fill>
    <fill>
      <patternFill patternType="solid">
        <fgColor theme="7" tint="0.59999389629810485"/>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FFF99"/>
        <bgColor indexed="64"/>
      </patternFill>
    </fill>
    <fill>
      <patternFill patternType="solid">
        <fgColor theme="8" tint="0.59999389629810485"/>
        <bgColor indexed="64"/>
      </patternFill>
    </fill>
  </fills>
  <borders count="36">
    <border>
      <left/>
      <right/>
      <top/>
      <bottom/>
      <diagonal/>
    </border>
    <border>
      <left/>
      <right/>
      <top/>
      <bottom style="thin">
        <color indexed="8"/>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top/>
      <bottom style="medium">
        <color indexed="64"/>
      </bottom>
      <diagonal/>
    </border>
    <border>
      <left/>
      <right/>
      <top style="medium">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double">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auto="1"/>
      </top>
      <bottom style="thin">
        <color auto="1"/>
      </bottom>
      <diagonal/>
    </border>
    <border>
      <left/>
      <right/>
      <top/>
      <bottom style="thin">
        <color auto="1"/>
      </bottom>
      <diagonal/>
    </border>
    <border>
      <left/>
      <right style="thin">
        <color indexed="64"/>
      </right>
      <top/>
      <bottom style="thin">
        <color auto="1"/>
      </bottom>
      <diagonal/>
    </border>
    <border>
      <left/>
      <right/>
      <top/>
      <bottom style="medium">
        <color indexed="25"/>
      </bottom>
      <diagonal/>
    </border>
  </borders>
  <cellStyleXfs count="264">
    <xf numFmtId="167" fontId="0" fillId="0" borderId="0"/>
    <xf numFmtId="43" fontId="2" fillId="0" borderId="0" applyFont="0" applyFill="0" applyBorder="0" applyAlignment="0" applyProtection="0"/>
    <xf numFmtId="44" fontId="2" fillId="0" borderId="0" applyFont="0" applyFill="0" applyBorder="0" applyAlignment="0" applyProtection="0"/>
    <xf numFmtId="0" fontId="2" fillId="0" borderId="0"/>
    <xf numFmtId="0" fontId="9" fillId="0" borderId="0"/>
    <xf numFmtId="0" fontId="2" fillId="0" borderId="0"/>
    <xf numFmtId="0" fontId="25" fillId="2" borderId="0" applyNumberFormat="0" applyBorder="0" applyAlignment="0" applyProtection="0"/>
    <xf numFmtId="9" fontId="9" fillId="0" borderId="0" applyFont="0" applyFill="0" applyBorder="0" applyAlignment="0" applyProtection="0"/>
    <xf numFmtId="0" fontId="2" fillId="0" borderId="0"/>
    <xf numFmtId="0" fontId="2" fillId="0" borderId="0"/>
    <xf numFmtId="0" fontId="2" fillId="0" borderId="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8"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3" borderId="0" applyNumberFormat="0" applyBorder="0" applyAlignment="0" applyProtection="0"/>
    <xf numFmtId="0" fontId="45" fillId="17" borderId="0" applyNumberFormat="0" applyBorder="0" applyAlignment="0" applyProtection="0"/>
    <xf numFmtId="0" fontId="46" fillId="18" borderId="0">
      <alignment horizontal="left"/>
    </xf>
    <xf numFmtId="0" fontId="47" fillId="18" borderId="0">
      <alignment horizontal="right"/>
    </xf>
    <xf numFmtId="0" fontId="48" fillId="19" borderId="0">
      <alignment horizontal="center"/>
    </xf>
    <xf numFmtId="0" fontId="47" fillId="18" borderId="0">
      <alignment horizontal="right"/>
    </xf>
    <xf numFmtId="0" fontId="49" fillId="19" borderId="0">
      <alignment horizontal="left"/>
    </xf>
    <xf numFmtId="41"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205" fontId="2" fillId="0" borderId="0" applyFont="0" applyFill="0" applyBorder="0" applyAlignment="0" applyProtection="0"/>
    <xf numFmtId="205"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06" fontId="2" fillId="0" borderId="0" applyFont="0" applyFill="0" applyBorder="0" applyAlignment="0" applyProtection="0"/>
    <xf numFmtId="206" fontId="2" fillId="0" borderId="0" applyFont="0" applyFill="0" applyBorder="0" applyAlignment="0" applyProtection="0"/>
    <xf numFmtId="0" fontId="51" fillId="0" borderId="0" applyProtection="0"/>
    <xf numFmtId="0" fontId="4" fillId="0" borderId="0" applyProtection="0"/>
    <xf numFmtId="0" fontId="52" fillId="0" borderId="0" applyProtection="0"/>
    <xf numFmtId="0" fontId="7" fillId="0" borderId="0" applyProtection="0"/>
    <xf numFmtId="0" fontId="7" fillId="0" borderId="0" applyProtection="0"/>
    <xf numFmtId="0" fontId="2" fillId="0" borderId="0" applyProtection="0"/>
    <xf numFmtId="0" fontId="2" fillId="0" borderId="0" applyProtection="0"/>
    <xf numFmtId="0" fontId="51" fillId="0" borderId="0" applyProtection="0"/>
    <xf numFmtId="0" fontId="53" fillId="0" borderId="0" applyProtection="0"/>
    <xf numFmtId="2" fontId="2" fillId="0" borderId="0" applyFont="0" applyFill="0" applyBorder="0" applyAlignment="0" applyProtection="0"/>
    <xf numFmtId="2" fontId="2" fillId="0" borderId="0" applyFont="0" applyFill="0" applyBorder="0" applyAlignment="0" applyProtection="0"/>
    <xf numFmtId="0" fontId="54" fillId="0" borderId="35" applyNumberFormat="0" applyFill="0" applyAlignment="0" applyProtection="0"/>
    <xf numFmtId="0" fontId="46" fillId="18" borderId="0">
      <alignment horizontal="left"/>
    </xf>
    <xf numFmtId="0" fontId="55" fillId="19" borderId="0">
      <alignment horizontal="left"/>
    </xf>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6" fillId="0" borderId="0"/>
    <xf numFmtId="0" fontId="56" fillId="0" borderId="0"/>
    <xf numFmtId="0" fontId="5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57" fillId="7" borderId="0">
      <alignment horizontal="right"/>
    </xf>
    <xf numFmtId="0" fontId="58" fillId="7" borderId="0">
      <alignment horizontal="center" vertical="center"/>
    </xf>
    <xf numFmtId="0" fontId="55" fillId="7" borderId="6"/>
    <xf numFmtId="0" fontId="55" fillId="7" borderId="6"/>
    <xf numFmtId="0" fontId="58" fillId="7" borderId="0" applyBorder="0">
      <alignment horizontal="centerContinuous"/>
    </xf>
    <xf numFmtId="0" fontId="59" fillId="7" borderId="0" applyBorder="0">
      <alignment horizontal="centerContinuous"/>
    </xf>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5" fillId="20" borderId="0">
      <alignment horizontal="center"/>
    </xf>
    <xf numFmtId="49" fontId="60" fillId="19" borderId="0">
      <alignment horizontal="center"/>
    </xf>
    <xf numFmtId="0" fontId="47" fillId="18" borderId="0">
      <alignment horizontal="center"/>
    </xf>
    <xf numFmtId="0" fontId="47" fillId="18" borderId="0">
      <alignment horizontal="centerContinuous"/>
    </xf>
    <xf numFmtId="0" fontId="61" fillId="19" borderId="0">
      <alignment horizontal="left"/>
    </xf>
    <xf numFmtId="49" fontId="61" fillId="19" borderId="0">
      <alignment horizontal="center"/>
    </xf>
    <xf numFmtId="0" fontId="46" fillId="18" borderId="0">
      <alignment horizontal="left"/>
    </xf>
    <xf numFmtId="49" fontId="61" fillId="19" borderId="0">
      <alignment horizontal="left"/>
    </xf>
    <xf numFmtId="0" fontId="46" fillId="18" borderId="0">
      <alignment horizontal="centerContinuous"/>
    </xf>
    <xf numFmtId="0" fontId="46" fillId="18" borderId="0">
      <alignment horizontal="right"/>
    </xf>
    <xf numFmtId="49" fontId="55" fillId="19" borderId="0">
      <alignment horizontal="left"/>
    </xf>
    <xf numFmtId="0" fontId="47" fillId="18" borderId="0">
      <alignment horizontal="right"/>
    </xf>
    <xf numFmtId="0" fontId="61" fillId="12" borderId="0">
      <alignment horizontal="center"/>
    </xf>
    <xf numFmtId="0" fontId="62" fillId="12" borderId="0">
      <alignment horizont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3" fillId="19" borderId="0">
      <alignment horizontal="center"/>
    </xf>
    <xf numFmtId="0" fontId="64" fillId="0" borderId="0" applyNumberFormat="0" applyFill="0" applyBorder="0" applyAlignment="0" applyProtection="0"/>
  </cellStyleXfs>
  <cellXfs count="825">
    <xf numFmtId="167" fontId="0" fillId="0" borderId="0" xfId="0"/>
    <xf numFmtId="167" fontId="4" fillId="0" borderId="0" xfId="0" applyFont="1" applyFill="1"/>
    <xf numFmtId="167" fontId="5" fillId="0" borderId="0" xfId="0" applyFont="1" applyFill="1"/>
    <xf numFmtId="167" fontId="6" fillId="0" borderId="0" xfId="0" applyFont="1" applyFill="1"/>
    <xf numFmtId="0" fontId="6" fillId="0" borderId="0" xfId="3" applyFont="1" applyFill="1"/>
    <xf numFmtId="37" fontId="6" fillId="0" borderId="0" xfId="4" applyNumberFormat="1" applyFont="1" applyFill="1" applyAlignment="1"/>
    <xf numFmtId="167" fontId="6" fillId="0" borderId="0" xfId="0" applyFont="1"/>
    <xf numFmtId="186" fontId="6" fillId="0" borderId="0" xfId="0" applyNumberFormat="1" applyFont="1"/>
    <xf numFmtId="0" fontId="5" fillId="0" borderId="0" xfId="3" applyFont="1" applyFill="1"/>
    <xf numFmtId="0" fontId="11" fillId="0" borderId="0" xfId="3" applyFont="1" applyFill="1"/>
    <xf numFmtId="0" fontId="15" fillId="0" borderId="0" xfId="3" applyFont="1" applyFill="1"/>
    <xf numFmtId="167" fontId="6" fillId="0" borderId="0" xfId="0" quotePrefix="1" applyFont="1" applyFill="1" applyAlignment="1">
      <alignment horizontal="left"/>
    </xf>
    <xf numFmtId="167" fontId="11" fillId="0" borderId="0" xfId="0" applyFont="1" applyFill="1" applyProtection="1">
      <protection locked="0"/>
    </xf>
    <xf numFmtId="167" fontId="6" fillId="0" borderId="0" xfId="0" applyFont="1" applyFill="1" applyAlignment="1">
      <alignment horizontal="left"/>
    </xf>
    <xf numFmtId="167" fontId="6" fillId="0" borderId="0" xfId="0" applyFont="1" applyAlignment="1">
      <alignment horizontal="center"/>
    </xf>
    <xf numFmtId="169" fontId="6" fillId="0" borderId="0" xfId="0" applyNumberFormat="1" applyFont="1" applyFill="1"/>
    <xf numFmtId="167" fontId="8" fillId="0" borderId="0" xfId="0" applyFont="1" applyFill="1"/>
    <xf numFmtId="0" fontId="10" fillId="0" borderId="0" xfId="3" applyFont="1" applyFill="1" applyAlignment="1">
      <alignment horizontal="centerContinuous"/>
    </xf>
    <xf numFmtId="7" fontId="6" fillId="0" borderId="0" xfId="3" applyNumberFormat="1" applyFont="1" applyFill="1" applyBorder="1" applyProtection="1"/>
    <xf numFmtId="44" fontId="6" fillId="0" borderId="0" xfId="2" applyFont="1" applyFill="1"/>
    <xf numFmtId="174" fontId="8" fillId="0" borderId="0" xfId="1" applyNumberFormat="1" applyFont="1" applyFill="1" applyBorder="1" applyProtection="1"/>
    <xf numFmtId="168" fontId="5" fillId="0" borderId="0" xfId="3" applyNumberFormat="1" applyFont="1" applyFill="1" applyProtection="1"/>
    <xf numFmtId="44" fontId="5" fillId="0" borderId="0" xfId="2" applyFont="1" applyFill="1"/>
    <xf numFmtId="177" fontId="4" fillId="0" borderId="0" xfId="1" applyNumberFormat="1" applyFont="1" applyFill="1"/>
    <xf numFmtId="37" fontId="8" fillId="0" borderId="0" xfId="4" applyNumberFormat="1" applyFont="1" applyFill="1" applyAlignment="1"/>
    <xf numFmtId="167" fontId="19" fillId="0" borderId="0" xfId="0" applyFont="1"/>
    <xf numFmtId="167" fontId="19" fillId="0" borderId="0" xfId="0" applyFont="1" applyAlignment="1">
      <alignment horizontal="left"/>
    </xf>
    <xf numFmtId="167" fontId="19" fillId="0" borderId="0" xfId="0" applyFont="1" applyAlignment="1">
      <alignment horizontal="center"/>
    </xf>
    <xf numFmtId="167" fontId="6" fillId="0" borderId="7" xfId="0" applyFont="1" applyFill="1" applyBorder="1"/>
    <xf numFmtId="167" fontId="6" fillId="0" borderId="0" xfId="0" applyFont="1" applyFill="1" applyBorder="1"/>
    <xf numFmtId="0" fontId="22" fillId="0" borderId="0" xfId="5" applyFont="1" applyFill="1"/>
    <xf numFmtId="165" fontId="13" fillId="0" borderId="0" xfId="0" applyNumberFormat="1" applyFont="1" applyFill="1" applyBorder="1" applyProtection="1"/>
    <xf numFmtId="0" fontId="6" fillId="0" borderId="0" xfId="5" applyFont="1" applyFill="1"/>
    <xf numFmtId="0" fontId="6" fillId="0" borderId="0" xfId="5" applyFont="1" applyFill="1" applyAlignment="1">
      <alignment horizontal="right"/>
    </xf>
    <xf numFmtId="0" fontId="4" fillId="0" borderId="0" xfId="5" applyFont="1" applyFill="1"/>
    <xf numFmtId="0" fontId="4" fillId="0" borderId="0" xfId="5" applyFont="1" applyFill="1" applyBorder="1"/>
    <xf numFmtId="177" fontId="4" fillId="0" borderId="0" xfId="5" applyNumberFormat="1" applyFont="1" applyFill="1"/>
    <xf numFmtId="177" fontId="23" fillId="0" borderId="0" xfId="1" applyNumberFormat="1" applyFont="1" applyFill="1" applyBorder="1"/>
    <xf numFmtId="0" fontId="23" fillId="0" borderId="0" xfId="5" applyFont="1" applyFill="1" applyBorder="1"/>
    <xf numFmtId="7" fontId="6" fillId="0" borderId="0" xfId="3" applyNumberFormat="1" applyFont="1" applyFill="1" applyBorder="1"/>
    <xf numFmtId="167" fontId="6" fillId="0" borderId="12" xfId="0" applyFont="1" applyBorder="1" applyAlignment="1">
      <alignment horizontal="center"/>
    </xf>
    <xf numFmtId="167" fontId="6" fillId="0" borderId="12" xfId="0" applyFont="1" applyBorder="1" applyAlignment="1">
      <alignment horizontal="center" wrapText="1"/>
    </xf>
    <xf numFmtId="167" fontId="6" fillId="0" borderId="12" xfId="0" applyFont="1" applyFill="1" applyBorder="1" applyAlignment="1">
      <alignment horizontal="center" wrapText="1"/>
    </xf>
    <xf numFmtId="187" fontId="6" fillId="0" borderId="0" xfId="0" applyNumberFormat="1" applyFont="1"/>
    <xf numFmtId="167" fontId="6" fillId="0" borderId="12" xfId="0" applyFont="1" applyBorder="1" applyAlignment="1">
      <alignment horizontal="center"/>
    </xf>
    <xf numFmtId="167" fontId="6" fillId="0" borderId="0" xfId="0" quotePrefix="1" applyFont="1" applyBorder="1" applyAlignment="1">
      <alignment horizontal="center"/>
    </xf>
    <xf numFmtId="167" fontId="6" fillId="0" borderId="0" xfId="0" quotePrefix="1" applyFont="1" applyFill="1" applyBorder="1" applyAlignment="1">
      <alignment horizontal="center"/>
    </xf>
    <xf numFmtId="3" fontId="6" fillId="0" borderId="0" xfId="0" applyNumberFormat="1" applyFont="1" applyFill="1" applyAlignment="1">
      <alignment horizontal="right"/>
    </xf>
    <xf numFmtId="167" fontId="6" fillId="0" borderId="0" xfId="0" applyFont="1" applyFill="1" applyBorder="1" applyAlignment="1">
      <alignment horizontal="center"/>
    </xf>
    <xf numFmtId="37" fontId="11" fillId="0" borderId="0" xfId="0" applyNumberFormat="1" applyFont="1" applyFill="1" applyProtection="1"/>
    <xf numFmtId="49" fontId="6" fillId="0" borderId="0" xfId="0" applyNumberFormat="1" applyFont="1" applyFill="1" applyAlignment="1">
      <alignment horizontal="centerContinuous" vertical="center"/>
    </xf>
    <xf numFmtId="167" fontId="8" fillId="0" borderId="0" xfId="0" applyFont="1" applyFill="1" applyAlignment="1">
      <alignment horizontal="centerContinuous"/>
    </xf>
    <xf numFmtId="167" fontId="6" fillId="0" borderId="23" xfId="0" applyFont="1" applyFill="1" applyBorder="1"/>
    <xf numFmtId="167" fontId="8" fillId="0" borderId="0" xfId="0" applyFont="1" applyFill="1" applyAlignment="1">
      <alignment horizontal="left"/>
    </xf>
    <xf numFmtId="167" fontId="6" fillId="0" borderId="0" xfId="0" applyFont="1" applyFill="1" applyAlignment="1">
      <alignment horizontal="right"/>
    </xf>
    <xf numFmtId="37" fontId="6" fillId="0" borderId="0" xfId="0" applyNumberFormat="1" applyFont="1" applyFill="1" applyProtection="1"/>
    <xf numFmtId="191" fontId="6" fillId="0" borderId="0" xfId="1" applyNumberFormat="1" applyFont="1" applyFill="1"/>
    <xf numFmtId="167" fontId="18" fillId="0" borderId="0" xfId="0" applyFont="1" applyFill="1" applyAlignment="1">
      <alignment horizontal="left"/>
    </xf>
    <xf numFmtId="174" fontId="8" fillId="0" borderId="0" xfId="0" applyNumberFormat="1" applyFont="1" applyFill="1" applyBorder="1"/>
    <xf numFmtId="178" fontId="8" fillId="0" borderId="0" xfId="0" applyNumberFormat="1" applyFont="1" applyFill="1" applyBorder="1"/>
    <xf numFmtId="167" fontId="6" fillId="0" borderId="7" xfId="0" applyFont="1" applyFill="1" applyBorder="1" applyAlignment="1">
      <alignment horizontal="left"/>
    </xf>
    <xf numFmtId="49" fontId="6" fillId="0" borderId="0" xfId="0" applyNumberFormat="1" applyFont="1" applyFill="1" applyAlignment="1">
      <alignment horizontal="center" vertical="center"/>
    </xf>
    <xf numFmtId="167" fontId="8" fillId="0" borderId="0" xfId="0" applyFont="1" applyFill="1" applyAlignment="1">
      <alignment horizontal="right"/>
    </xf>
    <xf numFmtId="49" fontId="10" fillId="0" borderId="0" xfId="0" applyNumberFormat="1" applyFont="1" applyFill="1" applyAlignment="1">
      <alignment vertical="center"/>
    </xf>
    <xf numFmtId="167" fontId="8" fillId="0" borderId="0" xfId="0" applyFont="1" applyFill="1" applyAlignment="1"/>
    <xf numFmtId="6" fontId="6" fillId="0" borderId="0" xfId="0" applyNumberFormat="1" applyFont="1" applyFill="1" applyBorder="1"/>
    <xf numFmtId="167" fontId="6" fillId="0" borderId="8" xfId="0" applyFont="1" applyFill="1" applyBorder="1" applyAlignment="1">
      <alignment horizontal="center"/>
    </xf>
    <xf numFmtId="167" fontId="6" fillId="0" borderId="8" xfId="0" applyFont="1" applyFill="1" applyBorder="1" applyAlignment="1">
      <alignment horizontal="center" wrapText="1"/>
    </xf>
    <xf numFmtId="0" fontId="6" fillId="0" borderId="0" xfId="5" quotePrefix="1" applyFont="1" applyFill="1" applyAlignment="1">
      <alignment horizontal="right"/>
    </xf>
    <xf numFmtId="181" fontId="6" fillId="0" borderId="0" xfId="5" applyNumberFormat="1" applyFont="1" applyFill="1"/>
    <xf numFmtId="167" fontId="6" fillId="0" borderId="22" xfId="0" applyFont="1" applyFill="1" applyBorder="1"/>
    <xf numFmtId="167" fontId="6" fillId="0" borderId="26" xfId="0" applyFont="1" applyFill="1" applyBorder="1" applyAlignment="1">
      <alignment horizontal="center"/>
    </xf>
    <xf numFmtId="167" fontId="6" fillId="0" borderId="27" xfId="0" applyFont="1" applyFill="1" applyBorder="1" applyAlignment="1">
      <alignment horizontal="center"/>
    </xf>
    <xf numFmtId="167" fontId="6" fillId="0" borderId="22" xfId="0" quotePrefix="1" applyFont="1" applyFill="1" applyBorder="1" applyAlignment="1">
      <alignment horizontal="left"/>
    </xf>
    <xf numFmtId="5" fontId="6" fillId="0" borderId="0" xfId="4" applyNumberFormat="1" applyFont="1" applyFill="1" applyAlignment="1"/>
    <xf numFmtId="167" fontId="15" fillId="0" borderId="0" xfId="0" applyFont="1" applyFill="1"/>
    <xf numFmtId="0" fontId="4" fillId="0" borderId="20" xfId="5" applyFont="1" applyFill="1" applyBorder="1"/>
    <xf numFmtId="167" fontId="6" fillId="0" borderId="7" xfId="0" applyFont="1" applyBorder="1" applyAlignment="1">
      <alignment horizontal="center"/>
    </xf>
    <xf numFmtId="180" fontId="6" fillId="0" borderId="0" xfId="0" applyNumberFormat="1" applyFont="1" applyFill="1"/>
    <xf numFmtId="186" fontId="6" fillId="0" borderId="0" xfId="0" applyNumberFormat="1" applyFont="1" applyFill="1"/>
    <xf numFmtId="187" fontId="6" fillId="0" borderId="22" xfId="0" applyNumberFormat="1" applyFont="1" applyFill="1" applyBorder="1" applyAlignment="1">
      <alignment horizontal="center"/>
    </xf>
    <xf numFmtId="177" fontId="6" fillId="0" borderId="0" xfId="1" applyNumberFormat="1" applyFont="1" applyFill="1" applyBorder="1" applyAlignment="1">
      <alignment horizontal="center"/>
    </xf>
    <xf numFmtId="177" fontId="6" fillId="0" borderId="23" xfId="1" applyNumberFormat="1" applyFont="1" applyFill="1" applyBorder="1" applyAlignment="1">
      <alignment horizontal="center"/>
    </xf>
    <xf numFmtId="0" fontId="4" fillId="0" borderId="28" xfId="5" applyFont="1" applyFill="1" applyBorder="1"/>
    <xf numFmtId="5" fontId="6" fillId="0" borderId="0" xfId="0" applyNumberFormat="1" applyFont="1" applyFill="1"/>
    <xf numFmtId="181" fontId="19" fillId="0" borderId="0" xfId="0" applyNumberFormat="1" applyFont="1"/>
    <xf numFmtId="0" fontId="17" fillId="0" borderId="0" xfId="5" applyFont="1" applyFill="1"/>
    <xf numFmtId="192" fontId="12" fillId="0" borderId="0" xfId="0" applyNumberFormat="1" applyFont="1" applyFill="1"/>
    <xf numFmtId="167" fontId="11" fillId="0" borderId="0" xfId="0" applyFont="1" applyFill="1" applyAlignment="1">
      <alignment horizontal="centerContinuous"/>
    </xf>
    <xf numFmtId="165" fontId="5" fillId="0" borderId="0" xfId="0" applyNumberFormat="1" applyFont="1" applyFill="1" applyProtection="1"/>
    <xf numFmtId="167" fontId="0" fillId="0" borderId="0" xfId="0" applyFill="1"/>
    <xf numFmtId="5" fontId="6" fillId="0" borderId="0" xfId="0" applyNumberFormat="1" applyFont="1" applyFill="1" applyProtection="1"/>
    <xf numFmtId="167" fontId="6" fillId="0" borderId="12" xfId="0" applyFont="1" applyFill="1" applyBorder="1" applyAlignment="1">
      <alignment horizontal="center"/>
    </xf>
    <xf numFmtId="6" fontId="6" fillId="0" borderId="0" xfId="0" applyNumberFormat="1" applyFont="1" applyFill="1"/>
    <xf numFmtId="167" fontId="6" fillId="0" borderId="24" xfId="0" applyFont="1" applyFill="1" applyBorder="1"/>
    <xf numFmtId="167" fontId="6" fillId="0" borderId="8" xfId="0" applyFont="1" applyFill="1" applyBorder="1"/>
    <xf numFmtId="177" fontId="8" fillId="0" borderId="25" xfId="1" applyNumberFormat="1" applyFont="1" applyFill="1" applyBorder="1"/>
    <xf numFmtId="37" fontId="6" fillId="0" borderId="7" xfId="0" applyNumberFormat="1" applyFont="1" applyFill="1" applyBorder="1" applyProtection="1"/>
    <xf numFmtId="193" fontId="8" fillId="0" borderId="0" xfId="0" applyNumberFormat="1" applyFont="1" applyFill="1" applyBorder="1"/>
    <xf numFmtId="173" fontId="6" fillId="0" borderId="0" xfId="0" applyNumberFormat="1" applyFont="1" applyFill="1" applyProtection="1"/>
    <xf numFmtId="193" fontId="8" fillId="0" borderId="14" xfId="0" applyNumberFormat="1" applyFont="1" applyFill="1" applyBorder="1"/>
    <xf numFmtId="7" fontId="6" fillId="0" borderId="0" xfId="3" applyNumberFormat="1" applyFont="1" applyFill="1" applyBorder="1" applyAlignment="1">
      <alignment horizontal="center"/>
    </xf>
    <xf numFmtId="177" fontId="6" fillId="0" borderId="0" xfId="1" applyNumberFormat="1" applyFont="1" applyFill="1"/>
    <xf numFmtId="177" fontId="11" fillId="0" borderId="0" xfId="1" applyNumberFormat="1" applyFont="1" applyFill="1" applyAlignment="1">
      <alignment horizontal="centerContinuous"/>
    </xf>
    <xf numFmtId="167" fontId="11" fillId="0" borderId="0" xfId="0" applyFont="1" applyFill="1" applyAlignment="1"/>
    <xf numFmtId="177" fontId="11" fillId="0" borderId="0" xfId="1" applyNumberFormat="1" applyFont="1" applyFill="1" applyAlignment="1"/>
    <xf numFmtId="167" fontId="6" fillId="0" borderId="0" xfId="0" quotePrefix="1" applyFont="1" applyFill="1" applyAlignment="1">
      <alignment horizontal="center" wrapText="1"/>
    </xf>
    <xf numFmtId="167" fontId="6" fillId="0" borderId="0" xfId="0" quotePrefix="1" applyFont="1" applyFill="1"/>
    <xf numFmtId="167" fontId="6" fillId="0" borderId="0" xfId="0" applyFont="1" applyFill="1" applyAlignment="1">
      <alignment horizontal="center" wrapText="1"/>
    </xf>
    <xf numFmtId="177" fontId="6" fillId="0" borderId="0" xfId="1" applyNumberFormat="1" applyFont="1" applyFill="1" applyAlignment="1">
      <alignment horizontal="center" wrapText="1"/>
    </xf>
    <xf numFmtId="177" fontId="6" fillId="0" borderId="7" xfId="1" applyNumberFormat="1" applyFont="1" applyFill="1" applyBorder="1" applyAlignment="1">
      <alignment horizontal="center" wrapText="1"/>
    </xf>
    <xf numFmtId="177" fontId="6" fillId="0" borderId="0" xfId="1" quotePrefix="1" applyNumberFormat="1" applyFont="1" applyFill="1" applyAlignment="1">
      <alignment horizontal="center" wrapText="1"/>
    </xf>
    <xf numFmtId="185" fontId="6" fillId="0" borderId="0" xfId="0" quotePrefix="1" applyNumberFormat="1" applyFont="1" applyFill="1" applyAlignment="1">
      <alignment horizontal="center"/>
    </xf>
    <xf numFmtId="179" fontId="6" fillId="0" borderId="0" xfId="2" applyNumberFormat="1" applyFont="1" applyFill="1"/>
    <xf numFmtId="179" fontId="6" fillId="0" borderId="7" xfId="2" applyNumberFormat="1" applyFont="1" applyFill="1" applyBorder="1"/>
    <xf numFmtId="185" fontId="6" fillId="0" borderId="0" xfId="0" quotePrefix="1" applyNumberFormat="1" applyFont="1" applyFill="1"/>
    <xf numFmtId="167" fontId="17" fillId="0" borderId="0" xfId="0" applyFont="1" applyFill="1" applyAlignment="1">
      <alignment horizontal="center"/>
    </xf>
    <xf numFmtId="187" fontId="6" fillId="0" borderId="5" xfId="5" applyNumberFormat="1" applyFont="1" applyFill="1" applyBorder="1" applyAlignment="1">
      <alignment horizontal="center"/>
    </xf>
    <xf numFmtId="187" fontId="6" fillId="0" borderId="0" xfId="0" applyNumberFormat="1" applyFont="1" applyFill="1"/>
    <xf numFmtId="167" fontId="9" fillId="0" borderId="0" xfId="0" applyFont="1" applyFill="1"/>
    <xf numFmtId="167" fontId="6" fillId="0" borderId="0" xfId="0" applyFont="1" applyAlignment="1">
      <alignment horizontal="center"/>
    </xf>
    <xf numFmtId="167" fontId="6" fillId="0" borderId="16" xfId="0" applyFont="1" applyBorder="1" applyAlignment="1">
      <alignment horizontal="center"/>
    </xf>
    <xf numFmtId="167" fontId="6" fillId="0" borderId="30" xfId="0" applyFont="1" applyBorder="1" applyAlignment="1">
      <alignment horizontal="center"/>
    </xf>
    <xf numFmtId="167" fontId="6" fillId="0" borderId="31" xfId="0" applyFont="1" applyBorder="1" applyAlignment="1">
      <alignment horizontal="center"/>
    </xf>
    <xf numFmtId="167" fontId="6" fillId="0" borderId="0" xfId="0" quotePrefix="1" applyFont="1" applyAlignment="1">
      <alignment horizontal="center"/>
    </xf>
    <xf numFmtId="192" fontId="6" fillId="0" borderId="0" xfId="0" applyNumberFormat="1" applyFont="1"/>
    <xf numFmtId="176" fontId="6" fillId="0" borderId="0" xfId="1" applyNumberFormat="1" applyFont="1" applyAlignment="1">
      <alignment horizontal="right"/>
    </xf>
    <xf numFmtId="176" fontId="6" fillId="0" borderId="0" xfId="0" applyNumberFormat="1" applyFont="1"/>
    <xf numFmtId="176" fontId="6" fillId="4" borderId="0" xfId="0" applyNumberFormat="1" applyFont="1" applyFill="1"/>
    <xf numFmtId="177" fontId="6" fillId="0" borderId="0" xfId="5" applyNumberFormat="1" applyFont="1" applyFill="1" applyBorder="1"/>
    <xf numFmtId="167" fontId="6" fillId="3" borderId="0" xfId="0" applyFont="1" applyFill="1"/>
    <xf numFmtId="167" fontId="28" fillId="0" borderId="0" xfId="0" applyFont="1" applyFill="1" applyAlignment="1">
      <alignment horizontal="centerContinuous"/>
    </xf>
    <xf numFmtId="167" fontId="5" fillId="0" borderId="0" xfId="0" applyFont="1" applyFill="1" applyAlignment="1">
      <alignment horizontal="centerContinuous"/>
    </xf>
    <xf numFmtId="167" fontId="5" fillId="0" borderId="1" xfId="0" applyFont="1" applyFill="1" applyBorder="1"/>
    <xf numFmtId="167" fontId="5" fillId="0" borderId="1" xfId="0" applyFont="1" applyFill="1" applyBorder="1" applyAlignment="1">
      <alignment horizontal="left"/>
    </xf>
    <xf numFmtId="167" fontId="5" fillId="0" borderId="1" xfId="0" applyFont="1" applyFill="1" applyBorder="1" applyAlignment="1">
      <alignment horizontal="center"/>
    </xf>
    <xf numFmtId="167" fontId="5" fillId="0" borderId="0" xfId="0" applyFont="1" applyFill="1" applyAlignment="1">
      <alignment horizontal="left"/>
    </xf>
    <xf numFmtId="167" fontId="5" fillId="0" borderId="7" xfId="0" applyFont="1" applyFill="1" applyBorder="1" applyAlignment="1">
      <alignment horizontal="center"/>
    </xf>
    <xf numFmtId="172" fontId="5" fillId="0" borderId="0" xfId="1" applyNumberFormat="1" applyFont="1" applyFill="1"/>
    <xf numFmtId="167" fontId="5" fillId="0" borderId="0" xfId="0" applyFont="1" applyFill="1" applyBorder="1"/>
    <xf numFmtId="181" fontId="6" fillId="0" borderId="0" xfId="0" applyNumberFormat="1" applyFont="1" applyAlignment="1">
      <alignment horizontal="left"/>
    </xf>
    <xf numFmtId="167" fontId="6" fillId="0" borderId="0" xfId="0" applyFont="1" applyAlignment="1">
      <alignment horizontal="left"/>
    </xf>
    <xf numFmtId="167" fontId="6" fillId="0" borderId="1" xfId="0" applyFont="1" applyFill="1" applyBorder="1" applyAlignment="1">
      <alignment horizontal="center" wrapText="1"/>
    </xf>
    <xf numFmtId="167" fontId="6" fillId="0" borderId="0" xfId="0" applyFont="1" applyFill="1" applyBorder="1" applyAlignment="1">
      <alignment horizontal="center" wrapText="1"/>
    </xf>
    <xf numFmtId="185" fontId="6" fillId="0" borderId="0" xfId="5" applyNumberFormat="1" applyFont="1" applyFill="1" applyBorder="1" applyAlignment="1">
      <alignment horizontal="center"/>
    </xf>
    <xf numFmtId="37" fontId="4" fillId="0" borderId="0" xfId="0" applyNumberFormat="1" applyFont="1" applyFill="1" applyProtection="1"/>
    <xf numFmtId="185" fontId="6" fillId="0" borderId="0" xfId="0" applyNumberFormat="1" applyFont="1" applyFill="1" applyAlignment="1">
      <alignment horizontal="center"/>
    </xf>
    <xf numFmtId="5" fontId="6" fillId="0" borderId="0" xfId="0" applyNumberFormat="1" applyFont="1" applyFill="1" applyBorder="1"/>
    <xf numFmtId="3" fontId="30" fillId="0" borderId="0" xfId="0" applyNumberFormat="1" applyFont="1" applyFill="1" applyAlignment="1">
      <alignment horizontal="center"/>
    </xf>
    <xf numFmtId="5" fontId="6" fillId="0" borderId="7" xfId="0" applyNumberFormat="1" applyFont="1" applyFill="1" applyBorder="1"/>
    <xf numFmtId="187" fontId="6" fillId="0" borderId="0" xfId="5" applyNumberFormat="1" applyFont="1" applyFill="1" applyBorder="1" applyAlignment="1">
      <alignment horizontal="center"/>
    </xf>
    <xf numFmtId="185" fontId="4" fillId="0" borderId="0" xfId="0" applyNumberFormat="1" applyFont="1" applyFill="1" applyAlignment="1">
      <alignment horizontal="left"/>
    </xf>
    <xf numFmtId="37" fontId="4" fillId="0" borderId="0" xfId="0" applyNumberFormat="1" applyFont="1" applyFill="1" applyBorder="1" applyProtection="1"/>
    <xf numFmtId="0" fontId="6" fillId="0" borderId="0" xfId="0" applyNumberFormat="1" applyFont="1" applyFill="1" applyAlignment="1">
      <alignment horizontal="left"/>
    </xf>
    <xf numFmtId="175" fontId="6" fillId="0" borderId="0" xfId="0" applyNumberFormat="1" applyFont="1" applyFill="1" applyProtection="1"/>
    <xf numFmtId="167" fontId="29" fillId="0" borderId="0" xfId="0" applyFont="1" applyFill="1" applyAlignment="1">
      <alignment horizontal="left"/>
    </xf>
    <xf numFmtId="5" fontId="6" fillId="0" borderId="0" xfId="0" applyNumberFormat="1" applyFont="1" applyFill="1" applyAlignment="1">
      <alignment horizontal="right"/>
    </xf>
    <xf numFmtId="7" fontId="6" fillId="0" borderId="0" xfId="0" applyNumberFormat="1" applyFont="1" applyFill="1" applyAlignment="1">
      <alignment horizontal="right"/>
    </xf>
    <xf numFmtId="173" fontId="6" fillId="0" borderId="0" xfId="0" applyNumberFormat="1" applyFont="1" applyFill="1" applyAlignment="1">
      <alignment horizontal="center"/>
    </xf>
    <xf numFmtId="5" fontId="6" fillId="0" borderId="0" xfId="0" applyNumberFormat="1" applyFont="1" applyFill="1" applyAlignment="1">
      <alignment horizontal="center"/>
    </xf>
    <xf numFmtId="0" fontId="6" fillId="0" borderId="1" xfId="3" applyFont="1" applyFill="1" applyBorder="1" applyAlignment="1">
      <alignment horizontal="center"/>
    </xf>
    <xf numFmtId="37" fontId="6" fillId="0" borderId="0" xfId="3" applyNumberFormat="1" applyFont="1" applyFill="1" applyAlignment="1" applyProtection="1">
      <alignment horizontal="center"/>
    </xf>
    <xf numFmtId="0" fontId="6" fillId="0" borderId="0" xfId="3" applyFont="1" applyFill="1" applyBorder="1" applyAlignment="1">
      <alignment horizontal="right"/>
    </xf>
    <xf numFmtId="189" fontId="6" fillId="0" borderId="0" xfId="3" applyNumberFormat="1" applyFont="1" applyFill="1"/>
    <xf numFmtId="176" fontId="6" fillId="0" borderId="0" xfId="1" applyNumberFormat="1" applyFont="1" applyFill="1" applyProtection="1"/>
    <xf numFmtId="7" fontId="6" fillId="0" borderId="0" xfId="2" applyNumberFormat="1" applyFont="1" applyFill="1" applyProtection="1"/>
    <xf numFmtId="44" fontId="6" fillId="0" borderId="0" xfId="2" applyFont="1" applyFill="1" applyProtection="1"/>
    <xf numFmtId="187" fontId="6" fillId="0" borderId="0" xfId="3" applyNumberFormat="1" applyFont="1" applyFill="1"/>
    <xf numFmtId="0" fontId="6" fillId="0" borderId="0" xfId="3" applyFont="1" applyFill="1" applyAlignment="1">
      <alignment horizontal="left"/>
    </xf>
    <xf numFmtId="168" fontId="6" fillId="0" borderId="0" xfId="3" applyNumberFormat="1" applyFont="1" applyFill="1" applyProtection="1"/>
    <xf numFmtId="37" fontId="5" fillId="0" borderId="0" xfId="4" applyNumberFormat="1" applyFont="1" applyFill="1" applyAlignment="1"/>
    <xf numFmtId="37" fontId="5" fillId="0" borderId="0" xfId="4" applyNumberFormat="1" applyFont="1" applyFill="1" applyBorder="1" applyAlignment="1"/>
    <xf numFmtId="37" fontId="5" fillId="0" borderId="0" xfId="4" applyNumberFormat="1" applyFont="1" applyFill="1" applyAlignment="1">
      <alignment horizontal="center"/>
    </xf>
    <xf numFmtId="37" fontId="5" fillId="0" borderId="0" xfId="4" applyNumberFormat="1" applyFont="1" applyFill="1" applyBorder="1" applyAlignment="1">
      <alignment horizontal="center"/>
    </xf>
    <xf numFmtId="0" fontId="6" fillId="0" borderId="0" xfId="3" applyFont="1" applyFill="1" applyBorder="1" applyAlignment="1">
      <alignment horizontal="center"/>
    </xf>
    <xf numFmtId="37" fontId="6" fillId="0" borderId="0" xfId="1" applyNumberFormat="1" applyFont="1" applyFill="1" applyBorder="1" applyAlignment="1"/>
    <xf numFmtId="167" fontId="11" fillId="0" borderId="0" xfId="0" applyFont="1" applyFill="1"/>
    <xf numFmtId="167" fontId="10" fillId="0" borderId="0" xfId="0" applyFont="1" applyFill="1" applyAlignment="1"/>
    <xf numFmtId="167" fontId="11" fillId="0" borderId="0" xfId="0" applyFont="1" applyFill="1" applyAlignment="1">
      <alignment horizontal="right"/>
    </xf>
    <xf numFmtId="37" fontId="11" fillId="0" borderId="0" xfId="0" applyNumberFormat="1" applyFont="1" applyFill="1"/>
    <xf numFmtId="167" fontId="11" fillId="0" borderId="0" xfId="0" applyFont="1" applyFill="1" applyBorder="1"/>
    <xf numFmtId="167" fontId="10" fillId="0" borderId="0" xfId="0" applyFont="1" applyFill="1" applyAlignment="1">
      <alignment horizontal="left" vertical="top" textRotation="180"/>
    </xf>
    <xf numFmtId="167" fontId="10" fillId="0" borderId="0" xfId="0" applyFont="1" applyFill="1"/>
    <xf numFmtId="187" fontId="6" fillId="0" borderId="7" xfId="0" applyNumberFormat="1" applyFont="1" applyFill="1" applyBorder="1" applyAlignment="1">
      <alignment horizontal="center"/>
    </xf>
    <xf numFmtId="7" fontId="6" fillId="0" borderId="7" xfId="0" applyNumberFormat="1" applyFont="1" applyFill="1" applyBorder="1" applyAlignment="1">
      <alignment horizontal="center" wrapText="1"/>
    </xf>
    <xf numFmtId="49" fontId="6" fillId="0" borderId="0" xfId="0" applyNumberFormat="1" applyFont="1" applyFill="1"/>
    <xf numFmtId="43" fontId="6" fillId="0" borderId="0" xfId="1" applyFont="1" applyFill="1"/>
    <xf numFmtId="187" fontId="6" fillId="0" borderId="0" xfId="0" quotePrefix="1" applyNumberFormat="1" applyFont="1" applyFill="1" applyBorder="1" applyAlignment="1">
      <alignment horizontal="center"/>
    </xf>
    <xf numFmtId="7" fontId="6" fillId="0" borderId="0" xfId="0" applyNumberFormat="1" applyFont="1" applyFill="1"/>
    <xf numFmtId="187" fontId="6" fillId="0" borderId="0" xfId="0" applyNumberFormat="1" applyFont="1" applyFill="1" applyAlignment="1">
      <alignment horizontal="center"/>
    </xf>
    <xf numFmtId="173" fontId="6" fillId="0" borderId="0" xfId="0" applyNumberFormat="1" applyFont="1" applyFill="1"/>
    <xf numFmtId="177" fontId="6" fillId="0" borderId="0" xfId="1" applyNumberFormat="1" applyFont="1" applyFill="1" applyAlignment="1">
      <alignment horizontal="right"/>
    </xf>
    <xf numFmtId="177" fontId="6" fillId="0" borderId="0" xfId="1" applyNumberFormat="1" applyFont="1" applyFill="1" applyBorder="1"/>
    <xf numFmtId="167" fontId="6" fillId="0" borderId="0" xfId="0" applyFont="1" applyFill="1" applyAlignment="1">
      <alignment horizontal="left" vertical="top"/>
    </xf>
    <xf numFmtId="49" fontId="6" fillId="0" borderId="0" xfId="0" applyNumberFormat="1" applyFont="1" applyFill="1" applyAlignment="1">
      <alignment horizontal="right" vertical="top"/>
    </xf>
    <xf numFmtId="7" fontId="6" fillId="0" borderId="0" xfId="0" applyNumberFormat="1" applyFont="1" applyFill="1" applyAlignment="1">
      <alignment horizontal="center"/>
    </xf>
    <xf numFmtId="187" fontId="6" fillId="0" borderId="0" xfId="0" quotePrefix="1" applyNumberFormat="1" applyFont="1" applyFill="1" applyAlignment="1">
      <alignment horizontal="center"/>
    </xf>
    <xf numFmtId="177" fontId="6" fillId="0" borderId="0" xfId="0" applyNumberFormat="1" applyFont="1" applyFill="1"/>
    <xf numFmtId="187" fontId="6" fillId="0" borderId="0" xfId="0" applyNumberFormat="1" applyFont="1" applyFill="1" applyAlignment="1">
      <alignment horizontal="right"/>
    </xf>
    <xf numFmtId="177" fontId="6" fillId="0" borderId="0" xfId="0" applyNumberFormat="1" applyFont="1" applyFill="1" applyAlignment="1">
      <alignment horizontal="right"/>
    </xf>
    <xf numFmtId="167" fontId="11" fillId="0" borderId="0" xfId="0" applyFont="1" applyFill="1" applyBorder="1" applyAlignment="1">
      <alignment horizontal="center"/>
    </xf>
    <xf numFmtId="0" fontId="18" fillId="0" borderId="0" xfId="5" applyFont="1" applyFill="1" applyAlignment="1"/>
    <xf numFmtId="37" fontId="6" fillId="0" borderId="0" xfId="0" applyNumberFormat="1" applyFont="1" applyFill="1"/>
    <xf numFmtId="43" fontId="6" fillId="0" borderId="0" xfId="0" applyNumberFormat="1" applyFont="1" applyFill="1"/>
    <xf numFmtId="167" fontId="32" fillId="0" borderId="0" xfId="0" applyFont="1" applyFill="1"/>
    <xf numFmtId="167" fontId="6" fillId="0" borderId="0" xfId="0" applyNumberFormat="1" applyFont="1" applyFill="1"/>
    <xf numFmtId="167" fontId="6" fillId="0" borderId="0" xfId="0" applyNumberFormat="1" applyFont="1" applyFill="1" applyBorder="1" applyAlignment="1">
      <alignment horizontal="center"/>
    </xf>
    <xf numFmtId="43" fontId="6" fillId="0" borderId="0" xfId="0" applyNumberFormat="1" applyFont="1" applyFill="1" applyBorder="1" applyAlignment="1">
      <alignment horizontal="center"/>
    </xf>
    <xf numFmtId="167" fontId="6" fillId="0" borderId="7" xfId="0" applyNumberFormat="1" applyFont="1" applyFill="1" applyBorder="1"/>
    <xf numFmtId="167" fontId="6" fillId="0" borderId="7" xfId="0" applyNumberFormat="1" applyFont="1" applyFill="1" applyBorder="1" applyAlignment="1">
      <alignment horizontal="center"/>
    </xf>
    <xf numFmtId="43" fontId="6" fillId="0" borderId="7" xfId="0" applyNumberFormat="1" applyFont="1" applyFill="1" applyBorder="1" applyAlignment="1">
      <alignment horizontal="center"/>
    </xf>
    <xf numFmtId="167" fontId="6" fillId="0" borderId="0" xfId="0" quotePrefix="1" applyNumberFormat="1" applyFont="1" applyFill="1" applyAlignment="1">
      <alignment horizontal="center"/>
    </xf>
    <xf numFmtId="167" fontId="6" fillId="0" borderId="0" xfId="0" applyNumberFormat="1" applyFont="1" applyFill="1" applyAlignment="1">
      <alignment horizontal="center"/>
    </xf>
    <xf numFmtId="43" fontId="6" fillId="0" borderId="0" xfId="0" applyNumberFormat="1" applyFont="1" applyFill="1" applyAlignment="1">
      <alignment horizontal="center"/>
    </xf>
    <xf numFmtId="167" fontId="6" fillId="0" borderId="0" xfId="0" applyNumberFormat="1" applyFont="1" applyFill="1" applyAlignment="1">
      <alignment horizontal="right"/>
    </xf>
    <xf numFmtId="8" fontId="6" fillId="0" borderId="0" xfId="0" applyNumberFormat="1" applyFont="1" applyFill="1" applyAlignment="1">
      <alignment horizontal="right"/>
    </xf>
    <xf numFmtId="194" fontId="6" fillId="0" borderId="0" xfId="0" applyNumberFormat="1" applyFont="1" applyFill="1"/>
    <xf numFmtId="183" fontId="6" fillId="0" borderId="0" xfId="0" applyNumberFormat="1" applyFont="1" applyFill="1" applyProtection="1"/>
    <xf numFmtId="193" fontId="6" fillId="0" borderId="0" xfId="0" applyNumberFormat="1" applyFont="1" applyFill="1" applyAlignment="1">
      <alignment horizontal="center"/>
    </xf>
    <xf numFmtId="8" fontId="6" fillId="0" borderId="0" xfId="0" applyNumberFormat="1" applyFont="1" applyFill="1" applyBorder="1" applyAlignment="1">
      <alignment horizontal="right"/>
    </xf>
    <xf numFmtId="0" fontId="6" fillId="0" borderId="0" xfId="0" applyNumberFormat="1" applyFont="1" applyFill="1"/>
    <xf numFmtId="183" fontId="6" fillId="0" borderId="29" xfId="0" applyNumberFormat="1" applyFont="1" applyFill="1" applyBorder="1" applyAlignment="1">
      <alignment horizontal="right"/>
    </xf>
    <xf numFmtId="166" fontId="6" fillId="0" borderId="29" xfId="0" applyNumberFormat="1" applyFont="1" applyFill="1" applyBorder="1" applyAlignment="1">
      <alignment horizontal="center"/>
    </xf>
    <xf numFmtId="183" fontId="6" fillId="0" borderId="29" xfId="0" applyNumberFormat="1" applyFont="1" applyFill="1" applyBorder="1" applyAlignment="1">
      <alignment horizontal="center"/>
    </xf>
    <xf numFmtId="167" fontId="18" fillId="0" borderId="0" xfId="0" applyFont="1" applyFill="1" applyAlignment="1">
      <alignment horizontal="centerContinuous"/>
    </xf>
    <xf numFmtId="167" fontId="6" fillId="0" borderId="0" xfId="0" applyFont="1" applyFill="1" applyAlignment="1">
      <alignment horizontal="centerContinuous"/>
    </xf>
    <xf numFmtId="175" fontId="5" fillId="0" borderId="0" xfId="0" applyNumberFormat="1" applyFont="1" applyFill="1" applyProtection="1"/>
    <xf numFmtId="7" fontId="5" fillId="0" borderId="0" xfId="0" applyNumberFormat="1" applyFont="1" applyFill="1" applyProtection="1"/>
    <xf numFmtId="169" fontId="5" fillId="0" borderId="0" xfId="0" applyNumberFormat="1" applyFont="1" applyFill="1" applyProtection="1"/>
    <xf numFmtId="169" fontId="5" fillId="0" borderId="0" xfId="0" applyNumberFormat="1" applyFont="1" applyFill="1"/>
    <xf numFmtId="188" fontId="5" fillId="0" borderId="0" xfId="2" applyNumberFormat="1" applyFont="1" applyFill="1"/>
    <xf numFmtId="169" fontId="5" fillId="0" borderId="0" xfId="0" applyNumberFormat="1" applyFont="1" applyFill="1" applyAlignment="1">
      <alignment horizontal="centerContinuous"/>
    </xf>
    <xf numFmtId="167" fontId="28" fillId="0" borderId="0" xfId="0" applyFont="1" applyFill="1"/>
    <xf numFmtId="167" fontId="16" fillId="0" borderId="0" xfId="0" applyFont="1" applyFill="1" applyAlignment="1">
      <alignment horizontal="center"/>
    </xf>
    <xf numFmtId="173" fontId="5" fillId="0" borderId="0" xfId="0" applyNumberFormat="1" applyFont="1" applyFill="1" applyProtection="1"/>
    <xf numFmtId="167" fontId="6" fillId="0" borderId="1" xfId="0" applyFont="1" applyFill="1" applyBorder="1"/>
    <xf numFmtId="167" fontId="34" fillId="0" borderId="0" xfId="0" applyFont="1" applyFill="1"/>
    <xf numFmtId="167" fontId="17" fillId="0" borderId="0" xfId="0" applyFont="1" applyFill="1"/>
    <xf numFmtId="167" fontId="17" fillId="0" borderId="0" xfId="0" applyFont="1" applyFill="1" applyAlignment="1">
      <alignment horizontal="left"/>
    </xf>
    <xf numFmtId="167" fontId="34" fillId="0" borderId="0" xfId="0" applyFont="1" applyFill="1" applyAlignment="1">
      <alignment horizontal="left"/>
    </xf>
    <xf numFmtId="167" fontId="35" fillId="0" borderId="0" xfId="0" applyFont="1" applyFill="1"/>
    <xf numFmtId="9" fontId="6" fillId="0" borderId="0" xfId="0" applyNumberFormat="1" applyFont="1" applyFill="1" applyProtection="1"/>
    <xf numFmtId="167" fontId="6" fillId="0" borderId="7" xfId="0" quotePrefix="1" applyFont="1" applyFill="1" applyBorder="1"/>
    <xf numFmtId="167" fontId="33" fillId="0" borderId="0" xfId="0" applyFont="1" applyFill="1"/>
    <xf numFmtId="177" fontId="6" fillId="3" borderId="0" xfId="0" applyNumberFormat="1" applyFont="1" applyFill="1"/>
    <xf numFmtId="165" fontId="5" fillId="0" borderId="0" xfId="0" applyNumberFormat="1" applyFont="1" applyFill="1" applyBorder="1" applyProtection="1"/>
    <xf numFmtId="166" fontId="6" fillId="0" borderId="0" xfId="0" applyNumberFormat="1" applyFont="1" applyFill="1" applyBorder="1" applyProtection="1"/>
    <xf numFmtId="7" fontId="15" fillId="0" borderId="0" xfId="0" applyNumberFormat="1" applyFont="1" applyFill="1"/>
    <xf numFmtId="173" fontId="6" fillId="0" borderId="0" xfId="0" applyNumberFormat="1" applyFont="1" applyFill="1" applyAlignment="1" applyProtection="1"/>
    <xf numFmtId="173" fontId="8" fillId="0" borderId="0" xfId="0" applyNumberFormat="1" applyFont="1" applyFill="1" applyAlignment="1" applyProtection="1"/>
    <xf numFmtId="197" fontId="6" fillId="0" borderId="0" xfId="1" applyNumberFormat="1" applyFont="1" applyFill="1" applyBorder="1" applyAlignment="1" applyProtection="1">
      <alignment horizontal="center"/>
    </xf>
    <xf numFmtId="6" fontId="6" fillId="0" borderId="0" xfId="0" applyNumberFormat="1" applyFont="1" applyFill="1" applyAlignment="1">
      <alignment horizontal="right"/>
    </xf>
    <xf numFmtId="6" fontId="6" fillId="0" borderId="0" xfId="0" applyNumberFormat="1" applyFont="1" applyFill="1" applyBorder="1" applyAlignment="1">
      <alignment horizontal="right"/>
    </xf>
    <xf numFmtId="6" fontId="6" fillId="0" borderId="29" xfId="0" applyNumberFormat="1" applyFont="1" applyFill="1" applyBorder="1" applyAlignment="1">
      <alignment horizontal="right"/>
    </xf>
    <xf numFmtId="167" fontId="0" fillId="0" borderId="0" xfId="0" applyFont="1" applyFill="1"/>
    <xf numFmtId="167" fontId="6" fillId="0" borderId="0" xfId="0" applyFont="1" applyFill="1" applyAlignment="1"/>
    <xf numFmtId="0" fontId="6" fillId="0" borderId="0" xfId="3" applyFont="1" applyFill="1" applyAlignment="1"/>
    <xf numFmtId="49" fontId="8" fillId="0" borderId="0" xfId="0" applyNumberFormat="1" applyFont="1" applyFill="1" applyAlignment="1">
      <alignment horizontal="centerContinuous" vertical="center"/>
    </xf>
    <xf numFmtId="166" fontId="6" fillId="0" borderId="0" xfId="0" applyNumberFormat="1" applyFont="1" applyFill="1" applyAlignment="1" applyProtection="1"/>
    <xf numFmtId="171" fontId="6" fillId="0" borderId="7" xfId="0" applyNumberFormat="1" applyFont="1" applyFill="1" applyBorder="1" applyAlignment="1"/>
    <xf numFmtId="0" fontId="8" fillId="0" borderId="0" xfId="5" applyFont="1" applyFill="1"/>
    <xf numFmtId="0" fontId="8" fillId="0" borderId="28" xfId="5" applyFont="1" applyFill="1" applyBorder="1" applyAlignment="1">
      <alignment horizontal="center" wrapText="1"/>
    </xf>
    <xf numFmtId="0" fontId="13" fillId="0" borderId="0" xfId="5" applyFont="1" applyFill="1" applyBorder="1"/>
    <xf numFmtId="177" fontId="4" fillId="0" borderId="0" xfId="1" applyNumberFormat="1" applyFont="1" applyFill="1" applyBorder="1"/>
    <xf numFmtId="177" fontId="13" fillId="0" borderId="0" xfId="5" applyNumberFormat="1" applyFont="1" applyFill="1" applyBorder="1"/>
    <xf numFmtId="43" fontId="6" fillId="0" borderId="0" xfId="0" applyNumberFormat="1" applyFont="1" applyFill="1" applyAlignment="1">
      <alignment horizontal="right"/>
    </xf>
    <xf numFmtId="192" fontId="6" fillId="0" borderId="0" xfId="0" quotePrefix="1" applyNumberFormat="1" applyFont="1"/>
    <xf numFmtId="5" fontId="6" fillId="0" borderId="0" xfId="0" applyNumberFormat="1" applyFont="1" applyFill="1" applyAlignment="1" applyProtection="1">
      <alignment horizontal="right"/>
    </xf>
    <xf numFmtId="175" fontId="6" fillId="0" borderId="0" xfId="0" applyNumberFormat="1" applyFont="1" applyFill="1"/>
    <xf numFmtId="181" fontId="6" fillId="0" borderId="0" xfId="0" applyNumberFormat="1" applyFont="1" applyFill="1"/>
    <xf numFmtId="0" fontId="29" fillId="0" borderId="0" xfId="0" applyNumberFormat="1" applyFont="1" applyFill="1"/>
    <xf numFmtId="200" fontId="4" fillId="0" borderId="0" xfId="0" applyNumberFormat="1" applyFont="1" applyFill="1" applyBorder="1" applyProtection="1"/>
    <xf numFmtId="185" fontId="6" fillId="0" borderId="0" xfId="3" applyNumberFormat="1" applyFont="1" applyFill="1" applyAlignment="1">
      <alignment horizontal="center"/>
    </xf>
    <xf numFmtId="166" fontId="4" fillId="0" borderId="0" xfId="0" applyNumberFormat="1" applyFont="1" applyFill="1" applyBorder="1" applyProtection="1"/>
    <xf numFmtId="167" fontId="11" fillId="0" borderId="0" xfId="0" applyFont="1"/>
    <xf numFmtId="167" fontId="37" fillId="0" borderId="0" xfId="0" applyFont="1"/>
    <xf numFmtId="8" fontId="11" fillId="0" borderId="0" xfId="0" applyNumberFormat="1" applyFont="1" applyFill="1"/>
    <xf numFmtId="169" fontId="38" fillId="0" borderId="0" xfId="0" applyNumberFormat="1" applyFont="1" applyFill="1"/>
    <xf numFmtId="2" fontId="11" fillId="0" borderId="0" xfId="0" applyNumberFormat="1" applyFont="1" applyFill="1"/>
    <xf numFmtId="167" fontId="38" fillId="0" borderId="0" xfId="0" applyFont="1" applyFill="1"/>
    <xf numFmtId="169" fontId="11" fillId="0" borderId="0" xfId="0" applyNumberFormat="1" applyFont="1"/>
    <xf numFmtId="10" fontId="11" fillId="0" borderId="0" xfId="7" applyNumberFormat="1" applyFont="1"/>
    <xf numFmtId="198" fontId="38" fillId="0" borderId="0" xfId="0" applyNumberFormat="1" applyFont="1" applyFill="1"/>
    <xf numFmtId="9" fontId="11" fillId="0" borderId="0" xfId="0" applyNumberFormat="1" applyFont="1" applyFill="1"/>
    <xf numFmtId="2" fontId="10" fillId="0" borderId="25" xfId="0" applyNumberFormat="1" applyFont="1" applyFill="1" applyBorder="1"/>
    <xf numFmtId="44" fontId="10" fillId="0" borderId="25" xfId="2" applyNumberFormat="1" applyFont="1" applyFill="1" applyBorder="1"/>
    <xf numFmtId="10" fontId="10" fillId="0" borderId="25" xfId="0" quotePrefix="1" applyNumberFormat="1" applyFont="1" applyFill="1" applyBorder="1"/>
    <xf numFmtId="10" fontId="10" fillId="0" borderId="25" xfId="7" applyNumberFormat="1" applyFont="1" applyFill="1" applyBorder="1"/>
    <xf numFmtId="185" fontId="11" fillId="0" borderId="0" xfId="0" applyNumberFormat="1" applyFont="1" applyFill="1"/>
    <xf numFmtId="169" fontId="11" fillId="0" borderId="0" xfId="0" applyNumberFormat="1" applyFont="1" applyFill="1"/>
    <xf numFmtId="169" fontId="10" fillId="0" borderId="0" xfId="0" applyNumberFormat="1" applyFont="1" applyFill="1"/>
    <xf numFmtId="10" fontId="10" fillId="0" borderId="0" xfId="7" applyNumberFormat="1" applyFont="1" applyFill="1"/>
    <xf numFmtId="10" fontId="10" fillId="5" borderId="0" xfId="7" applyNumberFormat="1" applyFont="1" applyFill="1"/>
    <xf numFmtId="199" fontId="10" fillId="0" borderId="0" xfId="0" applyNumberFormat="1" applyFont="1" applyFill="1"/>
    <xf numFmtId="199" fontId="11" fillId="0" borderId="0" xfId="0" applyNumberFormat="1" applyFont="1" applyFill="1"/>
    <xf numFmtId="44" fontId="10" fillId="5" borderId="0" xfId="2" applyFont="1" applyFill="1"/>
    <xf numFmtId="189" fontId="11" fillId="0" borderId="0" xfId="0" applyNumberFormat="1" applyFont="1" applyFill="1"/>
    <xf numFmtId="10" fontId="11" fillId="0" borderId="0" xfId="0" applyNumberFormat="1" applyFont="1" applyFill="1"/>
    <xf numFmtId="49" fontId="8" fillId="0" borderId="0" xfId="0" applyNumberFormat="1" applyFont="1" applyFill="1" applyAlignment="1">
      <alignment horizontal="center" vertical="center"/>
    </xf>
    <xf numFmtId="167" fontId="6" fillId="0" borderId="0" xfId="0" applyFont="1" applyFill="1" applyAlignment="1">
      <alignment wrapText="1"/>
    </xf>
    <xf numFmtId="187" fontId="6" fillId="0" borderId="2" xfId="5" applyNumberFormat="1" applyFont="1" applyFill="1" applyBorder="1" applyAlignment="1">
      <alignment horizontal="center"/>
    </xf>
    <xf numFmtId="177" fontId="6" fillId="0" borderId="4" xfId="5" applyNumberFormat="1" applyFont="1" applyFill="1" applyBorder="1" applyAlignment="1">
      <alignment horizontal="center"/>
    </xf>
    <xf numFmtId="177" fontId="6" fillId="0" borderId="6" xfId="5" applyNumberFormat="1" applyFont="1" applyFill="1" applyBorder="1" applyAlignment="1">
      <alignment horizontal="center"/>
    </xf>
    <xf numFmtId="0" fontId="6" fillId="0" borderId="5" xfId="5" applyFont="1" applyFill="1" applyBorder="1"/>
    <xf numFmtId="0" fontId="6" fillId="0" borderId="0" xfId="5" applyFont="1" applyFill="1" applyBorder="1" applyAlignment="1">
      <alignment horizontal="center"/>
    </xf>
    <xf numFmtId="0" fontId="6" fillId="0" borderId="6" xfId="5" applyFont="1" applyFill="1" applyBorder="1" applyAlignment="1">
      <alignment horizontal="center"/>
    </xf>
    <xf numFmtId="0" fontId="13" fillId="0" borderId="10" xfId="5" applyFont="1" applyFill="1" applyBorder="1"/>
    <xf numFmtId="177" fontId="8" fillId="0" borderId="7" xfId="5" applyNumberFormat="1" applyFont="1" applyFill="1" applyBorder="1" applyAlignment="1">
      <alignment horizontal="center"/>
    </xf>
    <xf numFmtId="177" fontId="8" fillId="0" borderId="25" xfId="5" applyNumberFormat="1" applyFont="1" applyFill="1" applyBorder="1" applyAlignment="1">
      <alignment horizontal="center"/>
    </xf>
    <xf numFmtId="0" fontId="6" fillId="0" borderId="1" xfId="3" applyFont="1" applyFill="1" applyBorder="1" applyAlignment="1">
      <alignment horizontal="center" wrapText="1"/>
    </xf>
    <xf numFmtId="5" fontId="6" fillId="0" borderId="0" xfId="0" applyNumberFormat="1" applyFont="1" applyFill="1" applyBorder="1" applyAlignment="1">
      <alignment horizontal="center"/>
    </xf>
    <xf numFmtId="0" fontId="6" fillId="0" borderId="7" xfId="3" applyFont="1" applyFill="1" applyBorder="1" applyAlignment="1">
      <alignment horizontal="center"/>
    </xf>
    <xf numFmtId="5" fontId="6" fillId="0" borderId="3" xfId="0" applyNumberFormat="1" applyFont="1" applyFill="1" applyBorder="1" applyAlignment="1" applyProtection="1">
      <alignment horizontal="right"/>
    </xf>
    <xf numFmtId="167" fontId="33" fillId="0" borderId="0" xfId="0" applyFont="1"/>
    <xf numFmtId="0" fontId="8" fillId="0" borderId="12" xfId="5" applyFont="1" applyFill="1" applyBorder="1" applyAlignment="1">
      <alignment horizontal="center" wrapText="1"/>
    </xf>
    <xf numFmtId="0" fontId="8" fillId="0" borderId="12" xfId="5" quotePrefix="1" applyFont="1" applyFill="1" applyBorder="1" applyAlignment="1">
      <alignment horizontal="center" wrapText="1"/>
    </xf>
    <xf numFmtId="0" fontId="6" fillId="0" borderId="7" xfId="3" applyFont="1" applyFill="1" applyBorder="1" applyAlignment="1">
      <alignment horizontal="center" wrapText="1"/>
    </xf>
    <xf numFmtId="167" fontId="6" fillId="0" borderId="1" xfId="3" applyNumberFormat="1" applyFont="1" applyFill="1" applyBorder="1" applyAlignment="1">
      <alignment horizontal="center" wrapText="1"/>
    </xf>
    <xf numFmtId="0" fontId="8" fillId="0" borderId="0" xfId="3" applyFont="1" applyFill="1" applyAlignment="1"/>
    <xf numFmtId="167" fontId="39" fillId="0" borderId="0" xfId="0" applyFont="1" applyFill="1"/>
    <xf numFmtId="0" fontId="6" fillId="0" borderId="0" xfId="3" applyFont="1" applyFill="1" applyAlignment="1">
      <alignment horizontal="center"/>
    </xf>
    <xf numFmtId="0" fontId="8" fillId="0" borderId="0" xfId="3" applyFont="1" applyFill="1" applyAlignment="1">
      <alignment horizontal="center"/>
    </xf>
    <xf numFmtId="37" fontId="8" fillId="0" borderId="0" xfId="4" applyNumberFormat="1" applyFont="1" applyFill="1" applyAlignment="1">
      <alignment horizontal="center"/>
    </xf>
    <xf numFmtId="37" fontId="6" fillId="0" borderId="0" xfId="0" applyNumberFormat="1" applyFont="1" applyFill="1" applyAlignment="1" applyProtection="1">
      <alignment horizontal="right"/>
    </xf>
    <xf numFmtId="167" fontId="5" fillId="0" borderId="0" xfId="0" applyFont="1" applyFill="1" applyAlignment="1">
      <alignment horizontal="center"/>
    </xf>
    <xf numFmtId="0" fontId="6" fillId="0" borderId="0" xfId="5" applyFont="1" applyFill="1" applyAlignment="1">
      <alignment horizontal="center"/>
    </xf>
    <xf numFmtId="167" fontId="33" fillId="0" borderId="0" xfId="0" applyFont="1" applyFill="1" applyAlignment="1">
      <alignment horizontal="left"/>
    </xf>
    <xf numFmtId="178" fontId="6" fillId="0" borderId="0" xfId="5" applyNumberFormat="1" applyFont="1" applyFill="1" applyAlignment="1">
      <alignment horizontal="center"/>
    </xf>
    <xf numFmtId="184" fontId="6" fillId="0" borderId="0" xfId="5" applyNumberFormat="1" applyFont="1" applyFill="1" applyAlignment="1">
      <alignment horizontal="center"/>
    </xf>
    <xf numFmtId="5" fontId="6" fillId="0" borderId="0" xfId="5" applyNumberFormat="1" applyFont="1" applyFill="1" applyAlignment="1">
      <alignment horizontal="center"/>
    </xf>
    <xf numFmtId="167" fontId="26" fillId="0" borderId="0" xfId="0" applyFont="1" applyFill="1" applyAlignment="1">
      <alignment horizontal="centerContinuous"/>
    </xf>
    <xf numFmtId="167" fontId="39" fillId="0" borderId="0" xfId="0" applyFont="1" applyFill="1" applyAlignment="1">
      <alignment horizontal="left"/>
    </xf>
    <xf numFmtId="167" fontId="6" fillId="0" borderId="0" xfId="0" applyFont="1" applyAlignment="1">
      <alignment horizontal="center"/>
    </xf>
    <xf numFmtId="167" fontId="31" fillId="0" borderId="0" xfId="0" applyFont="1"/>
    <xf numFmtId="0" fontId="6" fillId="0" borderId="0" xfId="0" applyNumberFormat="1" applyFont="1"/>
    <xf numFmtId="43" fontId="6" fillId="0" borderId="0" xfId="0" applyNumberFormat="1" applyFont="1"/>
    <xf numFmtId="0" fontId="6" fillId="0" borderId="0" xfId="0" applyNumberFormat="1" applyFont="1" applyAlignment="1">
      <alignment horizontal="center"/>
    </xf>
    <xf numFmtId="196" fontId="6" fillId="0" borderId="0" xfId="0" applyNumberFormat="1" applyFont="1"/>
    <xf numFmtId="196" fontId="6" fillId="0" borderId="0" xfId="0" applyNumberFormat="1" applyFont="1" applyAlignment="1">
      <alignment horizontal="center"/>
    </xf>
    <xf numFmtId="43" fontId="6" fillId="0" borderId="0" xfId="0" applyNumberFormat="1" applyFont="1" applyAlignment="1">
      <alignment horizontal="center"/>
    </xf>
    <xf numFmtId="0" fontId="6" fillId="0" borderId="7" xfId="0" applyNumberFormat="1" applyFont="1" applyBorder="1" applyAlignment="1">
      <alignment horizontal="center"/>
    </xf>
    <xf numFmtId="196" fontId="6" fillId="0" borderId="7" xfId="0" applyNumberFormat="1" applyFont="1" applyBorder="1" applyAlignment="1">
      <alignment horizontal="center"/>
    </xf>
    <xf numFmtId="174" fontId="6" fillId="0" borderId="7" xfId="0" applyNumberFormat="1" applyFont="1" applyBorder="1" applyAlignment="1">
      <alignment horizontal="center"/>
    </xf>
    <xf numFmtId="43" fontId="6" fillId="0" borderId="7" xfId="0" applyNumberFormat="1" applyFont="1" applyBorder="1" applyAlignment="1">
      <alignment horizontal="center"/>
    </xf>
    <xf numFmtId="174" fontId="6" fillId="0" borderId="0" xfId="0" applyNumberFormat="1" applyFont="1" applyAlignment="1">
      <alignment horizontal="center"/>
    </xf>
    <xf numFmtId="3" fontId="6" fillId="0" borderId="0" xfId="0" applyNumberFormat="1" applyFont="1"/>
    <xf numFmtId="176" fontId="6" fillId="0" borderId="0" xfId="0" applyNumberFormat="1" applyFont="1" applyAlignment="1">
      <alignment horizontal="center"/>
    </xf>
    <xf numFmtId="176" fontId="6" fillId="0" borderId="7" xfId="0" applyNumberFormat="1" applyFont="1" applyBorder="1" applyAlignment="1">
      <alignment horizontal="center"/>
    </xf>
    <xf numFmtId="37" fontId="6" fillId="0" borderId="0" xfId="0" applyNumberFormat="1" applyFont="1" applyAlignment="1">
      <alignment horizontal="center"/>
    </xf>
    <xf numFmtId="43" fontId="6" fillId="0" borderId="0" xfId="0" applyNumberFormat="1" applyFont="1" applyBorder="1" applyAlignment="1">
      <alignment horizontal="center"/>
    </xf>
    <xf numFmtId="167" fontId="11" fillId="0" borderId="0" xfId="0" applyFont="1" applyFill="1" applyAlignment="1" applyProtection="1">
      <alignment horizontal="center"/>
      <protection locked="0"/>
    </xf>
    <xf numFmtId="176" fontId="6" fillId="0" borderId="0" xfId="1" applyNumberFormat="1" applyFont="1" applyFill="1"/>
    <xf numFmtId="0" fontId="6" fillId="0" borderId="0" xfId="3" quotePrefix="1" applyFont="1" applyFill="1" applyAlignment="1">
      <alignment horizontal="center"/>
    </xf>
    <xf numFmtId="5" fontId="6" fillId="0" borderId="0" xfId="1" applyNumberFormat="1" applyFont="1" applyFill="1" applyAlignment="1" applyProtection="1">
      <alignment horizontal="center"/>
    </xf>
    <xf numFmtId="5" fontId="6" fillId="0" borderId="7" xfId="1" applyNumberFormat="1" applyFont="1" applyFill="1" applyBorder="1" applyAlignment="1" applyProtection="1">
      <alignment horizontal="center"/>
    </xf>
    <xf numFmtId="167" fontId="14" fillId="0" borderId="0" xfId="0" applyFont="1" applyFill="1" applyAlignment="1">
      <alignment horizontal="center"/>
    </xf>
    <xf numFmtId="187" fontId="6" fillId="0" borderId="0" xfId="0" applyNumberFormat="1" applyFont="1" applyAlignment="1">
      <alignment horizontal="center"/>
    </xf>
    <xf numFmtId="167" fontId="6" fillId="0" borderId="5" xfId="0" applyFont="1" applyFill="1" applyBorder="1"/>
    <xf numFmtId="185" fontId="6" fillId="0" borderId="7" xfId="3" applyNumberFormat="1" applyFont="1" applyFill="1" applyBorder="1" applyAlignment="1">
      <alignment horizontal="center"/>
    </xf>
    <xf numFmtId="167" fontId="6" fillId="4" borderId="0" xfId="0" applyFont="1" applyFill="1" applyAlignment="1">
      <alignment horizontal="center"/>
    </xf>
    <xf numFmtId="43" fontId="6" fillId="4" borderId="0" xfId="0" applyNumberFormat="1" applyFont="1" applyFill="1" applyBorder="1" applyAlignment="1">
      <alignment horizontal="center"/>
    </xf>
    <xf numFmtId="192" fontId="6" fillId="0" borderId="0" xfId="0" applyNumberFormat="1" applyFont="1" applyFill="1"/>
    <xf numFmtId="49" fontId="11" fillId="0" borderId="0" xfId="0" applyNumberFormat="1" applyFont="1" applyFill="1" applyProtection="1">
      <protection locked="0"/>
    </xf>
    <xf numFmtId="167" fontId="6" fillId="0" borderId="0" xfId="0" applyFont="1" applyFill="1" applyProtection="1">
      <protection locked="0"/>
    </xf>
    <xf numFmtId="49" fontId="10" fillId="0" borderId="0" xfId="0" applyNumberFormat="1" applyFont="1" applyFill="1" applyAlignment="1" applyProtection="1">
      <alignment horizontal="centerContinuous"/>
      <protection locked="0"/>
    </xf>
    <xf numFmtId="167" fontId="11" fillId="0" borderId="0" xfId="0" applyFont="1" applyFill="1" applyAlignment="1" applyProtection="1">
      <alignment horizontal="centerContinuous"/>
      <protection locked="0"/>
    </xf>
    <xf numFmtId="167" fontId="6" fillId="0" borderId="0" xfId="0" applyFont="1" applyFill="1" applyAlignment="1" applyProtection="1">
      <alignment horizontal="centerContinuous"/>
      <protection locked="0"/>
    </xf>
    <xf numFmtId="49" fontId="11" fillId="0" borderId="0" xfId="0" applyNumberFormat="1" applyFont="1" applyFill="1" applyAlignment="1" applyProtection="1">
      <alignment horizontal="centerContinuous"/>
      <protection locked="0"/>
    </xf>
    <xf numFmtId="167" fontId="10" fillId="0" borderId="0" xfId="0" applyFont="1" applyFill="1" applyAlignment="1" applyProtection="1">
      <alignment horizontal="centerContinuous"/>
      <protection locked="0"/>
    </xf>
    <xf numFmtId="167" fontId="26" fillId="0" borderId="0" xfId="0" applyFont="1" applyFill="1" applyAlignment="1" applyProtection="1">
      <alignment horizontal="left"/>
      <protection locked="0"/>
    </xf>
    <xf numFmtId="185" fontId="10" fillId="0" borderId="1" xfId="0" applyNumberFormat="1" applyFont="1" applyFill="1" applyBorder="1" applyAlignment="1" applyProtection="1">
      <alignment horizontal="center"/>
      <protection locked="0"/>
    </xf>
    <xf numFmtId="167" fontId="10" fillId="0" borderId="1" xfId="0" applyFont="1" applyFill="1" applyBorder="1" applyAlignment="1" applyProtection="1">
      <alignment horizontal="center"/>
      <protection locked="0"/>
    </xf>
    <xf numFmtId="0" fontId="11" fillId="0" borderId="0" xfId="0" applyNumberFormat="1" applyFont="1" applyFill="1" applyAlignment="1" applyProtection="1">
      <alignment horizontal="center"/>
      <protection locked="0"/>
    </xf>
    <xf numFmtId="167" fontId="11" fillId="0" borderId="0" xfId="0" applyFont="1" applyFill="1" applyAlignment="1" applyProtection="1">
      <alignment horizontal="left"/>
      <protection locked="0"/>
    </xf>
    <xf numFmtId="37" fontId="11" fillId="0" borderId="0" xfId="0" applyNumberFormat="1" applyFont="1" applyFill="1" applyProtection="1">
      <protection locked="0"/>
    </xf>
    <xf numFmtId="167" fontId="8" fillId="0" borderId="0" xfId="0" applyFont="1" applyFill="1" applyProtection="1">
      <protection locked="0"/>
    </xf>
    <xf numFmtId="37" fontId="11" fillId="0" borderId="7" xfId="0" applyNumberFormat="1" applyFont="1" applyFill="1" applyBorder="1" applyProtection="1"/>
    <xf numFmtId="37" fontId="11" fillId="0" borderId="1" xfId="0" applyNumberFormat="1" applyFont="1" applyFill="1" applyBorder="1" applyProtection="1">
      <protection locked="0"/>
    </xf>
    <xf numFmtId="37" fontId="11" fillId="0" borderId="1" xfId="0" applyNumberFormat="1" applyFont="1" applyFill="1" applyBorder="1" applyProtection="1"/>
    <xf numFmtId="37" fontId="27" fillId="0" borderId="0" xfId="0" applyNumberFormat="1" applyFont="1" applyFill="1" applyProtection="1">
      <protection locked="0"/>
    </xf>
    <xf numFmtId="5" fontId="11" fillId="0" borderId="0" xfId="0" applyNumberFormat="1" applyFont="1" applyFill="1" applyProtection="1"/>
    <xf numFmtId="5" fontId="11" fillId="0" borderId="0" xfId="0" applyNumberFormat="1" applyFont="1" applyFill="1" applyProtection="1">
      <protection locked="0"/>
    </xf>
    <xf numFmtId="5" fontId="10" fillId="0" borderId="0" xfId="0" applyNumberFormat="1" applyFont="1" applyFill="1" applyProtection="1"/>
    <xf numFmtId="173" fontId="11" fillId="0" borderId="0" xfId="0" applyNumberFormat="1" applyFont="1" applyFill="1" applyProtection="1">
      <protection locked="0"/>
    </xf>
    <xf numFmtId="173" fontId="11" fillId="0" borderId="0" xfId="0" applyNumberFormat="1" applyFont="1" applyFill="1" applyProtection="1"/>
    <xf numFmtId="166" fontId="11" fillId="0" borderId="0" xfId="0" applyNumberFormat="1" applyFont="1" applyFill="1" applyProtection="1">
      <protection locked="0"/>
    </xf>
    <xf numFmtId="190" fontId="6" fillId="0" borderId="0" xfId="1" applyNumberFormat="1" applyFont="1" applyFill="1" applyProtection="1">
      <protection locked="0"/>
    </xf>
    <xf numFmtId="39" fontId="11" fillId="0" borderId="0" xfId="0" applyNumberFormat="1" applyFont="1" applyFill="1" applyProtection="1">
      <protection locked="0"/>
    </xf>
    <xf numFmtId="37" fontId="10" fillId="0" borderId="0" xfId="0" applyNumberFormat="1" applyFont="1" applyFill="1" applyProtection="1"/>
    <xf numFmtId="167" fontId="11" fillId="0" borderId="0" xfId="0" quotePrefix="1" applyFont="1" applyFill="1" applyAlignment="1" applyProtection="1">
      <alignment horizontal="left"/>
      <protection locked="0"/>
    </xf>
    <xf numFmtId="173" fontId="40" fillId="0" borderId="0" xfId="0" applyNumberFormat="1" applyFont="1" applyFill="1" applyProtection="1"/>
    <xf numFmtId="49" fontId="6" fillId="0" borderId="0" xfId="0" applyNumberFormat="1" applyFont="1" applyFill="1" applyProtection="1">
      <protection locked="0"/>
    </xf>
    <xf numFmtId="167" fontId="5" fillId="0" borderId="7" xfId="0" applyFont="1" applyFill="1" applyBorder="1" applyAlignment="1">
      <alignment horizontal="center" wrapText="1"/>
    </xf>
    <xf numFmtId="167" fontId="6" fillId="0" borderId="0" xfId="0" quotePrefix="1" applyFont="1" applyFill="1" applyAlignment="1">
      <alignment horizontal="center"/>
    </xf>
    <xf numFmtId="167" fontId="5" fillId="0" borderId="0" xfId="0" quotePrefix="1" applyFont="1" applyFill="1" applyAlignment="1">
      <alignment horizontal="center"/>
    </xf>
    <xf numFmtId="185" fontId="4" fillId="0" borderId="0" xfId="0" applyNumberFormat="1" applyFont="1" applyFill="1" applyAlignment="1">
      <alignment horizontal="right"/>
    </xf>
    <xf numFmtId="176" fontId="6" fillId="0" borderId="0" xfId="1" applyNumberFormat="1" applyFont="1" applyFill="1" applyAlignment="1">
      <alignment horizontal="center"/>
    </xf>
    <xf numFmtId="167" fontId="29" fillId="0" borderId="0" xfId="0" applyFont="1" applyFill="1" applyAlignment="1">
      <alignment horizontal="left" vertical="top"/>
    </xf>
    <xf numFmtId="176" fontId="6" fillId="0" borderId="0" xfId="0" applyNumberFormat="1" applyFont="1" applyFill="1" applyAlignment="1">
      <alignment horizontal="right"/>
    </xf>
    <xf numFmtId="173" fontId="6" fillId="0" borderId="0" xfId="6" applyNumberFormat="1" applyFont="1" applyFill="1" applyAlignment="1">
      <alignment horizontal="center"/>
    </xf>
    <xf numFmtId="177" fontId="29" fillId="0" borderId="0" xfId="0" applyNumberFormat="1" applyFont="1" applyFill="1" applyAlignment="1">
      <alignment horizontal="left"/>
    </xf>
    <xf numFmtId="176" fontId="6" fillId="0" borderId="7" xfId="0" applyNumberFormat="1" applyFont="1" applyFill="1" applyBorder="1" applyAlignment="1">
      <alignment horizontal="right"/>
    </xf>
    <xf numFmtId="6" fontId="5" fillId="0" borderId="7" xfId="0" applyNumberFormat="1" applyFont="1" applyFill="1" applyBorder="1"/>
    <xf numFmtId="5" fontId="6" fillId="0" borderId="7" xfId="0" applyNumberFormat="1" applyFont="1" applyFill="1" applyBorder="1" applyAlignment="1">
      <alignment horizontal="right"/>
    </xf>
    <xf numFmtId="183" fontId="6" fillId="0" borderId="0" xfId="0" applyNumberFormat="1" applyFont="1" applyFill="1" applyAlignment="1">
      <alignment horizontal="right"/>
    </xf>
    <xf numFmtId="167" fontId="4" fillId="0" borderId="0" xfId="0" applyFont="1" applyFill="1" applyAlignment="1">
      <alignment horizontal="right"/>
    </xf>
    <xf numFmtId="0" fontId="6" fillId="0" borderId="0" xfId="3" quotePrefix="1" applyFont="1" applyFill="1" applyBorder="1" applyAlignment="1">
      <alignment horizontal="center" wrapText="1"/>
    </xf>
    <xf numFmtId="196" fontId="6" fillId="0" borderId="0" xfId="0" applyNumberFormat="1" applyFont="1" applyFill="1" applyAlignment="1">
      <alignment horizontal="right"/>
    </xf>
    <xf numFmtId="3" fontId="6" fillId="0" borderId="7" xfId="0" applyNumberFormat="1" applyFont="1" applyFill="1" applyBorder="1" applyAlignment="1">
      <alignment horizontal="right"/>
    </xf>
    <xf numFmtId="196" fontId="6" fillId="0" borderId="0" xfId="0" applyNumberFormat="1" applyFont="1" applyFill="1" applyBorder="1" applyAlignment="1">
      <alignment horizontal="right"/>
    </xf>
    <xf numFmtId="5" fontId="6" fillId="0" borderId="7" xfId="6" applyNumberFormat="1" applyFont="1" applyFill="1" applyBorder="1" applyAlignment="1">
      <alignment horizontal="right"/>
    </xf>
    <xf numFmtId="5" fontId="6" fillId="0" borderId="0" xfId="6" applyNumberFormat="1" applyFont="1" applyFill="1" applyBorder="1" applyAlignment="1">
      <alignment horizontal="right"/>
    </xf>
    <xf numFmtId="7" fontId="6" fillId="0" borderId="7" xfId="6" applyNumberFormat="1" applyFont="1" applyFill="1" applyBorder="1" applyAlignment="1">
      <alignment horizontal="right"/>
    </xf>
    <xf numFmtId="5" fontId="5" fillId="0" borderId="0" xfId="0" applyNumberFormat="1" applyFont="1" applyFill="1"/>
    <xf numFmtId="3" fontId="6" fillId="0" borderId="0" xfId="0" applyNumberFormat="1" applyFont="1" applyFill="1" applyAlignment="1">
      <alignment horizontal="center"/>
    </xf>
    <xf numFmtId="167" fontId="29" fillId="0" borderId="0" xfId="0" applyFont="1" applyFill="1" applyAlignment="1">
      <alignment horizontal="right"/>
    </xf>
    <xf numFmtId="180" fontId="6" fillId="0" borderId="0" xfId="3" applyNumberFormat="1" applyFont="1" applyFill="1" applyAlignment="1">
      <alignment horizontal="center"/>
    </xf>
    <xf numFmtId="180" fontId="6" fillId="0" borderId="0" xfId="3" quotePrefix="1" applyNumberFormat="1" applyFont="1" applyFill="1" applyAlignment="1">
      <alignment horizontal="center"/>
    </xf>
    <xf numFmtId="180" fontId="6" fillId="0" borderId="0" xfId="3" applyNumberFormat="1" applyFont="1" applyFill="1" applyAlignment="1">
      <alignment horizontal="center" wrapText="1"/>
    </xf>
    <xf numFmtId="183" fontId="6" fillId="0" borderId="0" xfId="3" applyNumberFormat="1" applyFont="1" applyFill="1" applyProtection="1"/>
    <xf numFmtId="7" fontId="6" fillId="0" borderId="0" xfId="3" applyNumberFormat="1" applyFont="1" applyFill="1" applyProtection="1"/>
    <xf numFmtId="196" fontId="6" fillId="0" borderId="0" xfId="2" applyNumberFormat="1" applyFont="1" applyFill="1" applyAlignment="1" applyProtection="1">
      <alignment horizontal="center"/>
    </xf>
    <xf numFmtId="6" fontId="6" fillId="0" borderId="0" xfId="1" applyNumberFormat="1" applyFont="1" applyFill="1" applyAlignment="1" applyProtection="1">
      <alignment horizontal="center"/>
    </xf>
    <xf numFmtId="5" fontId="6" fillId="0" borderId="0" xfId="2" applyNumberFormat="1" applyFont="1" applyFill="1" applyAlignment="1" applyProtection="1">
      <alignment horizontal="right"/>
    </xf>
    <xf numFmtId="176" fontId="6" fillId="0" borderId="0" xfId="1" applyNumberFormat="1" applyFont="1" applyFill="1" applyAlignment="1" applyProtection="1">
      <alignment horizontal="right"/>
    </xf>
    <xf numFmtId="5" fontId="6" fillId="0" borderId="0" xfId="3" applyNumberFormat="1" applyFont="1" applyFill="1" applyBorder="1" applyAlignment="1">
      <alignment horizontal="right"/>
    </xf>
    <xf numFmtId="193" fontId="6" fillId="0" borderId="0" xfId="1" applyNumberFormat="1" applyFont="1" applyFill="1" applyAlignment="1" applyProtection="1">
      <alignment horizontal="center" vertical="center"/>
    </xf>
    <xf numFmtId="196" fontId="6" fillId="0" borderId="7" xfId="2" applyNumberFormat="1" applyFont="1" applyFill="1" applyBorder="1" applyAlignment="1" applyProtection="1">
      <alignment horizontal="center"/>
    </xf>
    <xf numFmtId="193" fontId="6" fillId="0" borderId="7" xfId="1" applyNumberFormat="1" applyFont="1" applyFill="1" applyBorder="1" applyAlignment="1" applyProtection="1">
      <alignment horizontal="center"/>
    </xf>
    <xf numFmtId="6" fontId="6" fillId="0" borderId="7" xfId="1" applyNumberFormat="1" applyFont="1" applyFill="1" applyBorder="1" applyAlignment="1" applyProtection="1">
      <alignment horizontal="center"/>
    </xf>
    <xf numFmtId="183" fontId="6" fillId="0" borderId="7" xfId="0" applyNumberFormat="1" applyFont="1" applyFill="1" applyBorder="1" applyAlignment="1">
      <alignment horizontal="right"/>
    </xf>
    <xf numFmtId="5" fontId="6" fillId="0" borderId="7" xfId="2" applyNumberFormat="1" applyFont="1" applyFill="1" applyBorder="1" applyAlignment="1" applyProtection="1">
      <alignment horizontal="right"/>
    </xf>
    <xf numFmtId="176" fontId="6" fillId="0" borderId="7" xfId="1" applyNumberFormat="1" applyFont="1" applyFill="1" applyBorder="1" applyAlignment="1" applyProtection="1">
      <alignment horizontal="right"/>
    </xf>
    <xf numFmtId="5" fontId="6" fillId="0" borderId="7" xfId="3" applyNumberFormat="1" applyFont="1" applyFill="1" applyBorder="1" applyAlignment="1">
      <alignment horizontal="right"/>
    </xf>
    <xf numFmtId="197" fontId="6" fillId="0" borderId="7" xfId="1" applyNumberFormat="1" applyFont="1" applyFill="1" applyBorder="1" applyAlignment="1" applyProtection="1">
      <alignment horizontal="center"/>
    </xf>
    <xf numFmtId="176" fontId="6" fillId="0" borderId="0" xfId="1" applyNumberFormat="1" applyFont="1" applyFill="1" applyAlignment="1" applyProtection="1">
      <alignment horizontal="center"/>
    </xf>
    <xf numFmtId="7" fontId="6" fillId="0" borderId="0" xfId="2" applyNumberFormat="1" applyFont="1" applyFill="1" applyAlignment="1" applyProtection="1">
      <alignment horizontal="center"/>
    </xf>
    <xf numFmtId="44" fontId="6" fillId="0" borderId="0" xfId="2" applyFont="1" applyFill="1" applyAlignment="1" applyProtection="1">
      <alignment horizontal="center"/>
    </xf>
    <xf numFmtId="173" fontId="6" fillId="0" borderId="0" xfId="2" applyNumberFormat="1" applyFont="1" applyFill="1" applyAlignment="1" applyProtection="1">
      <alignment horizontal="center"/>
    </xf>
    <xf numFmtId="173" fontId="6" fillId="0" borderId="7" xfId="2" applyNumberFormat="1" applyFont="1" applyFill="1" applyBorder="1" applyAlignment="1" applyProtection="1">
      <alignment horizontal="center"/>
    </xf>
    <xf numFmtId="176" fontId="6" fillId="0" borderId="7" xfId="1" applyNumberFormat="1" applyFont="1" applyFill="1" applyBorder="1" applyAlignment="1" applyProtection="1">
      <alignment horizontal="center"/>
    </xf>
    <xf numFmtId="37" fontId="5" fillId="0" borderId="7" xfId="4" applyNumberFormat="1" applyFont="1" applyFill="1" applyBorder="1" applyAlignment="1">
      <alignment horizontal="center"/>
    </xf>
    <xf numFmtId="37" fontId="5" fillId="0" borderId="1" xfId="4" applyNumberFormat="1" applyFont="1" applyFill="1" applyBorder="1" applyAlignment="1">
      <alignment horizontal="center"/>
    </xf>
    <xf numFmtId="37" fontId="5" fillId="0" borderId="0" xfId="4" quotePrefix="1" applyNumberFormat="1" applyFont="1" applyFill="1" applyBorder="1" applyAlignment="1">
      <alignment horizontal="center"/>
    </xf>
    <xf numFmtId="37" fontId="5" fillId="0" borderId="0" xfId="4" quotePrefix="1" applyNumberFormat="1" applyFont="1" applyFill="1" applyBorder="1" applyAlignment="1">
      <alignment horizontal="center" wrapText="1"/>
    </xf>
    <xf numFmtId="185" fontId="6" fillId="0" borderId="0" xfId="4" applyNumberFormat="1" applyFont="1" applyFill="1" applyAlignment="1"/>
    <xf numFmtId="37" fontId="6" fillId="0" borderId="7" xfId="1" applyNumberFormat="1" applyFont="1" applyFill="1" applyBorder="1" applyAlignment="1"/>
    <xf numFmtId="5" fontId="6" fillId="0" borderId="0" xfId="4" applyNumberFormat="1" applyFont="1" applyFill="1" applyBorder="1" applyAlignment="1"/>
    <xf numFmtId="5" fontId="6" fillId="0" borderId="7" xfId="4" applyNumberFormat="1" applyFont="1" applyFill="1" applyBorder="1" applyAlignment="1"/>
    <xf numFmtId="5" fontId="6" fillId="0" borderId="0" xfId="4" applyNumberFormat="1" applyFont="1" applyFill="1" applyAlignment="1">
      <alignment horizontal="right"/>
    </xf>
    <xf numFmtId="187" fontId="6" fillId="0" borderId="7" xfId="0" applyNumberFormat="1" applyFont="1" applyFill="1" applyBorder="1" applyAlignment="1">
      <alignment horizontal="center" wrapText="1"/>
    </xf>
    <xf numFmtId="167" fontId="0" fillId="0" borderId="0" xfId="0" applyFont="1"/>
    <xf numFmtId="3" fontId="6" fillId="0" borderId="0" xfId="5" applyNumberFormat="1" applyFont="1" applyFill="1" applyAlignment="1">
      <alignment horizontal="center"/>
    </xf>
    <xf numFmtId="37" fontId="11" fillId="0" borderId="0" xfId="0" applyNumberFormat="1" applyFont="1" applyFill="1" applyBorder="1" applyProtection="1">
      <protection locked="0"/>
    </xf>
    <xf numFmtId="37" fontId="11" fillId="0" borderId="7" xfId="0" applyNumberFormat="1" applyFont="1" applyFill="1" applyBorder="1" applyProtection="1">
      <protection locked="0"/>
    </xf>
    <xf numFmtId="167" fontId="44" fillId="0" borderId="0" xfId="0" applyFont="1"/>
    <xf numFmtId="167" fontId="42" fillId="0" borderId="0" xfId="0" applyFont="1" applyFill="1"/>
    <xf numFmtId="167" fontId="43" fillId="0" borderId="0" xfId="0" applyFont="1" applyAlignment="1">
      <alignment horizontal="left"/>
    </xf>
    <xf numFmtId="181" fontId="43" fillId="0" borderId="0" xfId="0" applyNumberFormat="1" applyFont="1" applyAlignment="1">
      <alignment horizontal="left"/>
    </xf>
    <xf numFmtId="176" fontId="43" fillId="0" borderId="0" xfId="0" applyNumberFormat="1" applyFont="1"/>
    <xf numFmtId="167" fontId="6" fillId="4" borderId="0" xfId="0" applyFont="1" applyFill="1"/>
    <xf numFmtId="0" fontId="8" fillId="0" borderId="9" xfId="5" applyFont="1" applyFill="1" applyBorder="1" applyAlignment="1">
      <alignment horizontal="center" wrapText="1"/>
    </xf>
    <xf numFmtId="0" fontId="8" fillId="0" borderId="9" xfId="5" quotePrefix="1" applyFont="1" applyFill="1" applyBorder="1" applyAlignment="1">
      <alignment horizontal="center" wrapText="1"/>
    </xf>
    <xf numFmtId="0" fontId="8" fillId="0" borderId="21" xfId="5" applyFont="1" applyFill="1" applyBorder="1" applyAlignment="1">
      <alignment horizontal="center" wrapText="1"/>
    </xf>
    <xf numFmtId="187" fontId="6" fillId="0" borderId="22" xfId="5" applyNumberFormat="1" applyFont="1" applyFill="1" applyBorder="1" applyAlignment="1">
      <alignment horizontal="center"/>
    </xf>
    <xf numFmtId="177" fontId="6" fillId="0" borderId="23" xfId="5" applyNumberFormat="1" applyFont="1" applyFill="1" applyBorder="1"/>
    <xf numFmtId="0" fontId="6" fillId="0" borderId="22" xfId="5" applyFont="1" applyFill="1" applyBorder="1"/>
    <xf numFmtId="0" fontId="6" fillId="0" borderId="0" xfId="5" applyFont="1" applyFill="1" applyBorder="1"/>
    <xf numFmtId="0" fontId="6" fillId="0" borderId="23" xfId="5" applyFont="1" applyFill="1" applyBorder="1"/>
    <xf numFmtId="0" fontId="13" fillId="0" borderId="24" xfId="5" applyFont="1" applyFill="1" applyBorder="1"/>
    <xf numFmtId="0" fontId="4" fillId="0" borderId="8" xfId="5" applyFont="1" applyFill="1" applyBorder="1"/>
    <xf numFmtId="177" fontId="8" fillId="0" borderId="8" xfId="5" applyNumberFormat="1" applyFont="1" applyFill="1" applyBorder="1"/>
    <xf numFmtId="177" fontId="8" fillId="0" borderId="25" xfId="5" applyNumberFormat="1" applyFont="1" applyFill="1" applyBorder="1"/>
    <xf numFmtId="201" fontId="6" fillId="0" borderId="0" xfId="1" applyNumberFormat="1" applyFont="1" applyFill="1" applyAlignment="1" applyProtection="1">
      <alignment horizontal="right"/>
    </xf>
    <xf numFmtId="201" fontId="6" fillId="0" borderId="7" xfId="1" applyNumberFormat="1" applyFont="1" applyFill="1" applyBorder="1" applyAlignment="1" applyProtection="1">
      <alignment horizontal="right"/>
    </xf>
    <xf numFmtId="167" fontId="43" fillId="0" borderId="0" xfId="0" applyFont="1" applyFill="1"/>
    <xf numFmtId="176" fontId="6" fillId="0" borderId="0" xfId="1" applyNumberFormat="1" applyFont="1" applyFill="1" applyAlignment="1">
      <alignment horizontal="right"/>
    </xf>
    <xf numFmtId="176" fontId="6" fillId="0" borderId="0" xfId="0" applyNumberFormat="1" applyFont="1" applyFill="1"/>
    <xf numFmtId="167" fontId="6" fillId="0" borderId="6" xfId="0" applyFont="1" applyFill="1" applyBorder="1"/>
    <xf numFmtId="167" fontId="5" fillId="0" borderId="7" xfId="0" applyFont="1" applyFill="1" applyBorder="1" applyAlignment="1">
      <alignment horizontal="centerContinuous"/>
    </xf>
    <xf numFmtId="167" fontId="11" fillId="0" borderId="0" xfId="0" applyFont="1" applyFill="1" applyAlignment="1">
      <alignment wrapText="1"/>
    </xf>
    <xf numFmtId="167" fontId="5" fillId="0" borderId="1" xfId="0" applyFont="1" applyFill="1" applyBorder="1" applyAlignment="1"/>
    <xf numFmtId="169" fontId="5" fillId="0" borderId="0" xfId="0" applyNumberFormat="1" applyFont="1" applyFill="1" applyBorder="1" applyAlignment="1"/>
    <xf numFmtId="187" fontId="6" fillId="6" borderId="0" xfId="0" applyNumberFormat="1" applyFont="1" applyFill="1"/>
    <xf numFmtId="176" fontId="43" fillId="0" borderId="0" xfId="1" applyNumberFormat="1" applyFont="1"/>
    <xf numFmtId="176" fontId="43" fillId="0" borderId="0" xfId="1" applyNumberFormat="1" applyFont="1" applyFill="1"/>
    <xf numFmtId="176" fontId="43" fillId="0" borderId="0" xfId="0" applyNumberFormat="1" applyFont="1" applyFill="1"/>
    <xf numFmtId="195" fontId="43" fillId="0" borderId="0" xfId="0" applyNumberFormat="1" applyFont="1" applyFill="1"/>
    <xf numFmtId="167" fontId="6" fillId="0" borderId="16" xfId="0" applyFont="1" applyFill="1" applyBorder="1"/>
    <xf numFmtId="167" fontId="6" fillId="0" borderId="17" xfId="0" applyFont="1" applyFill="1" applyBorder="1"/>
    <xf numFmtId="43" fontId="43" fillId="0" borderId="0" xfId="0" applyNumberFormat="1" applyFont="1" applyFill="1" applyBorder="1" applyAlignment="1" applyProtection="1">
      <alignment horizontal="center"/>
    </xf>
    <xf numFmtId="176" fontId="43" fillId="0" borderId="0" xfId="0" applyNumberFormat="1" applyFont="1" applyFill="1" applyBorder="1" applyAlignment="1">
      <alignment horizontal="center"/>
    </xf>
    <xf numFmtId="43" fontId="43" fillId="0" borderId="0" xfId="0" applyNumberFormat="1" applyFont="1" applyFill="1" applyBorder="1" applyAlignment="1">
      <alignment horizontal="center"/>
    </xf>
    <xf numFmtId="0" fontId="43" fillId="0" borderId="0" xfId="0" applyNumberFormat="1" applyFont="1" applyFill="1" applyBorder="1" applyAlignment="1">
      <alignment horizontal="center"/>
    </xf>
    <xf numFmtId="167" fontId="43" fillId="0" borderId="0" xfId="0" applyFont="1" applyFill="1" applyAlignment="1">
      <alignment horizontal="left"/>
    </xf>
    <xf numFmtId="167" fontId="5" fillId="0" borderId="7" xfId="0" applyFont="1" applyFill="1" applyBorder="1" applyAlignment="1">
      <alignment horizontal="left"/>
    </xf>
    <xf numFmtId="167" fontId="5" fillId="0" borderId="7" xfId="0" applyFont="1" applyFill="1" applyBorder="1"/>
    <xf numFmtId="172" fontId="41" fillId="0" borderId="0" xfId="1" applyNumberFormat="1" applyFont="1" applyFill="1" applyBorder="1"/>
    <xf numFmtId="167" fontId="11" fillId="0" borderId="0" xfId="0" applyFont="1" applyFill="1" applyAlignment="1">
      <alignment horizontal="center"/>
    </xf>
    <xf numFmtId="167" fontId="14" fillId="0" borderId="2" xfId="0" applyFont="1" applyFill="1" applyBorder="1" applyAlignment="1">
      <alignment horizontal="centerContinuous"/>
    </xf>
    <xf numFmtId="167" fontId="5" fillId="0" borderId="3" xfId="0" applyFont="1" applyFill="1" applyBorder="1" applyAlignment="1">
      <alignment horizontal="centerContinuous"/>
    </xf>
    <xf numFmtId="167" fontId="6" fillId="0" borderId="4" xfId="0" applyFont="1" applyFill="1" applyBorder="1" applyAlignment="1">
      <alignment horizontal="centerContinuous"/>
    </xf>
    <xf numFmtId="167" fontId="5" fillId="0" borderId="10" xfId="0" applyFont="1" applyFill="1" applyBorder="1" applyAlignment="1">
      <alignment horizontal="left"/>
    </xf>
    <xf numFmtId="167" fontId="5" fillId="0" borderId="5" xfId="0" applyFont="1" applyFill="1" applyBorder="1" applyAlignment="1">
      <alignment horizontal="left"/>
    </xf>
    <xf numFmtId="37" fontId="5" fillId="0" borderId="0" xfId="0" applyNumberFormat="1" applyFont="1" applyFill="1" applyBorder="1" applyProtection="1"/>
    <xf numFmtId="167" fontId="5" fillId="0" borderId="5" xfId="0" quotePrefix="1" applyFont="1" applyFill="1" applyBorder="1" applyAlignment="1">
      <alignment horizontal="left"/>
    </xf>
    <xf numFmtId="167" fontId="5" fillId="0" borderId="33" xfId="0" applyFont="1" applyFill="1" applyBorder="1"/>
    <xf numFmtId="167" fontId="5" fillId="0" borderId="33" xfId="0" applyFont="1" applyFill="1" applyBorder="1" applyAlignment="1">
      <alignment horizontal="center"/>
    </xf>
    <xf numFmtId="167" fontId="6" fillId="0" borderId="33" xfId="0" applyFont="1" applyFill="1" applyBorder="1"/>
    <xf numFmtId="167" fontId="6" fillId="0" borderId="30" xfId="0" applyFont="1" applyFill="1" applyBorder="1" applyAlignment="1">
      <alignment horizontal="center"/>
    </xf>
    <xf numFmtId="167" fontId="6" fillId="0" borderId="31" xfId="0" applyFont="1" applyFill="1" applyBorder="1" applyAlignment="1">
      <alignment horizontal="center"/>
    </xf>
    <xf numFmtId="167" fontId="6" fillId="0" borderId="28" xfId="0" applyFont="1" applyFill="1" applyBorder="1" applyAlignment="1">
      <alignment horizontal="center"/>
    </xf>
    <xf numFmtId="167" fontId="5" fillId="0" borderId="33" xfId="0" applyFont="1" applyFill="1" applyBorder="1" applyAlignment="1">
      <alignment horizontal="left"/>
    </xf>
    <xf numFmtId="167" fontId="5" fillId="0" borderId="16" xfId="0" applyFont="1" applyFill="1" applyBorder="1" applyAlignment="1">
      <alignment horizontal="left"/>
    </xf>
    <xf numFmtId="167" fontId="5" fillId="0" borderId="32" xfId="0" applyFont="1" applyFill="1" applyBorder="1"/>
    <xf numFmtId="167" fontId="5" fillId="0" borderId="32" xfId="0" applyFont="1" applyFill="1" applyBorder="1" applyAlignment="1">
      <alignment horizontal="center"/>
    </xf>
    <xf numFmtId="167" fontId="6" fillId="0" borderId="32" xfId="0" applyFont="1" applyFill="1" applyBorder="1"/>
    <xf numFmtId="167" fontId="5" fillId="0" borderId="2" xfId="0" applyFont="1" applyFill="1" applyBorder="1" applyAlignment="1">
      <alignment horizontal="left"/>
    </xf>
    <xf numFmtId="167" fontId="5" fillId="0" borderId="3" xfId="0" applyFont="1" applyFill="1" applyBorder="1"/>
    <xf numFmtId="167" fontId="5" fillId="0" borderId="3" xfId="0" applyFont="1" applyFill="1" applyBorder="1" applyAlignment="1">
      <alignment horizontal="right"/>
    </xf>
    <xf numFmtId="181" fontId="5" fillId="0" borderId="3" xfId="0" applyNumberFormat="1" applyFont="1" applyFill="1" applyBorder="1" applyAlignment="1">
      <alignment horizontal="left"/>
    </xf>
    <xf numFmtId="167" fontId="5" fillId="0" borderId="3" xfId="0" applyFont="1" applyFill="1" applyBorder="1" applyAlignment="1">
      <alignment horizontal="center"/>
    </xf>
    <xf numFmtId="172" fontId="5" fillId="0" borderId="3" xfId="1" applyNumberFormat="1" applyFont="1" applyFill="1" applyBorder="1"/>
    <xf numFmtId="167" fontId="5" fillId="0" borderId="0" xfId="0" applyFont="1" applyFill="1" applyBorder="1" applyAlignment="1">
      <alignment horizontal="right"/>
    </xf>
    <xf numFmtId="181" fontId="5" fillId="0" borderId="0" xfId="0" applyNumberFormat="1" applyFont="1" applyFill="1" applyBorder="1" applyAlignment="1">
      <alignment horizontal="left"/>
    </xf>
    <xf numFmtId="170" fontId="5" fillId="0" borderId="33" xfId="0" applyNumberFormat="1" applyFont="1" applyFill="1" applyBorder="1" applyAlignment="1" applyProtection="1"/>
    <xf numFmtId="167" fontId="10" fillId="0" borderId="0" xfId="0" applyFont="1" applyFill="1" applyAlignment="1">
      <alignment horizontal="centerContinuous"/>
    </xf>
    <xf numFmtId="167" fontId="6" fillId="0" borderId="3" xfId="0" applyFont="1" applyFill="1" applyBorder="1"/>
    <xf numFmtId="167" fontId="5" fillId="0" borderId="32" xfId="0" quotePrefix="1" applyFont="1" applyFill="1" applyBorder="1" applyAlignment="1">
      <alignment horizontal="left"/>
    </xf>
    <xf numFmtId="165" fontId="5" fillId="0" borderId="32" xfId="0" applyNumberFormat="1" applyFont="1" applyFill="1" applyBorder="1" applyProtection="1"/>
    <xf numFmtId="165" fontId="5" fillId="0" borderId="3" xfId="0" applyNumberFormat="1" applyFont="1" applyFill="1" applyBorder="1" applyProtection="1"/>
    <xf numFmtId="167" fontId="14" fillId="0" borderId="10" xfId="0" applyFont="1" applyFill="1" applyBorder="1" applyAlignment="1">
      <alignment horizontal="left"/>
    </xf>
    <xf numFmtId="165" fontId="14" fillId="0" borderId="7" xfId="0" applyNumberFormat="1" applyFont="1" applyFill="1" applyBorder="1" applyProtection="1"/>
    <xf numFmtId="167" fontId="6" fillId="0" borderId="34" xfId="0" applyFont="1" applyFill="1" applyBorder="1" applyAlignment="1">
      <alignment horizontal="center"/>
    </xf>
    <xf numFmtId="164" fontId="5" fillId="0" borderId="33" xfId="0" applyNumberFormat="1" applyFont="1" applyFill="1" applyBorder="1" applyProtection="1"/>
    <xf numFmtId="202" fontId="5" fillId="0" borderId="11" xfId="0" applyNumberFormat="1" applyFont="1" applyFill="1" applyBorder="1" applyProtection="1"/>
    <xf numFmtId="167" fontId="6" fillId="0" borderId="11" xfId="0" applyFont="1" applyFill="1" applyBorder="1" applyAlignment="1">
      <alignment horizontal="center"/>
    </xf>
    <xf numFmtId="203" fontId="5" fillId="0" borderId="3" xfId="1" applyNumberFormat="1" applyFont="1" applyFill="1" applyBorder="1"/>
    <xf numFmtId="191" fontId="5" fillId="0" borderId="4" xfId="1" applyNumberFormat="1" applyFont="1" applyFill="1" applyBorder="1"/>
    <xf numFmtId="171" fontId="5" fillId="0" borderId="33" xfId="0" applyNumberFormat="1" applyFont="1" applyFill="1" applyBorder="1" applyAlignment="1" applyProtection="1"/>
    <xf numFmtId="166" fontId="5" fillId="0" borderId="32" xfId="0" applyNumberFormat="1" applyFont="1" applyFill="1" applyBorder="1" applyProtection="1"/>
    <xf numFmtId="168" fontId="5" fillId="0" borderId="17" xfId="0" applyNumberFormat="1" applyFont="1" applyFill="1" applyBorder="1" applyProtection="1"/>
    <xf numFmtId="166" fontId="5" fillId="0" borderId="3" xfId="0" applyNumberFormat="1" applyFont="1" applyFill="1" applyBorder="1" applyProtection="1"/>
    <xf numFmtId="168" fontId="5" fillId="0" borderId="4" xfId="0" applyNumberFormat="1" applyFont="1" applyFill="1" applyBorder="1" applyProtection="1"/>
    <xf numFmtId="166" fontId="5" fillId="0" borderId="0" xfId="0" applyNumberFormat="1" applyFont="1" applyFill="1" applyBorder="1" applyProtection="1"/>
    <xf numFmtId="168" fontId="5" fillId="0" borderId="6" xfId="0" applyNumberFormat="1" applyFont="1" applyFill="1" applyBorder="1" applyProtection="1"/>
    <xf numFmtId="166" fontId="5" fillId="0" borderId="33" xfId="0" applyNumberFormat="1" applyFont="1" applyFill="1" applyBorder="1" applyProtection="1"/>
    <xf numFmtId="168" fontId="5" fillId="0" borderId="11" xfId="0" applyNumberFormat="1" applyFont="1" applyFill="1" applyBorder="1" applyProtection="1"/>
    <xf numFmtId="166" fontId="5" fillId="0" borderId="7" xfId="0" applyNumberFormat="1" applyFont="1" applyFill="1" applyBorder="1" applyProtection="1"/>
    <xf numFmtId="165" fontId="6" fillId="0" borderId="0" xfId="0" applyNumberFormat="1" applyFont="1" applyFill="1" applyProtection="1"/>
    <xf numFmtId="203" fontId="6" fillId="0" borderId="0" xfId="1" applyNumberFormat="1" applyFont="1" applyFill="1"/>
    <xf numFmtId="173" fontId="6" fillId="0" borderId="0" xfId="0" applyNumberFormat="1" applyFont="1" applyFill="1" applyBorder="1"/>
    <xf numFmtId="174" fontId="6" fillId="0" borderId="33" xfId="0" applyNumberFormat="1" applyFont="1" applyBorder="1" applyAlignment="1">
      <alignment horizontal="center"/>
    </xf>
    <xf numFmtId="169" fontId="10" fillId="5" borderId="0" xfId="0" applyNumberFormat="1" applyFont="1" applyFill="1"/>
    <xf numFmtId="0" fontId="6" fillId="0" borderId="33" xfId="0" applyNumberFormat="1" applyFont="1" applyBorder="1" applyAlignment="1">
      <alignment horizontal="center"/>
    </xf>
    <xf numFmtId="2" fontId="43" fillId="0" borderId="0" xfId="0" applyNumberFormat="1" applyFont="1" applyFill="1" applyBorder="1" applyAlignment="1">
      <alignment horizontal="center"/>
    </xf>
    <xf numFmtId="177" fontId="6" fillId="0" borderId="33" xfId="1" applyNumberFormat="1" applyFont="1" applyFill="1" applyBorder="1" applyAlignment="1">
      <alignment horizontal="center"/>
    </xf>
    <xf numFmtId="43" fontId="43" fillId="0" borderId="0" xfId="0" applyNumberFormat="1" applyFont="1" applyFill="1"/>
    <xf numFmtId="0" fontId="43" fillId="0" borderId="0" xfId="0" applyNumberFormat="1" applyFont="1" applyFill="1"/>
    <xf numFmtId="0" fontId="43" fillId="0" borderId="0" xfId="0" applyNumberFormat="1" applyFont="1" applyFill="1" applyAlignment="1">
      <alignment horizontal="center"/>
    </xf>
    <xf numFmtId="2" fontId="43" fillId="0" borderId="0" xfId="0" applyNumberFormat="1" applyFont="1" applyFill="1" applyAlignment="1">
      <alignment horizontal="center"/>
    </xf>
    <xf numFmtId="7" fontId="5" fillId="0" borderId="33" xfId="0" applyNumberFormat="1" applyFont="1" applyFill="1" applyBorder="1" applyAlignment="1" applyProtection="1">
      <alignment horizontal="center"/>
    </xf>
    <xf numFmtId="167" fontId="11" fillId="0" borderId="0" xfId="0" applyFont="1" applyFill="1" applyAlignment="1">
      <alignment horizontal="center"/>
    </xf>
    <xf numFmtId="167" fontId="6" fillId="0" borderId="0" xfId="0" applyFont="1" applyAlignment="1">
      <alignment horizontal="center"/>
    </xf>
    <xf numFmtId="203" fontId="43" fillId="0" borderId="0" xfId="1" applyNumberFormat="1" applyFont="1" applyFill="1" applyAlignment="1">
      <alignment horizontal="left"/>
    </xf>
    <xf numFmtId="191" fontId="43" fillId="0" borderId="0" xfId="1" applyNumberFormat="1" applyFont="1" applyFill="1" applyAlignment="1">
      <alignment horizontal="left"/>
    </xf>
    <xf numFmtId="203" fontId="5" fillId="0" borderId="0" xfId="1" applyNumberFormat="1" applyFont="1" applyFill="1" applyBorder="1"/>
    <xf numFmtId="203" fontId="5" fillId="0" borderId="33" xfId="1" applyNumberFormat="1" applyFont="1" applyFill="1" applyBorder="1"/>
    <xf numFmtId="167" fontId="6" fillId="0" borderId="0" xfId="0" applyFont="1" applyAlignment="1">
      <alignment horizontal="justify" vertical="center"/>
    </xf>
    <xf numFmtId="167" fontId="8" fillId="0" borderId="0" xfId="0" applyFont="1"/>
    <xf numFmtId="167" fontId="6" fillId="0" borderId="0" xfId="0" applyFont="1" applyAlignment="1">
      <alignment horizontal="left"/>
    </xf>
    <xf numFmtId="167" fontId="6" fillId="0" borderId="33" xfId="0" applyFont="1" applyFill="1" applyBorder="1" applyAlignment="1">
      <alignment horizontal="center" wrapText="1"/>
    </xf>
    <xf numFmtId="167" fontId="39" fillId="0" borderId="0" xfId="0" applyFont="1" applyFill="1" applyBorder="1" applyAlignment="1">
      <alignment horizontal="center" wrapText="1"/>
    </xf>
    <xf numFmtId="167" fontId="6" fillId="0" borderId="0" xfId="0" applyFont="1" applyAlignment="1"/>
    <xf numFmtId="167" fontId="6" fillId="0" borderId="0" xfId="0" quotePrefix="1" applyFont="1"/>
    <xf numFmtId="188" fontId="6" fillId="0" borderId="0" xfId="2" applyNumberFormat="1" applyFont="1"/>
    <xf numFmtId="207" fontId="6" fillId="0" borderId="0" xfId="2" applyNumberFormat="1" applyFont="1"/>
    <xf numFmtId="209" fontId="6" fillId="0" borderId="33" xfId="2" applyNumberFormat="1" applyFont="1" applyBorder="1" applyAlignment="1">
      <alignment vertical="justify"/>
    </xf>
    <xf numFmtId="188" fontId="6" fillId="0" borderId="33" xfId="2" applyNumberFormat="1" applyFont="1" applyBorder="1" applyAlignment="1">
      <alignment horizontal="justify" vertical="justify" wrapText="1"/>
    </xf>
    <xf numFmtId="167" fontId="6" fillId="0" borderId="0" xfId="0" applyFont="1" applyFill="1" applyAlignment="1" applyProtection="1">
      <alignment horizontal="left"/>
      <protection locked="0"/>
    </xf>
    <xf numFmtId="167" fontId="39" fillId="0" borderId="0" xfId="0" applyFont="1" applyFill="1" applyBorder="1" applyAlignment="1">
      <alignment horizontal="left"/>
    </xf>
    <xf numFmtId="167" fontId="6" fillId="0" borderId="33" xfId="0" applyFont="1" applyBorder="1" applyAlignment="1">
      <alignment horizontal="center" vertical="center" wrapText="1"/>
    </xf>
    <xf numFmtId="167" fontId="6" fillId="0" borderId="33" xfId="0" applyFont="1" applyBorder="1" applyAlignment="1">
      <alignment horizontal="center" vertical="center"/>
    </xf>
    <xf numFmtId="167" fontId="6" fillId="0" borderId="33" xfId="0" applyFont="1" applyBorder="1"/>
    <xf numFmtId="167" fontId="6" fillId="0" borderId="0" xfId="0" applyFont="1" applyAlignment="1">
      <alignment horizontal="right"/>
    </xf>
    <xf numFmtId="177" fontId="6" fillId="0" borderId="0" xfId="1" applyNumberFormat="1" applyFont="1"/>
    <xf numFmtId="167" fontId="6" fillId="21" borderId="0" xfId="0" applyFont="1" applyFill="1"/>
    <xf numFmtId="167" fontId="33" fillId="21" borderId="0" xfId="0" applyFont="1" applyFill="1"/>
    <xf numFmtId="167" fontId="66" fillId="0" borderId="0" xfId="0" applyFont="1"/>
    <xf numFmtId="167" fontId="26" fillId="0" borderId="0" xfId="0" applyFont="1" applyBorder="1"/>
    <xf numFmtId="167" fontId="26" fillId="0" borderId="0" xfId="0" applyFont="1"/>
    <xf numFmtId="167" fontId="26" fillId="0" borderId="0" xfId="0" applyFont="1" applyFill="1"/>
    <xf numFmtId="167" fontId="67" fillId="0" borderId="0" xfId="0" applyFont="1" applyFill="1" applyAlignment="1">
      <alignment horizontal="center"/>
    </xf>
    <xf numFmtId="167" fontId="19" fillId="0" borderId="33" xfId="0" applyFont="1" applyBorder="1" applyAlignment="1">
      <alignment horizontal="center"/>
    </xf>
    <xf numFmtId="167" fontId="8" fillId="0" borderId="12" xfId="0" applyFont="1" applyBorder="1" applyAlignment="1">
      <alignment horizontal="center" vertical="center"/>
    </xf>
    <xf numFmtId="167" fontId="8" fillId="0" borderId="0" xfId="0" applyFont="1" applyAlignment="1">
      <alignment horizontal="center" vertical="center"/>
    </xf>
    <xf numFmtId="167" fontId="8" fillId="0" borderId="0" xfId="0" applyFont="1" applyAlignment="1">
      <alignment horizontal="center" vertical="center" wrapText="1"/>
    </xf>
    <xf numFmtId="209" fontId="6" fillId="0" borderId="0" xfId="2" applyNumberFormat="1" applyFont="1" applyFill="1"/>
    <xf numFmtId="167" fontId="33" fillId="0" borderId="0" xfId="0" applyFont="1" applyFill="1" applyAlignment="1"/>
    <xf numFmtId="181" fontId="6" fillId="0" borderId="0" xfId="0" applyNumberFormat="1" applyFont="1"/>
    <xf numFmtId="177" fontId="6" fillId="0" borderId="17" xfId="1" applyNumberFormat="1" applyFont="1" applyFill="1" applyBorder="1"/>
    <xf numFmtId="209" fontId="6" fillId="0" borderId="33" xfId="2" applyNumberFormat="1" applyFont="1" applyBorder="1"/>
    <xf numFmtId="188" fontId="6" fillId="0" borderId="33" xfId="2" applyNumberFormat="1" applyFont="1" applyBorder="1"/>
    <xf numFmtId="188" fontId="8" fillId="0" borderId="0" xfId="2" applyNumberFormat="1" applyFont="1"/>
    <xf numFmtId="167" fontId="6" fillId="0" borderId="0" xfId="0" applyFont="1" applyFill="1" applyAlignment="1">
      <alignment vertical="justify" wrapText="1"/>
    </xf>
    <xf numFmtId="167" fontId="6" fillId="0" borderId="33" xfId="0" applyFont="1" applyBorder="1" applyAlignment="1">
      <alignment horizontal="justify" vertical="justify" wrapText="1"/>
    </xf>
    <xf numFmtId="191" fontId="5" fillId="0" borderId="6" xfId="1" applyNumberFormat="1" applyFont="1" applyFill="1" applyBorder="1"/>
    <xf numFmtId="191" fontId="5" fillId="0" borderId="34" xfId="1" applyNumberFormat="1" applyFont="1" applyFill="1" applyBorder="1"/>
    <xf numFmtId="204" fontId="5" fillId="0" borderId="34" xfId="0" applyNumberFormat="1" applyFont="1" applyFill="1" applyBorder="1" applyAlignment="1" applyProtection="1"/>
    <xf numFmtId="167" fontId="6" fillId="0" borderId="0" xfId="0" applyFont="1" applyAlignment="1">
      <alignment horizontal="left"/>
    </xf>
    <xf numFmtId="167" fontId="68" fillId="0" borderId="0" xfId="0" applyFont="1"/>
    <xf numFmtId="187" fontId="6" fillId="23" borderId="0" xfId="0" applyNumberFormat="1" applyFont="1" applyFill="1"/>
    <xf numFmtId="167" fontId="6" fillId="0" borderId="0" xfId="0" applyFont="1" applyFill="1" applyAlignment="1">
      <alignment horizontal="center"/>
    </xf>
    <xf numFmtId="167" fontId="6" fillId="0" borderId="7" xfId="0" applyFont="1" applyFill="1" applyBorder="1" applyAlignment="1">
      <alignment horizontal="center"/>
    </xf>
    <xf numFmtId="167" fontId="8" fillId="0" borderId="0" xfId="0" applyFont="1" applyFill="1" applyAlignment="1">
      <alignment horizontal="center"/>
    </xf>
    <xf numFmtId="208" fontId="6" fillId="0" borderId="0" xfId="2" quotePrefix="1" applyNumberFormat="1" applyFont="1" applyAlignment="1">
      <alignment horizontal="left" vertical="center"/>
    </xf>
    <xf numFmtId="179" fontId="6" fillId="0" borderId="0" xfId="2" applyNumberFormat="1" applyFont="1"/>
    <xf numFmtId="5" fontId="6" fillId="0" borderId="7" xfId="0" applyNumberFormat="1" applyFont="1" applyFill="1" applyBorder="1" applyProtection="1"/>
    <xf numFmtId="5" fontId="6" fillId="0" borderId="7" xfId="0" applyNumberFormat="1" applyFont="1" applyFill="1" applyBorder="1" applyAlignment="1" applyProtection="1">
      <alignment horizontal="right"/>
    </xf>
    <xf numFmtId="6" fontId="8" fillId="0" borderId="0" xfId="0" applyNumberFormat="1" applyFont="1" applyFill="1" applyBorder="1"/>
    <xf numFmtId="177" fontId="6" fillId="0" borderId="6" xfId="1" applyNumberFormat="1" applyFont="1" applyFill="1" applyBorder="1"/>
    <xf numFmtId="173" fontId="6" fillId="0" borderId="0" xfId="1" applyNumberFormat="1" applyFont="1" applyFill="1" applyAlignment="1" applyProtection="1">
      <alignment horizontal="center"/>
    </xf>
    <xf numFmtId="5" fontId="6" fillId="0" borderId="0" xfId="2" applyNumberFormat="1" applyFont="1" applyFill="1" applyAlignment="1"/>
    <xf numFmtId="5" fontId="6" fillId="0" borderId="0" xfId="0" applyNumberFormat="1" applyFont="1" applyFill="1" applyBorder="1" applyAlignment="1" applyProtection="1">
      <alignment horizontal="right"/>
    </xf>
    <xf numFmtId="177" fontId="11" fillId="0" borderId="0" xfId="1" applyNumberFormat="1" applyFont="1" applyFill="1" applyBorder="1"/>
    <xf numFmtId="167" fontId="69" fillId="0" borderId="0" xfId="0" applyFont="1" applyFill="1"/>
    <xf numFmtId="0" fontId="13" fillId="0" borderId="0" xfId="5" applyFont="1" applyFill="1" applyBorder="1" applyAlignment="1">
      <alignment wrapText="1"/>
    </xf>
    <xf numFmtId="187" fontId="4" fillId="0" borderId="0" xfId="5" applyNumberFormat="1" applyFont="1" applyFill="1" applyBorder="1" applyAlignment="1">
      <alignment horizontal="center"/>
    </xf>
    <xf numFmtId="193" fontId="6" fillId="0" borderId="0" xfId="0" quotePrefix="1" applyNumberFormat="1" applyFont="1" applyFill="1" applyAlignment="1">
      <alignment horizontal="center"/>
    </xf>
    <xf numFmtId="181" fontId="6" fillId="0" borderId="0" xfId="0" applyNumberFormat="1" applyFont="1" applyFill="1" applyAlignment="1">
      <alignment horizontal="center"/>
    </xf>
    <xf numFmtId="167" fontId="6" fillId="0" borderId="0" xfId="0" applyFont="1" applyAlignment="1">
      <alignment horizontal="left"/>
    </xf>
    <xf numFmtId="167" fontId="11" fillId="0" borderId="0" xfId="0" applyFont="1" applyFill="1" applyAlignment="1">
      <alignment horizontal="center"/>
    </xf>
    <xf numFmtId="167" fontId="6" fillId="0" borderId="0" xfId="0" applyFont="1" applyAlignment="1">
      <alignment horizontal="center"/>
    </xf>
    <xf numFmtId="167" fontId="6" fillId="0" borderId="0" xfId="0" applyFont="1" applyAlignment="1">
      <alignment horizontal="center" vertical="center"/>
    </xf>
    <xf numFmtId="203" fontId="68" fillId="0" borderId="0" xfId="1" applyNumberFormat="1" applyFont="1"/>
    <xf numFmtId="191" fontId="68" fillId="0" borderId="0" xfId="1" applyNumberFormat="1" applyFont="1"/>
    <xf numFmtId="177" fontId="43" fillId="26" borderId="0" xfId="1" applyNumberFormat="1" applyFont="1" applyFill="1"/>
    <xf numFmtId="187" fontId="6" fillId="0" borderId="0" xfId="0" quotePrefix="1" applyNumberFormat="1" applyFont="1"/>
    <xf numFmtId="167" fontId="6" fillId="0" borderId="0" xfId="0" quotePrefix="1" applyFont="1" applyAlignment="1">
      <alignment horizontal="center" vertical="center"/>
    </xf>
    <xf numFmtId="167" fontId="33" fillId="0" borderId="0" xfId="0" applyFont="1" applyAlignment="1">
      <alignment horizontal="center" vertical="center"/>
    </xf>
    <xf numFmtId="187" fontId="8" fillId="0" borderId="0" xfId="0" quotePrefix="1" applyNumberFormat="1" applyFont="1" applyAlignment="1">
      <alignment horizontal="right"/>
    </xf>
    <xf numFmtId="167" fontId="17" fillId="0" borderId="0" xfId="0" applyFont="1" applyAlignment="1">
      <alignment horizontal="center" vertical="center" wrapText="1"/>
    </xf>
    <xf numFmtId="177" fontId="43" fillId="26" borderId="25" xfId="1" applyNumberFormat="1" applyFont="1" applyFill="1" applyBorder="1"/>
    <xf numFmtId="187" fontId="43" fillId="26" borderId="0" xfId="0" quotePrefix="1" applyNumberFormat="1" applyFont="1" applyFill="1"/>
    <xf numFmtId="167" fontId="12" fillId="26" borderId="0" xfId="0" applyFont="1" applyFill="1"/>
    <xf numFmtId="181" fontId="70" fillId="26" borderId="0" xfId="0" applyNumberFormat="1" applyFont="1" applyFill="1" applyAlignment="1"/>
    <xf numFmtId="182" fontId="43" fillId="26" borderId="0" xfId="5" quotePrefix="1" applyNumberFormat="1" applyFont="1" applyFill="1"/>
    <xf numFmtId="192" fontId="43" fillId="26" borderId="0" xfId="0" applyNumberFormat="1" applyFont="1" applyFill="1"/>
    <xf numFmtId="167" fontId="70" fillId="26" borderId="0" xfId="0" applyFont="1" applyFill="1"/>
    <xf numFmtId="192" fontId="70" fillId="26" borderId="0" xfId="0" applyNumberFormat="1" applyFont="1" applyFill="1"/>
    <xf numFmtId="167" fontId="71" fillId="26" borderId="0" xfId="0" applyFont="1" applyFill="1" applyAlignment="1">
      <alignment horizontal="center"/>
    </xf>
    <xf numFmtId="177" fontId="43" fillId="0" borderId="0" xfId="1" applyNumberFormat="1" applyFont="1" applyFill="1"/>
    <xf numFmtId="167" fontId="6" fillId="0" borderId="0" xfId="0" applyFont="1" applyAlignment="1">
      <alignment vertical="top"/>
    </xf>
    <xf numFmtId="185" fontId="6" fillId="0" borderId="0" xfId="0" applyNumberFormat="1" applyFont="1" applyFill="1" applyAlignment="1">
      <alignment vertical="center" wrapText="1"/>
    </xf>
    <xf numFmtId="167" fontId="6" fillId="0" borderId="0" xfId="0" applyFont="1" applyFill="1" applyAlignment="1">
      <alignment vertical="center"/>
    </xf>
    <xf numFmtId="177" fontId="6" fillId="0" borderId="0" xfId="2" applyNumberFormat="1" applyFont="1" applyFill="1"/>
    <xf numFmtId="167" fontId="6" fillId="0" borderId="0" xfId="0" applyFont="1" applyAlignment="1">
      <alignment horizontal="justify" vertical="justify" wrapText="1"/>
    </xf>
    <xf numFmtId="167" fontId="8" fillId="0" borderId="0" xfId="0" applyFont="1" applyAlignment="1">
      <alignment horizontal="center" vertical="center"/>
    </xf>
    <xf numFmtId="167" fontId="6" fillId="0" borderId="0" xfId="0" applyFont="1" applyAlignment="1">
      <alignment horizontal="justify" vertical="justify"/>
    </xf>
    <xf numFmtId="167" fontId="6" fillId="0" borderId="0" xfId="0" applyFont="1" applyAlignment="1">
      <alignment horizontal="center" vertical="center" wrapText="1"/>
    </xf>
    <xf numFmtId="167" fontId="6" fillId="0" borderId="0" xfId="0" applyFont="1" applyAlignment="1">
      <alignment horizontal="left"/>
    </xf>
    <xf numFmtId="167" fontId="6" fillId="0" borderId="33" xfId="0" applyFont="1" applyBorder="1" applyAlignment="1">
      <alignment horizontal="right"/>
    </xf>
    <xf numFmtId="188" fontId="10" fillId="0" borderId="0" xfId="2" applyNumberFormat="1" applyFont="1" applyFill="1"/>
    <xf numFmtId="10" fontId="11" fillId="0" borderId="0" xfId="7" applyNumberFormat="1" applyFont="1" applyFill="1"/>
    <xf numFmtId="167" fontId="6" fillId="0" borderId="0" xfId="3" applyNumberFormat="1" applyFont="1" applyFill="1"/>
    <xf numFmtId="7" fontId="6" fillId="0" borderId="0" xfId="3" applyNumberFormat="1" applyFont="1" applyFill="1"/>
    <xf numFmtId="177" fontId="9" fillId="0" borderId="0" xfId="1" applyNumberFormat="1" applyFont="1" applyFill="1"/>
    <xf numFmtId="43" fontId="6" fillId="0" borderId="0" xfId="3" applyNumberFormat="1" applyFont="1" applyFill="1"/>
    <xf numFmtId="187" fontId="6" fillId="0" borderId="0" xfId="3" applyNumberFormat="1" applyFont="1" applyFill="1" applyAlignment="1">
      <alignment vertical="top"/>
    </xf>
    <xf numFmtId="0" fontId="72" fillId="0" borderId="0" xfId="3" applyFont="1" applyFill="1" applyAlignment="1">
      <alignment horizontal="right" vertical="top"/>
    </xf>
    <xf numFmtId="167" fontId="6" fillId="0" borderId="0" xfId="0" applyFont="1" applyAlignment="1">
      <alignment horizontal="left"/>
    </xf>
    <xf numFmtId="43" fontId="43" fillId="3" borderId="0" xfId="0" applyNumberFormat="1" applyFont="1" applyFill="1" applyBorder="1" applyAlignment="1" applyProtection="1">
      <alignment horizontal="center"/>
    </xf>
    <xf numFmtId="176" fontId="43" fillId="0" borderId="0" xfId="0" applyNumberFormat="1" applyFont="1" applyFill="1" applyBorder="1" applyAlignment="1" applyProtection="1">
      <alignment horizontal="center"/>
    </xf>
    <xf numFmtId="176" fontId="43" fillId="0" borderId="0" xfId="0" applyNumberFormat="1" applyFont="1" applyFill="1" applyProtection="1"/>
    <xf numFmtId="43" fontId="43" fillId="0" borderId="0" xfId="0" applyNumberFormat="1" applyFont="1" applyFill="1" applyProtection="1"/>
    <xf numFmtId="0" fontId="43" fillId="0" borderId="0" xfId="0" applyNumberFormat="1" applyFont="1" applyFill="1" applyProtection="1"/>
    <xf numFmtId="167" fontId="6" fillId="0" borderId="0" xfId="0" applyFont="1" applyAlignment="1">
      <alignment horizontal="left"/>
    </xf>
    <xf numFmtId="177" fontId="6" fillId="27" borderId="0" xfId="1" applyNumberFormat="1" applyFont="1" applyFill="1"/>
    <xf numFmtId="43" fontId="6" fillId="27" borderId="0" xfId="1" applyFont="1" applyFill="1"/>
    <xf numFmtId="177" fontId="6" fillId="27" borderId="0" xfId="0" applyNumberFormat="1" applyFont="1" applyFill="1"/>
    <xf numFmtId="167" fontId="11" fillId="0" borderId="0" xfId="0" applyFont="1" applyFill="1" applyAlignment="1">
      <alignment horizontal="center"/>
    </xf>
    <xf numFmtId="7" fontId="6" fillId="0" borderId="0" xfId="0" applyNumberFormat="1" applyFont="1" applyFill="1" applyProtection="1"/>
    <xf numFmtId="173" fontId="17" fillId="0" borderId="0" xfId="0" applyNumberFormat="1" applyFont="1" applyFill="1" applyProtection="1"/>
    <xf numFmtId="167" fontId="6" fillId="0" borderId="0" xfId="0" applyFont="1" applyAlignment="1">
      <alignment horizontal="right" vertical="top"/>
    </xf>
    <xf numFmtId="167" fontId="6" fillId="0" borderId="0" xfId="0" applyFont="1" applyAlignment="1">
      <alignment horizontal="left"/>
    </xf>
    <xf numFmtId="167" fontId="5" fillId="0" borderId="17" xfId="0" applyFont="1" applyFill="1" applyBorder="1"/>
    <xf numFmtId="43" fontId="6" fillId="0" borderId="0" xfId="1" applyFont="1"/>
    <xf numFmtId="176" fontId="6" fillId="0" borderId="0" xfId="1" applyNumberFormat="1" applyFont="1"/>
    <xf numFmtId="44" fontId="66" fillId="0" borderId="0" xfId="2" applyFont="1"/>
    <xf numFmtId="167" fontId="73" fillId="0" borderId="0" xfId="0" applyFont="1"/>
    <xf numFmtId="167" fontId="66" fillId="0" borderId="33" xfId="0" applyFont="1" applyBorder="1"/>
    <xf numFmtId="167" fontId="11" fillId="0" borderId="0" xfId="0" applyFont="1" applyFill="1" applyAlignment="1">
      <alignment horizontal="center"/>
    </xf>
    <xf numFmtId="167" fontId="6" fillId="0" borderId="0" xfId="0" applyFont="1" applyFill="1" applyAlignment="1">
      <alignment horizontal="center"/>
    </xf>
    <xf numFmtId="167" fontId="10" fillId="0" borderId="0" xfId="0" applyFont="1" applyFill="1" applyAlignment="1">
      <alignment horizontal="center"/>
    </xf>
    <xf numFmtId="167" fontId="6" fillId="0" borderId="7" xfId="0" applyFont="1" applyFill="1" applyBorder="1" applyAlignment="1">
      <alignment horizontal="center"/>
    </xf>
    <xf numFmtId="167" fontId="6" fillId="0" borderId="7" xfId="0" applyFont="1" applyFill="1" applyBorder="1" applyAlignment="1">
      <alignment horizontal="center" wrapText="1"/>
    </xf>
    <xf numFmtId="167" fontId="8" fillId="0" borderId="0" xfId="0" applyFont="1" applyFill="1" applyAlignment="1">
      <alignment horizontal="center"/>
    </xf>
    <xf numFmtId="167" fontId="5" fillId="0" borderId="0" xfId="0" applyFont="1" applyFill="1" applyBorder="1" applyAlignment="1">
      <alignment horizontal="center"/>
    </xf>
    <xf numFmtId="167" fontId="21" fillId="0" borderId="0" xfId="0" applyFont="1" applyFill="1"/>
    <xf numFmtId="167" fontId="6" fillId="0" borderId="0" xfId="0" applyFont="1" applyFill="1" applyAlignment="1">
      <alignment horizontal="center" vertical="center"/>
    </xf>
    <xf numFmtId="167" fontId="6" fillId="0" borderId="0" xfId="0" applyFont="1" applyAlignment="1">
      <alignment horizontal="left"/>
    </xf>
    <xf numFmtId="167" fontId="6" fillId="0" borderId="0" xfId="0" quotePrefix="1" applyFont="1" applyFill="1" applyAlignment="1">
      <alignment horizontal="right"/>
    </xf>
    <xf numFmtId="167" fontId="6" fillId="0" borderId="0" xfId="0" applyFont="1" applyFill="1" applyAlignment="1">
      <alignment horizontal="center" vertical="center"/>
    </xf>
    <xf numFmtId="167" fontId="6" fillId="0" borderId="0" xfId="0" applyFont="1" applyFill="1" applyAlignment="1">
      <alignment horizontal="center" vertical="center" wrapText="1"/>
    </xf>
    <xf numFmtId="167" fontId="6" fillId="0" borderId="7" xfId="0" applyFont="1" applyFill="1" applyBorder="1" applyAlignment="1">
      <alignment horizontal="center"/>
    </xf>
    <xf numFmtId="167" fontId="5" fillId="0" borderId="0" xfId="0" applyFont="1" applyFill="1" applyBorder="1" applyAlignment="1">
      <alignment horizontal="center"/>
    </xf>
    <xf numFmtId="167" fontId="6" fillId="0" borderId="0" xfId="0" applyFont="1" applyFill="1" applyAlignment="1">
      <alignment vertical="center" wrapText="1"/>
    </xf>
    <xf numFmtId="167" fontId="6" fillId="0" borderId="0" xfId="0" applyFont="1" applyFill="1" applyAlignment="1">
      <alignment horizontal="justify" vertical="center"/>
    </xf>
    <xf numFmtId="167" fontId="33" fillId="0" borderId="0" xfId="0" applyFont="1" applyFill="1" applyAlignment="1">
      <alignment horizontal="justify" vertical="justify"/>
    </xf>
    <xf numFmtId="167" fontId="8" fillId="0" borderId="0" xfId="0" applyFont="1" applyFill="1" applyAlignment="1">
      <alignment vertical="center"/>
    </xf>
    <xf numFmtId="0" fontId="11" fillId="0" borderId="0" xfId="0" applyNumberFormat="1" applyFont="1"/>
    <xf numFmtId="167" fontId="6" fillId="0" borderId="0" xfId="0" applyFont="1" applyAlignment="1">
      <alignment horizontal="left"/>
    </xf>
    <xf numFmtId="167" fontId="11" fillId="0" borderId="0" xfId="0" applyFont="1" applyFill="1" applyAlignment="1">
      <alignment horizontal="center"/>
    </xf>
    <xf numFmtId="167" fontId="6" fillId="0" borderId="0" xfId="0" applyFont="1" applyAlignment="1">
      <alignment horizontal="justify" vertical="justify" wrapText="1"/>
    </xf>
    <xf numFmtId="167" fontId="6" fillId="0" borderId="0" xfId="0" applyFont="1" applyFill="1" applyAlignment="1">
      <alignment horizontal="justify" vertical="justify"/>
    </xf>
    <xf numFmtId="167" fontId="6" fillId="0" borderId="0" xfId="0" applyFont="1" applyAlignment="1">
      <alignment horizontal="left"/>
    </xf>
    <xf numFmtId="187" fontId="6" fillId="28" borderId="0" xfId="0" applyNumberFormat="1" applyFont="1" applyFill="1"/>
    <xf numFmtId="187" fontId="6" fillId="5" borderId="0" xfId="0" applyNumberFormat="1" applyFont="1" applyFill="1"/>
    <xf numFmtId="177" fontId="6" fillId="5" borderId="0" xfId="1" applyNumberFormat="1" applyFont="1" applyFill="1"/>
    <xf numFmtId="177" fontId="6" fillId="29" borderId="0" xfId="1" applyNumberFormat="1" applyFont="1" applyFill="1"/>
    <xf numFmtId="167" fontId="6" fillId="0" borderId="0" xfId="0" applyFont="1" applyFill="1" applyAlignment="1">
      <alignment horizontal="center" vertical="center"/>
    </xf>
    <xf numFmtId="167" fontId="6" fillId="0" borderId="0" xfId="0" applyFont="1" applyFill="1" applyAlignment="1">
      <alignment horizontal="center" vertical="center" wrapText="1"/>
    </xf>
    <xf numFmtId="167" fontId="6" fillId="0" borderId="0" xfId="0" applyFont="1" applyFill="1" applyAlignment="1">
      <alignment horizontal="center"/>
    </xf>
    <xf numFmtId="167" fontId="10" fillId="0" borderId="0" xfId="0" applyFont="1" applyFill="1" applyAlignment="1">
      <alignment horizontal="center"/>
    </xf>
    <xf numFmtId="167" fontId="6" fillId="0" borderId="0" xfId="0" applyFont="1" applyAlignment="1">
      <alignment horizontal="justify" vertical="justify"/>
    </xf>
    <xf numFmtId="167" fontId="8" fillId="0" borderId="0" xfId="0" applyFont="1" applyFill="1" applyAlignment="1">
      <alignment horizontal="left"/>
    </xf>
    <xf numFmtId="167" fontId="6" fillId="0" borderId="0" xfId="0" applyFont="1" applyAlignment="1">
      <alignment horizontal="justify" vertical="justify" wrapText="1"/>
    </xf>
    <xf numFmtId="167" fontId="8" fillId="0" borderId="0" xfId="0" applyFont="1" applyFill="1" applyAlignment="1">
      <alignment horizontal="center"/>
    </xf>
    <xf numFmtId="167" fontId="6" fillId="0" borderId="0" xfId="0" applyFont="1" applyAlignment="1">
      <alignment horizontal="left"/>
    </xf>
    <xf numFmtId="181" fontId="6" fillId="28" borderId="0" xfId="0" applyNumberFormat="1" applyFont="1" applyFill="1" applyAlignment="1"/>
    <xf numFmtId="167" fontId="6" fillId="28" borderId="0" xfId="0" quotePrefix="1" applyFont="1" applyFill="1" applyAlignment="1">
      <alignment horizontal="right"/>
    </xf>
    <xf numFmtId="44" fontId="6" fillId="28" borderId="0" xfId="2" applyFont="1" applyFill="1" applyAlignment="1">
      <alignment horizontal="right"/>
    </xf>
    <xf numFmtId="167" fontId="6" fillId="28" borderId="0" xfId="0" applyFont="1" applyFill="1"/>
    <xf numFmtId="167" fontId="6" fillId="28" borderId="0" xfId="0" quotePrefix="1" applyFont="1" applyFill="1"/>
    <xf numFmtId="182" fontId="6" fillId="28" borderId="0" xfId="5" quotePrefix="1" applyNumberFormat="1" applyFont="1" applyFill="1"/>
    <xf numFmtId="177" fontId="70" fillId="28" borderId="0" xfId="1" applyNumberFormat="1" applyFont="1" applyFill="1"/>
    <xf numFmtId="0" fontId="19" fillId="0" borderId="0" xfId="0" applyNumberFormat="1" applyFont="1"/>
    <xf numFmtId="167" fontId="12" fillId="28" borderId="0" xfId="0" applyFont="1" applyFill="1"/>
    <xf numFmtId="177" fontId="6" fillId="28" borderId="0" xfId="1" applyNumberFormat="1" applyFont="1" applyFill="1"/>
    <xf numFmtId="179" fontId="6" fillId="28" borderId="0" xfId="2" applyNumberFormat="1" applyFont="1" applyFill="1"/>
    <xf numFmtId="169" fontId="38" fillId="28" borderId="0" xfId="0" applyNumberFormat="1" applyFont="1" applyFill="1"/>
    <xf numFmtId="167" fontId="38" fillId="28" borderId="0" xfId="0" applyFont="1" applyFill="1"/>
    <xf numFmtId="2" fontId="42" fillId="28" borderId="0" xfId="0" applyNumberFormat="1" applyFont="1" applyFill="1"/>
    <xf numFmtId="8" fontId="42" fillId="28" borderId="0" xfId="0" applyNumberFormat="1" applyFont="1" applyFill="1"/>
    <xf numFmtId="167" fontId="6" fillId="0" borderId="0" xfId="0" applyFont="1" applyFill="1" applyAlignment="1">
      <alignment horizontal="center" vertical="center"/>
    </xf>
    <xf numFmtId="167" fontId="5" fillId="0" borderId="0" xfId="0" applyFont="1" applyFill="1" applyBorder="1" applyAlignment="1">
      <alignment horizontal="center"/>
    </xf>
    <xf numFmtId="44" fontId="6" fillId="28" borderId="0" xfId="2" applyFont="1" applyFill="1"/>
    <xf numFmtId="177" fontId="6" fillId="28" borderId="0" xfId="1" applyNumberFormat="1" applyFont="1" applyFill="1" applyAlignment="1"/>
    <xf numFmtId="203" fontId="6" fillId="28" borderId="0" xfId="1" applyNumberFormat="1" applyFont="1" applyFill="1"/>
    <xf numFmtId="167" fontId="11" fillId="0" borderId="0" xfId="0" applyFont="1" applyFill="1" applyAlignment="1">
      <alignment horizontal="center"/>
    </xf>
    <xf numFmtId="167" fontId="20" fillId="22" borderId="0" xfId="0" applyFont="1" applyFill="1" applyAlignment="1">
      <alignment horizontal="center"/>
    </xf>
    <xf numFmtId="167" fontId="20" fillId="23" borderId="0" xfId="0" applyFont="1" applyFill="1" applyAlignment="1">
      <alignment horizontal="center"/>
    </xf>
    <xf numFmtId="167" fontId="19" fillId="5" borderId="0" xfId="0" applyFont="1" applyFill="1" applyAlignment="1">
      <alignment horizontal="center"/>
    </xf>
    <xf numFmtId="167" fontId="19" fillId="24" borderId="0" xfId="0" applyFont="1" applyFill="1" applyAlignment="1">
      <alignment horizontal="center"/>
    </xf>
    <xf numFmtId="167" fontId="6" fillId="25" borderId="0" xfId="0" applyFont="1" applyFill="1" applyAlignment="1">
      <alignment horizontal="center"/>
    </xf>
    <xf numFmtId="167" fontId="6" fillId="0" borderId="0" xfId="0" applyFont="1" applyAlignment="1">
      <alignment horizontal="center"/>
    </xf>
    <xf numFmtId="167" fontId="6" fillId="0" borderId="0" xfId="0" applyFont="1" applyFill="1" applyAlignment="1">
      <alignment horizontal="center"/>
    </xf>
    <xf numFmtId="167" fontId="6" fillId="0" borderId="16" xfId="0" applyFont="1" applyBorder="1" applyAlignment="1">
      <alignment horizontal="center"/>
    </xf>
    <xf numFmtId="167" fontId="6" fillId="0" borderId="13" xfId="0" applyFont="1" applyBorder="1" applyAlignment="1">
      <alignment horizontal="center"/>
    </xf>
    <xf numFmtId="167" fontId="6" fillId="0" borderId="17" xfId="0" applyFont="1" applyBorder="1" applyAlignment="1">
      <alignment horizontal="center"/>
    </xf>
    <xf numFmtId="167" fontId="33" fillId="0" borderId="0" xfId="0" applyFont="1" applyAlignment="1">
      <alignment horizontal="center"/>
    </xf>
    <xf numFmtId="196" fontId="6" fillId="0" borderId="7" xfId="0" applyNumberFormat="1" applyFont="1" applyBorder="1" applyAlignment="1">
      <alignment horizontal="center"/>
    </xf>
    <xf numFmtId="167" fontId="10" fillId="0" borderId="0" xfId="0" applyFont="1" applyFill="1" applyAlignment="1">
      <alignment horizontal="center"/>
    </xf>
    <xf numFmtId="167" fontId="10" fillId="0" borderId="0" xfId="0" quotePrefix="1" applyFont="1" applyFill="1" applyAlignment="1">
      <alignment horizontal="center"/>
    </xf>
    <xf numFmtId="167" fontId="6" fillId="0" borderId="0" xfId="0" applyFont="1" applyFill="1" applyAlignment="1">
      <alignment horizontal="justify" vertical="justify" wrapText="1"/>
    </xf>
    <xf numFmtId="167" fontId="18" fillId="0" borderId="0" xfId="0" applyFont="1" applyFill="1" applyAlignment="1">
      <alignment horizontal="left" vertical="center"/>
    </xf>
    <xf numFmtId="167" fontId="8" fillId="0" borderId="0" xfId="0" applyFont="1" applyAlignment="1">
      <alignment horizontal="center"/>
    </xf>
    <xf numFmtId="167" fontId="8" fillId="0" borderId="0" xfId="0" applyFont="1" applyAlignment="1">
      <alignment horizontal="center" vertical="center"/>
    </xf>
    <xf numFmtId="167" fontId="65" fillId="0" borderId="0" xfId="0" applyFont="1" applyFill="1" applyAlignment="1">
      <alignment horizontal="justify" vertical="justify" wrapText="1"/>
    </xf>
    <xf numFmtId="167" fontId="6" fillId="0" borderId="0" xfId="0" applyFont="1" applyFill="1" applyAlignment="1">
      <alignment horizontal="justify" vertical="justify"/>
    </xf>
    <xf numFmtId="178" fontId="6" fillId="0" borderId="0" xfId="2" applyNumberFormat="1" applyFont="1" applyFill="1" applyAlignment="1">
      <alignment horizontal="center" vertical="center" wrapText="1"/>
    </xf>
    <xf numFmtId="10" fontId="6" fillId="0" borderId="0" xfId="7" applyNumberFormat="1" applyFont="1" applyFill="1" applyAlignment="1">
      <alignment horizontal="center" vertical="center" wrapText="1"/>
    </xf>
    <xf numFmtId="167" fontId="17" fillId="0" borderId="0" xfId="0" applyFont="1" applyFill="1" applyAlignment="1">
      <alignment horizontal="center" vertical="center"/>
    </xf>
    <xf numFmtId="167" fontId="6" fillId="0" borderId="0" xfId="0" applyFont="1" applyFill="1" applyAlignment="1">
      <alignment horizontal="center" vertical="center"/>
    </xf>
    <xf numFmtId="167" fontId="6" fillId="0" borderId="0" xfId="0" applyFont="1" applyFill="1" applyAlignment="1">
      <alignment horizontal="center" wrapText="1"/>
    </xf>
    <xf numFmtId="167" fontId="6" fillId="0" borderId="0" xfId="0" applyFont="1" applyFill="1" applyAlignment="1">
      <alignment horizontal="center" vertical="center" wrapText="1"/>
    </xf>
    <xf numFmtId="167" fontId="6" fillId="0" borderId="0" xfId="0" applyFont="1" applyAlignment="1">
      <alignment horizontal="justify" vertical="justify"/>
    </xf>
    <xf numFmtId="167" fontId="17" fillId="0" borderId="0" xfId="0" applyFont="1" applyFill="1" applyAlignment="1">
      <alignment horizontal="left" vertical="center"/>
    </xf>
    <xf numFmtId="167" fontId="8" fillId="0" borderId="0" xfId="0" applyFont="1" applyFill="1" applyAlignment="1">
      <alignment horizontal="left" vertical="center"/>
    </xf>
    <xf numFmtId="167" fontId="8" fillId="0" borderId="0" xfId="0" applyFont="1" applyFill="1" applyAlignment="1">
      <alignment horizontal="left"/>
    </xf>
    <xf numFmtId="167" fontId="18" fillId="0" borderId="0" xfId="0" applyFont="1" applyAlignment="1">
      <alignment horizontal="left" vertical="center"/>
    </xf>
    <xf numFmtId="167" fontId="8" fillId="0" borderId="18" xfId="0" applyFont="1" applyFill="1" applyBorder="1" applyAlignment="1">
      <alignment horizontal="center"/>
    </xf>
    <xf numFmtId="167" fontId="8" fillId="0" borderId="15" xfId="0" applyFont="1" applyFill="1" applyBorder="1" applyAlignment="1">
      <alignment horizontal="center"/>
    </xf>
    <xf numFmtId="167" fontId="8" fillId="0" borderId="19" xfId="0" applyFont="1" applyFill="1" applyBorder="1" applyAlignment="1">
      <alignment horizontal="center"/>
    </xf>
    <xf numFmtId="167" fontId="10" fillId="0" borderId="20" xfId="0" applyFont="1" applyFill="1" applyBorder="1" applyAlignment="1">
      <alignment horizontal="center" vertical="center"/>
    </xf>
    <xf numFmtId="167" fontId="10" fillId="0" borderId="9" xfId="0" applyFont="1" applyFill="1" applyBorder="1" applyAlignment="1">
      <alignment horizontal="center" vertical="center"/>
    </xf>
    <xf numFmtId="167" fontId="10" fillId="0" borderId="21" xfId="0" applyFont="1" applyFill="1" applyBorder="1" applyAlignment="1">
      <alignment horizontal="center" vertical="center"/>
    </xf>
    <xf numFmtId="167" fontId="27" fillId="0" borderId="0" xfId="0" applyFont="1" applyFill="1" applyAlignment="1">
      <alignment horizontal="center"/>
    </xf>
    <xf numFmtId="49" fontId="10" fillId="0" borderId="0" xfId="0" applyNumberFormat="1" applyFont="1" applyFill="1" applyAlignment="1">
      <alignment horizontal="center" vertical="center"/>
    </xf>
    <xf numFmtId="49" fontId="11" fillId="0" borderId="0" xfId="0" applyNumberFormat="1" applyFont="1" applyFill="1" applyAlignment="1">
      <alignment horizontal="center" vertical="center"/>
    </xf>
    <xf numFmtId="167" fontId="6" fillId="0" borderId="0" xfId="0" applyFont="1" applyAlignment="1">
      <alignment horizontal="justify" vertical="justify" wrapText="1"/>
    </xf>
    <xf numFmtId="0" fontId="36" fillId="0" borderId="18" xfId="5" applyFont="1" applyFill="1" applyBorder="1" applyAlignment="1">
      <alignment horizontal="center"/>
    </xf>
    <xf numFmtId="0" fontId="36" fillId="0" borderId="15" xfId="5" applyFont="1" applyFill="1" applyBorder="1" applyAlignment="1">
      <alignment horizontal="center"/>
    </xf>
    <xf numFmtId="0" fontId="36" fillId="0" borderId="19" xfId="5" applyFont="1" applyFill="1" applyBorder="1" applyAlignment="1">
      <alignment horizontal="center"/>
    </xf>
    <xf numFmtId="0" fontId="10" fillId="0" borderId="0" xfId="3" applyFont="1" applyFill="1" applyAlignment="1">
      <alignment horizontal="center"/>
    </xf>
    <xf numFmtId="0" fontId="11" fillId="0" borderId="0" xfId="3" applyFont="1" applyFill="1" applyAlignment="1">
      <alignment horizontal="center"/>
    </xf>
    <xf numFmtId="37" fontId="14" fillId="0" borderId="8" xfId="4" applyNumberFormat="1" applyFont="1" applyFill="1" applyBorder="1" applyAlignment="1">
      <alignment horizontal="center"/>
    </xf>
    <xf numFmtId="37" fontId="10" fillId="0" borderId="0" xfId="4" applyNumberFormat="1" applyFont="1" applyFill="1" applyAlignment="1">
      <alignment horizontal="center"/>
    </xf>
    <xf numFmtId="37" fontId="11" fillId="0" borderId="0" xfId="4" applyNumberFormat="1" applyFont="1" applyFill="1" applyAlignment="1">
      <alignment horizontal="center"/>
    </xf>
    <xf numFmtId="167" fontId="74" fillId="0" borderId="0" xfId="0" applyFont="1" applyAlignment="1">
      <alignment horizontal="center" vertical="center" wrapText="1"/>
    </xf>
    <xf numFmtId="167" fontId="6" fillId="0" borderId="0" xfId="0" applyFont="1" applyAlignment="1">
      <alignment horizontal="justify" vertical="center"/>
    </xf>
    <xf numFmtId="167" fontId="6" fillId="0" borderId="0" xfId="0" applyFont="1" applyAlignment="1">
      <alignment horizontal="left" vertical="justify"/>
    </xf>
    <xf numFmtId="167" fontId="6" fillId="0" borderId="0" xfId="0" applyFont="1" applyAlignment="1">
      <alignment horizontal="left" vertical="justify" wrapText="1"/>
    </xf>
    <xf numFmtId="167" fontId="6" fillId="0" borderId="7" xfId="0" applyFont="1" applyFill="1" applyBorder="1" applyAlignment="1">
      <alignment horizontal="center"/>
    </xf>
    <xf numFmtId="167" fontId="6" fillId="0" borderId="0" xfId="0" applyFont="1" applyAlignment="1">
      <alignment horizontal="left" vertical="center"/>
    </xf>
    <xf numFmtId="167" fontId="6" fillId="0" borderId="7" xfId="0" applyFont="1" applyFill="1" applyBorder="1" applyAlignment="1">
      <alignment horizontal="center" wrapText="1"/>
    </xf>
    <xf numFmtId="0" fontId="36" fillId="0" borderId="2" xfId="5" applyFont="1" applyFill="1" applyBorder="1" applyAlignment="1">
      <alignment horizontal="center"/>
    </xf>
    <xf numFmtId="0" fontId="36" fillId="0" borderId="3" xfId="5" applyFont="1" applyFill="1" applyBorder="1" applyAlignment="1">
      <alignment horizontal="center"/>
    </xf>
    <xf numFmtId="0" fontId="36" fillId="0" borderId="4" xfId="5" applyFont="1" applyFill="1" applyBorder="1" applyAlignment="1">
      <alignment horizontal="center"/>
    </xf>
    <xf numFmtId="0" fontId="10" fillId="0" borderId="0" xfId="5" applyFont="1" applyFill="1" applyAlignment="1">
      <alignment horizontal="center"/>
    </xf>
    <xf numFmtId="167" fontId="8" fillId="0" borderId="16" xfId="0" applyFont="1" applyFill="1" applyBorder="1" applyAlignment="1">
      <alignment horizontal="center"/>
    </xf>
    <xf numFmtId="167" fontId="8" fillId="0" borderId="13" xfId="0" applyFont="1" applyFill="1" applyBorder="1" applyAlignment="1">
      <alignment horizontal="center"/>
    </xf>
    <xf numFmtId="167" fontId="8" fillId="0" borderId="17" xfId="0" applyFont="1" applyFill="1" applyBorder="1" applyAlignment="1">
      <alignment horizontal="center"/>
    </xf>
    <xf numFmtId="0" fontId="11" fillId="0" borderId="0" xfId="5" applyFont="1" applyFill="1" applyAlignment="1">
      <alignment horizontal="center"/>
    </xf>
    <xf numFmtId="167" fontId="6" fillId="0" borderId="0" xfId="0" applyFont="1" applyAlignment="1">
      <alignment horizontal="justify" vertical="center" wrapText="1"/>
    </xf>
    <xf numFmtId="167" fontId="6" fillId="0" borderId="33" xfId="0" applyFont="1" applyBorder="1" applyAlignment="1">
      <alignment horizontal="center" wrapText="1"/>
    </xf>
    <xf numFmtId="167" fontId="6" fillId="0" borderId="33" xfId="0" applyFont="1" applyBorder="1" applyAlignment="1">
      <alignment horizontal="center"/>
    </xf>
    <xf numFmtId="167" fontId="6" fillId="0" borderId="0" xfId="0" applyFont="1" applyAlignment="1">
      <alignment horizontal="left"/>
    </xf>
    <xf numFmtId="0" fontId="26" fillId="0" borderId="0" xfId="5" applyFont="1" applyFill="1" applyBorder="1" applyAlignment="1">
      <alignment horizontal="center"/>
    </xf>
    <xf numFmtId="167" fontId="17" fillId="0" borderId="0" xfId="0" applyNumberFormat="1" applyFont="1" applyFill="1" applyBorder="1" applyAlignment="1">
      <alignment horizontal="center"/>
    </xf>
    <xf numFmtId="167" fontId="39" fillId="0" borderId="33" xfId="0" applyFont="1" applyFill="1" applyBorder="1" applyAlignment="1">
      <alignment horizontal="center" wrapText="1"/>
    </xf>
    <xf numFmtId="167" fontId="6" fillId="0" borderId="33" xfId="0" applyFont="1" applyFill="1" applyBorder="1" applyAlignment="1">
      <alignment horizontal="center"/>
    </xf>
    <xf numFmtId="167" fontId="26" fillId="0" borderId="0" xfId="0" applyFont="1" applyFill="1" applyAlignment="1">
      <alignment horizontal="center"/>
    </xf>
    <xf numFmtId="167" fontId="8" fillId="0" borderId="0" xfId="0" applyFont="1" applyFill="1" applyAlignment="1">
      <alignment horizontal="center"/>
    </xf>
    <xf numFmtId="167" fontId="5" fillId="0" borderId="0" xfId="0" applyFont="1" applyFill="1" applyBorder="1" applyAlignment="1">
      <alignment horizontal="center"/>
    </xf>
  </cellXfs>
  <cellStyles count="264">
    <cellStyle name="60% - Accent1 2" xfId="11" xr:uid="{12ADE6A4-F979-4B2A-989B-6A210C732258}"/>
    <cellStyle name="60% - Accent2 2" xfId="12" xr:uid="{A39A1E71-30D7-4598-8773-C6535F67E98E}"/>
    <cellStyle name="60% - Accent3 2" xfId="13" xr:uid="{7F621B70-4830-45F0-8506-55EDB3077993}"/>
    <cellStyle name="60% - Accent4 2" xfId="14" xr:uid="{69015D0E-EE30-4F40-ADE8-AD2E5E11BAD1}"/>
    <cellStyle name="60% - Accent5 2" xfId="15" xr:uid="{B0911A3E-1C26-480B-B41A-6327BCF9624B}"/>
    <cellStyle name="60% - Accent6 2" xfId="16" xr:uid="{C353E166-4452-4900-A8CA-5390D0B9AA12}"/>
    <cellStyle name="Accent1 2" xfId="17" xr:uid="{9024F31B-E063-4271-A7A6-C56689748E35}"/>
    <cellStyle name="Accent2 2" xfId="18" xr:uid="{02C60E8E-A309-40CE-9550-7BF71C4E7E19}"/>
    <cellStyle name="Accent3 2" xfId="19" xr:uid="{E6BCDE2B-001A-48D8-A673-6BEF95E8B3DE}"/>
    <cellStyle name="Accent4 2" xfId="20" xr:uid="{E5765C6A-999C-412C-AB89-15CAD8AA415A}"/>
    <cellStyle name="Accent5 2" xfId="21" xr:uid="{015C8EE3-5525-4D4A-8428-1B3D25205EF8}"/>
    <cellStyle name="Accent6" xfId="6" builtinId="49"/>
    <cellStyle name="Accent6 2" xfId="22" xr:uid="{E7CB5D19-44DA-44DD-9A01-69F5EB136D83}"/>
    <cellStyle name="ColumnAttributeAbovePrompt" xfId="23" xr:uid="{A8C55E9E-C3C4-4E9B-A2F4-76399AA8CC4C}"/>
    <cellStyle name="ColumnAttributePrompt" xfId="24" xr:uid="{560D5248-7CA3-44E7-AAD2-FC5E94BB50AF}"/>
    <cellStyle name="ColumnAttributeValue" xfId="25" xr:uid="{F01BD1F9-B274-4AE5-A9C2-ED9C4EAFF75C}"/>
    <cellStyle name="ColumnHeadingPrompt" xfId="26" xr:uid="{F398932C-4ADE-4FF5-BAFB-6DE3DD0E6498}"/>
    <cellStyle name="ColumnHeadingValue" xfId="27" xr:uid="{D3D61D66-61D5-4050-8870-E478BF45EC87}"/>
    <cellStyle name="Comma" xfId="1" builtinId="3"/>
    <cellStyle name="Comma [0] 2" xfId="28" xr:uid="{6E815DBD-F12F-40DD-8E0F-6AC0E76D21A0}"/>
    <cellStyle name="Comma [0] 2 2" xfId="29" xr:uid="{D6A1B4A8-6073-431F-A8CE-9D459570D531}"/>
    <cellStyle name="Comma 2" xfId="30" xr:uid="{88DF8700-89DA-4EB5-B2BD-5B53B9CB955F}"/>
    <cellStyle name="Comma 2 2" xfId="31" xr:uid="{B3E65732-B8E3-4320-8573-78CA86E5F593}"/>
    <cellStyle name="Comma 2 2 2" xfId="32" xr:uid="{D272BE20-E5A3-4F56-890E-A3384C46C7FA}"/>
    <cellStyle name="Comma 2 3" xfId="33" xr:uid="{B2764138-4631-48CF-8D69-F44785257D96}"/>
    <cellStyle name="Comma 2 3 2" xfId="34" xr:uid="{BD78E7E0-F8E8-458B-BA52-DFB0D2F65359}"/>
    <cellStyle name="Comma 3" xfId="35" xr:uid="{CAD80239-15BD-4FD3-996D-1A387B488447}"/>
    <cellStyle name="Comma 3 2" xfId="36" xr:uid="{582D31E2-BB91-4EA0-B422-38D5FF784EFF}"/>
    <cellStyle name="Comma 3 2 2" xfId="37" xr:uid="{4FA146C6-2898-40E1-A27C-E61A507DF5AC}"/>
    <cellStyle name="Comma 3 2 2 2" xfId="38" xr:uid="{93E38FF9-9FA0-43DA-873B-D59137D35DB2}"/>
    <cellStyle name="Comma 3 2 2 2 2" xfId="39" xr:uid="{9FEBF199-7BF3-4296-839D-2FC9204B0D35}"/>
    <cellStyle name="Comma 3 2 2 3" xfId="40" xr:uid="{881AD442-3B56-4F44-8959-1E3F6C71AC78}"/>
    <cellStyle name="Comma 3 2 3" xfId="41" xr:uid="{9EC71C14-E579-4422-88A5-03B55D4F10CF}"/>
    <cellStyle name="Comma 3 2 3 2" xfId="42" xr:uid="{1CF3E6E6-F3FC-4446-AFFC-C8695EB461DF}"/>
    <cellStyle name="Comma 3 2 3 2 2" xfId="43" xr:uid="{3729C977-07D8-4973-A5BD-90A4DD78B5E1}"/>
    <cellStyle name="Comma 3 2 3 3" xfId="44" xr:uid="{3809AD1A-C117-49E3-9AC7-83D2D002F1DE}"/>
    <cellStyle name="Comma 3 2 4" xfId="45" xr:uid="{E8795255-BB67-4E99-B7AF-762CA4F6597C}"/>
    <cellStyle name="Comma 3 2 4 2" xfId="46" xr:uid="{38B8D600-F002-47B3-BD72-9FF0E9F625E9}"/>
    <cellStyle name="Comma 3 2 5" xfId="47" xr:uid="{6CF4A9F0-F8B0-4CF4-B8C0-42C43DEAC02E}"/>
    <cellStyle name="Comma 3 3" xfId="48" xr:uid="{C1449348-8F80-44DB-A636-F9D89FFA2C49}"/>
    <cellStyle name="Comma 3 3 2" xfId="49" xr:uid="{B0391DA5-0988-4D1A-BDAD-06416F0F90F9}"/>
    <cellStyle name="Comma 3 3 2 2" xfId="50" xr:uid="{71EE0B1B-77E8-4B15-B096-89203BE763EA}"/>
    <cellStyle name="Comma 3 3 3" xfId="51" xr:uid="{D75B2DED-C574-4C01-93DA-5B807988E99E}"/>
    <cellStyle name="Comma 3 4" xfId="52" xr:uid="{AA80FBCC-3146-490D-8A5A-0C83F8643743}"/>
    <cellStyle name="Comma 3 4 2" xfId="53" xr:uid="{84A78E92-A3A7-457A-9F84-A21639896B5A}"/>
    <cellStyle name="Comma 3 4 2 2" xfId="54" xr:uid="{5CE56E3E-C533-4C34-A11C-E963BC326B8E}"/>
    <cellStyle name="Comma 3 4 3" xfId="55" xr:uid="{9C3F5F39-E28C-456E-A38C-9B73F8CE4EC5}"/>
    <cellStyle name="Comma 3 5" xfId="56" xr:uid="{A6822816-BA74-4753-A1B1-95136D882E0E}"/>
    <cellStyle name="Comma 3 5 2" xfId="57" xr:uid="{08536284-0287-4C5D-886E-0AC64CDEFF10}"/>
    <cellStyle name="Comma 3 6" xfId="58" xr:uid="{AE92EE1E-3E8A-4BB3-9CCE-B5E040C0EA0C}"/>
    <cellStyle name="Comma0" xfId="59" xr:uid="{9996F1A3-ED07-478D-8569-FCBA31721114}"/>
    <cellStyle name="Comma0 2" xfId="60" xr:uid="{12B0CD6C-152D-4E0B-8A89-413966D49629}"/>
    <cellStyle name="Currency" xfId="2" builtinId="4"/>
    <cellStyle name="Currency 2" xfId="61" xr:uid="{A952B595-8105-4811-952E-DB99ACF9C5C2}"/>
    <cellStyle name="Currency 2 2" xfId="62" xr:uid="{B3C94BA8-4A11-41C3-B6A1-BF40987F531F}"/>
    <cellStyle name="Currency 2 3" xfId="63" xr:uid="{9B177855-621D-449A-B76D-5A90008FEB60}"/>
    <cellStyle name="Currency0" xfId="64" xr:uid="{AC2C8178-BC57-4C6F-AA92-D63E156DF39B}"/>
    <cellStyle name="Currency0 2" xfId="65" xr:uid="{BC8F336D-5013-47F1-A3CF-EBA354A48CD4}"/>
    <cellStyle name="Date" xfId="66" xr:uid="{DDD45CDD-1034-4546-80C9-E1986FDAE732}"/>
    <cellStyle name="Date 2" xfId="67" xr:uid="{0D877B4F-8915-44F6-9AB6-81002E79774D}"/>
    <cellStyle name="Euro" xfId="68" xr:uid="{273354AC-68EA-4591-B5F2-4A277415A68E}"/>
    <cellStyle name="Euro 2" xfId="69" xr:uid="{E891C0E8-B2EE-4246-A91B-5EFCF1E88C86}"/>
    <cellStyle name="F2" xfId="70" xr:uid="{DDE5DA05-4B05-494C-A7FB-255B2EA8BF29}"/>
    <cellStyle name="F3" xfId="71" xr:uid="{B2C4109B-0CE6-4120-8AF7-CD3E68D95B4B}"/>
    <cellStyle name="F4" xfId="72" xr:uid="{D7C83728-5BE9-4354-A775-A857DA4EA031}"/>
    <cellStyle name="F5" xfId="73" xr:uid="{76A3E15D-1339-4D08-82AA-45A14CFBDC76}"/>
    <cellStyle name="F5 2" xfId="74" xr:uid="{33A34216-EA9D-4AC1-839A-79AF2561FF6D}"/>
    <cellStyle name="F6" xfId="75" xr:uid="{35E4D043-9A30-4CD5-95E4-C92E6858485F}"/>
    <cellStyle name="F6 2" xfId="76" xr:uid="{33878AA0-4D05-4BF1-89DB-0D367B798CFB}"/>
    <cellStyle name="F7" xfId="77" xr:uid="{34D55D29-1EC7-4044-A2D2-7ADCB6CEA3C5}"/>
    <cellStyle name="F8" xfId="78" xr:uid="{F212159B-A8D6-4416-9FF5-278027B981F9}"/>
    <cellStyle name="Fixed" xfId="79" xr:uid="{C458B05C-A0B4-4686-BB8F-E9ACDFB3AB7C}"/>
    <cellStyle name="Fixed 2" xfId="80" xr:uid="{F2CBE2BD-24C0-4639-A7FC-03C917AF5A39}"/>
    <cellStyle name="Heading 3 2" xfId="81" xr:uid="{F9626932-2ECE-4D09-A429-DA5CDA3209C3}"/>
    <cellStyle name="LineItemPrompt" xfId="82" xr:uid="{E8FA0E50-D9ED-4544-85CB-AB118E88C3AD}"/>
    <cellStyle name="LineItemValue" xfId="83" xr:uid="{76B4CA20-E57D-4900-ADA2-80F995D76E25}"/>
    <cellStyle name="Normal" xfId="0" builtinId="0"/>
    <cellStyle name="Normal 2" xfId="84" xr:uid="{1FD1893D-5B77-44DD-A88F-4A8F99FE967A}"/>
    <cellStyle name="Normal 2 2" xfId="10" xr:uid="{1EA31B90-6195-4EE3-8915-AF0BDDD1D092}"/>
    <cellStyle name="Normal 2 2 2" xfId="85" xr:uid="{EAFBA7AA-C0B0-46B0-9453-AC8465D89FA7}"/>
    <cellStyle name="Normal 2 3" xfId="86" xr:uid="{8CC7F699-ED84-4DD7-861C-AC4660E345AD}"/>
    <cellStyle name="Normal 3" xfId="9" xr:uid="{266E4333-2D64-4000-871A-F0BFAD4F4074}"/>
    <cellStyle name="Normal 3 2" xfId="87" xr:uid="{73E0330F-1E31-4E78-A4E9-C5522FC34821}"/>
    <cellStyle name="Normal 4" xfId="88" xr:uid="{0271D027-C4C0-476A-B8D1-310C132D26DB}"/>
    <cellStyle name="Normal 5" xfId="89" xr:uid="{722408BD-6520-428A-9519-05DF95D53D6B}"/>
    <cellStyle name="Normal 5 2" xfId="90" xr:uid="{FB0AFFA4-BE85-45CB-B188-06CE77385AF2}"/>
    <cellStyle name="Normal 5 2 2" xfId="91" xr:uid="{A391B750-BB57-4705-88BB-CA58760907FA}"/>
    <cellStyle name="Normal 5 2 2 2" xfId="92" xr:uid="{508FACF9-8BEA-4498-A012-5CA681C2578D}"/>
    <cellStyle name="Normal 5 2 2 2 2" xfId="93" xr:uid="{68608E44-1057-489B-84CC-6E4EA6044DED}"/>
    <cellStyle name="Normal 5 2 2 2 2 2" xfId="94" xr:uid="{B6814A2E-6082-4A5C-BBA7-0AF4F05280D6}"/>
    <cellStyle name="Normal 5 2 2 2 3" xfId="95" xr:uid="{69168A61-E450-4C18-805B-F51D2C0076ED}"/>
    <cellStyle name="Normal 5 2 2 3" xfId="96" xr:uid="{7C513F1E-511A-424E-A8E7-7A8F5B9904B6}"/>
    <cellStyle name="Normal 5 2 2 3 2" xfId="97" xr:uid="{3938CF8F-E706-458B-AE4B-1E220648ED8F}"/>
    <cellStyle name="Normal 5 2 2 3 2 2" xfId="98" xr:uid="{70D3EA3B-D701-4B27-BAB2-6E09458CA9E3}"/>
    <cellStyle name="Normal 5 2 2 3 3" xfId="99" xr:uid="{2EBD1A7E-73F7-4DDF-8294-3125DA9FCA52}"/>
    <cellStyle name="Normal 5 2 2 4" xfId="100" xr:uid="{BFFDA7A0-835F-4D4B-B71F-41A02CE34EAA}"/>
    <cellStyle name="Normal 5 2 2 4 2" xfId="101" xr:uid="{2E388571-D8C0-453F-852E-E111EC2E7024}"/>
    <cellStyle name="Normal 5 2 2 5" xfId="102" xr:uid="{08B85AA5-6FF4-4F99-AF86-C43CB5696E62}"/>
    <cellStyle name="Normal 5 2 3" xfId="103" xr:uid="{E09415D2-D51F-46B6-9153-3462DE63616C}"/>
    <cellStyle name="Normal 5 2 3 2" xfId="104" xr:uid="{8692E9E7-5939-48AB-8854-C92AEC2DB590}"/>
    <cellStyle name="Normal 5 2 3 2 2" xfId="105" xr:uid="{2F0DAB38-60FE-4B36-B074-7D30C1953877}"/>
    <cellStyle name="Normal 5 2 3 3" xfId="106" xr:uid="{9095BBAC-2C77-4D36-96A8-BF3D02BA22D5}"/>
    <cellStyle name="Normal 5 2 4" xfId="107" xr:uid="{4F4DAC71-04DA-45E3-85C3-12F021A7FA17}"/>
    <cellStyle name="Normal 5 2 4 2" xfId="108" xr:uid="{A747B767-D9EE-4A78-9500-775D6F297AA3}"/>
    <cellStyle name="Normal 5 2 4 2 2" xfId="109" xr:uid="{5E3AEBE5-82FF-421C-B86F-B9B98D2C95AE}"/>
    <cellStyle name="Normal 5 2 4 3" xfId="110" xr:uid="{B6976626-4FE2-4211-B21F-E1386DA787DC}"/>
    <cellStyle name="Normal 5 2 5" xfId="111" xr:uid="{B3E9694F-6936-4A4C-8FA9-89319BCA0592}"/>
    <cellStyle name="Normal 5 2 5 2" xfId="112" xr:uid="{0E50B0CE-19AC-4768-8768-726E4B6C98CF}"/>
    <cellStyle name="Normal 5 2 6" xfId="113" xr:uid="{FD2E8E66-DAFE-41DD-AD77-9EE5136B8B6E}"/>
    <cellStyle name="Normal 5 3" xfId="114" xr:uid="{7FAA6274-BC78-459C-B978-579508BD5008}"/>
    <cellStyle name="Normal 5 3 2" xfId="115" xr:uid="{8542614B-5911-43D6-BF7E-76A51A343C1E}"/>
    <cellStyle name="Normal 5 3 2 2" xfId="116" xr:uid="{098559A3-7965-43CE-AC61-E296838BBBC1}"/>
    <cellStyle name="Normal 5 3 2 2 2" xfId="117" xr:uid="{45853BB9-DACF-4422-84C5-932A9B91950D}"/>
    <cellStyle name="Normal 5 3 2 2 2 2" xfId="118" xr:uid="{61FFCF7D-9DEF-48A5-BECF-F0A7B867226C}"/>
    <cellStyle name="Normal 5 3 2 2 3" xfId="119" xr:uid="{40D8DB61-0817-49D9-9A39-64E8CE8CD11F}"/>
    <cellStyle name="Normal 5 3 2 3" xfId="120" xr:uid="{0B4FA53C-DBB4-40C2-BE74-CB9942213AD5}"/>
    <cellStyle name="Normal 5 3 2 3 2" xfId="121" xr:uid="{EA23D662-0E3D-4DE6-A037-5CD605E361E6}"/>
    <cellStyle name="Normal 5 3 2 3 2 2" xfId="122" xr:uid="{5367DA6A-63C5-4A67-AF9C-93445B91F2DE}"/>
    <cellStyle name="Normal 5 3 2 3 3" xfId="123" xr:uid="{DE33AB1C-BA81-4472-9C70-C1EED05ADFEC}"/>
    <cellStyle name="Normal 5 3 2 4" xfId="124" xr:uid="{D3CB3F01-C875-4C2F-A27C-D6046E2AD95C}"/>
    <cellStyle name="Normal 5 3 2 4 2" xfId="125" xr:uid="{F9901E8E-73DE-421B-A236-538A87F67B16}"/>
    <cellStyle name="Normal 5 3 2 5" xfId="126" xr:uid="{69CB6733-2445-4A4C-81A6-BCE5DB33D829}"/>
    <cellStyle name="Normal 5 3 3" xfId="127" xr:uid="{4056B1B2-C347-4396-ABF6-7030F259717D}"/>
    <cellStyle name="Normal 5 3 3 2" xfId="128" xr:uid="{89B9ACD7-D7B2-4ADF-AD30-6C29F774A827}"/>
    <cellStyle name="Normal 5 3 3 2 2" xfId="129" xr:uid="{3BAA0B42-FB61-4455-BD39-2D1CDF78906E}"/>
    <cellStyle name="Normal 5 3 3 3" xfId="130" xr:uid="{7D7232C4-4CCA-40BD-AA71-B010B0091F1E}"/>
    <cellStyle name="Normal 5 3 4" xfId="131" xr:uid="{6662A664-5114-4C78-B8C3-8BC53CD7BC78}"/>
    <cellStyle name="Normal 5 3 4 2" xfId="132" xr:uid="{63706E06-85B0-4C39-A927-C4F7508ADF2C}"/>
    <cellStyle name="Normal 5 3 4 2 2" xfId="133" xr:uid="{8A8FCDB1-01C6-423B-AB0E-128509DCCAE5}"/>
    <cellStyle name="Normal 5 3 4 3" xfId="134" xr:uid="{0B497D99-52F2-40BC-A0BD-E69F2EF1FB3D}"/>
    <cellStyle name="Normal 5 3 5" xfId="135" xr:uid="{AA68E89B-DA13-4357-AF02-90A9E627F186}"/>
    <cellStyle name="Normal 5 3 5 2" xfId="136" xr:uid="{CFFE791E-AFD9-4662-9EBC-80556AB3FDBC}"/>
    <cellStyle name="Normal 5 3 6" xfId="137" xr:uid="{BB84C463-965D-432F-B6F5-4C02947D4A1A}"/>
    <cellStyle name="Normal 5 4" xfId="138" xr:uid="{DE44AC7C-A47A-4F82-B74C-D779B9539736}"/>
    <cellStyle name="Normal 5 4 2" xfId="139" xr:uid="{EBA8A09D-5249-4965-8B85-CAE61861289F}"/>
    <cellStyle name="Normal 5 4 2 2" xfId="140" xr:uid="{37D69D51-5EE4-4AC3-B6C4-C13018AB2A48}"/>
    <cellStyle name="Normal 5 4 2 2 2" xfId="141" xr:uid="{6FAA3CB5-7C61-4127-BBF9-46E60D675C93}"/>
    <cellStyle name="Normal 5 4 2 2 2 2" xfId="142" xr:uid="{0BC88004-A8EC-49BC-A7CA-86E58CFF0621}"/>
    <cellStyle name="Normal 5 4 2 2 3" xfId="143" xr:uid="{331A96A1-72FC-4EF6-8479-CDA4125D2498}"/>
    <cellStyle name="Normal 5 4 2 3" xfId="144" xr:uid="{37D6D055-8B4B-4054-9D3D-374AE3E086EF}"/>
    <cellStyle name="Normal 5 4 2 3 2" xfId="145" xr:uid="{055D2A09-118A-44A0-BD60-1ED23A1BB641}"/>
    <cellStyle name="Normal 5 4 2 4" xfId="146" xr:uid="{FAF0DC3C-9057-408A-8585-BC3ED476A4A4}"/>
    <cellStyle name="Normal 5 4 3" xfId="147" xr:uid="{9B411052-6202-4368-9F16-B37CFBF1D4C2}"/>
    <cellStyle name="Normal 5 4 3 2" xfId="148" xr:uid="{47A884EA-CE3B-4D2E-AB1C-5C5559DAFFD4}"/>
    <cellStyle name="Normal 5 4 3 2 2" xfId="149" xr:uid="{4778AB5D-DD9B-4BF1-835A-DAF32EF94503}"/>
    <cellStyle name="Normal 5 4 3 3" xfId="150" xr:uid="{520E242E-00AA-41F2-881B-948D46C5F229}"/>
    <cellStyle name="Normal 5 4 4" xfId="151" xr:uid="{BB9BCCF7-61FB-48CF-B0C4-D1F5AD59F41B}"/>
    <cellStyle name="Normal 5 4 4 2" xfId="152" xr:uid="{99DB7021-0A8C-4CCD-97B6-B58C53B40459}"/>
    <cellStyle name="Normal 5 4 4 2 2" xfId="153" xr:uid="{E3B1FF9C-9016-478A-905E-185EF894FBBD}"/>
    <cellStyle name="Normal 5 4 4 3" xfId="154" xr:uid="{AA24EB54-FC1B-4136-A3EC-B6B4D57AA519}"/>
    <cellStyle name="Normal 5 4 5" xfId="155" xr:uid="{4DDC4110-CC33-4DE8-991A-33A55F7F0234}"/>
    <cellStyle name="Normal 5 4 5 2" xfId="156" xr:uid="{208121E9-ADE8-4DEA-8223-7608E0B6306B}"/>
    <cellStyle name="Normal 5 4 6" xfId="157" xr:uid="{6DDC6754-1AC6-410F-A304-2E11FCDEE7B3}"/>
    <cellStyle name="Normal 5 5" xfId="158" xr:uid="{DF93A5C3-237A-40C6-800E-89E4CD072833}"/>
    <cellStyle name="Normal 5 5 2" xfId="159" xr:uid="{9D695092-CAC3-47F2-8AC4-B09EEC4F02E2}"/>
    <cellStyle name="Normal 5 5 2 2" xfId="160" xr:uid="{5C272A4F-6F87-4E40-A12E-CD3BA2C639D8}"/>
    <cellStyle name="Normal 5 5 2 2 2" xfId="161" xr:uid="{C2B22EB1-43FA-4892-AEE5-E949EE86FF3E}"/>
    <cellStyle name="Normal 5 5 2 3" xfId="162" xr:uid="{11F8955E-3902-40EA-9F72-5D636053E715}"/>
    <cellStyle name="Normal 5 5 3" xfId="163" xr:uid="{C9421E63-D5F8-4F94-BA85-FCF03CC9D453}"/>
    <cellStyle name="Normal 5 5 3 2" xfId="164" xr:uid="{326F8F38-FA51-4956-BEA4-DC105F34F65C}"/>
    <cellStyle name="Normal 5 5 4" xfId="165" xr:uid="{3CE8E3AD-F87C-4066-9276-D82963E3BABA}"/>
    <cellStyle name="Normal 5 6" xfId="166" xr:uid="{3DE04C31-2655-443B-A7E4-2DCF51F9D3DB}"/>
    <cellStyle name="Normal 5 6 2" xfId="167" xr:uid="{67DF7FC7-3FF0-44B3-8E15-5B67260AB269}"/>
    <cellStyle name="Normal 5 6 2 2" xfId="168" xr:uid="{A35CF8B2-05DF-4FE5-BC4E-C1E6ACB75A81}"/>
    <cellStyle name="Normal 5 6 3" xfId="169" xr:uid="{6477FDB2-FB29-401A-8F87-EB5EC87DBD05}"/>
    <cellStyle name="Normal 5 7" xfId="170" xr:uid="{4FB71B3A-77F8-459F-A4BB-880BACD73851}"/>
    <cellStyle name="Normal 5 7 2" xfId="171" xr:uid="{F88EEFCA-BD1C-4999-86DC-7B8164E47B26}"/>
    <cellStyle name="Normal 5 7 2 2" xfId="172" xr:uid="{F336CE0F-648A-40C6-B899-F56798D57CBB}"/>
    <cellStyle name="Normal 5 7 3" xfId="173" xr:uid="{EFBC6450-2C01-4596-89B3-1F899F976E12}"/>
    <cellStyle name="Normal 5 8" xfId="174" xr:uid="{4AEEA667-930B-4F08-B1C6-0F593C5CC430}"/>
    <cellStyle name="Normal 5 8 2" xfId="175" xr:uid="{71EE1014-2265-4BFC-8A2C-B4EEAD6CA2B5}"/>
    <cellStyle name="Normal 5 9" xfId="176" xr:uid="{64364010-1287-49D4-8DB9-282369A7AAFB}"/>
    <cellStyle name="Normal 6" xfId="177" xr:uid="{E1111E72-ADB2-41B2-845E-B44BC78325E1}"/>
    <cellStyle name="Normal 6 2" xfId="178" xr:uid="{444CD44B-BA7F-408E-8865-A0E4866F881A}"/>
    <cellStyle name="Normal 6 3" xfId="179" xr:uid="{2F87F8AD-C189-415F-AC48-39B418154F20}"/>
    <cellStyle name="Normal 7" xfId="180" xr:uid="{C77059DA-813D-4157-A747-AFCE14C7C73A}"/>
    <cellStyle name="Normal 7 2" xfId="181" xr:uid="{5C3BE2B4-3166-4BD0-AE8B-84A9FAF4B392}"/>
    <cellStyle name="Normal 7 2 2" xfId="182" xr:uid="{9C1AA2B3-84CF-427A-9340-595C9E54B979}"/>
    <cellStyle name="Normal 7 2 2 2" xfId="183" xr:uid="{E837AFF0-B955-4FE1-AA81-44F498BF0F54}"/>
    <cellStyle name="Normal 7 2 2 2 2" xfId="184" xr:uid="{48B457E4-AA22-4B48-9627-07B8301B2F28}"/>
    <cellStyle name="Normal 7 2 2 3" xfId="185" xr:uid="{6650A8D2-6450-4BE1-871D-6D3F7F24A3AC}"/>
    <cellStyle name="Normal 7 2 3" xfId="186" xr:uid="{123EEECF-90E0-4C07-BBD2-B66693569C1D}"/>
    <cellStyle name="Normal 7 2 3 2" xfId="187" xr:uid="{48200233-DB8E-41C2-B47B-21046FF09B22}"/>
    <cellStyle name="Normal 7 2 3 2 2" xfId="188" xr:uid="{8A8DF424-7B3C-4BA7-841C-304C4D2E132C}"/>
    <cellStyle name="Normal 7 2 3 3" xfId="189" xr:uid="{F467A2F9-6858-44E7-80F8-5CD4357B366B}"/>
    <cellStyle name="Normal 7 2 4" xfId="190" xr:uid="{B94ABCE7-3232-4824-A20B-3EABCE0A2B47}"/>
    <cellStyle name="Normal 7 2 4 2" xfId="191" xr:uid="{7D725015-B02A-4A49-A83E-8D25E4C954FF}"/>
    <cellStyle name="Normal 7 2 5" xfId="192" xr:uid="{23948B80-6922-4E26-8382-28CCEF1EB701}"/>
    <cellStyle name="Normal 7 3" xfId="193" xr:uid="{53ABA813-3A07-47EB-BCFB-BD17DF051753}"/>
    <cellStyle name="Normal 7 3 2" xfId="194" xr:uid="{2A5F9FE7-C46F-49AB-A90D-98CB1B5A5812}"/>
    <cellStyle name="Normal 7 3 2 2" xfId="195" xr:uid="{9BE43392-46C2-4431-A935-2FC125D4791F}"/>
    <cellStyle name="Normal 7 3 3" xfId="196" xr:uid="{E5F5E5B8-E1B3-4FAC-BA40-819EE14C3354}"/>
    <cellStyle name="Normal 7 4" xfId="197" xr:uid="{6FFBFF6E-502E-4685-AF1A-F5FCBC069831}"/>
    <cellStyle name="Normal 7 4 2" xfId="198" xr:uid="{43A5E525-C9B0-4EA4-BB5F-796473043DDF}"/>
    <cellStyle name="Normal 7 4 2 2" xfId="199" xr:uid="{368D762A-9650-41A0-882F-2A8DD9023D20}"/>
    <cellStyle name="Normal 7 4 3" xfId="200" xr:uid="{4F2F0AE3-D1C8-40E4-97A9-BA5442CEC4CC}"/>
    <cellStyle name="Normal 7 5" xfId="201" xr:uid="{15018CEE-9539-4871-9EE6-877ED4662B97}"/>
    <cellStyle name="Normal 7 5 2" xfId="202" xr:uid="{8733BD67-CD11-45C2-A7C2-BBA87F2ADD80}"/>
    <cellStyle name="Normal 7 6" xfId="203" xr:uid="{1D3568F2-21CE-4E2A-BD49-59CF1711ECE9}"/>
    <cellStyle name="Normal 8" xfId="8" xr:uid="{8FA9CBC2-569B-420E-8841-AB1BBF41C3DD}"/>
    <cellStyle name="Normal_Nov 06 Exhibit B1 - Page 3 of 6" xfId="3" xr:uid="{00000000-0005-0000-0000-000004000000}"/>
    <cellStyle name="Normal_Nov 06 Exhibit B1 - Page 4 of 6" xfId="4" xr:uid="{00000000-0005-0000-0000-000005000000}"/>
    <cellStyle name="Normal_Nov 06 Exhibit E-1. xls" xfId="5" xr:uid="{00000000-0005-0000-0000-000006000000}"/>
    <cellStyle name="Output Amounts" xfId="204" xr:uid="{665E616F-6282-4278-9243-BAB26CDF4355}"/>
    <cellStyle name="Output Column Headings" xfId="205" xr:uid="{0222E962-01B0-4698-BC6A-ABA3B1F27381}"/>
    <cellStyle name="Output Line Items" xfId="206" xr:uid="{4B85C64F-C663-4B2E-BDC3-07DC084FE7F8}"/>
    <cellStyle name="Output Line Items 2" xfId="207" xr:uid="{7A95BE31-C21E-47E9-9604-B4B752D74CA0}"/>
    <cellStyle name="Output Report Heading" xfId="208" xr:uid="{B4B64925-EA90-4441-8790-17C80DE0B036}"/>
    <cellStyle name="Output Report Title" xfId="209" xr:uid="{26E79A72-5E27-4EBB-908A-1726F0A486E0}"/>
    <cellStyle name="Percent" xfId="7" builtinId="5"/>
    <cellStyle name="Percent 2" xfId="210" xr:uid="{01110D31-BE65-46E2-9795-E46C4AED2505}"/>
    <cellStyle name="Percent 2 2" xfId="211" xr:uid="{D688D22C-6DF0-4B02-999E-80356465A9C1}"/>
    <cellStyle name="Percent 3" xfId="212" xr:uid="{1AE62836-C4A6-406E-8FB8-CF3DFDE0318B}"/>
    <cellStyle name="Percent 3 2" xfId="213" xr:uid="{DB74E073-A31E-40E9-87B5-EBF867398A06}"/>
    <cellStyle name="Percent 3 2 2" xfId="214" xr:uid="{D2505094-6D4C-4EDD-8AE7-9CED6171B3DC}"/>
    <cellStyle name="Percent 3 2 2 2" xfId="215" xr:uid="{49975735-3701-4B65-87CE-7D734D83B48D}"/>
    <cellStyle name="Percent 3 2 2 2 2" xfId="216" xr:uid="{7E31F89D-AB4B-4AF7-8C46-3C2DAE511978}"/>
    <cellStyle name="Percent 3 2 2 3" xfId="217" xr:uid="{B4C46823-12A8-4BD1-B585-0A29F878386D}"/>
    <cellStyle name="Percent 3 2 3" xfId="218" xr:uid="{5443B054-4841-4AAF-96AE-031333C10156}"/>
    <cellStyle name="Percent 3 2 3 2" xfId="219" xr:uid="{69A6C7C2-C97E-466E-8BBD-8410646EAF29}"/>
    <cellStyle name="Percent 3 2 3 2 2" xfId="220" xr:uid="{961D612D-C834-423C-A4D1-BB3263AA1CD7}"/>
    <cellStyle name="Percent 3 2 3 3" xfId="221" xr:uid="{549C414C-0CDE-4F9F-9429-A16D50E00D81}"/>
    <cellStyle name="Percent 3 2 4" xfId="222" xr:uid="{7A32B98B-C702-4308-A1AC-DB7694B6237F}"/>
    <cellStyle name="Percent 3 2 4 2" xfId="223" xr:uid="{28EABE8D-75B1-484C-BD32-C084BD972A19}"/>
    <cellStyle name="Percent 3 2 5" xfId="224" xr:uid="{F5DBB989-AFF2-4385-9614-7F99CAEAFC1F}"/>
    <cellStyle name="Percent 3 3" xfId="225" xr:uid="{67E2542E-9E44-46F5-8B24-03433CD69588}"/>
    <cellStyle name="Percent 3 3 2" xfId="226" xr:uid="{4F8551E5-1409-4EF8-A674-7005D12B5704}"/>
    <cellStyle name="Percent 3 3 2 2" xfId="227" xr:uid="{63676982-9B9E-408F-9390-DC2535B7666C}"/>
    <cellStyle name="Percent 3 3 3" xfId="228" xr:uid="{1749CFA2-2062-42A8-95CB-7AE45540D0DE}"/>
    <cellStyle name="Percent 3 4" xfId="229" xr:uid="{487004A0-9083-4D19-ADFD-D5E58E491F32}"/>
    <cellStyle name="Percent 3 4 2" xfId="230" xr:uid="{BD49C179-E11E-424D-B75C-E99247FCB69B}"/>
    <cellStyle name="Percent 3 4 2 2" xfId="231" xr:uid="{D7E28AEE-54AE-4920-B37D-117BCACFFF78}"/>
    <cellStyle name="Percent 3 4 3" xfId="232" xr:uid="{261EAC59-D872-47EF-95B6-050FB9DC5B68}"/>
    <cellStyle name="Percent 3 5" xfId="233" xr:uid="{7B5D1022-C0A9-4448-9870-0FCA660C411E}"/>
    <cellStyle name="Percent 3 5 2" xfId="234" xr:uid="{E0C0D856-0F38-4D13-BF3B-45766977FD8D}"/>
    <cellStyle name="Percent 3 6" xfId="235" xr:uid="{222C6039-1D1C-4581-A943-C87B6C9867F6}"/>
    <cellStyle name="ReportTitlePrompt" xfId="236" xr:uid="{0ACF56E1-ACFC-4E1A-8F69-295A25F53BE6}"/>
    <cellStyle name="ReportTitleValue" xfId="237" xr:uid="{46E3B6CF-0F31-4824-877A-F8067152EB8E}"/>
    <cellStyle name="RowAcctAbovePrompt" xfId="238" xr:uid="{06451C0B-CEF0-44AB-8910-E22C4EAE0674}"/>
    <cellStyle name="RowAcctSOBAbovePrompt" xfId="239" xr:uid="{11BF2E57-A94B-4D8F-AD46-25DED2B7E567}"/>
    <cellStyle name="RowAcctSOBValue" xfId="240" xr:uid="{61DD62BC-731A-48D7-B097-51BEF35150C5}"/>
    <cellStyle name="RowAcctValue" xfId="241" xr:uid="{EAEDA716-D199-40FB-9771-AE4827005EE1}"/>
    <cellStyle name="RowAttrAbovePrompt" xfId="242" xr:uid="{5ED4522F-F77D-4BC0-82D0-287CF361CADF}"/>
    <cellStyle name="RowAttrValue" xfId="243" xr:uid="{61298BBD-C33E-4549-8FC3-7890E5ACDD87}"/>
    <cellStyle name="RowColSetAbovePrompt" xfId="244" xr:uid="{3471F1C4-A274-46BF-BD0A-142DEBA250A9}"/>
    <cellStyle name="RowColSetLeftPrompt" xfId="245" xr:uid="{9D8940E8-9BDE-45D7-BF21-EDDE016ED7E3}"/>
    <cellStyle name="RowColSetValue" xfId="246" xr:uid="{0D0E6C3E-A75F-4203-B0A2-94ACE8B69EB8}"/>
    <cellStyle name="RowLeftPrompt" xfId="247" xr:uid="{E8E2CEAF-0BD7-4980-9583-F1562DD732D1}"/>
    <cellStyle name="SampleUsingFormatMask" xfId="248" xr:uid="{AEDCDDCB-3826-4ABA-B1BA-C499EBCF0F94}"/>
    <cellStyle name="SampleWithNoFormatMask" xfId="249" xr:uid="{947272C7-4DFA-4F99-9DC6-23CFCD4837DD}"/>
    <cellStyle name="STYL5 - Style5" xfId="250" xr:uid="{92D2ECA5-252B-41AF-9A13-C49C2A5FBEDE}"/>
    <cellStyle name="STYL5 - Style5 2" xfId="251" xr:uid="{8E78BABB-037E-401B-8F5A-CD755A7DE6BB}"/>
    <cellStyle name="STYL6 - Style6" xfId="252" xr:uid="{B6ABF3EA-045B-4390-971C-93708CF7ED9F}"/>
    <cellStyle name="STYL6 - Style6 2" xfId="253" xr:uid="{FABD4ABD-82F4-429A-8729-75AC930A3E1E}"/>
    <cellStyle name="STYLE1 - Style1" xfId="254" xr:uid="{463200AD-B74C-4D7C-9195-F32C9B83B83A}"/>
    <cellStyle name="STYLE1 - Style1 2" xfId="255" xr:uid="{E755D578-A6FF-48CC-A49C-F9A94F2D7A4F}"/>
    <cellStyle name="STYLE2 - Style2" xfId="256" xr:uid="{977B989F-0E9F-4063-B527-FF91E81E82EB}"/>
    <cellStyle name="STYLE2 - Style2 2" xfId="257" xr:uid="{001E4ACC-79F1-4C6B-BCC9-313229066080}"/>
    <cellStyle name="STYLE3 - Style3" xfId="258" xr:uid="{3B445586-108C-4E38-9A46-EDCBA291E035}"/>
    <cellStyle name="STYLE3 - Style3 2" xfId="259" xr:uid="{BC8528CF-9CAF-46F8-A7DA-0735FEEEDAEF}"/>
    <cellStyle name="STYLE4 - Style4" xfId="260" xr:uid="{8E9A12CC-F1BF-4ADE-930C-F4C53D77209F}"/>
    <cellStyle name="STYLE4 - Style4 2" xfId="261" xr:uid="{99537177-A93E-4919-B8DD-2816760B3939}"/>
    <cellStyle name="UploadThisRowValue" xfId="262" xr:uid="{C9782C32-6850-49A6-9AB4-A1DDE2C0F834}"/>
    <cellStyle name="Warning Text 2" xfId="263" xr:uid="{ABE7F218-7F24-4EAE-AF57-E7B278856A24}"/>
  </cellStyles>
  <dxfs count="2">
    <dxf>
      <font>
        <color auto="1"/>
      </font>
      <border>
        <vertical/>
        <horizontal/>
      </border>
    </dxf>
    <dxf>
      <border>
        <left style="thin">
          <color rgb="FFFF0000"/>
        </left>
        <right style="thin">
          <color rgb="FFFF0000"/>
        </right>
        <top style="thin">
          <color rgb="FFFF0000"/>
        </top>
        <bottom style="thin">
          <color rgb="FFFF0000"/>
        </bottom>
        <vertical/>
        <horizontal/>
      </border>
    </dxf>
  </dxfs>
  <tableStyles count="0" defaultTableStyle="TableStyleMedium9" defaultPivotStyle="PivotStyleLight16"/>
  <colors>
    <mruColors>
      <color rgb="FFFFFF99"/>
      <color rgb="FF0000FF"/>
      <color rgb="FF0066FF"/>
      <color rgb="FF2006B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microsoft.com/office/2017/10/relationships/person" Target="persons/perso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persons/person.xml><?xml version="1.0" encoding="utf-8"?>
<personList xmlns="http://schemas.microsoft.com/office/spreadsheetml/2018/threadedcomments" xmlns:x="http://schemas.openxmlformats.org/spreadsheetml/2006/main">
  <person displayName="Sharp, Stephen" id="{B268391F-0F43-4389-9A7F-32DACB2A7AB5}" userId="S::Stephen.Sharp@lge-ku.com::21fee145-60da-4414-ba4a-76c728d13d41"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bwMode="auto">
        <a:noFill/>
        <a:ln w="9525">
          <a:noFill/>
          <a:miter lim="800000"/>
          <a:headEnd/>
          <a:tailEnd/>
        </a:ln>
      </a:spPr>
      <a:bodyPr vertOverflow="clip" vert="horz" wrap="square" lIns="45720" tIns="36576" rIns="0" bIns="0" anchor="b" upright="1"/>
      <a:lstStyle>
        <a:defPPr algn="l" rtl="0">
          <a:defRPr sz="1200" b="1" i="0" u="none" strike="noStrike" baseline="0">
            <a:solidFill>
              <a:srgbClr val="000000"/>
            </a:solidFill>
            <a:latin typeface="Arial"/>
            <a:cs typeface="Arial"/>
          </a:defRPr>
        </a:defPPr>
      </a:lstStyle>
    </a:txDef>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A7" dT="2021-09-07T15:54:15.78" personId="{B268391F-0F43-4389-9A7F-32DACB2A7AB5}" id="{31E617CC-C756-44B2-B339-B9501339B6FF}">
    <text>GAS PURCHASES AND END-USER TRANSPORTATION THROUGHPUT</text>
  </threadedComment>
  <threadedComment ref="D7" dT="2021-09-07T15:53:34.79" personId="{B268391F-0F43-4389-9A7F-32DACB2A7AB5}" id="{ED825CE3-E161-4E3F-9615-70D9E671AE17}">
    <text>BP GAS SUPPLY COMPOSITION FORECAST (MCF)</text>
  </threadedComment>
</ThreadedComments>
</file>

<file path=xl/threadedComments/threadedComment2.xml><?xml version="1.0" encoding="utf-8"?>
<ThreadedComments xmlns="http://schemas.microsoft.com/office/spreadsheetml/2018/threadedcomments" xmlns:x="http://schemas.openxmlformats.org/spreadsheetml/2006/main">
  <threadedComment ref="E92" dT="2021-06-24T21:51:12.29" personId="{B268391F-0F43-4389-9A7F-32DACB2A7AB5}" id="{8412885B-621C-454B-80D0-F26960296EFC}">
    <text>One Month Delay on Numbers (i.e. May numbers will be available in June)</text>
  </threadedComment>
</ThreadedComments>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ustomProperty" Target="../customProperty10.bin"/><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customProperty" Target="../customProperty11.bin"/><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customProperty" Target="../customProperty12.bin"/><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customProperty" Target="../customProperty13.bin"/><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customProperty" Target="../customProperty14.bin"/><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customProperty" Target="../customProperty15.bin"/><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customProperty" Target="../customProperty16.bin"/><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customProperty" Target="../customProperty17.bin"/><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customProperty" Target="../customProperty18.bin"/><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customProperty" Target="../customProperty19.bin"/><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customProperty" Target="../customProperty20.bin"/><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customProperty" Target="../customProperty21.bin"/><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customProperty" Target="../customProperty22.bin"/><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customProperty" Target="../customProperty23.bin"/><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customProperty" Target="../customProperty24.bin"/><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customProperty" Target="../customProperty25.bin"/><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customProperty" Target="../customProperty26.bin"/><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customProperty" Target="../customProperty27.bin"/><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customProperty" Target="../customProperty28.bin"/><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customProperty" Target="../customProperty29.bin"/><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customProperty" Target="../customProperty30.bin"/><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customProperty" Target="../customProperty31.bin"/><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customProperty" Target="../customProperty32.bin"/><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customProperty" Target="../customProperty33.bin"/><Relationship Id="rId1" Type="http://schemas.openxmlformats.org/officeDocument/2006/relationships/printerSettings" Target="../printerSettings/printerSettings34.bin"/><Relationship Id="rId4" Type="http://schemas.openxmlformats.org/officeDocument/2006/relationships/comments" Target="../comments3.xml"/></Relationships>
</file>

<file path=xl/worksheets/_rels/sheet35.xml.rels><?xml version="1.0" encoding="UTF-8" standalone="yes"?>
<Relationships xmlns="http://schemas.openxmlformats.org/package/2006/relationships"><Relationship Id="rId2" Type="http://schemas.openxmlformats.org/officeDocument/2006/relationships/customProperty" Target="../customProperty34.bin"/><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customProperty" Target="../customProperty35.bin"/><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customProperty" Target="../customProperty36.bin"/><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customProperty" Target="../customProperty37.bin"/><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customProperty" Target="../customProperty38.bin"/><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customProperty" Target="../customProperty6.bin"/><Relationship Id="rId1" Type="http://schemas.openxmlformats.org/officeDocument/2006/relationships/printerSettings" Target="../printerSettings/printerSettings6.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customProperty" Target="../customProperty7.bin"/><Relationship Id="rId1" Type="http://schemas.openxmlformats.org/officeDocument/2006/relationships/printerSettings" Target="../printerSettings/printerSettings7.bin"/><Relationship Id="rId5" Type="http://schemas.microsoft.com/office/2017/10/relationships/threadedComment" Target="../threadedComments/threadedComment2.xml"/><Relationship Id="rId4" Type="http://schemas.openxmlformats.org/officeDocument/2006/relationships/comments" Target="../comments2.xml"/></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192FB6-FD4C-4FCE-84C5-CAB4B1963CF7}">
  <sheetPr codeName="Sheet19"/>
  <dimension ref="A1:C1"/>
  <sheetViews>
    <sheetView workbookViewId="0"/>
  </sheetViews>
  <sheetFormatPr defaultRowHeight="15.75" x14ac:dyDescent="0.25"/>
  <sheetData>
    <row r="1" spans="1:3" x14ac:dyDescent="0.25">
      <c r="A1" t="s">
        <v>766</v>
      </c>
      <c r="B1" t="s">
        <v>767</v>
      </c>
      <c r="C1" t="s">
        <v>768</v>
      </c>
    </row>
  </sheetData>
  <pageMargins left="0.7" right="0.7" top="0.75" bottom="0.75" header="0.3" footer="0.3"/>
  <pageSetup orientation="portrait" r:id="rId1"/>
  <headerFooter>
    <oddFooter>&amp;L&amp;1#&amp;"Calibri"&amp;14&amp;K000000Confidential</oddFooter>
  </headerFooter>
  <customProperties>
    <customPr name="_pios_id" r:id="rId2"/>
  </customPropertie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9">
    <tabColor theme="9" tint="-0.249977111117893"/>
  </sheetPr>
  <dimension ref="A1"/>
  <sheetViews>
    <sheetView workbookViewId="0">
      <selection activeCell="C116" sqref="C116"/>
    </sheetView>
  </sheetViews>
  <sheetFormatPr defaultRowHeight="15.75" x14ac:dyDescent="0.25"/>
  <sheetData/>
  <pageMargins left="0.7" right="0.7" top="0.75" bottom="0.75" header="0.3" footer="0.3"/>
  <pageSetup orientation="portrait" r:id="rId1"/>
  <headerFooter>
    <oddFooter>&amp;L&amp;1#&amp;"Calibri"&amp;14&amp;K000000Confidential</oddFooter>
  </headerFooter>
  <customProperties>
    <customPr name="_pios_id" r:id="rId2"/>
  </customPropertie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0">
    <tabColor theme="3" tint="0.59999389629810485"/>
  </sheetPr>
  <dimension ref="B13:F29"/>
  <sheetViews>
    <sheetView tabSelected="1" workbookViewId="0"/>
  </sheetViews>
  <sheetFormatPr defaultColWidth="8.88671875" defaultRowHeight="15.75" x14ac:dyDescent="0.25"/>
  <cols>
    <col min="1" max="1" width="8.88671875" style="90"/>
    <col min="2" max="2" width="10.109375" style="90" customWidth="1"/>
    <col min="3" max="5" width="8.88671875" style="90"/>
    <col min="6" max="6" width="16.109375" style="90" customWidth="1"/>
    <col min="7" max="16384" width="8.88671875" style="90"/>
  </cols>
  <sheetData>
    <row r="13" spans="2:6" ht="18.75" x14ac:dyDescent="0.3">
      <c r="B13" s="762" t="s">
        <v>5</v>
      </c>
      <c r="C13" s="762"/>
      <c r="D13" s="762"/>
      <c r="E13" s="762"/>
      <c r="F13" s="762"/>
    </row>
    <row r="14" spans="2:6" ht="18.75" x14ac:dyDescent="0.3">
      <c r="B14" s="182"/>
      <c r="C14" s="182"/>
      <c r="D14" s="182"/>
      <c r="E14" s="182"/>
      <c r="F14" s="182"/>
    </row>
    <row r="15" spans="2:6" ht="18.75" x14ac:dyDescent="0.3">
      <c r="B15" s="182"/>
      <c r="C15" s="182"/>
      <c r="D15" s="182"/>
      <c r="E15" s="182"/>
      <c r="F15" s="182"/>
    </row>
    <row r="16" spans="2:6" ht="18.75" x14ac:dyDescent="0.3">
      <c r="B16" s="182"/>
      <c r="C16" s="182"/>
      <c r="D16" s="182"/>
      <c r="E16" s="182"/>
      <c r="F16" s="182"/>
    </row>
    <row r="17" spans="2:6" ht="18.75" x14ac:dyDescent="0.3">
      <c r="B17" s="762" t="s">
        <v>358</v>
      </c>
      <c r="C17" s="762"/>
      <c r="D17" s="762"/>
      <c r="E17" s="762"/>
      <c r="F17" s="762"/>
    </row>
    <row r="18" spans="2:6" ht="18.75" x14ac:dyDescent="0.3">
      <c r="B18" s="182"/>
      <c r="C18" s="182"/>
      <c r="D18" s="182"/>
      <c r="E18" s="182"/>
      <c r="F18" s="182"/>
    </row>
    <row r="19" spans="2:6" ht="18.75" x14ac:dyDescent="0.3">
      <c r="B19" s="762" t="s">
        <v>214</v>
      </c>
      <c r="C19" s="762"/>
      <c r="D19" s="762"/>
      <c r="E19" s="762"/>
      <c r="F19" s="762"/>
    </row>
    <row r="20" spans="2:6" ht="18.75" x14ac:dyDescent="0.3">
      <c r="B20" s="182"/>
      <c r="C20" s="182"/>
      <c r="D20" s="182"/>
      <c r="E20" s="182"/>
      <c r="F20" s="182"/>
    </row>
    <row r="21" spans="2:6" ht="18.75" x14ac:dyDescent="0.3">
      <c r="B21" s="763" t="str">
        <f>'Input Data'!C12</f>
        <v>2022-00421</v>
      </c>
      <c r="C21" s="763"/>
      <c r="D21" s="763"/>
      <c r="E21" s="763"/>
      <c r="F21" s="763"/>
    </row>
    <row r="22" spans="2:6" ht="18.75" x14ac:dyDescent="0.3">
      <c r="B22" s="182"/>
      <c r="C22" s="182"/>
      <c r="D22" s="182"/>
      <c r="E22" s="182"/>
      <c r="F22" s="182"/>
    </row>
    <row r="23" spans="2:6" ht="18.75" x14ac:dyDescent="0.3">
      <c r="B23" s="182"/>
      <c r="C23" s="182"/>
      <c r="D23" s="182"/>
      <c r="E23" s="182"/>
      <c r="F23" s="182"/>
    </row>
    <row r="24" spans="2:6" ht="18.75" x14ac:dyDescent="0.3">
      <c r="B24" s="182"/>
      <c r="C24" s="182"/>
      <c r="D24" s="182"/>
      <c r="E24" s="182"/>
      <c r="F24" s="182"/>
    </row>
    <row r="25" spans="2:6" ht="18.75" x14ac:dyDescent="0.3">
      <c r="B25" s="182"/>
      <c r="C25" s="182"/>
      <c r="D25" s="182"/>
      <c r="E25" s="182"/>
      <c r="F25" s="182"/>
    </row>
    <row r="26" spans="2:6" ht="18.75" x14ac:dyDescent="0.3">
      <c r="B26" s="182"/>
      <c r="C26" s="182"/>
      <c r="D26" s="182"/>
      <c r="E26" s="182"/>
      <c r="F26" s="182"/>
    </row>
    <row r="27" spans="2:6" ht="18.75" x14ac:dyDescent="0.3">
      <c r="B27" s="762" t="s">
        <v>359</v>
      </c>
      <c r="C27" s="763"/>
      <c r="D27" s="763"/>
      <c r="E27" s="763"/>
      <c r="F27" s="763"/>
    </row>
    <row r="28" spans="2:6" ht="18.75" x14ac:dyDescent="0.3">
      <c r="B28" s="762" t="str">
        <f>CONCATENATE('Input Data'!D4," through ",'Input Data'!D5)</f>
        <v>February 1, 2023 through April 30, 2023</v>
      </c>
      <c r="C28" s="762"/>
      <c r="D28" s="762"/>
      <c r="E28" s="762"/>
      <c r="F28" s="762"/>
    </row>
    <row r="29" spans="2:6" ht="18" x14ac:dyDescent="0.25">
      <c r="B29" s="698"/>
      <c r="C29" s="698"/>
      <c r="D29" s="698"/>
      <c r="E29" s="698"/>
      <c r="F29" s="698"/>
    </row>
  </sheetData>
  <mergeCells count="6">
    <mergeCell ref="B28:F28"/>
    <mergeCell ref="B13:F13"/>
    <mergeCell ref="B17:F17"/>
    <mergeCell ref="B19:F19"/>
    <mergeCell ref="B21:F21"/>
    <mergeCell ref="B27:F27"/>
  </mergeCells>
  <pageMargins left="0.7" right="0.7" top="0.75" bottom="0.75" header="0.3" footer="0.3"/>
  <pageSetup orientation="portrait" r:id="rId1"/>
  <headerFooter>
    <oddFooter>&amp;L&amp;1#&amp;"Calibri"&amp;14&amp;K000000Confidential</oddFooter>
  </headerFooter>
  <customProperties>
    <customPr name="_pios_id" r:id="rId2"/>
  </customPropertie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ransitionEvaluation="1" codeName="Sheet4">
    <tabColor theme="3" tint="0.59999389629810485"/>
    <pageSetUpPr fitToPage="1"/>
  </sheetPr>
  <dimension ref="A1:O77"/>
  <sheetViews>
    <sheetView zoomScale="80" zoomScaleNormal="80" workbookViewId="0"/>
  </sheetViews>
  <sheetFormatPr defaultColWidth="12.6640625" defaultRowHeight="15.75" x14ac:dyDescent="0.25"/>
  <cols>
    <col min="1" max="1" width="5.77734375" style="692" customWidth="1"/>
    <col min="2" max="3" width="12.6640625" style="3"/>
    <col min="4" max="4" width="7.44140625" style="3" customWidth="1"/>
    <col min="5" max="5" width="5.77734375" style="3" customWidth="1"/>
    <col min="6" max="6" width="16" style="3" bestFit="1" customWidth="1"/>
    <col min="7" max="7" width="16" style="3" customWidth="1"/>
    <col min="8" max="11" width="10.77734375" style="3" customWidth="1"/>
    <col min="12" max="16384" width="12.6640625" style="3"/>
  </cols>
  <sheetData>
    <row r="1" spans="1:15" x14ac:dyDescent="0.25">
      <c r="B1" s="2"/>
      <c r="C1" s="2"/>
      <c r="D1" s="2"/>
      <c r="E1" s="2"/>
      <c r="F1" s="2"/>
      <c r="G1" s="2"/>
      <c r="H1" s="2"/>
      <c r="I1" s="53"/>
      <c r="J1" s="2"/>
    </row>
    <row r="2" spans="1:15" x14ac:dyDescent="0.25">
      <c r="B2" s="2"/>
      <c r="C2" s="2"/>
      <c r="D2" s="2"/>
      <c r="E2" s="2"/>
      <c r="F2" s="2"/>
      <c r="G2" s="2"/>
      <c r="H2" s="2"/>
      <c r="I2" s="53"/>
      <c r="J2" s="2"/>
      <c r="O2" s="13"/>
    </row>
    <row r="3" spans="1:15" ht="18.75" x14ac:dyDescent="0.3">
      <c r="A3" s="330" t="s">
        <v>5</v>
      </c>
      <c r="B3" s="225"/>
      <c r="C3" s="88"/>
      <c r="D3" s="88"/>
      <c r="E3" s="88"/>
      <c r="F3" s="88"/>
      <c r="G3" s="88"/>
      <c r="H3" s="88"/>
      <c r="I3" s="88"/>
      <c r="J3" s="132"/>
      <c r="K3" s="225"/>
    </row>
    <row r="4" spans="1:15" ht="18.75" x14ac:dyDescent="0.3">
      <c r="A4" s="176"/>
      <c r="C4" s="176"/>
      <c r="D4" s="176"/>
      <c r="E4" s="176"/>
      <c r="F4" s="176"/>
      <c r="G4" s="176"/>
      <c r="H4" s="176"/>
      <c r="I4" s="176"/>
      <c r="J4" s="2"/>
    </row>
    <row r="5" spans="1:15" ht="18.75" x14ac:dyDescent="0.3">
      <c r="A5" s="526" t="s">
        <v>6</v>
      </c>
      <c r="B5" s="225"/>
      <c r="C5" s="88"/>
      <c r="D5" s="88"/>
      <c r="E5" s="88"/>
      <c r="F5" s="88"/>
      <c r="G5" s="88"/>
      <c r="H5" s="88"/>
      <c r="I5" s="88"/>
      <c r="J5" s="132"/>
      <c r="K5" s="225"/>
    </row>
    <row r="6" spans="1:15" ht="18.75" x14ac:dyDescent="0.3">
      <c r="A6" s="526" t="str">
        <f>CONCATENATE("Service Rendered On and After ",'Input Data'!D4)</f>
        <v>Service Rendered On and After February 1, 2023</v>
      </c>
      <c r="B6" s="225"/>
      <c r="C6" s="88"/>
      <c r="D6" s="88"/>
      <c r="E6" s="88"/>
      <c r="F6" s="88"/>
      <c r="G6" s="88"/>
      <c r="H6" s="88"/>
      <c r="I6" s="88"/>
      <c r="J6" s="132"/>
      <c r="K6" s="225"/>
    </row>
    <row r="7" spans="1:15" ht="18.75" x14ac:dyDescent="0.3">
      <c r="A7" s="176"/>
      <c r="C7" s="176"/>
      <c r="D7" s="176"/>
      <c r="E7" s="176"/>
      <c r="F7" s="176"/>
      <c r="G7" s="176"/>
      <c r="H7" s="176"/>
      <c r="I7" s="176"/>
      <c r="J7" s="2"/>
    </row>
    <row r="8" spans="1:15" ht="18.75" x14ac:dyDescent="0.3">
      <c r="A8" s="330" t="str">
        <f>'Input Data'!C12</f>
        <v>2022-00421</v>
      </c>
      <c r="B8" s="225"/>
      <c r="C8" s="88"/>
      <c r="D8" s="88"/>
      <c r="E8" s="88"/>
      <c r="F8" s="88"/>
      <c r="G8" s="88"/>
      <c r="H8" s="88"/>
      <c r="I8" s="88"/>
      <c r="J8" s="132"/>
      <c r="K8" s="225"/>
    </row>
    <row r="9" spans="1:15" x14ac:dyDescent="0.25">
      <c r="B9" s="2"/>
      <c r="C9" s="2"/>
      <c r="D9" s="2"/>
      <c r="E9" s="2"/>
      <c r="F9" s="2"/>
      <c r="G9" s="2"/>
      <c r="H9" s="2"/>
      <c r="I9" s="2"/>
      <c r="J9" s="2"/>
    </row>
    <row r="10" spans="1:15" x14ac:dyDescent="0.25">
      <c r="B10" s="2"/>
      <c r="C10" s="2"/>
      <c r="D10" s="2"/>
      <c r="E10" s="2"/>
      <c r="F10" s="2"/>
      <c r="G10" s="2"/>
      <c r="H10" s="2"/>
      <c r="I10" s="2"/>
      <c r="J10" s="2"/>
    </row>
    <row r="11" spans="1:15" x14ac:dyDescent="0.25">
      <c r="B11" s="2"/>
      <c r="C11" s="2"/>
      <c r="D11" s="2"/>
      <c r="E11" s="2"/>
      <c r="F11" s="2"/>
      <c r="G11" s="2"/>
      <c r="H11" s="2"/>
      <c r="I11" s="2"/>
      <c r="J11" s="2"/>
    </row>
    <row r="12" spans="1:15" x14ac:dyDescent="0.25">
      <c r="A12" s="509" t="s">
        <v>321</v>
      </c>
      <c r="B12" s="499" t="s">
        <v>7</v>
      </c>
      <c r="C12" s="500"/>
      <c r="D12" s="500"/>
      <c r="E12" s="500"/>
      <c r="F12" s="500"/>
      <c r="G12" s="500"/>
      <c r="H12" s="500"/>
      <c r="I12" s="500"/>
      <c r="J12" s="500"/>
      <c r="K12" s="501"/>
    </row>
    <row r="13" spans="1:15" x14ac:dyDescent="0.25">
      <c r="A13" s="510" t="s">
        <v>322</v>
      </c>
      <c r="B13" s="502" t="s">
        <v>585</v>
      </c>
      <c r="C13" s="134"/>
      <c r="D13" s="133"/>
      <c r="E13" s="133"/>
      <c r="F13" s="133"/>
      <c r="G13" s="133"/>
      <c r="H13" s="135" t="s">
        <v>8</v>
      </c>
      <c r="I13" s="135" t="s">
        <v>522</v>
      </c>
      <c r="J13" s="507" t="s">
        <v>12</v>
      </c>
      <c r="K13" s="533" t="s">
        <v>581</v>
      </c>
    </row>
    <row r="14" spans="1:15" x14ac:dyDescent="0.25">
      <c r="A14" s="511">
        <v>1</v>
      </c>
      <c r="B14" s="503" t="s">
        <v>9</v>
      </c>
      <c r="C14" s="139"/>
      <c r="D14" s="139"/>
      <c r="E14" s="139"/>
      <c r="F14" s="139"/>
      <c r="G14" s="139"/>
      <c r="H14" s="697" t="s">
        <v>10</v>
      </c>
      <c r="I14" s="504">
        <f>'Ex A 1 of 2'!F65</f>
        <v>78355208</v>
      </c>
      <c r="J14" s="139"/>
      <c r="K14" s="478"/>
    </row>
    <row r="15" spans="1:15" x14ac:dyDescent="0.25">
      <c r="A15" s="511">
        <v>2</v>
      </c>
      <c r="B15" s="505" t="str">
        <f>CONCATENATE("Total Expected Customer Deliveries: ",'Input Data'!D4," through ",'Input Data'!D5)</f>
        <v>Total Expected Customer Deliveries: February 1, 2023 through April 30, 2023</v>
      </c>
      <c r="C15" s="139"/>
      <c r="D15" s="139"/>
      <c r="E15" s="139"/>
      <c r="F15" s="139"/>
      <c r="G15" s="139"/>
      <c r="H15" s="697" t="s">
        <v>11</v>
      </c>
      <c r="I15" s="504">
        <f>'Ex A 1 of 2'!F77</f>
        <v>11601864.1916</v>
      </c>
      <c r="J15" s="29"/>
      <c r="K15" s="478"/>
    </row>
    <row r="16" spans="1:15" x14ac:dyDescent="0.25">
      <c r="A16" s="510">
        <v>3</v>
      </c>
      <c r="B16" s="502" t="s">
        <v>582</v>
      </c>
      <c r="C16" s="506"/>
      <c r="D16" s="506"/>
      <c r="E16" s="506"/>
      <c r="F16" s="506"/>
      <c r="G16" s="506"/>
      <c r="H16" s="507"/>
      <c r="I16" s="508"/>
      <c r="J16" s="534">
        <f>ROUND('Ex A 1 of 2'!F80,4)</f>
        <v>6.7537000000000003</v>
      </c>
      <c r="K16" s="535">
        <f>ROUND('Ex A 1 of 2'!F80/10,5)</f>
        <v>0.67537000000000003</v>
      </c>
    </row>
    <row r="17" spans="1:13" x14ac:dyDescent="0.25">
      <c r="B17" s="2"/>
      <c r="C17" s="2"/>
      <c r="D17" s="2"/>
      <c r="E17" s="2"/>
      <c r="F17" s="2"/>
      <c r="G17" s="2"/>
      <c r="H17" s="2"/>
      <c r="I17" s="2"/>
      <c r="J17" s="2"/>
    </row>
    <row r="18" spans="1:13" x14ac:dyDescent="0.25">
      <c r="B18" s="2"/>
      <c r="C18" s="2"/>
      <c r="D18" s="2"/>
      <c r="E18" s="2"/>
      <c r="F18" s="2"/>
      <c r="G18" s="2"/>
      <c r="H18" s="2"/>
      <c r="I18" s="2"/>
      <c r="J18" s="2"/>
    </row>
    <row r="19" spans="1:13" x14ac:dyDescent="0.25">
      <c r="B19" s="2"/>
      <c r="C19" s="2"/>
      <c r="D19" s="2"/>
      <c r="E19" s="2"/>
      <c r="F19" s="2"/>
      <c r="G19" s="2"/>
      <c r="H19" s="2"/>
      <c r="I19" s="138"/>
      <c r="J19" s="2"/>
    </row>
    <row r="20" spans="1:13" x14ac:dyDescent="0.25">
      <c r="A20" s="509"/>
      <c r="B20" s="499" t="s">
        <v>13</v>
      </c>
      <c r="C20" s="500"/>
      <c r="D20" s="500"/>
      <c r="E20" s="500"/>
      <c r="F20" s="500"/>
      <c r="G20" s="500"/>
      <c r="H20" s="500"/>
      <c r="I20" s="500"/>
      <c r="J20" s="500"/>
      <c r="K20" s="501"/>
      <c r="L20" s="29"/>
    </row>
    <row r="21" spans="1:13" x14ac:dyDescent="0.25">
      <c r="A21" s="510"/>
      <c r="B21" s="502" t="s">
        <v>585</v>
      </c>
      <c r="C21" s="512"/>
      <c r="D21" s="506"/>
      <c r="E21" s="506"/>
      <c r="F21" s="506"/>
      <c r="G21" s="507" t="s">
        <v>116</v>
      </c>
      <c r="H21" s="507"/>
      <c r="I21" s="507"/>
      <c r="J21" s="507" t="s">
        <v>12</v>
      </c>
      <c r="K21" s="533" t="s">
        <v>581</v>
      </c>
    </row>
    <row r="22" spans="1:13" x14ac:dyDescent="0.25">
      <c r="A22" s="511">
        <v>4</v>
      </c>
      <c r="B22" s="517" t="s">
        <v>14</v>
      </c>
      <c r="C22" s="518"/>
      <c r="D22" s="518"/>
      <c r="E22" s="519" t="s">
        <v>195</v>
      </c>
      <c r="F22" s="520">
        <f>'Input Data'!$C$4</f>
        <v>44958</v>
      </c>
      <c r="G22" s="521" t="str">
        <f>VLOOKUP(F22,'Case Database'!$A$5:$F$200,6)</f>
        <v>2022-00180</v>
      </c>
      <c r="H22" s="521"/>
      <c r="I22" s="522"/>
      <c r="J22" s="537">
        <f>ROUND('Ex B-1 1 of 7'!D24,4)</f>
        <v>-6.2100000000000002E-2</v>
      </c>
      <c r="K22" s="538">
        <f>ROUND('Ex B-1 1 of 7'!D25,5)</f>
        <v>-6.2100000000000002E-3</v>
      </c>
    </row>
    <row r="23" spans="1:13" x14ac:dyDescent="0.25">
      <c r="A23" s="511">
        <v>5</v>
      </c>
      <c r="B23" s="503" t="s">
        <v>15</v>
      </c>
      <c r="C23" s="139"/>
      <c r="D23" s="139"/>
      <c r="E23" s="523" t="s">
        <v>195</v>
      </c>
      <c r="F23" s="524">
        <f>EDATE(F22,-3)</f>
        <v>44866</v>
      </c>
      <c r="G23" s="705" t="str">
        <f>VLOOKUP(F23,'Case Database'!$A$5:$F$200,6)</f>
        <v>2022-00083</v>
      </c>
      <c r="H23" s="697"/>
      <c r="I23" s="497"/>
      <c r="J23" s="566">
        <f>VLOOKUP('Summary Sheet'!$G23,'Case Database'!$F$3:$H$205,2,FALSE)</f>
        <v>0.3619</v>
      </c>
      <c r="K23" s="606">
        <f>VLOOKUP('Summary Sheet'!$G23,'Case Database'!$F$3:$H$205,3,FALSE)</f>
        <v>3.619E-2</v>
      </c>
      <c r="M23" s="79"/>
    </row>
    <row r="24" spans="1:13" x14ac:dyDescent="0.25">
      <c r="A24" s="511">
        <v>6</v>
      </c>
      <c r="B24" s="503" t="s">
        <v>16</v>
      </c>
      <c r="C24" s="139"/>
      <c r="D24" s="139"/>
      <c r="E24" s="523" t="s">
        <v>195</v>
      </c>
      <c r="F24" s="524">
        <f>EDATE(F23,-3)</f>
        <v>44774</v>
      </c>
      <c r="G24" s="697" t="str">
        <f>VLOOKUP(F24,'Case Database'!$A$5:$F$200,6)</f>
        <v>2021-00458</v>
      </c>
      <c r="H24" s="697"/>
      <c r="I24" s="497"/>
      <c r="J24" s="566">
        <f>VLOOKUP('Summary Sheet'!$G24,'Case Database'!$F$3:$H$205,2,FALSE)</f>
        <v>0.3614</v>
      </c>
      <c r="K24" s="606">
        <f>VLOOKUP('Summary Sheet'!$G24,'Case Database'!$F$3:$H$205,3,FALSE)</f>
        <v>3.6139999999999999E-2</v>
      </c>
    </row>
    <row r="25" spans="1:13" x14ac:dyDescent="0.25">
      <c r="A25" s="511">
        <v>7</v>
      </c>
      <c r="B25" s="503" t="s">
        <v>17</v>
      </c>
      <c r="C25" s="139"/>
      <c r="D25" s="139"/>
      <c r="E25" s="523" t="s">
        <v>195</v>
      </c>
      <c r="F25" s="524">
        <f>EDATE(F24,-3)</f>
        <v>44682</v>
      </c>
      <c r="G25" s="697" t="str">
        <f>VLOOKUP(F25,'Case Database'!$A$5:$F$200,6)</f>
        <v>2021-00368</v>
      </c>
      <c r="H25" s="697"/>
      <c r="I25" s="497"/>
      <c r="J25" s="567">
        <f>VLOOKUP('Summary Sheet'!$G25,'Case Database'!$F$3:$H$205,2,FALSE)</f>
        <v>0.1132</v>
      </c>
      <c r="K25" s="607">
        <f>VLOOKUP('Summary Sheet'!$G25,'Case Database'!$F$3:$H$205,3,FALSE)</f>
        <v>1.132E-2</v>
      </c>
    </row>
    <row r="26" spans="1:13" x14ac:dyDescent="0.25">
      <c r="A26" s="510">
        <v>8</v>
      </c>
      <c r="B26" s="502" t="s">
        <v>18</v>
      </c>
      <c r="C26" s="506"/>
      <c r="D26" s="506"/>
      <c r="E26" s="506"/>
      <c r="F26" s="506"/>
      <c r="G26" s="506"/>
      <c r="H26" s="507"/>
      <c r="I26" s="525"/>
      <c r="J26" s="539">
        <f>SUM(J22:J25)</f>
        <v>0.77439999999999998</v>
      </c>
      <c r="K26" s="608">
        <f>SUM(K22:K25)</f>
        <v>7.7439999999999995E-2</v>
      </c>
    </row>
    <row r="27" spans="1:13" x14ac:dyDescent="0.25">
      <c r="B27" s="2"/>
      <c r="C27" s="2"/>
      <c r="D27" s="2"/>
      <c r="E27" s="2"/>
      <c r="F27" s="2"/>
      <c r="G27" s="2"/>
      <c r="H27" s="2"/>
      <c r="I27" s="2"/>
      <c r="J27" s="2"/>
    </row>
    <row r="28" spans="1:13" x14ac:dyDescent="0.25">
      <c r="B28" s="2"/>
      <c r="C28" s="2"/>
      <c r="D28" s="2"/>
      <c r="E28" s="2"/>
      <c r="F28" s="2"/>
      <c r="G28" s="2"/>
      <c r="H28" s="2"/>
      <c r="I28" s="2"/>
      <c r="J28" s="2"/>
    </row>
    <row r="29" spans="1:13" x14ac:dyDescent="0.25">
      <c r="B29" s="2"/>
      <c r="C29" s="2"/>
      <c r="D29" s="2"/>
      <c r="E29" s="2"/>
      <c r="F29" s="2"/>
      <c r="G29" s="2"/>
      <c r="H29" s="2"/>
      <c r="I29" s="2"/>
      <c r="J29" s="2"/>
    </row>
    <row r="30" spans="1:13" x14ac:dyDescent="0.25">
      <c r="A30" s="509"/>
      <c r="B30" s="499" t="s">
        <v>19</v>
      </c>
      <c r="C30" s="500"/>
      <c r="D30" s="500"/>
      <c r="E30" s="500"/>
      <c r="F30" s="500"/>
      <c r="G30" s="500"/>
      <c r="H30" s="500"/>
      <c r="I30" s="500"/>
      <c r="J30" s="500"/>
      <c r="K30" s="501"/>
    </row>
    <row r="31" spans="1:13" x14ac:dyDescent="0.25">
      <c r="A31" s="511"/>
      <c r="B31" s="502" t="s">
        <v>585</v>
      </c>
      <c r="C31" s="495"/>
      <c r="D31" s="496"/>
      <c r="E31" s="496"/>
      <c r="F31" s="496"/>
      <c r="G31" s="496"/>
      <c r="H31" s="137"/>
      <c r="I31" s="137"/>
      <c r="J31" s="137" t="s">
        <v>12</v>
      </c>
      <c r="K31" s="536" t="s">
        <v>581</v>
      </c>
    </row>
    <row r="32" spans="1:13" x14ac:dyDescent="0.25">
      <c r="A32" s="92">
        <v>9</v>
      </c>
      <c r="B32" s="513" t="s">
        <v>583</v>
      </c>
      <c r="C32" s="514"/>
      <c r="D32" s="514"/>
      <c r="E32" s="514"/>
      <c r="F32" s="514"/>
      <c r="G32" s="514"/>
      <c r="H32" s="515"/>
      <c r="I32" s="516"/>
      <c r="J32" s="540">
        <f>ROUND('Ex C-1 1 of 3'!D17,4)</f>
        <v>1.35E-2</v>
      </c>
      <c r="K32" s="541">
        <f>ROUND('Ex C-1 1 of 3'!D19,5)</f>
        <v>1.3500000000000001E-3</v>
      </c>
    </row>
    <row r="33" spans="1:11" x14ac:dyDescent="0.25">
      <c r="B33" s="2"/>
      <c r="C33" s="2"/>
      <c r="D33" s="2"/>
      <c r="E33" s="2"/>
      <c r="F33" s="2"/>
      <c r="G33" s="2"/>
      <c r="H33" s="2"/>
      <c r="I33" s="2"/>
      <c r="J33" s="2"/>
    </row>
    <row r="34" spans="1:11" x14ac:dyDescent="0.25">
      <c r="B34" s="2"/>
      <c r="C34" s="2"/>
      <c r="D34" s="2"/>
      <c r="E34" s="2"/>
      <c r="F34" s="2"/>
      <c r="G34" s="2"/>
      <c r="H34" s="2"/>
      <c r="I34" s="2"/>
      <c r="J34" s="2"/>
    </row>
    <row r="35" spans="1:11" x14ac:dyDescent="0.25">
      <c r="B35" s="2"/>
      <c r="C35" s="2"/>
      <c r="D35" s="2"/>
      <c r="E35" s="2"/>
      <c r="F35" s="2"/>
      <c r="G35" s="2"/>
      <c r="H35" s="2"/>
      <c r="I35" s="2"/>
      <c r="J35" s="2"/>
    </row>
    <row r="36" spans="1:11" x14ac:dyDescent="0.25">
      <c r="A36" s="509"/>
      <c r="B36" s="499" t="s">
        <v>20</v>
      </c>
      <c r="C36" s="500"/>
      <c r="D36" s="500"/>
      <c r="E36" s="500"/>
      <c r="F36" s="500"/>
      <c r="G36" s="500"/>
      <c r="H36" s="500"/>
      <c r="I36" s="500"/>
      <c r="J36" s="500"/>
      <c r="K36" s="501"/>
    </row>
    <row r="37" spans="1:11" x14ac:dyDescent="0.25">
      <c r="A37" s="510"/>
      <c r="B37" s="502" t="s">
        <v>585</v>
      </c>
      <c r="C37" s="512"/>
      <c r="D37" s="506"/>
      <c r="E37" s="506"/>
      <c r="F37" s="506"/>
      <c r="G37" s="506"/>
      <c r="H37" s="507"/>
      <c r="I37" s="507"/>
      <c r="J37" s="507" t="s">
        <v>12</v>
      </c>
      <c r="K37" s="536" t="s">
        <v>581</v>
      </c>
    </row>
    <row r="38" spans="1:11" x14ac:dyDescent="0.25">
      <c r="A38" s="511">
        <v>10</v>
      </c>
      <c r="B38" s="517" t="s">
        <v>222</v>
      </c>
      <c r="C38" s="518"/>
      <c r="D38" s="518"/>
      <c r="E38" s="519" t="s">
        <v>195</v>
      </c>
      <c r="F38" s="520">
        <f>+F22</f>
        <v>44958</v>
      </c>
      <c r="G38" s="518"/>
      <c r="H38" s="521"/>
      <c r="I38" s="527"/>
      <c r="J38" s="542">
        <f>ROUND('Ex D-1 1 of 2'!H12,4)</f>
        <v>0</v>
      </c>
      <c r="K38" s="543">
        <f>ROUND('Ex D-1 1 of 2'!I12,5)</f>
        <v>0</v>
      </c>
    </row>
    <row r="39" spans="1:11" x14ac:dyDescent="0.25">
      <c r="A39" s="511">
        <v>11</v>
      </c>
      <c r="B39" s="503" t="s">
        <v>223</v>
      </c>
      <c r="C39" s="139"/>
      <c r="D39" s="139"/>
      <c r="E39" s="523" t="s">
        <v>195</v>
      </c>
      <c r="F39" s="524">
        <f>+F23</f>
        <v>44866</v>
      </c>
      <c r="G39" s="139"/>
      <c r="H39" s="697"/>
      <c r="I39" s="29"/>
      <c r="J39" s="544">
        <f>ROUND('Ex D-1 1 of 2'!H13,4)</f>
        <v>0</v>
      </c>
      <c r="K39" s="545">
        <f>ROUND('Ex D-1 1 of 2'!I13,5)</f>
        <v>0</v>
      </c>
    </row>
    <row r="40" spans="1:11" x14ac:dyDescent="0.25">
      <c r="A40" s="511">
        <v>12</v>
      </c>
      <c r="B40" s="503" t="s">
        <v>229</v>
      </c>
      <c r="C40" s="139"/>
      <c r="D40" s="139"/>
      <c r="E40" s="523" t="s">
        <v>195</v>
      </c>
      <c r="F40" s="524">
        <f>+F24</f>
        <v>44774</v>
      </c>
      <c r="G40" s="139"/>
      <c r="H40" s="697"/>
      <c r="I40" s="29"/>
      <c r="J40" s="544">
        <f>ROUND('Ex D-1 1 of 2'!H14,4)</f>
        <v>0</v>
      </c>
      <c r="K40" s="545">
        <f>ROUND('Ex D-1 1 of 2'!I14,5)</f>
        <v>0</v>
      </c>
    </row>
    <row r="41" spans="1:11" x14ac:dyDescent="0.25">
      <c r="A41" s="511">
        <v>13</v>
      </c>
      <c r="B41" s="503" t="s">
        <v>231</v>
      </c>
      <c r="C41" s="139"/>
      <c r="D41" s="139"/>
      <c r="E41" s="523" t="s">
        <v>195</v>
      </c>
      <c r="F41" s="524">
        <f>+F25</f>
        <v>44682</v>
      </c>
      <c r="G41" s="139"/>
      <c r="H41" s="697"/>
      <c r="I41" s="29"/>
      <c r="J41" s="546">
        <f>ROUND('Ex D-1 1 of 2'!H15,4)</f>
        <v>0</v>
      </c>
      <c r="K41" s="547">
        <f>ROUND('Ex D-1 1 of 2'!I15,5)</f>
        <v>0</v>
      </c>
    </row>
    <row r="42" spans="1:11" x14ac:dyDescent="0.25">
      <c r="A42" s="510">
        <v>14</v>
      </c>
      <c r="B42" s="502" t="s">
        <v>21</v>
      </c>
      <c r="C42" s="506"/>
      <c r="D42" s="506"/>
      <c r="E42" s="506"/>
      <c r="F42" s="506"/>
      <c r="G42" s="506"/>
      <c r="H42" s="507"/>
      <c r="I42" s="508"/>
      <c r="J42" s="546">
        <f>SUM(J38:J41)</f>
        <v>0</v>
      </c>
      <c r="K42" s="547">
        <f>SUM(K38:K41)</f>
        <v>0</v>
      </c>
    </row>
    <row r="43" spans="1:11" x14ac:dyDescent="0.25">
      <c r="B43" s="2"/>
      <c r="C43" s="2"/>
      <c r="D43" s="2"/>
      <c r="E43" s="2"/>
      <c r="F43" s="2"/>
      <c r="G43" s="2"/>
      <c r="H43" s="2"/>
      <c r="I43" s="2"/>
      <c r="J43" s="2"/>
    </row>
    <row r="44" spans="1:11" x14ac:dyDescent="0.25">
      <c r="B44" s="2"/>
      <c r="C44" s="2"/>
      <c r="D44" s="2"/>
      <c r="E44" s="2"/>
      <c r="F44" s="2"/>
      <c r="G44" s="2"/>
      <c r="H44" s="2"/>
      <c r="I44" s="2"/>
      <c r="J44" s="2"/>
    </row>
    <row r="45" spans="1:11" x14ac:dyDescent="0.25">
      <c r="B45" s="2"/>
      <c r="C45" s="2"/>
      <c r="D45" s="2"/>
      <c r="E45" s="2"/>
      <c r="F45" s="2"/>
      <c r="G45" s="2"/>
      <c r="H45" s="2"/>
      <c r="I45" s="2"/>
      <c r="J45" s="2"/>
    </row>
    <row r="46" spans="1:11" x14ac:dyDescent="0.25">
      <c r="A46" s="509"/>
      <c r="B46" s="499" t="s">
        <v>22</v>
      </c>
      <c r="C46" s="500"/>
      <c r="D46" s="500"/>
      <c r="E46" s="500"/>
      <c r="F46" s="500"/>
      <c r="G46" s="500"/>
      <c r="H46" s="500"/>
      <c r="I46" s="500"/>
      <c r="J46" s="500"/>
      <c r="K46" s="501"/>
    </row>
    <row r="47" spans="1:11" x14ac:dyDescent="0.25">
      <c r="A47" s="510"/>
      <c r="B47" s="502" t="s">
        <v>585</v>
      </c>
      <c r="C47" s="512"/>
      <c r="D47" s="506"/>
      <c r="E47" s="506"/>
      <c r="F47" s="506"/>
      <c r="G47" s="506"/>
      <c r="H47" s="507"/>
      <c r="I47" s="507"/>
      <c r="J47" s="507" t="s">
        <v>12</v>
      </c>
      <c r="K47" s="536" t="s">
        <v>581</v>
      </c>
    </row>
    <row r="48" spans="1:11" x14ac:dyDescent="0.25">
      <c r="A48" s="510">
        <v>15</v>
      </c>
      <c r="B48" s="513" t="s">
        <v>586</v>
      </c>
      <c r="C48" s="514"/>
      <c r="D48" s="528"/>
      <c r="E48" s="514"/>
      <c r="F48" s="514"/>
      <c r="G48" s="514"/>
      <c r="H48" s="515"/>
      <c r="I48" s="529"/>
      <c r="J48" s="514">
        <f>ROUND('Ex E-1 1 of 1'!C21+'Ex E-1 1 of 1'!D21,4)</f>
        <v>0.16220000000000001</v>
      </c>
      <c r="K48" s="685">
        <f>ROUND('Ex E-1 1 of 1'!C23+'Ex E-1 1 of 1'!D23,5)</f>
        <v>1.6219999999999998E-2</v>
      </c>
    </row>
    <row r="49" spans="1:13" x14ac:dyDescent="0.25">
      <c r="B49" s="2"/>
      <c r="C49" s="2"/>
      <c r="D49" s="2"/>
      <c r="E49" s="2"/>
      <c r="F49" s="2"/>
      <c r="G49" s="2"/>
      <c r="H49" s="2"/>
      <c r="I49" s="2"/>
      <c r="J49" s="2"/>
    </row>
    <row r="50" spans="1:13" x14ac:dyDescent="0.25">
      <c r="B50" s="2"/>
      <c r="C50" s="2"/>
      <c r="D50" s="2"/>
      <c r="E50" s="2"/>
      <c r="F50" s="2"/>
      <c r="G50" s="2"/>
      <c r="H50" s="2"/>
      <c r="I50" s="2"/>
      <c r="J50" s="2"/>
    </row>
    <row r="51" spans="1:13" x14ac:dyDescent="0.25">
      <c r="B51" s="2"/>
      <c r="C51" s="2"/>
      <c r="D51" s="2"/>
      <c r="E51" s="2"/>
      <c r="F51" s="2"/>
      <c r="G51" s="2"/>
      <c r="H51" s="2"/>
      <c r="I51" s="2"/>
      <c r="J51" s="2"/>
    </row>
    <row r="52" spans="1:13" x14ac:dyDescent="0.25">
      <c r="A52" s="509"/>
      <c r="B52" s="499" t="str">
        <f>CONCATENATE("Gas Supply Cost Component  (GSCC)  Effective ",'Input Data'!D4)</f>
        <v>Gas Supply Cost Component  (GSCC)  Effective February 1, 2023</v>
      </c>
      <c r="C52" s="500"/>
      <c r="D52" s="500"/>
      <c r="E52" s="500"/>
      <c r="F52" s="500"/>
      <c r="G52" s="500"/>
      <c r="H52" s="500"/>
      <c r="I52" s="500"/>
      <c r="J52" s="500"/>
      <c r="K52" s="501"/>
    </row>
    <row r="53" spans="1:13" x14ac:dyDescent="0.25">
      <c r="A53" s="510"/>
      <c r="B53" s="502" t="s">
        <v>585</v>
      </c>
      <c r="C53" s="495"/>
      <c r="D53" s="496"/>
      <c r="E53" s="496"/>
      <c r="F53" s="496"/>
      <c r="G53" s="496"/>
      <c r="H53" s="137"/>
      <c r="I53" s="137"/>
      <c r="J53" s="137" t="s">
        <v>12</v>
      </c>
      <c r="K53" s="536" t="s">
        <v>581</v>
      </c>
    </row>
    <row r="54" spans="1:13" x14ac:dyDescent="0.25">
      <c r="A54" s="511">
        <v>16</v>
      </c>
      <c r="B54" s="517" t="s">
        <v>23</v>
      </c>
      <c r="C54" s="518"/>
      <c r="D54" s="518"/>
      <c r="E54" s="518"/>
      <c r="F54" s="518"/>
      <c r="G54" s="518"/>
      <c r="H54" s="521"/>
      <c r="I54" s="530"/>
      <c r="J54" s="542">
        <f>J16</f>
        <v>6.7537000000000003</v>
      </c>
      <c r="K54" s="543">
        <f>K16</f>
        <v>0.67537000000000003</v>
      </c>
    </row>
    <row r="55" spans="1:13" x14ac:dyDescent="0.25">
      <c r="A55" s="511">
        <v>17</v>
      </c>
      <c r="B55" s="503" t="s">
        <v>24</v>
      </c>
      <c r="C55" s="139"/>
      <c r="D55" s="139"/>
      <c r="E55" s="139"/>
      <c r="F55" s="139"/>
      <c r="G55" s="139"/>
      <c r="H55" s="697"/>
      <c r="I55" s="245"/>
      <c r="J55" s="544">
        <f>J26</f>
        <v>0.77439999999999998</v>
      </c>
      <c r="K55" s="545">
        <f>K26</f>
        <v>7.7439999999999995E-2</v>
      </c>
    </row>
    <row r="56" spans="1:13" x14ac:dyDescent="0.25">
      <c r="A56" s="511">
        <v>18</v>
      </c>
      <c r="B56" s="503" t="s">
        <v>25</v>
      </c>
      <c r="C56" s="139"/>
      <c r="D56" s="139"/>
      <c r="E56" s="139"/>
      <c r="F56" s="139"/>
      <c r="G56" s="139"/>
      <c r="H56" s="697"/>
      <c r="I56" s="245"/>
      <c r="J56" s="544">
        <f>J32</f>
        <v>1.35E-2</v>
      </c>
      <c r="K56" s="545">
        <f>K32</f>
        <v>1.3500000000000001E-3</v>
      </c>
    </row>
    <row r="57" spans="1:13" x14ac:dyDescent="0.25">
      <c r="A57" s="511">
        <v>19</v>
      </c>
      <c r="B57" s="503" t="s">
        <v>26</v>
      </c>
      <c r="C57" s="139"/>
      <c r="D57" s="139"/>
      <c r="E57" s="139"/>
      <c r="F57" s="139"/>
      <c r="G57" s="139"/>
      <c r="H57" s="697"/>
      <c r="I57" s="245"/>
      <c r="J57" s="544">
        <f>J42</f>
        <v>0</v>
      </c>
      <c r="K57" s="545">
        <f>K42</f>
        <v>0</v>
      </c>
    </row>
    <row r="58" spans="1:13" x14ac:dyDescent="0.25">
      <c r="A58" s="511">
        <v>20</v>
      </c>
      <c r="B58" s="503" t="s">
        <v>27</v>
      </c>
      <c r="C58" s="139"/>
      <c r="D58" s="139"/>
      <c r="E58" s="139"/>
      <c r="F58" s="139"/>
      <c r="G58" s="139"/>
      <c r="H58" s="697"/>
      <c r="I58" s="245"/>
      <c r="J58" s="548">
        <f>J48</f>
        <v>0.16220000000000001</v>
      </c>
      <c r="K58" s="547">
        <f>K48</f>
        <v>1.6219999999999998E-2</v>
      </c>
    </row>
    <row r="59" spans="1:13" x14ac:dyDescent="0.25">
      <c r="A59" s="510">
        <v>21</v>
      </c>
      <c r="B59" s="531" t="s">
        <v>28</v>
      </c>
      <c r="C59" s="496"/>
      <c r="D59" s="496"/>
      <c r="E59" s="496"/>
      <c r="F59" s="496"/>
      <c r="G59" s="496"/>
      <c r="H59" s="137"/>
      <c r="I59" s="532"/>
      <c r="J59" s="540">
        <f>SUM(J54:J58)</f>
        <v>7.7038000000000002</v>
      </c>
      <c r="K59" s="541">
        <f>SUM(K54:K58)</f>
        <v>0.77037999999999995</v>
      </c>
      <c r="L59" s="31"/>
      <c r="M59" s="15"/>
    </row>
    <row r="60" spans="1:13" x14ac:dyDescent="0.25">
      <c r="B60" s="2"/>
      <c r="C60" s="2"/>
      <c r="D60" s="2"/>
      <c r="E60" s="2"/>
      <c r="F60" s="2"/>
      <c r="G60" s="2"/>
      <c r="H60" s="2"/>
      <c r="I60" s="2" t="s">
        <v>386</v>
      </c>
      <c r="J60" s="89"/>
      <c r="K60" s="246"/>
    </row>
    <row r="61" spans="1:13" x14ac:dyDescent="0.25">
      <c r="B61" s="2"/>
      <c r="C61" s="2"/>
      <c r="D61" s="2"/>
      <c r="E61" s="2"/>
      <c r="F61" s="2"/>
      <c r="G61" s="2"/>
      <c r="H61" s="2"/>
      <c r="I61" s="2"/>
      <c r="J61" s="2"/>
    </row>
    <row r="62" spans="1:13" x14ac:dyDescent="0.25">
      <c r="B62" s="2"/>
      <c r="C62" s="2"/>
      <c r="D62" s="2"/>
      <c r="E62" s="2"/>
      <c r="F62" s="2"/>
      <c r="G62" s="2"/>
      <c r="H62" s="2"/>
      <c r="I62" s="2"/>
      <c r="J62" s="2"/>
    </row>
    <row r="63" spans="1:13" x14ac:dyDescent="0.25">
      <c r="B63" s="2"/>
      <c r="C63" s="2"/>
      <c r="D63" s="2"/>
      <c r="E63" s="2"/>
      <c r="F63" s="2"/>
      <c r="G63" s="2"/>
      <c r="H63" s="2"/>
      <c r="I63" s="2"/>
      <c r="J63" s="2"/>
    </row>
    <row r="64" spans="1:13" x14ac:dyDescent="0.25">
      <c r="B64" s="2"/>
      <c r="C64" s="2"/>
      <c r="D64" s="2"/>
      <c r="E64" s="2"/>
      <c r="F64" s="2"/>
      <c r="G64" s="2"/>
      <c r="H64" s="2"/>
      <c r="I64" s="2"/>
      <c r="J64" s="2"/>
    </row>
    <row r="65" spans="2:10" x14ac:dyDescent="0.25">
      <c r="B65" s="2"/>
      <c r="C65" s="2"/>
      <c r="D65" s="2"/>
      <c r="E65" s="2"/>
      <c r="F65" s="2"/>
      <c r="G65" s="2"/>
      <c r="H65" s="2"/>
      <c r="I65" s="2"/>
      <c r="J65" s="2"/>
    </row>
    <row r="66" spans="2:10" x14ac:dyDescent="0.25">
      <c r="B66" s="2"/>
      <c r="C66" s="2"/>
      <c r="D66" s="2"/>
      <c r="E66" s="2"/>
      <c r="F66" s="2"/>
      <c r="G66" s="2"/>
      <c r="H66" s="2"/>
      <c r="I66" s="2"/>
      <c r="J66" s="2"/>
    </row>
    <row r="67" spans="2:10" x14ac:dyDescent="0.25">
      <c r="B67" s="2"/>
      <c r="C67" s="2"/>
      <c r="D67" s="2"/>
      <c r="E67" s="2"/>
      <c r="F67" s="2"/>
      <c r="G67" s="2"/>
      <c r="H67" s="2"/>
      <c r="I67" s="2"/>
      <c r="J67" s="2"/>
    </row>
    <row r="68" spans="2:10" x14ac:dyDescent="0.25">
      <c r="B68" s="2"/>
      <c r="C68" s="2"/>
      <c r="D68" s="2"/>
      <c r="E68" s="2"/>
      <c r="F68" s="2"/>
      <c r="G68" s="2"/>
      <c r="H68" s="2"/>
      <c r="I68" s="2"/>
      <c r="J68" s="2"/>
    </row>
    <row r="69" spans="2:10" x14ac:dyDescent="0.25">
      <c r="B69" s="2"/>
      <c r="C69" s="2"/>
      <c r="D69" s="2"/>
      <c r="E69" s="2"/>
      <c r="F69" s="2"/>
      <c r="G69" s="2"/>
      <c r="H69" s="2"/>
      <c r="I69" s="2"/>
      <c r="J69" s="2"/>
    </row>
    <row r="70" spans="2:10" x14ac:dyDescent="0.25">
      <c r="B70" s="2"/>
      <c r="C70" s="2"/>
      <c r="D70" s="2"/>
      <c r="E70" s="2"/>
      <c r="F70" s="2"/>
      <c r="G70" s="2"/>
      <c r="H70" s="2"/>
      <c r="I70" s="2"/>
      <c r="J70" s="2"/>
    </row>
    <row r="71" spans="2:10" x14ac:dyDescent="0.25">
      <c r="B71" s="2"/>
      <c r="C71" s="2"/>
      <c r="D71" s="2"/>
      <c r="E71" s="2"/>
      <c r="F71" s="2"/>
      <c r="G71" s="2"/>
      <c r="H71" s="2"/>
      <c r="I71" s="2"/>
      <c r="J71" s="2"/>
    </row>
    <row r="72" spans="2:10" x14ac:dyDescent="0.25">
      <c r="B72" s="2"/>
      <c r="C72" s="2"/>
      <c r="D72" s="2"/>
      <c r="E72" s="2"/>
      <c r="F72" s="2"/>
      <c r="G72" s="2"/>
      <c r="H72" s="2"/>
      <c r="I72" s="2"/>
      <c r="J72" s="2"/>
    </row>
    <row r="73" spans="2:10" x14ac:dyDescent="0.25">
      <c r="B73" s="2"/>
      <c r="C73" s="2"/>
      <c r="D73" s="2"/>
      <c r="E73" s="2"/>
      <c r="F73" s="2"/>
      <c r="G73" s="2"/>
      <c r="H73" s="2"/>
      <c r="I73" s="2"/>
      <c r="J73" s="2"/>
    </row>
    <row r="74" spans="2:10" x14ac:dyDescent="0.25">
      <c r="B74" s="2"/>
      <c r="C74" s="2"/>
      <c r="D74" s="2"/>
      <c r="E74" s="2"/>
      <c r="F74" s="2"/>
      <c r="G74" s="2"/>
      <c r="H74" s="2"/>
      <c r="I74" s="2"/>
      <c r="J74" s="2"/>
    </row>
    <row r="75" spans="2:10" x14ac:dyDescent="0.25">
      <c r="B75" s="2"/>
      <c r="C75" s="2"/>
      <c r="D75" s="2"/>
      <c r="E75" s="2"/>
      <c r="F75" s="2"/>
      <c r="G75" s="2"/>
      <c r="H75" s="2"/>
      <c r="I75" s="2"/>
      <c r="J75" s="2"/>
    </row>
    <row r="76" spans="2:10" x14ac:dyDescent="0.25">
      <c r="B76" s="2"/>
      <c r="C76" s="2"/>
      <c r="D76" s="2"/>
      <c r="E76" s="2"/>
      <c r="F76" s="2"/>
      <c r="G76" s="2"/>
      <c r="H76" s="2"/>
      <c r="I76" s="2"/>
      <c r="J76" s="2"/>
    </row>
    <row r="77" spans="2:10" x14ac:dyDescent="0.25">
      <c r="B77" s="2"/>
      <c r="C77" s="2"/>
      <c r="D77" s="2"/>
      <c r="E77" s="2"/>
      <c r="F77" s="2"/>
      <c r="G77" s="2"/>
      <c r="H77" s="2"/>
      <c r="I77" s="2"/>
      <c r="J77" s="2"/>
    </row>
  </sheetData>
  <phoneticPr fontId="0" type="noConversion"/>
  <pageMargins left="0.75" right="0.75" top="1" bottom="1" header="0.5" footer="0.5"/>
  <pageSetup scale="63" orientation="portrait" blackAndWhite="1" r:id="rId1"/>
  <headerFooter alignWithMargins="0">
    <oddFooter>&amp;L&amp;1#&amp;"Calibri"&amp;14&amp;K000000Confidential</oddFooter>
  </headerFooter>
  <customProperties>
    <customPr name="_pios_id" r:id="rId2"/>
  </customPropertie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42698C-55BD-4037-AD54-226938760467}">
  <sheetPr codeName="Sheet33">
    <tabColor rgb="FF00B050"/>
  </sheetPr>
  <dimension ref="A1:M151"/>
  <sheetViews>
    <sheetView topLeftCell="A49" zoomScaleNormal="100" workbookViewId="0">
      <selection activeCell="B98" sqref="B98"/>
    </sheetView>
  </sheetViews>
  <sheetFormatPr defaultRowHeight="15.75" x14ac:dyDescent="0.25"/>
  <cols>
    <col min="1" max="1" width="1.109375" customWidth="1"/>
    <col min="2" max="2" width="8.5546875" customWidth="1"/>
    <col min="11" max="11" width="17.109375" customWidth="1"/>
    <col min="12" max="12" width="1.109375" customWidth="1"/>
  </cols>
  <sheetData>
    <row r="1" spans="2:11" x14ac:dyDescent="0.25">
      <c r="B1" s="766" t="s">
        <v>5</v>
      </c>
      <c r="C1" s="766"/>
      <c r="D1" s="766"/>
      <c r="E1" s="766"/>
      <c r="F1" s="766"/>
      <c r="G1" s="766"/>
      <c r="H1" s="766"/>
      <c r="I1" s="766"/>
      <c r="J1" s="766"/>
      <c r="K1" s="766"/>
    </row>
    <row r="2" spans="2:11" x14ac:dyDescent="0.25">
      <c r="B2" s="569"/>
      <c r="C2" s="569"/>
      <c r="D2" s="569"/>
      <c r="E2" s="569"/>
      <c r="F2" s="569"/>
      <c r="G2" s="569"/>
      <c r="H2" s="569"/>
      <c r="I2" s="569"/>
      <c r="J2" s="569"/>
      <c r="K2" s="569"/>
    </row>
    <row r="3" spans="2:11" x14ac:dyDescent="0.25">
      <c r="B3" s="767" t="str">
        <f>"Gas Supply Clause: "&amp; 'Input Data'!C12</f>
        <v>Gas Supply Clause: 2022-00421</v>
      </c>
      <c r="C3" s="767"/>
      <c r="D3" s="767"/>
      <c r="E3" s="767"/>
      <c r="F3" s="767"/>
      <c r="G3" s="767"/>
      <c r="H3" s="767"/>
      <c r="I3" s="767"/>
      <c r="J3" s="767"/>
      <c r="K3" s="767"/>
    </row>
    <row r="4" spans="2:11" x14ac:dyDescent="0.25">
      <c r="B4" s="657"/>
      <c r="C4" s="569"/>
      <c r="D4" s="569"/>
      <c r="E4" s="569"/>
      <c r="F4" s="569"/>
      <c r="G4" s="569"/>
      <c r="H4" s="569"/>
      <c r="I4" s="569"/>
      <c r="J4" s="569"/>
      <c r="K4" s="569"/>
    </row>
    <row r="5" spans="2:11" x14ac:dyDescent="0.25">
      <c r="B5" s="767" t="str">
        <f>"Gas Supply Cost Effective "&amp; 'Input Data'!D4</f>
        <v>Gas Supply Cost Effective February 1, 2023</v>
      </c>
      <c r="C5" s="767"/>
      <c r="D5" s="767"/>
      <c r="E5" s="767"/>
      <c r="F5" s="767"/>
      <c r="G5" s="767"/>
      <c r="H5" s="767"/>
      <c r="I5" s="767"/>
      <c r="J5" s="767"/>
      <c r="K5" s="767"/>
    </row>
    <row r="6" spans="2:11" x14ac:dyDescent="0.25">
      <c r="B6" s="6"/>
      <c r="C6" s="6"/>
      <c r="D6" s="6"/>
      <c r="E6" s="6"/>
      <c r="F6" s="6"/>
      <c r="G6" s="6"/>
      <c r="H6" s="6"/>
      <c r="I6" s="6"/>
      <c r="J6" s="6"/>
      <c r="K6" s="6"/>
    </row>
    <row r="7" spans="2:11" ht="67.5" customHeight="1" x14ac:dyDescent="0.25">
      <c r="B7" s="764" t="s">
        <v>803</v>
      </c>
      <c r="C7" s="764"/>
      <c r="D7" s="764"/>
      <c r="E7" s="764"/>
      <c r="F7" s="764"/>
      <c r="G7" s="764"/>
      <c r="H7" s="764"/>
      <c r="I7" s="764"/>
      <c r="J7" s="764"/>
      <c r="K7" s="764"/>
    </row>
    <row r="8" spans="2:11" x14ac:dyDescent="0.25">
      <c r="B8" s="3"/>
      <c r="C8" s="3"/>
      <c r="D8" s="3"/>
      <c r="E8" s="3"/>
      <c r="F8" s="3"/>
      <c r="G8" s="3"/>
      <c r="H8" s="3"/>
      <c r="I8" s="3"/>
      <c r="J8" s="3"/>
      <c r="K8" s="3"/>
    </row>
    <row r="9" spans="2:11" x14ac:dyDescent="0.25">
      <c r="B9" s="778" t="s">
        <v>615</v>
      </c>
      <c r="C9" s="778"/>
      <c r="D9" s="778"/>
      <c r="E9" s="778"/>
      <c r="F9" s="778"/>
      <c r="G9" s="778"/>
      <c r="H9" s="778"/>
      <c r="I9" s="778"/>
      <c r="J9" s="778"/>
      <c r="K9" s="3"/>
    </row>
    <row r="10" spans="2:11" x14ac:dyDescent="0.25">
      <c r="B10" s="709"/>
      <c r="C10" s="709"/>
      <c r="D10" s="709"/>
      <c r="E10" s="709"/>
      <c r="F10" s="709"/>
      <c r="G10" s="709"/>
      <c r="H10" s="709"/>
      <c r="I10" s="709"/>
      <c r="J10" s="709"/>
      <c r="K10" s="3"/>
    </row>
    <row r="11" spans="2:11" x14ac:dyDescent="0.25">
      <c r="B11" s="777" t="s">
        <v>616</v>
      </c>
      <c r="C11" s="777"/>
      <c r="D11" s="777"/>
      <c r="E11" s="777"/>
      <c r="F11" s="777"/>
      <c r="G11" s="777"/>
      <c r="H11" s="777"/>
      <c r="I11" s="777"/>
      <c r="J11" s="777"/>
      <c r="K11" s="3"/>
    </row>
    <row r="12" spans="2:11" x14ac:dyDescent="0.25">
      <c r="B12" s="3"/>
      <c r="C12" s="3"/>
      <c r="D12" s="3"/>
      <c r="E12" s="3"/>
      <c r="F12" s="3"/>
      <c r="G12" s="3"/>
      <c r="H12" s="3"/>
      <c r="I12" s="3"/>
      <c r="J12" s="3"/>
      <c r="K12" s="3"/>
    </row>
    <row r="13" spans="2:11" ht="63" customHeight="1" x14ac:dyDescent="0.25">
      <c r="B13" s="768" t="s">
        <v>617</v>
      </c>
      <c r="C13" s="768"/>
      <c r="D13" s="768"/>
      <c r="E13" s="768"/>
      <c r="F13" s="768"/>
      <c r="G13" s="768"/>
      <c r="H13" s="768"/>
      <c r="I13" s="768"/>
      <c r="J13" s="768"/>
      <c r="K13" s="768"/>
    </row>
    <row r="14" spans="2:11" x14ac:dyDescent="0.25">
      <c r="B14" s="3"/>
      <c r="C14" s="3"/>
      <c r="D14" s="3"/>
      <c r="E14" s="3"/>
      <c r="F14" s="3"/>
      <c r="G14" s="3"/>
      <c r="H14" s="3"/>
      <c r="I14" s="3"/>
      <c r="J14" s="3"/>
      <c r="K14" s="3"/>
    </row>
    <row r="15" spans="2:11" ht="15.75" customHeight="1" x14ac:dyDescent="0.25">
      <c r="B15" s="764" t="s">
        <v>820</v>
      </c>
      <c r="C15" s="764"/>
      <c r="D15" s="764"/>
      <c r="E15" s="764"/>
      <c r="F15" s="764"/>
      <c r="G15" s="764"/>
      <c r="H15" s="764"/>
      <c r="I15" s="764"/>
      <c r="J15" s="764"/>
      <c r="K15" s="764"/>
    </row>
    <row r="16" spans="2:11" x14ac:dyDescent="0.25">
      <c r="B16" s="3"/>
      <c r="C16" s="3"/>
      <c r="D16" s="3"/>
      <c r="E16" s="3"/>
      <c r="F16" s="3"/>
      <c r="G16" s="3"/>
      <c r="H16" s="3"/>
      <c r="I16" s="3"/>
      <c r="J16" s="3"/>
      <c r="K16" s="3"/>
    </row>
    <row r="17" spans="1:13" ht="47.25" customHeight="1" x14ac:dyDescent="0.25">
      <c r="B17" s="764" t="s">
        <v>821</v>
      </c>
      <c r="C17" s="764"/>
      <c r="D17" s="764"/>
      <c r="E17" s="764"/>
      <c r="F17" s="764"/>
      <c r="G17" s="764"/>
      <c r="H17" s="764"/>
      <c r="I17" s="764"/>
      <c r="J17" s="764"/>
      <c r="K17" s="764"/>
    </row>
    <row r="18" spans="1:13" x14ac:dyDescent="0.25">
      <c r="B18" s="3"/>
      <c r="C18" s="3"/>
      <c r="D18" s="3"/>
      <c r="E18" s="3"/>
      <c r="F18" s="3"/>
      <c r="G18" s="3"/>
      <c r="H18" s="3"/>
      <c r="I18" s="3"/>
      <c r="J18" s="3"/>
      <c r="K18" s="3"/>
    </row>
    <row r="19" spans="1:13" ht="33.75" customHeight="1" x14ac:dyDescent="0.25">
      <c r="B19" s="764" t="s">
        <v>822</v>
      </c>
      <c r="C19" s="764"/>
      <c r="D19" s="764"/>
      <c r="E19" s="764"/>
      <c r="F19" s="764"/>
      <c r="G19" s="764"/>
      <c r="H19" s="764"/>
      <c r="I19" s="764"/>
      <c r="J19" s="764"/>
      <c r="K19" s="764"/>
      <c r="M19" s="90"/>
    </row>
    <row r="20" spans="1:13" x14ac:dyDescent="0.25">
      <c r="B20" s="3"/>
      <c r="C20" s="3"/>
      <c r="D20" s="3"/>
      <c r="E20" s="3"/>
      <c r="F20" s="3"/>
      <c r="G20" s="3"/>
      <c r="H20" s="3"/>
      <c r="I20" s="3"/>
      <c r="J20" s="3"/>
      <c r="K20" s="3"/>
    </row>
    <row r="21" spans="1:13" x14ac:dyDescent="0.25">
      <c r="B21" s="777" t="s">
        <v>618</v>
      </c>
      <c r="C21" s="777"/>
      <c r="D21" s="777"/>
      <c r="E21" s="777"/>
      <c r="F21" s="777"/>
      <c r="G21" s="777"/>
      <c r="H21" s="777"/>
      <c r="I21" s="777"/>
      <c r="J21" s="777"/>
      <c r="K21" s="3"/>
    </row>
    <row r="22" spans="1:13" x14ac:dyDescent="0.25">
      <c r="B22" s="3"/>
      <c r="C22" s="3"/>
      <c r="D22" s="3"/>
      <c r="E22" s="3"/>
      <c r="F22" s="3"/>
      <c r="G22" s="3"/>
      <c r="H22" s="3"/>
      <c r="I22" s="3"/>
      <c r="J22" s="3"/>
      <c r="K22" s="3"/>
    </row>
    <row r="23" spans="1:13" ht="63" customHeight="1" x14ac:dyDescent="0.25">
      <c r="B23" s="764" t="s">
        <v>620</v>
      </c>
      <c r="C23" s="764"/>
      <c r="D23" s="764"/>
      <c r="E23" s="764"/>
      <c r="F23" s="764"/>
      <c r="G23" s="764"/>
      <c r="H23" s="764"/>
      <c r="I23" s="764"/>
      <c r="J23" s="764"/>
      <c r="K23" s="764"/>
    </row>
    <row r="24" spans="1:13" x14ac:dyDescent="0.25">
      <c r="B24" s="3"/>
      <c r="C24" s="3"/>
      <c r="D24" s="3"/>
      <c r="E24" s="3"/>
      <c r="F24" s="3"/>
      <c r="G24" s="3"/>
      <c r="H24" s="3"/>
      <c r="I24" s="3"/>
      <c r="J24" s="3"/>
      <c r="K24" s="3"/>
    </row>
    <row r="25" spans="1:13" ht="15.75" customHeight="1" x14ac:dyDescent="0.25">
      <c r="B25" s="764" t="s">
        <v>820</v>
      </c>
      <c r="C25" s="764"/>
      <c r="D25" s="764"/>
      <c r="E25" s="764"/>
      <c r="F25" s="764"/>
      <c r="G25" s="764"/>
      <c r="H25" s="764"/>
      <c r="I25" s="764"/>
      <c r="J25" s="764"/>
      <c r="K25" s="764"/>
    </row>
    <row r="26" spans="1:13" x14ac:dyDescent="0.25">
      <c r="A26" s="90"/>
      <c r="B26" s="3"/>
      <c r="C26" s="3"/>
      <c r="D26" s="3"/>
      <c r="E26" s="3"/>
      <c r="F26" s="3"/>
      <c r="G26" s="3"/>
      <c r="H26" s="3"/>
      <c r="I26" s="3"/>
      <c r="J26" s="3"/>
      <c r="K26" s="3"/>
    </row>
    <row r="27" spans="1:13" ht="63" customHeight="1" x14ac:dyDescent="0.25">
      <c r="B27" s="769" t="s">
        <v>823</v>
      </c>
      <c r="C27" s="769"/>
      <c r="D27" s="769"/>
      <c r="E27" s="769"/>
      <c r="F27" s="769"/>
      <c r="G27" s="769"/>
      <c r="H27" s="769"/>
      <c r="I27" s="769"/>
      <c r="J27" s="769"/>
      <c r="K27" s="769"/>
    </row>
    <row r="28" spans="1:13" x14ac:dyDescent="0.25">
      <c r="B28" s="3"/>
      <c r="C28" s="3"/>
      <c r="D28" s="3"/>
      <c r="E28" s="3"/>
      <c r="F28" s="3"/>
      <c r="G28" s="3"/>
      <c r="H28" s="3"/>
      <c r="I28" s="3"/>
      <c r="J28" s="3"/>
      <c r="K28" s="3"/>
    </row>
    <row r="29" spans="1:13" ht="48.75" customHeight="1" x14ac:dyDescent="0.25">
      <c r="B29" s="764" t="s">
        <v>831</v>
      </c>
      <c r="C29" s="764"/>
      <c r="D29" s="764"/>
      <c r="E29" s="764"/>
      <c r="F29" s="764"/>
      <c r="G29" s="764"/>
      <c r="H29" s="764"/>
      <c r="I29" s="764"/>
      <c r="J29" s="764"/>
      <c r="K29" s="764"/>
    </row>
    <row r="30" spans="1:13" x14ac:dyDescent="0.25">
      <c r="B30" s="3"/>
      <c r="C30" s="3"/>
      <c r="D30" s="3"/>
      <c r="E30" s="3"/>
      <c r="F30" s="3"/>
      <c r="G30" s="3"/>
      <c r="H30" s="3"/>
      <c r="I30" s="3"/>
      <c r="J30" s="3"/>
      <c r="K30" s="3"/>
    </row>
    <row r="31" spans="1:13" x14ac:dyDescent="0.25">
      <c r="B31" s="777" t="s">
        <v>810</v>
      </c>
      <c r="C31" s="777"/>
      <c r="D31" s="777"/>
      <c r="E31" s="777"/>
      <c r="F31" s="777"/>
      <c r="G31" s="777"/>
      <c r="H31" s="777"/>
      <c r="I31" s="777"/>
      <c r="J31" s="777"/>
      <c r="K31" s="3"/>
    </row>
    <row r="32" spans="1:13" x14ac:dyDescent="0.25">
      <c r="B32" s="3"/>
      <c r="C32" s="3"/>
      <c r="D32" s="3"/>
      <c r="E32" s="3"/>
      <c r="F32" s="3"/>
      <c r="G32" s="3"/>
      <c r="H32" s="3"/>
      <c r="I32" s="3"/>
      <c r="J32" s="3"/>
      <c r="K32" s="3"/>
    </row>
    <row r="33" spans="1:11" ht="63" customHeight="1" x14ac:dyDescent="0.25">
      <c r="B33" s="764" t="s">
        <v>620</v>
      </c>
      <c r="C33" s="764"/>
      <c r="D33" s="764"/>
      <c r="E33" s="764"/>
      <c r="F33" s="764"/>
      <c r="G33" s="764"/>
      <c r="H33" s="764"/>
      <c r="I33" s="764"/>
      <c r="J33" s="764"/>
      <c r="K33" s="764"/>
    </row>
    <row r="34" spans="1:11" x14ac:dyDescent="0.25">
      <c r="B34" s="3"/>
      <c r="C34" s="3"/>
      <c r="D34" s="3"/>
      <c r="E34" s="3"/>
      <c r="F34" s="3"/>
      <c r="G34" s="3"/>
      <c r="H34" s="3"/>
      <c r="I34" s="3"/>
      <c r="J34" s="3"/>
      <c r="K34" s="3"/>
    </row>
    <row r="35" spans="1:11" ht="15.75" customHeight="1" x14ac:dyDescent="0.25">
      <c r="B35" s="764" t="s">
        <v>820</v>
      </c>
      <c r="C35" s="764"/>
      <c r="D35" s="764"/>
      <c r="E35" s="764"/>
      <c r="F35" s="764"/>
      <c r="G35" s="764"/>
      <c r="H35" s="764"/>
      <c r="I35" s="764"/>
      <c r="J35" s="764"/>
      <c r="K35" s="764"/>
    </row>
    <row r="36" spans="1:11" x14ac:dyDescent="0.25">
      <c r="A36" s="90"/>
      <c r="B36" s="3"/>
      <c r="C36" s="3"/>
      <c r="D36" s="3"/>
      <c r="E36" s="3"/>
      <c r="F36" s="3"/>
      <c r="G36" s="3"/>
      <c r="H36" s="3"/>
      <c r="I36" s="3"/>
      <c r="J36" s="3"/>
      <c r="K36" s="3"/>
    </row>
    <row r="37" spans="1:11" ht="47.25" customHeight="1" x14ac:dyDescent="0.25">
      <c r="B37" s="764" t="s">
        <v>827</v>
      </c>
      <c r="C37" s="764"/>
      <c r="D37" s="764"/>
      <c r="E37" s="764"/>
      <c r="F37" s="764"/>
      <c r="G37" s="764"/>
      <c r="H37" s="764"/>
      <c r="I37" s="764"/>
      <c r="J37" s="764"/>
      <c r="K37" s="764"/>
    </row>
    <row r="38" spans="1:11" x14ac:dyDescent="0.25">
      <c r="B38" s="3"/>
      <c r="C38" s="3"/>
      <c r="D38" s="3"/>
      <c r="E38" s="3"/>
      <c r="F38" s="3"/>
      <c r="G38" s="3"/>
      <c r="H38" s="3"/>
      <c r="I38" s="3"/>
      <c r="J38" s="3"/>
      <c r="K38" s="3"/>
    </row>
    <row r="39" spans="1:11" ht="33.75" customHeight="1" x14ac:dyDescent="0.25">
      <c r="B39" s="764" t="s">
        <v>832</v>
      </c>
      <c r="C39" s="764"/>
      <c r="D39" s="764"/>
      <c r="E39" s="764"/>
      <c r="F39" s="764"/>
      <c r="G39" s="764"/>
      <c r="H39" s="764"/>
      <c r="I39" s="764"/>
      <c r="J39" s="764"/>
      <c r="K39" s="764"/>
    </row>
    <row r="40" spans="1:11" x14ac:dyDescent="0.25">
      <c r="B40" s="3"/>
      <c r="C40" s="3"/>
      <c r="D40" s="3"/>
      <c r="E40" s="3"/>
      <c r="F40" s="3"/>
      <c r="G40" s="3"/>
      <c r="H40" s="3"/>
      <c r="I40" s="3"/>
      <c r="J40" s="3"/>
      <c r="K40" s="3"/>
    </row>
    <row r="41" spans="1:11" x14ac:dyDescent="0.25">
      <c r="B41" s="779" t="s">
        <v>619</v>
      </c>
      <c r="C41" s="779"/>
      <c r="D41" s="779"/>
      <c r="E41" s="779"/>
      <c r="F41" s="779"/>
      <c r="G41" s="779"/>
      <c r="H41" s="779"/>
      <c r="I41" s="779"/>
      <c r="J41" s="779"/>
      <c r="K41" s="3"/>
    </row>
    <row r="42" spans="1:11" x14ac:dyDescent="0.25">
      <c r="B42" s="3"/>
      <c r="C42" s="3"/>
      <c r="D42" s="3"/>
      <c r="E42" s="3"/>
      <c r="F42" s="3"/>
      <c r="G42" s="3"/>
      <c r="H42" s="3"/>
      <c r="I42" s="3"/>
      <c r="J42" s="3"/>
      <c r="K42" s="3"/>
    </row>
    <row r="43" spans="1:11" x14ac:dyDescent="0.25">
      <c r="B43" s="777" t="s">
        <v>811</v>
      </c>
      <c r="C43" s="777"/>
      <c r="D43" s="777"/>
      <c r="E43" s="777"/>
      <c r="F43" s="777"/>
      <c r="G43" s="777"/>
      <c r="H43" s="777"/>
      <c r="I43" s="777"/>
      <c r="J43" s="777"/>
      <c r="K43" s="3"/>
    </row>
    <row r="44" spans="1:11" x14ac:dyDescent="0.25">
      <c r="B44" s="3"/>
      <c r="C44" s="3"/>
      <c r="D44" s="3"/>
      <c r="E44" s="3"/>
      <c r="F44" s="3"/>
      <c r="G44" s="3"/>
      <c r="H44" s="3"/>
      <c r="I44" s="3"/>
      <c r="J44" s="3"/>
      <c r="K44" s="3"/>
    </row>
    <row r="45" spans="1:11" ht="179.25" customHeight="1" x14ac:dyDescent="0.25">
      <c r="B45" s="764" t="s">
        <v>826</v>
      </c>
      <c r="C45" s="764"/>
      <c r="D45" s="764"/>
      <c r="E45" s="764"/>
      <c r="F45" s="764"/>
      <c r="G45" s="764"/>
      <c r="H45" s="764"/>
      <c r="I45" s="764"/>
      <c r="J45" s="764"/>
      <c r="K45" s="764"/>
    </row>
    <row r="46" spans="1:11" x14ac:dyDescent="0.25">
      <c r="B46" s="707"/>
      <c r="C46" s="3"/>
      <c r="D46" s="3"/>
      <c r="E46" s="3"/>
      <c r="F46" s="3"/>
      <c r="G46" s="3"/>
      <c r="H46" s="3"/>
      <c r="I46" s="3"/>
      <c r="J46" s="3"/>
      <c r="K46" s="3"/>
    </row>
    <row r="47" spans="1:11" ht="15.75" customHeight="1" x14ac:dyDescent="0.25">
      <c r="B47" s="764" t="s">
        <v>820</v>
      </c>
      <c r="C47" s="764"/>
      <c r="D47" s="764"/>
      <c r="E47" s="764"/>
      <c r="F47" s="764"/>
      <c r="G47" s="764"/>
      <c r="H47" s="764"/>
      <c r="I47" s="764"/>
      <c r="J47" s="764"/>
      <c r="K47" s="764"/>
    </row>
    <row r="48" spans="1:11" x14ac:dyDescent="0.25">
      <c r="B48" s="3"/>
      <c r="C48" s="3"/>
      <c r="D48" s="3"/>
      <c r="E48" s="3"/>
      <c r="F48" s="3"/>
      <c r="G48" s="3"/>
      <c r="H48" s="3"/>
      <c r="I48" s="3"/>
      <c r="J48" s="3"/>
      <c r="K48" s="3"/>
    </row>
    <row r="49" spans="1:12" ht="78" customHeight="1" x14ac:dyDescent="0.25">
      <c r="A49" s="90"/>
      <c r="B49" s="769" t="s">
        <v>833</v>
      </c>
      <c r="C49" s="769"/>
      <c r="D49" s="769"/>
      <c r="E49" s="769"/>
      <c r="F49" s="769"/>
      <c r="G49" s="769"/>
      <c r="H49" s="769"/>
      <c r="I49" s="769"/>
      <c r="J49" s="769"/>
      <c r="K49" s="769"/>
    </row>
    <row r="50" spans="1:12" x14ac:dyDescent="0.25">
      <c r="A50" s="90"/>
      <c r="B50" s="3"/>
      <c r="C50" s="3"/>
      <c r="D50" s="3"/>
      <c r="E50" s="3"/>
      <c r="F50" s="3"/>
      <c r="G50" s="3"/>
      <c r="H50" s="3"/>
      <c r="I50" s="3"/>
      <c r="J50" s="3"/>
      <c r="K50" s="3"/>
    </row>
    <row r="51" spans="1:12" ht="45" customHeight="1" x14ac:dyDescent="0.25">
      <c r="B51" s="764" t="s">
        <v>825</v>
      </c>
      <c r="C51" s="764"/>
      <c r="D51" s="764"/>
      <c r="E51" s="764"/>
      <c r="F51" s="764"/>
      <c r="G51" s="764"/>
      <c r="H51" s="764"/>
      <c r="I51" s="764"/>
      <c r="J51" s="764"/>
      <c r="K51" s="764"/>
    </row>
    <row r="52" spans="1:12" x14ac:dyDescent="0.25">
      <c r="B52" s="6"/>
      <c r="C52" s="6"/>
      <c r="D52" s="6"/>
      <c r="E52" s="6"/>
      <c r="F52" s="6"/>
      <c r="G52" s="6"/>
      <c r="H52" s="6"/>
      <c r="I52" s="6"/>
      <c r="J52" s="6"/>
      <c r="K52" s="6"/>
    </row>
    <row r="53" spans="1:12" x14ac:dyDescent="0.25">
      <c r="B53" s="780" t="s">
        <v>621</v>
      </c>
      <c r="C53" s="780"/>
      <c r="D53" s="780"/>
      <c r="E53" s="780"/>
      <c r="F53" s="780"/>
      <c r="G53" s="780"/>
      <c r="H53" s="780"/>
      <c r="I53" s="780"/>
      <c r="J53" s="780"/>
      <c r="K53" s="6"/>
    </row>
    <row r="54" spans="1:12" x14ac:dyDescent="0.25">
      <c r="B54" s="6"/>
      <c r="C54" s="6"/>
      <c r="D54" s="6"/>
      <c r="E54" s="6"/>
      <c r="F54" s="6"/>
      <c r="G54" s="6"/>
      <c r="H54" s="6"/>
      <c r="I54" s="6"/>
      <c r="J54" s="6"/>
      <c r="K54" s="6"/>
    </row>
    <row r="55" spans="1:12" ht="80.25" customHeight="1" x14ac:dyDescent="0.25">
      <c r="B55" s="764" t="s">
        <v>830</v>
      </c>
      <c r="C55" s="764"/>
      <c r="D55" s="764"/>
      <c r="E55" s="764"/>
      <c r="F55" s="764"/>
      <c r="G55" s="764"/>
      <c r="H55" s="764"/>
      <c r="I55" s="764"/>
      <c r="J55" s="764"/>
      <c r="K55" s="764"/>
    </row>
    <row r="56" spans="1:12" x14ac:dyDescent="0.25">
      <c r="B56" s="568"/>
      <c r="C56" s="6"/>
      <c r="D56" s="6"/>
      <c r="E56" s="6"/>
      <c r="F56" s="6"/>
      <c r="G56" s="6"/>
      <c r="H56" s="6"/>
      <c r="I56" s="6"/>
      <c r="J56" s="6"/>
      <c r="K56" s="6"/>
    </row>
    <row r="57" spans="1:12" ht="33" customHeight="1" x14ac:dyDescent="0.25">
      <c r="B57" s="683" t="s">
        <v>713</v>
      </c>
      <c r="C57" s="764" t="s">
        <v>828</v>
      </c>
      <c r="D57" s="764"/>
      <c r="E57" s="764"/>
      <c r="F57" s="764"/>
      <c r="G57" s="764"/>
      <c r="H57" s="764"/>
      <c r="I57" s="764"/>
      <c r="J57" s="764"/>
      <c r="K57" s="764"/>
      <c r="L57" s="604"/>
    </row>
    <row r="58" spans="1:12" x14ac:dyDescent="0.25">
      <c r="B58" s="652"/>
      <c r="C58" s="714"/>
      <c r="D58" s="714"/>
      <c r="E58" s="714"/>
      <c r="F58" s="714"/>
      <c r="G58" s="714"/>
      <c r="H58" s="714"/>
      <c r="I58" s="714"/>
      <c r="J58" s="714"/>
      <c r="K58" s="714"/>
    </row>
    <row r="59" spans="1:12" ht="33" customHeight="1" x14ac:dyDescent="0.25">
      <c r="B59" s="683" t="s">
        <v>713</v>
      </c>
      <c r="C59" s="764" t="s">
        <v>798</v>
      </c>
      <c r="D59" s="764"/>
      <c r="E59" s="764"/>
      <c r="F59" s="764"/>
      <c r="G59" s="764"/>
      <c r="H59" s="764"/>
      <c r="I59" s="764"/>
      <c r="J59" s="764"/>
      <c r="K59" s="764"/>
    </row>
    <row r="60" spans="1:12" x14ac:dyDescent="0.25">
      <c r="B60" s="652"/>
      <c r="C60" s="714"/>
      <c r="D60" s="714"/>
      <c r="E60" s="714"/>
      <c r="F60" s="714"/>
      <c r="G60" s="714"/>
      <c r="H60" s="714"/>
      <c r="I60" s="714"/>
      <c r="J60" s="714"/>
      <c r="K60" s="714"/>
    </row>
    <row r="61" spans="1:12" ht="15.75" customHeight="1" x14ac:dyDescent="0.25">
      <c r="B61" s="683" t="s">
        <v>713</v>
      </c>
      <c r="C61" s="764" t="s">
        <v>765</v>
      </c>
      <c r="D61" s="764"/>
      <c r="E61" s="764"/>
      <c r="F61" s="764"/>
      <c r="G61" s="764"/>
      <c r="H61" s="764"/>
      <c r="I61" s="764"/>
      <c r="J61" s="764"/>
      <c r="K61" s="714"/>
    </row>
    <row r="62" spans="1:12" x14ac:dyDescent="0.25">
      <c r="B62" s="652"/>
      <c r="C62" s="714"/>
      <c r="D62" s="714"/>
      <c r="E62" s="714"/>
      <c r="F62" s="714"/>
      <c r="G62" s="714"/>
      <c r="H62" s="714"/>
      <c r="I62" s="714"/>
      <c r="J62" s="714"/>
      <c r="K62" s="714"/>
    </row>
    <row r="63" spans="1:12" ht="63" customHeight="1" x14ac:dyDescent="0.25">
      <c r="B63" s="683" t="s">
        <v>713</v>
      </c>
      <c r="C63" s="764" t="s">
        <v>824</v>
      </c>
      <c r="D63" s="764"/>
      <c r="E63" s="764"/>
      <c r="F63" s="764"/>
      <c r="G63" s="764"/>
      <c r="H63" s="764"/>
      <c r="I63" s="764"/>
      <c r="J63" s="764"/>
      <c r="K63" s="764"/>
    </row>
    <row r="64" spans="1:12" x14ac:dyDescent="0.25">
      <c r="B64" s="652"/>
      <c r="C64" s="714"/>
      <c r="D64" s="714"/>
      <c r="E64" s="714"/>
      <c r="F64" s="714"/>
      <c r="G64" s="714"/>
      <c r="H64" s="714"/>
      <c r="I64" s="714"/>
      <c r="J64" s="714"/>
      <c r="K64" s="714"/>
    </row>
    <row r="65" spans="2:11" ht="15.75" customHeight="1" x14ac:dyDescent="0.25">
      <c r="B65" s="683" t="s">
        <v>713</v>
      </c>
      <c r="C65" s="776" t="s">
        <v>799</v>
      </c>
      <c r="D65" s="776"/>
      <c r="E65" s="776"/>
      <c r="F65" s="776"/>
      <c r="G65" s="776"/>
      <c r="H65" s="776"/>
      <c r="I65" s="776"/>
      <c r="J65" s="776"/>
      <c r="K65" s="776"/>
    </row>
    <row r="66" spans="2:11" ht="15.75" customHeight="1" x14ac:dyDescent="0.25">
      <c r="B66" s="652"/>
      <c r="C66" s="714"/>
      <c r="D66" s="714"/>
      <c r="E66" s="714"/>
      <c r="F66" s="714"/>
      <c r="G66" s="714"/>
      <c r="H66" s="714"/>
      <c r="I66" s="714"/>
      <c r="J66" s="714"/>
      <c r="K66" s="714"/>
    </row>
    <row r="67" spans="2:11" ht="33" customHeight="1" x14ac:dyDescent="0.25">
      <c r="B67" s="683" t="s">
        <v>713</v>
      </c>
      <c r="C67" s="776" t="s">
        <v>800</v>
      </c>
      <c r="D67" s="776"/>
      <c r="E67" s="776"/>
      <c r="F67" s="776"/>
      <c r="G67" s="776"/>
      <c r="H67" s="776"/>
      <c r="I67" s="776"/>
      <c r="J67" s="776"/>
      <c r="K67" s="776"/>
    </row>
    <row r="68" spans="2:11" ht="15.75" customHeight="1" x14ac:dyDescent="0.25">
      <c r="B68" s="683"/>
      <c r="C68" s="726"/>
      <c r="D68" s="726"/>
      <c r="E68" s="726"/>
      <c r="F68" s="726"/>
      <c r="G68" s="726"/>
      <c r="H68" s="726"/>
      <c r="I68" s="726"/>
      <c r="J68" s="726"/>
      <c r="K68" s="724"/>
    </row>
    <row r="69" spans="2:11" ht="15.75" customHeight="1" x14ac:dyDescent="0.25">
      <c r="B69" s="683" t="s">
        <v>713</v>
      </c>
      <c r="C69" s="776" t="s">
        <v>757</v>
      </c>
      <c r="D69" s="776"/>
      <c r="E69" s="776"/>
      <c r="F69" s="776"/>
      <c r="G69" s="776"/>
      <c r="H69" s="776"/>
      <c r="I69" s="776"/>
      <c r="J69" s="776"/>
      <c r="K69" s="776"/>
    </row>
    <row r="70" spans="2:11" x14ac:dyDescent="0.25">
      <c r="B70" s="683"/>
      <c r="C70" s="726"/>
      <c r="D70" s="726"/>
      <c r="E70" s="726"/>
      <c r="F70" s="726"/>
      <c r="G70" s="726"/>
      <c r="H70" s="726"/>
      <c r="I70" s="726"/>
      <c r="J70" s="726"/>
      <c r="K70" s="724"/>
    </row>
    <row r="71" spans="2:11" ht="15.75" customHeight="1" x14ac:dyDescent="0.25">
      <c r="B71" s="683" t="s">
        <v>713</v>
      </c>
      <c r="C71" s="776" t="s">
        <v>801</v>
      </c>
      <c r="D71" s="776"/>
      <c r="E71" s="776"/>
      <c r="F71" s="776"/>
      <c r="G71" s="776"/>
      <c r="H71" s="776"/>
      <c r="I71" s="776"/>
      <c r="J71" s="776"/>
      <c r="K71" s="776"/>
    </row>
    <row r="72" spans="2:11" x14ac:dyDescent="0.25">
      <c r="B72" s="683"/>
      <c r="C72" s="713"/>
      <c r="D72" s="713"/>
      <c r="E72" s="713"/>
      <c r="F72" s="713"/>
      <c r="G72" s="713"/>
      <c r="H72" s="713"/>
      <c r="I72" s="713"/>
      <c r="J72" s="713"/>
      <c r="K72" s="658"/>
    </row>
    <row r="73" spans="2:11" ht="15.75" customHeight="1" x14ac:dyDescent="0.25"/>
    <row r="74" spans="2:11" x14ac:dyDescent="0.25">
      <c r="B74" s="584"/>
      <c r="C74" s="656"/>
      <c r="D74" s="656"/>
      <c r="E74" s="656"/>
      <c r="F74" s="656"/>
      <c r="G74" s="656"/>
      <c r="H74" s="656"/>
      <c r="I74" s="656"/>
      <c r="J74" s="656"/>
      <c r="K74" s="6"/>
    </row>
    <row r="75" spans="2:11" x14ac:dyDescent="0.25">
      <c r="B75" s="584"/>
      <c r="C75" s="656"/>
      <c r="D75" s="656"/>
      <c r="E75" s="656"/>
      <c r="F75" s="656"/>
      <c r="G75" s="656"/>
      <c r="H75" s="656"/>
      <c r="I75" s="656"/>
      <c r="J75" s="656"/>
      <c r="K75" s="6"/>
    </row>
    <row r="76" spans="2:11" x14ac:dyDescent="0.25">
      <c r="B76" s="584"/>
      <c r="C76" s="656"/>
      <c r="D76" s="656"/>
      <c r="E76" s="656"/>
      <c r="F76" s="656"/>
      <c r="G76" s="656"/>
      <c r="H76" s="656"/>
      <c r="I76" s="656"/>
      <c r="J76" s="656"/>
      <c r="K76" s="6"/>
    </row>
    <row r="77" spans="2:11" x14ac:dyDescent="0.25">
      <c r="B77" s="584"/>
      <c r="C77" s="656"/>
      <c r="D77" s="656"/>
      <c r="E77" s="656"/>
      <c r="F77" s="656"/>
      <c r="G77" s="656"/>
      <c r="H77" s="656"/>
      <c r="I77" s="656"/>
      <c r="J77" s="656"/>
      <c r="K77" s="6"/>
    </row>
    <row r="78" spans="2:11" x14ac:dyDescent="0.25">
      <c r="B78" s="584"/>
      <c r="C78" s="656"/>
      <c r="D78" s="656"/>
      <c r="E78" s="656"/>
      <c r="F78" s="656"/>
      <c r="G78" s="656"/>
      <c r="H78" s="656"/>
      <c r="I78" s="656"/>
      <c r="J78" s="656"/>
      <c r="K78" s="6"/>
    </row>
    <row r="79" spans="2:11" x14ac:dyDescent="0.25">
      <c r="B79" s="584"/>
      <c r="C79" s="656"/>
      <c r="D79" s="656"/>
      <c r="E79" s="656"/>
      <c r="F79" s="656"/>
      <c r="G79" s="656"/>
      <c r="H79" s="656"/>
      <c r="I79" s="656"/>
      <c r="J79" s="656"/>
      <c r="K79" s="6"/>
    </row>
    <row r="80" spans="2:11" x14ac:dyDescent="0.25">
      <c r="B80" s="584"/>
      <c r="C80" s="656"/>
      <c r="D80" s="656"/>
      <c r="E80" s="656"/>
      <c r="F80" s="656"/>
      <c r="G80" s="656"/>
      <c r="H80" s="656"/>
      <c r="I80" s="656"/>
      <c r="J80" s="656"/>
      <c r="K80" s="6"/>
    </row>
    <row r="81" spans="2:13" x14ac:dyDescent="0.25">
      <c r="B81" s="584"/>
      <c r="C81" s="656"/>
      <c r="D81" s="656"/>
      <c r="E81" s="656"/>
      <c r="F81" s="656"/>
      <c r="G81" s="656"/>
      <c r="H81" s="656"/>
      <c r="I81" s="656"/>
      <c r="J81" s="656"/>
      <c r="K81" s="6"/>
    </row>
    <row r="82" spans="2:13" x14ac:dyDescent="0.25">
      <c r="B82" s="584"/>
      <c r="C82" s="656"/>
      <c r="D82" s="656"/>
      <c r="E82" s="656"/>
      <c r="F82" s="656"/>
      <c r="G82" s="656"/>
      <c r="H82" s="656"/>
      <c r="I82" s="656"/>
      <c r="J82" s="656"/>
      <c r="K82" s="6"/>
    </row>
    <row r="83" spans="2:13" x14ac:dyDescent="0.25">
      <c r="B83" s="584"/>
      <c r="C83" s="656"/>
      <c r="D83" s="656"/>
      <c r="E83" s="656"/>
      <c r="F83" s="656"/>
      <c r="G83" s="656"/>
      <c r="H83" s="656"/>
      <c r="I83" s="656"/>
      <c r="J83" s="656"/>
      <c r="K83" s="6"/>
    </row>
    <row r="84" spans="2:13" x14ac:dyDescent="0.25">
      <c r="B84" s="584"/>
      <c r="C84" s="656"/>
      <c r="D84" s="656"/>
      <c r="E84" s="656"/>
      <c r="F84" s="656"/>
      <c r="G84" s="656"/>
      <c r="H84" s="656"/>
      <c r="I84" s="656"/>
      <c r="J84" s="656"/>
      <c r="K84" s="6"/>
    </row>
    <row r="85" spans="2:13" x14ac:dyDescent="0.25">
      <c r="B85" s="584"/>
      <c r="C85" s="656"/>
      <c r="D85" s="656"/>
      <c r="E85" s="656"/>
      <c r="F85" s="656"/>
      <c r="G85" s="656"/>
      <c r="H85" s="656"/>
      <c r="I85" s="656"/>
      <c r="J85" s="656"/>
      <c r="K85" s="6"/>
    </row>
    <row r="86" spans="2:13" x14ac:dyDescent="0.25">
      <c r="B86" s="584"/>
      <c r="C86" s="656"/>
      <c r="D86" s="656"/>
      <c r="E86" s="656"/>
      <c r="F86" s="656"/>
      <c r="G86" s="656"/>
      <c r="H86" s="656"/>
      <c r="I86" s="656"/>
      <c r="J86" s="656"/>
      <c r="K86" s="6"/>
    </row>
    <row r="87" spans="2:13" x14ac:dyDescent="0.25">
      <c r="B87" s="584"/>
      <c r="C87" s="656"/>
      <c r="D87" s="656"/>
      <c r="E87" s="656"/>
      <c r="F87" s="656"/>
      <c r="G87" s="656"/>
      <c r="H87" s="656"/>
      <c r="I87" s="656"/>
      <c r="J87" s="656"/>
      <c r="K87" s="6"/>
    </row>
    <row r="88" spans="2:13" x14ac:dyDescent="0.25">
      <c r="B88" s="584"/>
      <c r="C88" s="656"/>
      <c r="D88" s="656"/>
      <c r="E88" s="656"/>
      <c r="F88" s="656"/>
      <c r="G88" s="656"/>
      <c r="H88" s="656"/>
      <c r="I88" s="656"/>
      <c r="J88" s="656"/>
      <c r="K88" s="6"/>
    </row>
    <row r="89" spans="2:13" x14ac:dyDescent="0.25">
      <c r="B89" s="584"/>
      <c r="C89" s="656"/>
      <c r="D89" s="656"/>
      <c r="E89" s="656"/>
      <c r="F89" s="656"/>
      <c r="G89" s="656"/>
      <c r="H89" s="656"/>
      <c r="I89" s="656"/>
      <c r="J89" s="656"/>
      <c r="K89" s="6"/>
    </row>
    <row r="90" spans="2:13" x14ac:dyDescent="0.25">
      <c r="B90" s="584"/>
      <c r="C90" s="656"/>
      <c r="D90" s="656"/>
      <c r="E90" s="656"/>
      <c r="F90" s="656"/>
      <c r="G90" s="656"/>
      <c r="H90" s="656"/>
      <c r="I90" s="656"/>
      <c r="J90" s="656"/>
      <c r="K90" s="6"/>
    </row>
    <row r="91" spans="2:13" x14ac:dyDescent="0.25">
      <c r="B91" s="584"/>
      <c r="C91" s="656"/>
      <c r="D91" s="656"/>
      <c r="E91" s="656"/>
      <c r="F91" s="656"/>
      <c r="G91" s="656"/>
      <c r="H91" s="656"/>
      <c r="I91" s="656"/>
      <c r="J91" s="656"/>
      <c r="K91" s="6"/>
    </row>
    <row r="92" spans="2:13" x14ac:dyDescent="0.25">
      <c r="B92" s="661"/>
      <c r="C92" s="605"/>
      <c r="D92" s="605"/>
      <c r="E92" s="605"/>
      <c r="F92" s="656"/>
      <c r="G92" s="656"/>
      <c r="H92" s="656"/>
      <c r="I92" s="656"/>
      <c r="J92" s="656"/>
      <c r="K92" s="6"/>
    </row>
    <row r="93" spans="2:13" ht="156" customHeight="1" x14ac:dyDescent="0.25">
      <c r="B93" s="769" t="s">
        <v>802</v>
      </c>
      <c r="C93" s="769"/>
      <c r="D93" s="769"/>
      <c r="E93" s="769"/>
      <c r="F93" s="769"/>
      <c r="G93" s="769"/>
      <c r="H93" s="769"/>
      <c r="I93" s="769"/>
      <c r="J93" s="769"/>
      <c r="K93" s="769"/>
    </row>
    <row r="94" spans="2:13" x14ac:dyDescent="0.25">
      <c r="B94" s="6"/>
      <c r="C94" s="6"/>
      <c r="D94" s="6"/>
      <c r="E94" s="6"/>
      <c r="F94" s="6"/>
      <c r="G94" s="6"/>
      <c r="H94" s="6"/>
      <c r="I94" s="6"/>
      <c r="J94" s="6"/>
      <c r="K94" s="6"/>
    </row>
    <row r="95" spans="2:13" ht="156.75" customHeight="1" x14ac:dyDescent="0.25">
      <c r="B95" s="764" t="s">
        <v>829</v>
      </c>
      <c r="C95" s="764"/>
      <c r="D95" s="764"/>
      <c r="E95" s="764"/>
      <c r="F95" s="764"/>
      <c r="G95" s="764"/>
      <c r="H95" s="764"/>
      <c r="I95" s="764"/>
      <c r="J95" s="764"/>
      <c r="K95" s="764"/>
      <c r="M95" s="90"/>
    </row>
    <row r="96" spans="2:13" x14ac:dyDescent="0.25">
      <c r="B96" s="3"/>
      <c r="C96" s="3"/>
      <c r="D96" s="3"/>
      <c r="E96" s="3"/>
      <c r="F96" s="3"/>
      <c r="G96" s="3"/>
      <c r="H96" s="3"/>
      <c r="I96" s="3"/>
      <c r="J96" s="3"/>
      <c r="K96" s="3"/>
    </row>
    <row r="97" spans="2:13" ht="100.5" customHeight="1" x14ac:dyDescent="0.25">
      <c r="B97" s="764" t="s">
        <v>834</v>
      </c>
      <c r="C97" s="764"/>
      <c r="D97" s="764"/>
      <c r="E97" s="764"/>
      <c r="F97" s="764"/>
      <c r="G97" s="764"/>
      <c r="H97" s="764"/>
      <c r="I97" s="764"/>
      <c r="J97" s="764"/>
      <c r="K97" s="764"/>
      <c r="M97" s="90"/>
    </row>
    <row r="98" spans="2:13" x14ac:dyDescent="0.25">
      <c r="B98" s="3"/>
      <c r="C98" s="3"/>
      <c r="D98" s="3"/>
      <c r="E98" s="3"/>
      <c r="F98" s="3"/>
      <c r="G98" s="3"/>
      <c r="H98" s="3"/>
      <c r="I98" s="3"/>
      <c r="J98" s="3"/>
      <c r="K98" s="3"/>
    </row>
    <row r="99" spans="2:13" ht="33.75" customHeight="1" x14ac:dyDescent="0.25">
      <c r="B99" s="764" t="s">
        <v>804</v>
      </c>
      <c r="C99" s="764"/>
      <c r="D99" s="764"/>
      <c r="E99" s="764"/>
      <c r="F99" s="764"/>
      <c r="G99" s="764"/>
      <c r="H99" s="764"/>
      <c r="I99" s="764"/>
      <c r="J99" s="764"/>
      <c r="K99" s="764"/>
    </row>
    <row r="100" spans="2:13" x14ac:dyDescent="0.25">
      <c r="B100" s="3"/>
      <c r="C100" s="3"/>
      <c r="D100" s="3"/>
      <c r="E100" s="3"/>
      <c r="F100" s="3"/>
      <c r="G100" s="3"/>
      <c r="H100" s="3"/>
      <c r="I100" s="3"/>
      <c r="J100" s="3"/>
      <c r="K100" s="3"/>
    </row>
    <row r="101" spans="2:13" x14ac:dyDescent="0.25">
      <c r="B101" s="773" t="s">
        <v>714</v>
      </c>
      <c r="C101" s="773"/>
      <c r="D101" s="773"/>
      <c r="E101" s="773"/>
      <c r="F101" s="773"/>
      <c r="G101" s="773"/>
      <c r="H101" s="773"/>
      <c r="I101" s="773"/>
      <c r="J101" s="773"/>
      <c r="K101" s="773"/>
    </row>
    <row r="102" spans="2:13" x14ac:dyDescent="0.25">
      <c r="B102" s="773" t="s">
        <v>715</v>
      </c>
      <c r="C102" s="773"/>
      <c r="D102" s="773"/>
      <c r="E102" s="773"/>
      <c r="F102" s="773"/>
      <c r="G102" s="773"/>
      <c r="H102" s="773"/>
      <c r="I102" s="773"/>
      <c r="J102" s="773"/>
      <c r="K102" s="773"/>
    </row>
    <row r="103" spans="2:13" x14ac:dyDescent="0.25">
      <c r="B103" s="772" t="s">
        <v>716</v>
      </c>
      <c r="C103" s="772"/>
      <c r="D103" s="772"/>
      <c r="E103" s="772"/>
      <c r="F103" s="772"/>
      <c r="G103" s="772"/>
      <c r="H103" s="772"/>
      <c r="I103" s="772"/>
      <c r="J103" s="772"/>
      <c r="K103" s="772"/>
    </row>
    <row r="104" spans="2:13" x14ac:dyDescent="0.25">
      <c r="B104" s="654"/>
      <c r="C104" s="3"/>
      <c r="D104" s="3"/>
      <c r="E104" s="3"/>
      <c r="F104" s="3"/>
      <c r="G104" s="3"/>
      <c r="H104" s="3"/>
      <c r="I104" s="3"/>
      <c r="J104" s="3"/>
      <c r="K104" s="3"/>
    </row>
    <row r="105" spans="2:13" ht="46.15" customHeight="1" x14ac:dyDescent="0.25">
      <c r="B105" s="702" t="s">
        <v>723</v>
      </c>
      <c r="C105" s="3"/>
      <c r="D105" s="774" t="s">
        <v>722</v>
      </c>
      <c r="E105" s="774"/>
      <c r="F105" s="775" t="s">
        <v>772</v>
      </c>
      <c r="G105" s="775"/>
      <c r="H105" s="775" t="s">
        <v>721</v>
      </c>
      <c r="I105" s="775"/>
      <c r="J105" s="775" t="s">
        <v>720</v>
      </c>
      <c r="K105" s="775"/>
    </row>
    <row r="106" spans="2:13" x14ac:dyDescent="0.25">
      <c r="B106" s="3"/>
      <c r="C106" s="3"/>
      <c r="D106" s="3"/>
      <c r="E106" s="3"/>
      <c r="F106" s="3"/>
      <c r="G106" s="3"/>
      <c r="H106" s="3"/>
      <c r="I106" s="3"/>
      <c r="J106" s="3"/>
      <c r="K106" s="3"/>
    </row>
    <row r="107" spans="2:13" x14ac:dyDescent="0.25">
      <c r="B107" s="653">
        <f>'Ex A 1 of 2'!C6</f>
        <v>44958</v>
      </c>
      <c r="C107" s="3"/>
      <c r="D107" s="770">
        <v>7.1479999999999997</v>
      </c>
      <c r="E107" s="770"/>
      <c r="F107" s="771">
        <v>1.4800000000000001E-2</v>
      </c>
      <c r="G107" s="771"/>
      <c r="H107" s="770">
        <v>6.2899999999999998E-2</v>
      </c>
      <c r="I107" s="770"/>
      <c r="J107" s="770">
        <v>7.3182999999999998</v>
      </c>
      <c r="K107" s="770"/>
      <c r="M107" s="90"/>
    </row>
    <row r="108" spans="2:13" x14ac:dyDescent="0.25">
      <c r="B108" s="653">
        <f>'Ex A 1 of 2'!D6</f>
        <v>44986</v>
      </c>
      <c r="C108" s="3"/>
      <c r="D108" s="770">
        <v>7.335</v>
      </c>
      <c r="E108" s="770"/>
      <c r="F108" s="771">
        <v>1.4800000000000001E-2</v>
      </c>
      <c r="G108" s="771"/>
      <c r="H108" s="770">
        <v>6.2899999999999998E-2</v>
      </c>
      <c r="I108" s="770"/>
      <c r="J108" s="770">
        <v>7.5080999999999998</v>
      </c>
      <c r="K108" s="770"/>
      <c r="M108" s="90"/>
    </row>
    <row r="109" spans="2:13" x14ac:dyDescent="0.25">
      <c r="B109" s="653">
        <f>'Ex A 1 of 2'!E6</f>
        <v>45017</v>
      </c>
      <c r="C109" s="3"/>
      <c r="D109" s="770">
        <v>7.4770000000000003</v>
      </c>
      <c r="E109" s="770"/>
      <c r="F109" s="771">
        <v>1.4800000000000001E-2</v>
      </c>
      <c r="G109" s="771"/>
      <c r="H109" s="770">
        <v>6.2899999999999998E-2</v>
      </c>
      <c r="I109" s="770"/>
      <c r="J109" s="770">
        <v>7.6521999999999997</v>
      </c>
      <c r="K109" s="770"/>
      <c r="M109" s="90"/>
    </row>
    <row r="110" spans="2:13" x14ac:dyDescent="0.25">
      <c r="B110" s="654"/>
      <c r="C110" s="3"/>
      <c r="D110" s="3"/>
      <c r="E110" s="3"/>
      <c r="F110" s="3"/>
      <c r="G110" s="3"/>
      <c r="H110" s="3"/>
      <c r="I110" s="3"/>
      <c r="J110" s="3"/>
      <c r="K110" s="3"/>
      <c r="M110" s="90"/>
    </row>
    <row r="111" spans="2:13" x14ac:dyDescent="0.25">
      <c r="B111" s="654"/>
      <c r="C111" s="3"/>
      <c r="D111" s="3"/>
      <c r="E111" s="3"/>
      <c r="F111" s="3"/>
      <c r="G111" s="3"/>
      <c r="H111" s="3"/>
      <c r="I111" s="3"/>
      <c r="J111" s="3"/>
      <c r="K111" s="3"/>
      <c r="M111" s="90"/>
    </row>
    <row r="112" spans="2:13" x14ac:dyDescent="0.25">
      <c r="B112" s="773" t="s">
        <v>717</v>
      </c>
      <c r="C112" s="773"/>
      <c r="D112" s="773"/>
      <c r="E112" s="773"/>
      <c r="F112" s="773"/>
      <c r="G112" s="773"/>
      <c r="H112" s="773"/>
      <c r="I112" s="773"/>
      <c r="J112" s="773"/>
      <c r="K112" s="773"/>
      <c r="M112" s="90"/>
    </row>
    <row r="113" spans="2:13" x14ac:dyDescent="0.25">
      <c r="B113" s="773" t="s">
        <v>718</v>
      </c>
      <c r="C113" s="773"/>
      <c r="D113" s="773"/>
      <c r="E113" s="773"/>
      <c r="F113" s="773"/>
      <c r="G113" s="773"/>
      <c r="H113" s="773"/>
      <c r="I113" s="773"/>
      <c r="J113" s="773"/>
      <c r="K113" s="773"/>
      <c r="M113" s="90"/>
    </row>
    <row r="114" spans="2:13" x14ac:dyDescent="0.25">
      <c r="B114" s="772" t="s">
        <v>719</v>
      </c>
      <c r="C114" s="772"/>
      <c r="D114" s="772"/>
      <c r="E114" s="772"/>
      <c r="F114" s="772"/>
      <c r="G114" s="772"/>
      <c r="H114" s="772"/>
      <c r="I114" s="772"/>
      <c r="J114" s="772"/>
      <c r="K114" s="772"/>
      <c r="M114" s="90"/>
    </row>
    <row r="115" spans="2:13" x14ac:dyDescent="0.25">
      <c r="B115" s="654"/>
      <c r="C115" s="3"/>
      <c r="D115" s="3"/>
      <c r="E115" s="3"/>
      <c r="F115" s="3"/>
      <c r="G115" s="3"/>
      <c r="H115" s="3"/>
      <c r="I115" s="3"/>
      <c r="J115" s="3"/>
      <c r="K115" s="3"/>
      <c r="M115" s="90"/>
    </row>
    <row r="116" spans="2:13" ht="46.15" customHeight="1" x14ac:dyDescent="0.25">
      <c r="B116" s="702" t="s">
        <v>723</v>
      </c>
      <c r="C116" s="3"/>
      <c r="D116" s="774" t="s">
        <v>722</v>
      </c>
      <c r="E116" s="774"/>
      <c r="F116" s="775" t="s">
        <v>771</v>
      </c>
      <c r="G116" s="775"/>
      <c r="H116" s="775" t="s">
        <v>727</v>
      </c>
      <c r="I116" s="775"/>
      <c r="J116" s="775" t="s">
        <v>720</v>
      </c>
      <c r="K116" s="775"/>
      <c r="M116" s="90"/>
    </row>
    <row r="117" spans="2:13" x14ac:dyDescent="0.25">
      <c r="B117" s="3"/>
      <c r="C117" s="3"/>
      <c r="D117" s="3"/>
      <c r="E117" s="3"/>
      <c r="F117" s="3"/>
      <c r="G117" s="3"/>
      <c r="H117" s="3"/>
      <c r="I117" s="3"/>
      <c r="J117" s="3"/>
      <c r="K117" s="3"/>
      <c r="M117" s="90"/>
    </row>
    <row r="118" spans="2:13" x14ac:dyDescent="0.25">
      <c r="B118" s="653">
        <f>B107</f>
        <v>44958</v>
      </c>
      <c r="C118" s="3"/>
      <c r="D118" s="770">
        <v>7.1159999999999997</v>
      </c>
      <c r="E118" s="770"/>
      <c r="F118" s="771">
        <v>5.8999999999999999E-3</v>
      </c>
      <c r="G118" s="771"/>
      <c r="H118" s="770">
        <v>3.7499999999999999E-2</v>
      </c>
      <c r="I118" s="770"/>
      <c r="J118" s="770">
        <v>7.1957000000000004</v>
      </c>
      <c r="K118" s="770"/>
      <c r="M118" s="90"/>
    </row>
    <row r="119" spans="2:13" x14ac:dyDescent="0.25">
      <c r="B119" s="653">
        <f>B108</f>
        <v>44986</v>
      </c>
      <c r="C119" s="3"/>
      <c r="D119" s="770">
        <v>7.3029999999999999</v>
      </c>
      <c r="E119" s="770"/>
      <c r="F119" s="771">
        <v>5.8999999999999999E-3</v>
      </c>
      <c r="G119" s="771"/>
      <c r="H119" s="770">
        <v>3.7499999999999999E-2</v>
      </c>
      <c r="I119" s="770"/>
      <c r="J119" s="770">
        <v>7.3837999999999999</v>
      </c>
      <c r="K119" s="770"/>
      <c r="M119" s="90"/>
    </row>
    <row r="120" spans="2:13" x14ac:dyDescent="0.25">
      <c r="B120" s="653">
        <f>B109</f>
        <v>45017</v>
      </c>
      <c r="C120" s="3"/>
      <c r="D120" s="770">
        <v>7.4450000000000003</v>
      </c>
      <c r="E120" s="770"/>
      <c r="F120" s="771">
        <v>5.8999999999999999E-3</v>
      </c>
      <c r="G120" s="771"/>
      <c r="H120" s="770">
        <v>3.7499999999999999E-2</v>
      </c>
      <c r="I120" s="770"/>
      <c r="J120" s="770">
        <v>7.5266999999999999</v>
      </c>
      <c r="K120" s="770"/>
      <c r="M120" s="90"/>
    </row>
    <row r="121" spans="2:13" x14ac:dyDescent="0.25">
      <c r="B121" s="654"/>
      <c r="C121" s="3"/>
      <c r="D121" s="3"/>
      <c r="E121" s="3"/>
      <c r="F121" s="3"/>
      <c r="G121" s="3"/>
      <c r="H121" s="3"/>
      <c r="I121" s="3"/>
      <c r="J121" s="3"/>
      <c r="K121" s="3"/>
      <c r="M121" s="90"/>
    </row>
    <row r="122" spans="2:13" x14ac:dyDescent="0.25">
      <c r="B122" s="706"/>
      <c r="C122" s="703"/>
      <c r="D122" s="703"/>
      <c r="E122" s="703"/>
      <c r="F122" s="703"/>
      <c r="G122" s="3"/>
      <c r="H122" s="3"/>
      <c r="I122" s="3"/>
      <c r="J122" s="3"/>
      <c r="K122" s="3"/>
      <c r="M122" s="90"/>
    </row>
    <row r="123" spans="2:13" x14ac:dyDescent="0.25">
      <c r="B123" s="773" t="s">
        <v>805</v>
      </c>
      <c r="C123" s="773"/>
      <c r="D123" s="773"/>
      <c r="E123" s="773"/>
      <c r="F123" s="773"/>
      <c r="G123" s="773"/>
      <c r="H123" s="773"/>
      <c r="I123" s="773"/>
      <c r="J123" s="773"/>
      <c r="K123" s="773"/>
      <c r="M123" s="90"/>
    </row>
    <row r="124" spans="2:13" x14ac:dyDescent="0.25">
      <c r="B124" s="773" t="s">
        <v>715</v>
      </c>
      <c r="C124" s="773"/>
      <c r="D124" s="773"/>
      <c r="E124" s="773"/>
      <c r="F124" s="773"/>
      <c r="G124" s="773"/>
      <c r="H124" s="773"/>
      <c r="I124" s="773"/>
      <c r="J124" s="773"/>
      <c r="K124" s="773"/>
      <c r="M124" s="90"/>
    </row>
    <row r="125" spans="2:13" x14ac:dyDescent="0.25">
      <c r="B125" s="772" t="s">
        <v>807</v>
      </c>
      <c r="C125" s="772"/>
      <c r="D125" s="772"/>
      <c r="E125" s="772"/>
      <c r="F125" s="772"/>
      <c r="G125" s="772"/>
      <c r="H125" s="772"/>
      <c r="I125" s="772"/>
      <c r="J125" s="772"/>
      <c r="K125" s="772"/>
      <c r="M125" s="90"/>
    </row>
    <row r="126" spans="2:13" x14ac:dyDescent="0.25">
      <c r="B126" s="654"/>
      <c r="C126" s="3"/>
      <c r="D126" s="3"/>
      <c r="E126" s="3"/>
      <c r="F126" s="3"/>
      <c r="G126" s="3"/>
      <c r="H126" s="3"/>
      <c r="I126" s="3"/>
      <c r="J126" s="3"/>
      <c r="K126" s="3"/>
      <c r="M126" s="90"/>
    </row>
    <row r="127" spans="2:13" ht="46.15" customHeight="1" x14ac:dyDescent="0.25">
      <c r="B127" s="720" t="s">
        <v>723</v>
      </c>
      <c r="C127" s="3"/>
      <c r="D127" s="774" t="s">
        <v>722</v>
      </c>
      <c r="E127" s="774"/>
      <c r="F127" s="775" t="s">
        <v>806</v>
      </c>
      <c r="G127" s="775"/>
      <c r="H127" s="775" t="s">
        <v>727</v>
      </c>
      <c r="I127" s="775"/>
      <c r="J127" s="775" t="s">
        <v>720</v>
      </c>
      <c r="K127" s="775"/>
      <c r="M127" s="90"/>
    </row>
    <row r="128" spans="2:13" x14ac:dyDescent="0.25">
      <c r="B128" s="3"/>
      <c r="C128" s="3"/>
      <c r="D128" s="3"/>
      <c r="E128" s="3"/>
      <c r="F128" s="3"/>
      <c r="G128" s="3"/>
      <c r="H128" s="3"/>
      <c r="I128" s="3"/>
      <c r="J128" s="3"/>
      <c r="K128" s="3"/>
      <c r="M128" s="90"/>
    </row>
    <row r="129" spans="2:13" x14ac:dyDescent="0.25">
      <c r="B129" s="653">
        <f>B118</f>
        <v>44958</v>
      </c>
      <c r="C129" s="3"/>
      <c r="D129" s="770">
        <v>7.1479999999999997</v>
      </c>
      <c r="E129" s="770"/>
      <c r="F129" s="771">
        <v>1.2999999999999999E-2</v>
      </c>
      <c r="G129" s="771"/>
      <c r="H129" s="770">
        <v>5.2299999999999999E-2</v>
      </c>
      <c r="I129" s="770"/>
      <c r="J129" s="770">
        <v>7.2944000000000004</v>
      </c>
      <c r="K129" s="770"/>
      <c r="M129" s="90"/>
    </row>
    <row r="130" spans="2:13" x14ac:dyDescent="0.25">
      <c r="B130" s="653">
        <f>B119</f>
        <v>44986</v>
      </c>
      <c r="C130" s="3"/>
      <c r="D130" s="770">
        <v>7.335</v>
      </c>
      <c r="E130" s="770"/>
      <c r="F130" s="771">
        <v>1.2999999999999999E-2</v>
      </c>
      <c r="G130" s="771"/>
      <c r="H130" s="770">
        <v>5.2299999999999999E-2</v>
      </c>
      <c r="I130" s="770"/>
      <c r="J130" s="770">
        <v>7.4839000000000002</v>
      </c>
      <c r="K130" s="770"/>
      <c r="M130" s="90"/>
    </row>
    <row r="131" spans="2:13" x14ac:dyDescent="0.25">
      <c r="B131" s="653">
        <f>B120</f>
        <v>45017</v>
      </c>
      <c r="C131" s="3"/>
      <c r="D131" s="770">
        <v>7.4770000000000003</v>
      </c>
      <c r="E131" s="770"/>
      <c r="F131" s="771">
        <v>1.2999999999999999E-2</v>
      </c>
      <c r="G131" s="771"/>
      <c r="H131" s="770">
        <v>5.2299999999999999E-2</v>
      </c>
      <c r="I131" s="770"/>
      <c r="J131" s="770">
        <v>7.6277999999999997</v>
      </c>
      <c r="K131" s="770"/>
      <c r="M131" s="90"/>
    </row>
    <row r="132" spans="2:13" x14ac:dyDescent="0.25">
      <c r="B132" s="654"/>
      <c r="C132" s="3"/>
      <c r="D132" s="3"/>
      <c r="E132" s="3"/>
      <c r="F132" s="3"/>
      <c r="G132" s="3"/>
      <c r="H132" s="3"/>
      <c r="I132" s="3"/>
      <c r="J132" s="3"/>
      <c r="K132" s="3"/>
      <c r="M132" s="90"/>
    </row>
    <row r="133" spans="2:13" x14ac:dyDescent="0.25">
      <c r="B133" s="706"/>
      <c r="C133" s="721"/>
      <c r="D133" s="721"/>
      <c r="E133" s="721"/>
      <c r="F133" s="721"/>
      <c r="G133" s="3"/>
      <c r="H133" s="3"/>
      <c r="I133" s="3"/>
      <c r="J133" s="3"/>
      <c r="K133" s="3"/>
      <c r="M133" s="90"/>
    </row>
    <row r="134" spans="2:13" x14ac:dyDescent="0.25">
      <c r="B134" s="773" t="s">
        <v>812</v>
      </c>
      <c r="C134" s="773"/>
      <c r="D134" s="773"/>
      <c r="E134" s="773"/>
      <c r="F134" s="773"/>
      <c r="G134" s="773"/>
      <c r="H134" s="773"/>
      <c r="I134" s="773"/>
      <c r="J134" s="773"/>
      <c r="K134" s="773"/>
      <c r="M134" s="90"/>
    </row>
    <row r="135" spans="2:13" x14ac:dyDescent="0.25">
      <c r="B135" s="773" t="s">
        <v>715</v>
      </c>
      <c r="C135" s="773"/>
      <c r="D135" s="773"/>
      <c r="E135" s="773"/>
      <c r="F135" s="773"/>
      <c r="G135" s="773"/>
      <c r="H135" s="773"/>
      <c r="I135" s="773"/>
      <c r="J135" s="773"/>
      <c r="K135" s="773"/>
      <c r="M135" s="90"/>
    </row>
    <row r="136" spans="2:13" x14ac:dyDescent="0.25">
      <c r="B136" s="772" t="s">
        <v>724</v>
      </c>
      <c r="C136" s="772"/>
      <c r="D136" s="772"/>
      <c r="E136" s="772"/>
      <c r="F136" s="772"/>
      <c r="G136" s="772"/>
      <c r="H136" s="772"/>
      <c r="I136" s="772"/>
      <c r="J136" s="772"/>
      <c r="K136" s="772"/>
      <c r="M136" s="90"/>
    </row>
    <row r="137" spans="2:13" x14ac:dyDescent="0.25">
      <c r="B137" s="654"/>
      <c r="C137" s="3"/>
      <c r="D137" s="3"/>
      <c r="E137" s="3"/>
      <c r="F137" s="3"/>
      <c r="G137" s="3"/>
      <c r="H137" s="3"/>
      <c r="I137" s="3"/>
      <c r="J137" s="3"/>
      <c r="K137" s="3"/>
      <c r="M137" s="90"/>
    </row>
    <row r="138" spans="2:13" ht="46.15" customHeight="1" x14ac:dyDescent="0.25">
      <c r="B138" s="702" t="s">
        <v>723</v>
      </c>
      <c r="C138" s="3"/>
      <c r="D138" s="774" t="s">
        <v>725</v>
      </c>
      <c r="E138" s="774"/>
      <c r="F138" s="775" t="s">
        <v>770</v>
      </c>
      <c r="G138" s="775"/>
      <c r="H138" s="775" t="s">
        <v>726</v>
      </c>
      <c r="I138" s="775"/>
      <c r="J138" s="775" t="s">
        <v>720</v>
      </c>
      <c r="K138" s="775"/>
      <c r="M138" s="90"/>
    </row>
    <row r="139" spans="2:13" x14ac:dyDescent="0.25">
      <c r="B139" s="3"/>
      <c r="C139" s="3"/>
      <c r="D139" s="3"/>
      <c r="E139" s="3"/>
      <c r="F139" s="3"/>
      <c r="G139" s="3"/>
      <c r="H139" s="3"/>
      <c r="I139" s="3"/>
      <c r="J139" s="3"/>
      <c r="K139" s="3"/>
      <c r="M139" s="90"/>
    </row>
    <row r="140" spans="2:13" x14ac:dyDescent="0.25">
      <c r="B140" s="653">
        <f>B118</f>
        <v>44958</v>
      </c>
      <c r="C140" s="3"/>
      <c r="D140" s="770">
        <v>7.2220000000000004</v>
      </c>
      <c r="E140" s="770"/>
      <c r="F140" s="771">
        <v>1.2999999999999999E-3</v>
      </c>
      <c r="G140" s="771"/>
      <c r="H140" s="770">
        <v>4.1500000000000002E-2</v>
      </c>
      <c r="I140" s="770"/>
      <c r="J140" s="770">
        <v>7.2728999999999999</v>
      </c>
      <c r="K140" s="770"/>
      <c r="M140" s="90"/>
    </row>
    <row r="141" spans="2:13" x14ac:dyDescent="0.25">
      <c r="B141" s="653">
        <f>B119</f>
        <v>44986</v>
      </c>
      <c r="C141" s="3"/>
      <c r="D141" s="770">
        <v>7.4089999999999998</v>
      </c>
      <c r="E141" s="770"/>
      <c r="F141" s="771">
        <v>1.2999999999999999E-3</v>
      </c>
      <c r="G141" s="771"/>
      <c r="H141" s="770">
        <v>4.1500000000000002E-2</v>
      </c>
      <c r="I141" s="770"/>
      <c r="J141" s="770">
        <v>7.4600999999999997</v>
      </c>
      <c r="K141" s="770"/>
      <c r="M141" s="90"/>
    </row>
    <row r="142" spans="2:13" x14ac:dyDescent="0.25">
      <c r="B142" s="653">
        <f>B120</f>
        <v>45017</v>
      </c>
      <c r="C142" s="3"/>
      <c r="D142" s="770">
        <v>7.5510000000000002</v>
      </c>
      <c r="E142" s="770"/>
      <c r="F142" s="771">
        <v>1.2999999999999999E-3</v>
      </c>
      <c r="G142" s="771"/>
      <c r="H142" s="770">
        <v>4.1500000000000002E-2</v>
      </c>
      <c r="I142" s="770"/>
      <c r="J142" s="770">
        <v>7.6022999999999996</v>
      </c>
      <c r="K142" s="770"/>
      <c r="M142" s="90"/>
    </row>
    <row r="143" spans="2:13" x14ac:dyDescent="0.25">
      <c r="B143" s="654"/>
      <c r="C143" s="3"/>
      <c r="D143" s="3"/>
      <c r="E143" s="3"/>
      <c r="F143" s="3"/>
      <c r="G143" s="3"/>
      <c r="H143" s="3"/>
      <c r="I143" s="3"/>
      <c r="J143" s="3"/>
      <c r="K143" s="3"/>
    </row>
    <row r="144" spans="2:13" x14ac:dyDescent="0.25">
      <c r="B144" s="654"/>
      <c r="C144" s="654"/>
      <c r="D144" s="3"/>
      <c r="E144" s="3"/>
      <c r="F144" s="3"/>
      <c r="G144" s="3"/>
      <c r="H144" s="3"/>
      <c r="I144" s="3"/>
      <c r="J144" s="3"/>
      <c r="K144" s="3"/>
    </row>
    <row r="145" spans="2:13" ht="31.9" customHeight="1" x14ac:dyDescent="0.25">
      <c r="B145" s="764" t="s">
        <v>808</v>
      </c>
      <c r="C145" s="764"/>
      <c r="D145" s="764"/>
      <c r="E145" s="764"/>
      <c r="F145" s="764"/>
      <c r="G145" s="764"/>
      <c r="H145" s="764"/>
      <c r="I145" s="764"/>
      <c r="J145" s="764"/>
      <c r="K145" s="764"/>
      <c r="M145" s="90"/>
    </row>
    <row r="146" spans="2:13" x14ac:dyDescent="0.25">
      <c r="B146" s="3"/>
      <c r="C146" s="3"/>
      <c r="D146" s="3"/>
      <c r="E146" s="3"/>
      <c r="F146" s="3"/>
      <c r="G146" s="3"/>
      <c r="H146" s="3"/>
      <c r="I146" s="3"/>
      <c r="J146" s="3"/>
      <c r="K146" s="3"/>
    </row>
    <row r="147" spans="2:13" x14ac:dyDescent="0.25">
      <c r="B147" s="765" t="s">
        <v>728</v>
      </c>
      <c r="C147" s="765"/>
      <c r="D147" s="765"/>
      <c r="E147" s="765"/>
      <c r="F147" s="765"/>
      <c r="G147" s="765"/>
      <c r="H147" s="765"/>
      <c r="I147" s="765"/>
      <c r="J147" s="765"/>
      <c r="K147" s="3"/>
    </row>
    <row r="148" spans="2:13" x14ac:dyDescent="0.25">
      <c r="B148" s="707"/>
      <c r="C148" s="3"/>
      <c r="D148" s="3"/>
      <c r="E148" s="3"/>
      <c r="F148" s="3"/>
      <c r="G148" s="3"/>
      <c r="H148" s="3"/>
      <c r="I148" s="3"/>
      <c r="J148" s="3"/>
      <c r="K148" s="3"/>
    </row>
    <row r="149" spans="2:13" ht="33.75" customHeight="1" x14ac:dyDescent="0.25">
      <c r="B149" s="764" t="s">
        <v>809</v>
      </c>
      <c r="C149" s="764"/>
      <c r="D149" s="764"/>
      <c r="E149" s="764"/>
      <c r="F149" s="764"/>
      <c r="G149" s="764"/>
      <c r="H149" s="764"/>
      <c r="I149" s="764"/>
      <c r="J149" s="764"/>
      <c r="K149" s="764"/>
      <c r="M149" s="90"/>
    </row>
    <row r="150" spans="2:13" x14ac:dyDescent="0.25">
      <c r="B150" s="708"/>
      <c r="C150" s="708"/>
      <c r="D150" s="708"/>
      <c r="E150" s="708"/>
      <c r="F150" s="708"/>
      <c r="G150" s="708"/>
      <c r="H150" s="708"/>
      <c r="I150" s="708"/>
      <c r="J150" s="708"/>
      <c r="K150" s="708"/>
    </row>
    <row r="151" spans="2:13" ht="48" customHeight="1" x14ac:dyDescent="0.25">
      <c r="B151" s="764" t="s">
        <v>729</v>
      </c>
      <c r="C151" s="764"/>
      <c r="D151" s="764"/>
      <c r="E151" s="764"/>
      <c r="F151" s="764"/>
      <c r="G151" s="764"/>
      <c r="H151" s="764"/>
      <c r="I151" s="764"/>
      <c r="J151" s="764"/>
      <c r="K151" s="764"/>
    </row>
  </sheetData>
  <mergeCells count="120">
    <mergeCell ref="F109:G109"/>
    <mergeCell ref="D109:E109"/>
    <mergeCell ref="D108:E108"/>
    <mergeCell ref="D107:E107"/>
    <mergeCell ref="J107:K107"/>
    <mergeCell ref="J108:K108"/>
    <mergeCell ref="J109:K109"/>
    <mergeCell ref="H109:I109"/>
    <mergeCell ref="H108:I108"/>
    <mergeCell ref="H107:I107"/>
    <mergeCell ref="B31:J31"/>
    <mergeCell ref="B33:K33"/>
    <mergeCell ref="B37:K37"/>
    <mergeCell ref="B39:K39"/>
    <mergeCell ref="C61:J61"/>
    <mergeCell ref="C57:K57"/>
    <mergeCell ref="C63:K63"/>
    <mergeCell ref="C59:K59"/>
    <mergeCell ref="B9:J9"/>
    <mergeCell ref="B21:J21"/>
    <mergeCell ref="B43:J43"/>
    <mergeCell ref="B41:J41"/>
    <mergeCell ref="B15:K15"/>
    <mergeCell ref="B25:K25"/>
    <mergeCell ref="B53:J53"/>
    <mergeCell ref="B51:K51"/>
    <mergeCell ref="B55:K55"/>
    <mergeCell ref="B11:J11"/>
    <mergeCell ref="B47:K47"/>
    <mergeCell ref="B35:K35"/>
    <mergeCell ref="B93:K93"/>
    <mergeCell ref="C69:K69"/>
    <mergeCell ref="C71:K71"/>
    <mergeCell ref="C65:K65"/>
    <mergeCell ref="C67:K67"/>
    <mergeCell ref="B114:K114"/>
    <mergeCell ref="B113:K113"/>
    <mergeCell ref="B112:K112"/>
    <mergeCell ref="J116:K116"/>
    <mergeCell ref="H116:I116"/>
    <mergeCell ref="F116:G116"/>
    <mergeCell ref="D116:E116"/>
    <mergeCell ref="B101:K101"/>
    <mergeCell ref="B103:K103"/>
    <mergeCell ref="B102:K102"/>
    <mergeCell ref="J105:K105"/>
    <mergeCell ref="H105:I105"/>
    <mergeCell ref="F105:G105"/>
    <mergeCell ref="D105:E105"/>
    <mergeCell ref="B95:K95"/>
    <mergeCell ref="B97:K97"/>
    <mergeCell ref="B99:K99"/>
    <mergeCell ref="F107:G107"/>
    <mergeCell ref="F108:G108"/>
    <mergeCell ref="J119:K119"/>
    <mergeCell ref="J118:K118"/>
    <mergeCell ref="H119:I119"/>
    <mergeCell ref="H118:I118"/>
    <mergeCell ref="F119:G119"/>
    <mergeCell ref="F118:G118"/>
    <mergeCell ref="D118:E118"/>
    <mergeCell ref="D119:E119"/>
    <mergeCell ref="J120:K120"/>
    <mergeCell ref="H120:I120"/>
    <mergeCell ref="F120:G120"/>
    <mergeCell ref="D120:E120"/>
    <mergeCell ref="B134:K134"/>
    <mergeCell ref="B123:K123"/>
    <mergeCell ref="B124:K124"/>
    <mergeCell ref="B125:K125"/>
    <mergeCell ref="D127:E127"/>
    <mergeCell ref="F127:G127"/>
    <mergeCell ref="H127:I127"/>
    <mergeCell ref="J127:K127"/>
    <mergeCell ref="D129:E129"/>
    <mergeCell ref="F129:G129"/>
    <mergeCell ref="H129:I129"/>
    <mergeCell ref="J129:K129"/>
    <mergeCell ref="D130:E130"/>
    <mergeCell ref="F130:G130"/>
    <mergeCell ref="H130:I130"/>
    <mergeCell ref="J130:K130"/>
    <mergeCell ref="D131:E131"/>
    <mergeCell ref="F131:G131"/>
    <mergeCell ref="H131:I131"/>
    <mergeCell ref="J131:K131"/>
    <mergeCell ref="D140:E140"/>
    <mergeCell ref="B136:K136"/>
    <mergeCell ref="B135:K135"/>
    <mergeCell ref="D138:E138"/>
    <mergeCell ref="F138:G138"/>
    <mergeCell ref="H138:I138"/>
    <mergeCell ref="J138:K138"/>
    <mergeCell ref="H142:I142"/>
    <mergeCell ref="F142:G142"/>
    <mergeCell ref="D142:E142"/>
    <mergeCell ref="B149:K149"/>
    <mergeCell ref="B151:K151"/>
    <mergeCell ref="B147:J147"/>
    <mergeCell ref="B1:K1"/>
    <mergeCell ref="B3:K3"/>
    <mergeCell ref="B5:K5"/>
    <mergeCell ref="B7:K7"/>
    <mergeCell ref="B13:K13"/>
    <mergeCell ref="B17:K17"/>
    <mergeCell ref="B19:K19"/>
    <mergeCell ref="B23:K23"/>
    <mergeCell ref="B27:K27"/>
    <mergeCell ref="B29:K29"/>
    <mergeCell ref="B45:K45"/>
    <mergeCell ref="B49:K49"/>
    <mergeCell ref="J142:K142"/>
    <mergeCell ref="B145:K145"/>
    <mergeCell ref="J140:K140"/>
    <mergeCell ref="J141:K141"/>
    <mergeCell ref="H141:I141"/>
    <mergeCell ref="H140:I140"/>
    <mergeCell ref="F140:G140"/>
    <mergeCell ref="F141:G141"/>
    <mergeCell ref="D141:E141"/>
  </mergeCells>
  <pageMargins left="0.7" right="0.7" top="0.75" bottom="0.75" header="0.3" footer="0.3"/>
  <pageSetup scale="69" fitToHeight="5" orientation="portrait" cellComments="atEnd" r:id="rId1"/>
  <headerFooter>
    <oddHeader>&amp;R&amp;"Times New Roman,Bold"Exhibit A-1
&amp;P of &amp;N</oddHeader>
    <oddFooter>&amp;L&amp;1#&amp;"Calibri"&amp;14&amp;K000000Confidential</oddFooter>
  </headerFooter>
  <rowBreaks count="4" manualBreakCount="4">
    <brk id="29" max="10" man="1"/>
    <brk id="52" max="10" man="1"/>
    <brk id="93" max="10" man="1"/>
    <brk id="133" max="10" man="1"/>
  </rowBreaks>
  <customProperties>
    <customPr name="_pios_id" r:id="rId2"/>
  </customPropertie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5">
    <tabColor theme="3" tint="0.59999389629810485"/>
    <pageSetUpPr fitToPage="1"/>
  </sheetPr>
  <dimension ref="A1:N93"/>
  <sheetViews>
    <sheetView zoomScale="70" zoomScaleNormal="70" workbookViewId="0"/>
  </sheetViews>
  <sheetFormatPr defaultColWidth="9.77734375" defaultRowHeight="15.75" x14ac:dyDescent="0.25"/>
  <cols>
    <col min="1" max="1" width="8.21875" style="391" bestFit="1" customWidth="1"/>
    <col min="2" max="2" width="75.21875" style="363" bestFit="1" customWidth="1"/>
    <col min="3" max="3" width="14.88671875" style="363" customWidth="1"/>
    <col min="4" max="4" width="16.6640625" style="363" customWidth="1"/>
    <col min="5" max="5" width="14.21875" style="363" customWidth="1"/>
    <col min="6" max="6" width="14.77734375" style="363" customWidth="1"/>
    <col min="7" max="7" width="5.6640625" style="363" customWidth="1"/>
    <col min="8" max="8" width="4.44140625" style="363" customWidth="1"/>
    <col min="9" max="9" width="10.33203125" style="363" bestFit="1" customWidth="1"/>
    <col min="10" max="16384" width="9.77734375" style="363"/>
  </cols>
  <sheetData>
    <row r="1" spans="1:9" ht="18.75" x14ac:dyDescent="0.3">
      <c r="A1" s="362"/>
      <c r="B1" s="12"/>
      <c r="C1" s="12"/>
      <c r="D1" s="12"/>
      <c r="E1" s="12"/>
      <c r="F1" s="12"/>
    </row>
    <row r="2" spans="1:9" ht="18.75" x14ac:dyDescent="0.3">
      <c r="A2" s="364" t="s">
        <v>5</v>
      </c>
      <c r="B2" s="365"/>
      <c r="C2" s="365"/>
      <c r="D2" s="365"/>
      <c r="E2" s="365"/>
      <c r="F2" s="365"/>
      <c r="G2" s="366"/>
    </row>
    <row r="3" spans="1:9" ht="18.75" x14ac:dyDescent="0.3">
      <c r="A3" s="367" t="s">
        <v>224</v>
      </c>
      <c r="B3" s="368"/>
      <c r="C3" s="368"/>
      <c r="D3" s="368"/>
      <c r="E3" s="365"/>
      <c r="F3" s="365"/>
      <c r="G3" s="366"/>
    </row>
    <row r="4" spans="1:9" ht="18.75" x14ac:dyDescent="0.3">
      <c r="A4" s="88" t="str">
        <f>CONCATENATE("For the Three-Month Period From ",'Input Data'!D4," thru ",'Input Data'!D5)</f>
        <v>For the Three-Month Period From February 1, 2023 thru April 30, 2023</v>
      </c>
      <c r="B4" s="368"/>
      <c r="C4" s="368"/>
      <c r="D4" s="368"/>
      <c r="E4" s="365"/>
      <c r="F4" s="365"/>
      <c r="G4" s="366"/>
    </row>
    <row r="5" spans="1:9" ht="19.5" customHeight="1" x14ac:dyDescent="0.3">
      <c r="A5" s="362"/>
      <c r="B5" s="12"/>
      <c r="C5" s="12"/>
      <c r="D5" s="12"/>
      <c r="E5" s="12"/>
      <c r="F5" s="350"/>
      <c r="G5" s="12"/>
    </row>
    <row r="6" spans="1:9" ht="18.75" x14ac:dyDescent="0.3">
      <c r="A6" s="369" t="s">
        <v>247</v>
      </c>
      <c r="B6" s="369" t="s">
        <v>31</v>
      </c>
      <c r="C6" s="370">
        <f>'Input Data'!C4</f>
        <v>44958</v>
      </c>
      <c r="D6" s="370">
        <f>EDATE(C6,1)</f>
        <v>44986</v>
      </c>
      <c r="E6" s="370">
        <f>EDATE(D6,1)</f>
        <v>45017</v>
      </c>
      <c r="F6" s="371" t="s">
        <v>30</v>
      </c>
      <c r="G6" s="12"/>
    </row>
    <row r="7" spans="1:9" ht="18.75" x14ac:dyDescent="0.3">
      <c r="A7" s="362"/>
      <c r="B7" s="12"/>
      <c r="C7" s="12"/>
      <c r="D7" s="12"/>
      <c r="E7" s="12"/>
      <c r="F7" s="12"/>
      <c r="G7" s="12"/>
    </row>
    <row r="8" spans="1:9" ht="18.75" x14ac:dyDescent="0.3">
      <c r="A8" s="372" t="s">
        <v>248</v>
      </c>
      <c r="B8" s="373" t="s">
        <v>543</v>
      </c>
      <c r="C8" s="374">
        <f>'Input Data'!C24</f>
        <v>1011016</v>
      </c>
      <c r="D8" s="374">
        <f>'Input Data'!D24</f>
        <v>803763</v>
      </c>
      <c r="E8" s="374">
        <f>'Input Data'!E24</f>
        <v>1166147</v>
      </c>
      <c r="F8" s="49">
        <f>ROUND(SUM(C8:E8),0)</f>
        <v>2980926</v>
      </c>
      <c r="G8" s="12"/>
      <c r="I8" s="375"/>
    </row>
    <row r="9" spans="1:9" ht="18.75" x14ac:dyDescent="0.3">
      <c r="A9" s="372">
        <f>A8+1</f>
        <v>2</v>
      </c>
      <c r="B9" s="373" t="s">
        <v>545</v>
      </c>
      <c r="C9" s="453">
        <f>'Input Data'!C25</f>
        <v>556700</v>
      </c>
      <c r="D9" s="453">
        <f>'Input Data'!D25</f>
        <v>616300</v>
      </c>
      <c r="E9" s="453">
        <f>'Input Data'!E25</f>
        <v>1081400</v>
      </c>
      <c r="F9" s="49">
        <f>ROUND(SUM(C9:E9),0)</f>
        <v>2254400</v>
      </c>
      <c r="G9" s="12"/>
    </row>
    <row r="10" spans="1:9" ht="18.75" x14ac:dyDescent="0.3">
      <c r="A10" s="372">
        <f>A9+1</f>
        <v>3</v>
      </c>
      <c r="B10" s="373" t="s">
        <v>813</v>
      </c>
      <c r="C10" s="453">
        <f>'Input Data'!C27</f>
        <v>839900</v>
      </c>
      <c r="D10" s="453">
        <f>'Input Data'!D27</f>
        <v>929800</v>
      </c>
      <c r="E10" s="453">
        <f>'Input Data'!E27</f>
        <v>0</v>
      </c>
      <c r="F10" s="49">
        <f>ROUND(SUM(C10:E10),0)</f>
        <v>1769700</v>
      </c>
      <c r="G10" s="12"/>
    </row>
    <row r="11" spans="1:9" ht="18.75" x14ac:dyDescent="0.3">
      <c r="A11" s="372">
        <f>A10+1</f>
        <v>4</v>
      </c>
      <c r="B11" s="373" t="s">
        <v>551</v>
      </c>
      <c r="C11" s="454">
        <f>'Input Data'!C26</f>
        <v>560000</v>
      </c>
      <c r="D11" s="454">
        <f>'Input Data'!D26</f>
        <v>620000</v>
      </c>
      <c r="E11" s="454">
        <f>'Input Data'!E26</f>
        <v>0</v>
      </c>
      <c r="F11" s="376">
        <f>ROUND(SUM(C11:E11),0)</f>
        <v>1180000</v>
      </c>
      <c r="G11" s="12"/>
    </row>
    <row r="12" spans="1:9" ht="18.75" x14ac:dyDescent="0.3">
      <c r="A12" s="372">
        <f>A11+1</f>
        <v>5</v>
      </c>
      <c r="B12" s="373" t="s">
        <v>32</v>
      </c>
      <c r="C12" s="49">
        <f>SUM(C8:C11)</f>
        <v>2967616</v>
      </c>
      <c r="D12" s="49">
        <f>SUM(D8:D11)</f>
        <v>2969863</v>
      </c>
      <c r="E12" s="49">
        <f>SUM(E8:E11)</f>
        <v>2247547</v>
      </c>
      <c r="F12" s="49">
        <f>SUM(C12:E12)</f>
        <v>8185026</v>
      </c>
      <c r="G12" s="12"/>
    </row>
    <row r="13" spans="1:9" ht="18.75" x14ac:dyDescent="0.3">
      <c r="A13" s="372"/>
      <c r="B13" s="12"/>
      <c r="C13" s="374"/>
      <c r="D13" s="374"/>
      <c r="E13" s="374"/>
      <c r="F13" s="49"/>
      <c r="G13" s="12"/>
    </row>
    <row r="14" spans="1:9" ht="18.75" x14ac:dyDescent="0.3">
      <c r="A14" s="372">
        <f>A12+1</f>
        <v>6</v>
      </c>
      <c r="B14" s="373" t="s">
        <v>33</v>
      </c>
      <c r="C14" s="453">
        <f>'Input Data'!C29</f>
        <v>136400</v>
      </c>
      <c r="D14" s="453">
        <f>'Input Data'!D29</f>
        <v>0</v>
      </c>
      <c r="E14" s="453">
        <f>'Input Data'!E29</f>
        <v>0</v>
      </c>
      <c r="F14" s="49">
        <f>SUM(C14:E14)</f>
        <v>136400</v>
      </c>
      <c r="G14" s="12"/>
    </row>
    <row r="15" spans="1:9" ht="18.75" x14ac:dyDescent="0.3">
      <c r="A15" s="372">
        <f>A14+1</f>
        <v>7</v>
      </c>
      <c r="B15" s="373" t="s">
        <v>34</v>
      </c>
      <c r="C15" s="377">
        <f>'Input Data'!C30</f>
        <v>0</v>
      </c>
      <c r="D15" s="377">
        <f>'Input Data'!D30</f>
        <v>0</v>
      </c>
      <c r="E15" s="377">
        <f>'Input Data'!E30</f>
        <v>709600</v>
      </c>
      <c r="F15" s="376">
        <f>SUM(C15:E15)</f>
        <v>709600</v>
      </c>
      <c r="G15" s="12"/>
    </row>
    <row r="16" spans="1:9" ht="18.75" x14ac:dyDescent="0.3">
      <c r="A16" s="372">
        <f>A15+1</f>
        <v>8</v>
      </c>
      <c r="B16" s="373" t="s">
        <v>35</v>
      </c>
      <c r="C16" s="49">
        <f>C12+C14-C15</f>
        <v>3104016</v>
      </c>
      <c r="D16" s="49">
        <f>D12+D14-D15</f>
        <v>2969863</v>
      </c>
      <c r="E16" s="49">
        <f>E12+E14-E15</f>
        <v>1537947</v>
      </c>
      <c r="F16" s="49">
        <f>F12+F14-F15</f>
        <v>7611826</v>
      </c>
      <c r="G16" s="12"/>
    </row>
    <row r="17" spans="1:10" ht="18.75" x14ac:dyDescent="0.3">
      <c r="A17" s="372"/>
      <c r="B17" s="373" t="s">
        <v>443</v>
      </c>
      <c r="C17" s="12"/>
      <c r="D17" s="12"/>
      <c r="E17" s="12"/>
      <c r="F17" s="12"/>
      <c r="G17" s="12"/>
    </row>
    <row r="18" spans="1:10" ht="18.75" x14ac:dyDescent="0.3">
      <c r="A18" s="372"/>
      <c r="B18" s="12"/>
      <c r="C18" s="374"/>
      <c r="D18" s="374"/>
      <c r="E18" s="374"/>
      <c r="F18" s="374"/>
      <c r="G18" s="12"/>
    </row>
    <row r="19" spans="1:10" ht="18.75" x14ac:dyDescent="0.3">
      <c r="A19" s="372"/>
      <c r="B19" s="369" t="s">
        <v>36</v>
      </c>
      <c r="C19" s="374"/>
      <c r="D19" s="374"/>
      <c r="E19" s="374"/>
      <c r="F19" s="374"/>
      <c r="G19" s="12"/>
    </row>
    <row r="20" spans="1:10" ht="18.75" x14ac:dyDescent="0.3">
      <c r="A20" s="372">
        <f>A16+1</f>
        <v>9</v>
      </c>
      <c r="B20" s="373" t="s">
        <v>37</v>
      </c>
      <c r="C20" s="49">
        <f>ROUND(C12/'Input Data'!$C$17,0)</f>
        <v>2786494</v>
      </c>
      <c r="D20" s="49">
        <f>ROUND(D12/'Input Data'!$C$17,0)</f>
        <v>2788604</v>
      </c>
      <c r="E20" s="49">
        <f>ROUND(E12/'Input Data'!$C$17,0)</f>
        <v>2110373</v>
      </c>
      <c r="F20" s="374"/>
      <c r="G20" s="12"/>
    </row>
    <row r="21" spans="1:10" ht="18.75" x14ac:dyDescent="0.3">
      <c r="A21" s="372">
        <f>A20+1</f>
        <v>10</v>
      </c>
      <c r="B21" s="373" t="s">
        <v>39</v>
      </c>
      <c r="C21" s="49">
        <f>ROUND(C14/'Input Data'!$C$17,0)</f>
        <v>128075</v>
      </c>
      <c r="D21" s="49">
        <f>ROUND(D14/'Input Data'!$C$17,0)</f>
        <v>0</v>
      </c>
      <c r="E21" s="49">
        <f>ROUND(E14/'Input Data'!$C$17,0)</f>
        <v>0</v>
      </c>
      <c r="F21" s="374"/>
      <c r="G21" s="12"/>
    </row>
    <row r="22" spans="1:10" ht="18.75" x14ac:dyDescent="0.3">
      <c r="A22" s="372">
        <f>A21+1</f>
        <v>11</v>
      </c>
      <c r="B22" s="373" t="s">
        <v>40</v>
      </c>
      <c r="C22" s="378">
        <f>ROUND(C15/'Input Data'!$C$17,0)</f>
        <v>0</v>
      </c>
      <c r="D22" s="378">
        <f>ROUND(D15/'Input Data'!$C$17,0)</f>
        <v>0</v>
      </c>
      <c r="E22" s="378">
        <f>ROUND(E15/'Input Data'!$C$17,0)</f>
        <v>666291</v>
      </c>
      <c r="F22" s="379"/>
      <c r="G22" s="12"/>
    </row>
    <row r="23" spans="1:10" ht="18.75" x14ac:dyDescent="0.3">
      <c r="A23" s="372">
        <f>A22+1</f>
        <v>12</v>
      </c>
      <c r="B23" s="373" t="s">
        <v>35</v>
      </c>
      <c r="C23" s="49">
        <f>C20+C21-C22</f>
        <v>2914569</v>
      </c>
      <c r="D23" s="49">
        <f>D20+D21-D22</f>
        <v>2788604</v>
      </c>
      <c r="E23" s="49">
        <f>E20+E21-E22</f>
        <v>1444082</v>
      </c>
      <c r="F23" s="12"/>
      <c r="G23" s="12"/>
    </row>
    <row r="24" spans="1:10" ht="18.75" x14ac:dyDescent="0.3">
      <c r="A24" s="372"/>
      <c r="B24" s="373" t="s">
        <v>443</v>
      </c>
      <c r="C24" s="12"/>
      <c r="D24" s="12"/>
      <c r="E24" s="12"/>
      <c r="F24" s="374"/>
      <c r="G24" s="12"/>
    </row>
    <row r="25" spans="1:10" ht="18.75" x14ac:dyDescent="0.3">
      <c r="A25" s="372"/>
      <c r="B25" s="12"/>
      <c r="C25" s="374"/>
      <c r="D25" s="12"/>
      <c r="E25" s="374"/>
      <c r="F25" s="374"/>
      <c r="G25" s="12"/>
    </row>
    <row r="26" spans="1:10" ht="18.75" x14ac:dyDescent="0.3">
      <c r="A26" s="372">
        <f>A23+1</f>
        <v>13</v>
      </c>
      <c r="B26" s="373" t="s">
        <v>444</v>
      </c>
      <c r="C26" s="377">
        <f>VLOOKUP(C6,Forecast!A9:K1000,3,FALSE)</f>
        <v>41439</v>
      </c>
      <c r="D26" s="377">
        <f>VLOOKUP(D6,Forecast!A9:K1000,3,FALSE)</f>
        <v>61564</v>
      </c>
      <c r="E26" s="377">
        <f>VLOOKUP(E6,Forecast!A9:K150,3,FALSE)</f>
        <v>70312</v>
      </c>
      <c r="F26" s="374"/>
      <c r="G26" s="12"/>
      <c r="I26" s="254"/>
      <c r="J26" s="254"/>
    </row>
    <row r="27" spans="1:10" ht="18.75" x14ac:dyDescent="0.3">
      <c r="A27" s="372">
        <f>A26+1</f>
        <v>14</v>
      </c>
      <c r="B27" s="373" t="s">
        <v>792</v>
      </c>
      <c r="C27" s="49">
        <f>C23+C26</f>
        <v>2956008</v>
      </c>
      <c r="D27" s="49">
        <f>D23+D26</f>
        <v>2850168</v>
      </c>
      <c r="E27" s="49">
        <f>E23+E26</f>
        <v>1514394</v>
      </c>
      <c r="F27" s="374"/>
      <c r="G27" s="12"/>
      <c r="I27" s="47"/>
    </row>
    <row r="28" spans="1:10" ht="18.75" x14ac:dyDescent="0.3">
      <c r="A28" s="372"/>
      <c r="B28" s="12"/>
      <c r="C28" s="374"/>
      <c r="D28" s="374"/>
      <c r="E28" s="374"/>
      <c r="F28" s="374"/>
      <c r="G28" s="12"/>
      <c r="I28" s="47"/>
    </row>
    <row r="29" spans="1:10" ht="18.75" x14ac:dyDescent="0.3">
      <c r="A29" s="372">
        <f>A27+1</f>
        <v>15</v>
      </c>
      <c r="B29" s="373" t="s">
        <v>41</v>
      </c>
      <c r="C29" s="374">
        <f>VLOOKUP(C6,Forecast!$A9:$K1000,4,FALSE)+VLOOKUP(C6,Forecast!$A9:$K1000,5,FALSE)</f>
        <v>1769</v>
      </c>
      <c r="D29" s="374">
        <f>VLOOKUP(D6,Forecast!$A9:$K1000,4,FALSE)+VLOOKUP(D6,Forecast!$A9:$K1000,5,FALSE)</f>
        <v>2226</v>
      </c>
      <c r="E29" s="374">
        <f>VLOOKUP(E6,Forecast!$A9:$K150,4,FALSE)+VLOOKUP(E6,Forecast!$A9:$K150,5,FALSE)</f>
        <v>1039</v>
      </c>
      <c r="F29" s="374"/>
      <c r="G29" s="12"/>
      <c r="I29" s="47"/>
    </row>
    <row r="30" spans="1:10" ht="18.75" x14ac:dyDescent="0.3">
      <c r="A30" s="372">
        <f>A29+1</f>
        <v>16</v>
      </c>
      <c r="B30" s="373" t="s">
        <v>42</v>
      </c>
      <c r="C30" s="377">
        <f>VLOOKUP(C6,Forecast!$A9:$K1000,6,FALSE)</f>
        <v>0</v>
      </c>
      <c r="D30" s="377">
        <f>VLOOKUP(D6,Forecast!$A9:$K1000,6,FALSE)</f>
        <v>0</v>
      </c>
      <c r="E30" s="377">
        <f>VLOOKUP(E6,Forecast!$A9:$K150,6,FALSE)</f>
        <v>0</v>
      </c>
      <c r="F30" s="374"/>
      <c r="G30" s="12"/>
    </row>
    <row r="31" spans="1:10" ht="18.75" x14ac:dyDescent="0.3">
      <c r="A31" s="372">
        <f>A30+1</f>
        <v>17</v>
      </c>
      <c r="B31" s="373" t="s">
        <v>793</v>
      </c>
      <c r="C31" s="49">
        <f>C23-C29-C30</f>
        <v>2912800</v>
      </c>
      <c r="D31" s="49">
        <f>D23-D29-D30</f>
        <v>2786378</v>
      </c>
      <c r="E31" s="49">
        <f>E23-E29-E30</f>
        <v>1443043</v>
      </c>
      <c r="F31" s="49">
        <f>SUM(C31:E31)</f>
        <v>7142221</v>
      </c>
      <c r="G31" s="12"/>
    </row>
    <row r="32" spans="1:10" ht="18.75" x14ac:dyDescent="0.3">
      <c r="A32" s="372"/>
      <c r="B32" s="12"/>
      <c r="C32" s="374"/>
      <c r="D32" s="374"/>
      <c r="E32" s="374"/>
      <c r="F32" s="374"/>
      <c r="G32" s="12"/>
    </row>
    <row r="33" spans="1:9" ht="18.75" x14ac:dyDescent="0.3">
      <c r="A33" s="372">
        <f>A31+1</f>
        <v>18</v>
      </c>
      <c r="B33" s="373" t="s">
        <v>43</v>
      </c>
      <c r="C33" s="374">
        <f>'Input Data'!C16</f>
        <v>6812482</v>
      </c>
      <c r="D33" s="374">
        <f>C38</f>
        <v>4188732</v>
      </c>
      <c r="E33" s="374">
        <f>D38</f>
        <v>2804982</v>
      </c>
      <c r="F33" s="374"/>
      <c r="G33" s="12"/>
    </row>
    <row r="34" spans="1:9" ht="18.75" x14ac:dyDescent="0.3">
      <c r="A34" s="372">
        <f>A33+1</f>
        <v>19</v>
      </c>
      <c r="B34" s="373" t="s">
        <v>794</v>
      </c>
      <c r="C34" s="377">
        <f>C30</f>
        <v>0</v>
      </c>
      <c r="D34" s="377">
        <f>(D30)</f>
        <v>0</v>
      </c>
      <c r="E34" s="377">
        <f>(E30)</f>
        <v>0</v>
      </c>
      <c r="F34" s="374"/>
      <c r="G34" s="12"/>
    </row>
    <row r="35" spans="1:9" ht="18.75" x14ac:dyDescent="0.3">
      <c r="A35" s="372">
        <f>A34+1</f>
        <v>20</v>
      </c>
      <c r="B35" s="373" t="s">
        <v>44</v>
      </c>
      <c r="C35" s="49">
        <f>C33+C34</f>
        <v>6812482</v>
      </c>
      <c r="D35" s="49">
        <f>D33+D34</f>
        <v>4188732</v>
      </c>
      <c r="E35" s="49">
        <f>E33+E34</f>
        <v>2804982</v>
      </c>
      <c r="F35" s="374"/>
      <c r="G35" s="12"/>
      <c r="I35" s="47"/>
    </row>
    <row r="36" spans="1:9" ht="18.75" x14ac:dyDescent="0.3">
      <c r="A36" s="372">
        <f>A35+1</f>
        <v>21</v>
      </c>
      <c r="B36" s="373" t="s">
        <v>45</v>
      </c>
      <c r="C36" s="453">
        <f>VLOOKUP(C6,Forecast!$A9:$K1000,7,FALSE)</f>
        <v>2609847</v>
      </c>
      <c r="D36" s="453">
        <f>VLOOKUP(D6,Forecast!$A9:$K1000,7,FALSE)</f>
        <v>1372058</v>
      </c>
      <c r="E36" s="453">
        <f>VLOOKUP(E6,Forecast!$A9:$K150,7,FALSE)</f>
        <v>682828</v>
      </c>
      <c r="F36" s="49">
        <f>SUM(C36:E36)</f>
        <v>4664733</v>
      </c>
      <c r="G36" s="12"/>
      <c r="I36" s="47"/>
    </row>
    <row r="37" spans="1:9" ht="18.75" x14ac:dyDescent="0.3">
      <c r="A37" s="372">
        <f>A36+1</f>
        <v>22</v>
      </c>
      <c r="B37" s="373" t="s">
        <v>46</v>
      </c>
      <c r="C37" s="454">
        <f>VLOOKUP(C6,Forecast!$A9:$K1000,8,FALSE)</f>
        <v>13903</v>
      </c>
      <c r="D37" s="454">
        <f>VLOOKUP(D6,Forecast!$A9:$K1000,8,FALSE)</f>
        <v>11692</v>
      </c>
      <c r="E37" s="454">
        <f>VLOOKUP(E6,Forecast!$A9:$K150,8,FALSE)</f>
        <v>10922</v>
      </c>
      <c r="F37" s="49">
        <f>C37+D37+E37</f>
        <v>36517</v>
      </c>
      <c r="G37" s="12"/>
      <c r="I37" s="47"/>
    </row>
    <row r="38" spans="1:9" ht="18.75" x14ac:dyDescent="0.3">
      <c r="A38" s="372">
        <f>A37+1</f>
        <v>23</v>
      </c>
      <c r="B38" s="373" t="s">
        <v>47</v>
      </c>
      <c r="C38" s="49">
        <f>C35-C36-C37</f>
        <v>4188732</v>
      </c>
      <c r="D38" s="49">
        <f>D35-D36-D37</f>
        <v>2804982</v>
      </c>
      <c r="E38" s="49">
        <f>E35-E36-E37</f>
        <v>2111232</v>
      </c>
      <c r="F38" s="374"/>
      <c r="G38" s="12"/>
    </row>
    <row r="39" spans="1:9" ht="18.75" x14ac:dyDescent="0.3">
      <c r="A39" s="372"/>
      <c r="B39" s="12"/>
      <c r="C39" s="374"/>
      <c r="D39" s="374"/>
      <c r="E39" s="374"/>
      <c r="F39" s="374"/>
      <c r="G39" s="12"/>
    </row>
    <row r="40" spans="1:9" ht="18.75" x14ac:dyDescent="0.3">
      <c r="A40" s="372">
        <f>A38+1</f>
        <v>24</v>
      </c>
      <c r="B40" s="373" t="s">
        <v>795</v>
      </c>
      <c r="C40" s="49">
        <f>C31+C36+C37</f>
        <v>5536550</v>
      </c>
      <c r="D40" s="49">
        <f>D31+D36+D37</f>
        <v>4170128</v>
      </c>
      <c r="E40" s="49">
        <f>E31+E36+E37</f>
        <v>2136793</v>
      </c>
      <c r="F40" s="49">
        <f>SUM(C40:E40)</f>
        <v>11843471</v>
      </c>
      <c r="G40" s="12"/>
    </row>
    <row r="41" spans="1:9" ht="18.75" x14ac:dyDescent="0.3">
      <c r="A41" s="372"/>
      <c r="B41" s="12"/>
      <c r="C41" s="374"/>
      <c r="D41" s="374"/>
      <c r="E41" s="374"/>
      <c r="F41" s="374"/>
      <c r="G41" s="12"/>
    </row>
    <row r="42" spans="1:9" ht="18.75" x14ac:dyDescent="0.3">
      <c r="A42" s="372"/>
      <c r="B42" s="369" t="s">
        <v>48</v>
      </c>
      <c r="C42" s="374"/>
      <c r="D42" s="374"/>
      <c r="E42" s="374"/>
      <c r="F42" s="374"/>
      <c r="G42" s="12"/>
    </row>
    <row r="43" spans="1:9" ht="18.75" x14ac:dyDescent="0.3">
      <c r="A43" s="372">
        <f>A40+1</f>
        <v>25</v>
      </c>
      <c r="B43" s="373" t="s">
        <v>796</v>
      </c>
      <c r="C43" s="380">
        <f>ROUND(C27*C68,0)</f>
        <v>2853730</v>
      </c>
      <c r="D43" s="380">
        <f>ROUND(D27*D68,0)</f>
        <v>2751552</v>
      </c>
      <c r="E43" s="380">
        <f>ROUND(E27*E68,0)</f>
        <v>1461996</v>
      </c>
      <c r="F43" s="49"/>
      <c r="G43" s="12"/>
    </row>
    <row r="44" spans="1:9" ht="18.75" x14ac:dyDescent="0.3">
      <c r="A44" s="372">
        <f>A43+1</f>
        <v>26</v>
      </c>
      <c r="B44" s="373" t="s">
        <v>797</v>
      </c>
      <c r="C44" s="378">
        <f>ROUND(C26*C68,0)</f>
        <v>40005</v>
      </c>
      <c r="D44" s="378">
        <f>ROUND(D26*D68,0)</f>
        <v>59434</v>
      </c>
      <c r="E44" s="378">
        <f>ROUND(E26*E68,0)</f>
        <v>67879</v>
      </c>
      <c r="F44" s="49"/>
      <c r="G44" s="12"/>
    </row>
    <row r="45" spans="1:9" ht="18.75" x14ac:dyDescent="0.3">
      <c r="A45" s="372">
        <f t="shared" ref="A45:A56" si="0">A44+1</f>
        <v>27</v>
      </c>
      <c r="B45" s="373" t="s">
        <v>445</v>
      </c>
      <c r="C45" s="380">
        <f>C43-C44</f>
        <v>2813725</v>
      </c>
      <c r="D45" s="380">
        <f>D43-D44</f>
        <v>2692118</v>
      </c>
      <c r="E45" s="380">
        <f>E43-E44</f>
        <v>1394117</v>
      </c>
      <c r="F45" s="49"/>
      <c r="G45" s="12"/>
    </row>
    <row r="46" spans="1:9" ht="18.75" x14ac:dyDescent="0.3">
      <c r="A46" s="372">
        <f t="shared" si="0"/>
        <v>28</v>
      </c>
      <c r="B46" s="373" t="s">
        <v>778</v>
      </c>
      <c r="C46" s="49">
        <f t="shared" ref="C46:E49" si="1">ROUND(C8*C69,0)</f>
        <v>5436031</v>
      </c>
      <c r="D46" s="49">
        <f t="shared" si="1"/>
        <v>3975251</v>
      </c>
      <c r="E46" s="49">
        <f t="shared" si="1"/>
        <v>5061544</v>
      </c>
      <c r="F46" s="49"/>
      <c r="G46" s="12"/>
    </row>
    <row r="47" spans="1:9" ht="18.75" x14ac:dyDescent="0.3">
      <c r="A47" s="372">
        <f t="shared" si="0"/>
        <v>29</v>
      </c>
      <c r="B47" s="373" t="s">
        <v>779</v>
      </c>
      <c r="C47" s="49">
        <f t="shared" si="1"/>
        <v>2955298</v>
      </c>
      <c r="D47" s="49">
        <f t="shared" si="1"/>
        <v>3008715</v>
      </c>
      <c r="E47" s="49">
        <f t="shared" si="1"/>
        <v>4589786</v>
      </c>
      <c r="F47" s="49"/>
      <c r="G47" s="12"/>
    </row>
    <row r="48" spans="1:9" ht="18.75" x14ac:dyDescent="0.3">
      <c r="A48" s="372">
        <f t="shared" si="0"/>
        <v>30</v>
      </c>
      <c r="B48" s="373" t="s">
        <v>816</v>
      </c>
      <c r="C48" s="49">
        <f>ROUND(C10*C71,0)</f>
        <v>4501192</v>
      </c>
      <c r="D48" s="49">
        <f t="shared" si="1"/>
        <v>4582705</v>
      </c>
      <c r="E48" s="49">
        <f t="shared" si="1"/>
        <v>0</v>
      </c>
      <c r="F48" s="49"/>
      <c r="G48" s="12"/>
    </row>
    <row r="49" spans="1:7" ht="18.75" x14ac:dyDescent="0.3">
      <c r="A49" s="372">
        <f t="shared" si="0"/>
        <v>31</v>
      </c>
      <c r="B49" s="373" t="s">
        <v>780</v>
      </c>
      <c r="C49" s="49">
        <f t="shared" si="1"/>
        <v>2991688</v>
      </c>
      <c r="D49" s="49">
        <f t="shared" si="1"/>
        <v>3048354</v>
      </c>
      <c r="E49" s="49">
        <f t="shared" si="1"/>
        <v>0</v>
      </c>
      <c r="F49" s="49"/>
      <c r="G49" s="12"/>
    </row>
    <row r="50" spans="1:7" ht="18.75" x14ac:dyDescent="0.3">
      <c r="A50" s="372">
        <f t="shared" si="0"/>
        <v>32</v>
      </c>
      <c r="B50" s="373" t="s">
        <v>49</v>
      </c>
      <c r="C50" s="380">
        <f>SUM(C45:C49)</f>
        <v>18697934</v>
      </c>
      <c r="D50" s="380">
        <f>SUM(D45:D49)</f>
        <v>17307143</v>
      </c>
      <c r="E50" s="380">
        <f>SUM(E45:E49)</f>
        <v>11045447</v>
      </c>
      <c r="F50" s="380">
        <f>SUM(C50:E50)</f>
        <v>47050524</v>
      </c>
      <c r="G50" s="12"/>
    </row>
    <row r="51" spans="1:7" ht="18.75" x14ac:dyDescent="0.3">
      <c r="A51" s="372">
        <f t="shared" si="0"/>
        <v>33</v>
      </c>
      <c r="B51" s="373" t="s">
        <v>781</v>
      </c>
      <c r="C51" s="49">
        <f>ROUND(C14*C69,0)</f>
        <v>733396</v>
      </c>
      <c r="D51" s="49">
        <f>ROUND(D14*D69,0)</f>
        <v>0</v>
      </c>
      <c r="E51" s="49">
        <f>ROUND(E14*E69,0)</f>
        <v>0</v>
      </c>
      <c r="F51" s="49">
        <f t="shared" ref="F51:F55" si="2">SUM(C51:E51)</f>
        <v>733396</v>
      </c>
      <c r="G51" s="12"/>
    </row>
    <row r="52" spans="1:7" ht="18.75" x14ac:dyDescent="0.3">
      <c r="A52" s="372">
        <f t="shared" si="0"/>
        <v>34</v>
      </c>
      <c r="B52" s="373" t="s">
        <v>782</v>
      </c>
      <c r="C52" s="378">
        <f>ROUND(C15*C69,0)</f>
        <v>0</v>
      </c>
      <c r="D52" s="378">
        <f>ROUND(D15*D69,0)</f>
        <v>0</v>
      </c>
      <c r="E52" s="378">
        <f>ROUND(E15*E69,0)</f>
        <v>3079948</v>
      </c>
      <c r="F52" s="378">
        <f t="shared" si="2"/>
        <v>3079948</v>
      </c>
      <c r="G52" s="12"/>
    </row>
    <row r="53" spans="1:7" ht="18.75" x14ac:dyDescent="0.3">
      <c r="A53" s="372">
        <f t="shared" si="0"/>
        <v>35</v>
      </c>
      <c r="B53" s="373" t="s">
        <v>50</v>
      </c>
      <c r="C53" s="380">
        <f>C50+C51-C52</f>
        <v>19431330</v>
      </c>
      <c r="D53" s="380">
        <f>D50+D51-D52</f>
        <v>17307143</v>
      </c>
      <c r="E53" s="380">
        <f>E50+E51-E52</f>
        <v>7965499</v>
      </c>
      <c r="F53" s="380">
        <f t="shared" si="2"/>
        <v>44703972</v>
      </c>
      <c r="G53" s="12"/>
    </row>
    <row r="54" spans="1:7" ht="18.75" x14ac:dyDescent="0.3">
      <c r="A54" s="372">
        <f t="shared" si="0"/>
        <v>36</v>
      </c>
      <c r="B54" s="373" t="s">
        <v>783</v>
      </c>
      <c r="C54" s="49">
        <f>ROUND(C29*C73,0)</f>
        <v>11794</v>
      </c>
      <c r="D54" s="49">
        <f>ROUND(D29*D73,0)</f>
        <v>13815</v>
      </c>
      <c r="E54" s="49">
        <f>ROUND(E29*E73,0)</f>
        <v>5731</v>
      </c>
      <c r="F54" s="49">
        <f t="shared" si="2"/>
        <v>31340</v>
      </c>
      <c r="G54" s="12"/>
    </row>
    <row r="55" spans="1:7" ht="18.75" x14ac:dyDescent="0.3">
      <c r="A55" s="372">
        <f t="shared" si="0"/>
        <v>37</v>
      </c>
      <c r="B55" s="373" t="s">
        <v>784</v>
      </c>
      <c r="C55" s="378">
        <f>ROUND(C30*C73,0)</f>
        <v>0</v>
      </c>
      <c r="D55" s="378">
        <f>ROUND(D30*D73,0)</f>
        <v>0</v>
      </c>
      <c r="E55" s="378">
        <f>ROUND(E30*E73,0)</f>
        <v>0</v>
      </c>
      <c r="F55" s="378">
        <f t="shared" si="2"/>
        <v>0</v>
      </c>
      <c r="G55" s="12"/>
    </row>
    <row r="56" spans="1:7" ht="18.75" x14ac:dyDescent="0.3">
      <c r="A56" s="372">
        <f t="shared" si="0"/>
        <v>38</v>
      </c>
      <c r="B56" s="373" t="s">
        <v>51</v>
      </c>
      <c r="C56" s="380">
        <f>C53-C54-C55</f>
        <v>19419536</v>
      </c>
      <c r="D56" s="380">
        <f>D53-D54-D55</f>
        <v>17293328</v>
      </c>
      <c r="E56" s="380">
        <f>E53-E54-E55</f>
        <v>7959768</v>
      </c>
      <c r="F56" s="380">
        <f>SUM(C56:E56)</f>
        <v>44672632</v>
      </c>
      <c r="G56" s="12"/>
    </row>
    <row r="57" spans="1:7" ht="18.75" x14ac:dyDescent="0.3">
      <c r="A57" s="372"/>
      <c r="B57" s="12"/>
      <c r="C57" s="49"/>
      <c r="D57" s="49"/>
      <c r="E57" s="49"/>
      <c r="F57" s="49"/>
      <c r="G57" s="12"/>
    </row>
    <row r="58" spans="1:7" ht="18.75" x14ac:dyDescent="0.3">
      <c r="A58" s="372">
        <f>A56+1</f>
        <v>39</v>
      </c>
      <c r="B58" s="373" t="s">
        <v>43</v>
      </c>
      <c r="C58" s="381">
        <f>ROUND(C33*'Input Data'!C15,0)</f>
        <v>48808709</v>
      </c>
      <c r="D58" s="380">
        <f>C63</f>
        <v>30010590</v>
      </c>
      <c r="E58" s="380">
        <f>D63</f>
        <v>20096574</v>
      </c>
      <c r="F58" s="49"/>
      <c r="G58" s="12"/>
    </row>
    <row r="59" spans="1:7" ht="18.75" x14ac:dyDescent="0.3">
      <c r="A59" s="372">
        <f>A58+1</f>
        <v>40</v>
      </c>
      <c r="B59" s="373" t="s">
        <v>785</v>
      </c>
      <c r="C59" s="378">
        <f>(C55)</f>
        <v>0</v>
      </c>
      <c r="D59" s="378">
        <f>(D55)</f>
        <v>0</v>
      </c>
      <c r="E59" s="378">
        <f>(E55)</f>
        <v>0</v>
      </c>
      <c r="F59" s="49"/>
      <c r="G59" s="12"/>
    </row>
    <row r="60" spans="1:7" ht="18.75" x14ac:dyDescent="0.3">
      <c r="A60" s="372">
        <f>A59+1</f>
        <v>41</v>
      </c>
      <c r="B60" s="373" t="s">
        <v>44</v>
      </c>
      <c r="C60" s="380">
        <f>C58+C59</f>
        <v>48808709</v>
      </c>
      <c r="D60" s="380">
        <f>D58+D59</f>
        <v>30010590</v>
      </c>
      <c r="E60" s="380">
        <f>E58+E59</f>
        <v>20096574</v>
      </c>
      <c r="F60" s="49"/>
      <c r="G60" s="12"/>
    </row>
    <row r="61" spans="1:7" ht="18.75" x14ac:dyDescent="0.3">
      <c r="A61" s="372">
        <f>A60+1</f>
        <v>42</v>
      </c>
      <c r="B61" s="373" t="s">
        <v>786</v>
      </c>
      <c r="C61" s="49">
        <f>ROUND(C36*C74,0)</f>
        <v>18698510</v>
      </c>
      <c r="D61" s="49">
        <f>ROUND(D36*D74,0)</f>
        <v>9830247</v>
      </c>
      <c r="E61" s="49">
        <f>ROUND(E36*E74,0)</f>
        <v>4892189</v>
      </c>
      <c r="F61" s="380">
        <f>SUM(C61:E61)</f>
        <v>33420946</v>
      </c>
      <c r="G61" s="12"/>
    </row>
    <row r="62" spans="1:7" ht="18.75" x14ac:dyDescent="0.3">
      <c r="A62" s="372">
        <f>A61+1</f>
        <v>43</v>
      </c>
      <c r="B62" s="373" t="s">
        <v>787</v>
      </c>
      <c r="C62" s="378">
        <f>ROUND(C37*C74,0)</f>
        <v>99609</v>
      </c>
      <c r="D62" s="378">
        <f>ROUND(D37*D74,0)</f>
        <v>83769</v>
      </c>
      <c r="E62" s="378">
        <f>ROUND(E37*E74,0)</f>
        <v>78252</v>
      </c>
      <c r="F62" s="376">
        <f>C62+D62+E62</f>
        <v>261630</v>
      </c>
      <c r="G62" s="12"/>
    </row>
    <row r="63" spans="1:7" ht="18.75" x14ac:dyDescent="0.3">
      <c r="A63" s="372">
        <f>A62+1</f>
        <v>44</v>
      </c>
      <c r="B63" s="373" t="s">
        <v>47</v>
      </c>
      <c r="C63" s="380">
        <f>C60-C61-C62</f>
        <v>30010590</v>
      </c>
      <c r="D63" s="380">
        <f>D60-D61-D62</f>
        <v>20096574</v>
      </c>
      <c r="E63" s="380">
        <f>E60-E61-E62</f>
        <v>15126133</v>
      </c>
      <c r="F63" s="49"/>
      <c r="G63" s="12"/>
    </row>
    <row r="64" spans="1:7" ht="18.75" x14ac:dyDescent="0.3">
      <c r="A64" s="372"/>
      <c r="B64" s="373"/>
      <c r="C64" s="380"/>
      <c r="D64" s="380"/>
      <c r="E64" s="380"/>
      <c r="F64" s="49"/>
      <c r="G64" s="12"/>
    </row>
    <row r="65" spans="1:14" ht="18.75" x14ac:dyDescent="0.3">
      <c r="A65" s="372">
        <f>A63+1</f>
        <v>45</v>
      </c>
      <c r="B65" s="373" t="s">
        <v>788</v>
      </c>
      <c r="C65" s="382">
        <f>C56+C61+C62</f>
        <v>38217655</v>
      </c>
      <c r="D65" s="382">
        <f>D56+D61+D62</f>
        <v>27207344</v>
      </c>
      <c r="E65" s="382">
        <f>E56+E61+E62</f>
        <v>12930209</v>
      </c>
      <c r="F65" s="382">
        <f>F56+F61+F62</f>
        <v>78355208</v>
      </c>
      <c r="G65" s="12"/>
    </row>
    <row r="66" spans="1:14" ht="18.75" x14ac:dyDescent="0.3">
      <c r="A66" s="372"/>
      <c r="B66" s="12"/>
      <c r="C66" s="374"/>
      <c r="D66" s="374"/>
      <c r="E66" s="374"/>
      <c r="F66" s="374"/>
      <c r="G66" s="12"/>
    </row>
    <row r="67" spans="1:14" ht="18.75" x14ac:dyDescent="0.3">
      <c r="A67" s="372"/>
      <c r="B67" s="369" t="s">
        <v>52</v>
      </c>
      <c r="C67" s="374"/>
      <c r="D67" s="374"/>
      <c r="E67" s="374"/>
      <c r="F67" s="374"/>
      <c r="G67" s="12"/>
    </row>
    <row r="68" spans="1:14" ht="18.75" x14ac:dyDescent="0.3">
      <c r="A68" s="372">
        <f>A65+1</f>
        <v>46</v>
      </c>
      <c r="B68" s="373" t="s">
        <v>53</v>
      </c>
      <c r="C68" s="383">
        <f>'Ex A 2 of 2'!F28</f>
        <v>0.96540000000000004</v>
      </c>
      <c r="D68" s="384">
        <f>C68</f>
        <v>0.96540000000000004</v>
      </c>
      <c r="E68" s="384">
        <f>C68</f>
        <v>0.96540000000000004</v>
      </c>
      <c r="F68" s="374"/>
      <c r="G68" s="12"/>
    </row>
    <row r="69" spans="1:14" ht="18.75" x14ac:dyDescent="0.3">
      <c r="A69" s="372">
        <f t="shared" ref="A69:A74" si="3">A68+1</f>
        <v>47</v>
      </c>
      <c r="B69" s="373" t="s">
        <v>544</v>
      </c>
      <c r="C69" s="383">
        <f>'Input Data'!C32</f>
        <v>5.3768000000000002</v>
      </c>
      <c r="D69" s="383">
        <f>'Input Data'!D32</f>
        <v>4.9458000000000002</v>
      </c>
      <c r="E69" s="383">
        <f>'Input Data'!E32</f>
        <v>4.3403999999999998</v>
      </c>
      <c r="F69" s="385"/>
      <c r="G69" s="12"/>
      <c r="L69" s="386"/>
      <c r="M69" s="386"/>
      <c r="N69" s="386"/>
    </row>
    <row r="70" spans="1:14" ht="18.75" x14ac:dyDescent="0.3">
      <c r="A70" s="372">
        <f t="shared" si="3"/>
        <v>48</v>
      </c>
      <c r="B70" s="373" t="s">
        <v>546</v>
      </c>
      <c r="C70" s="383">
        <f>'Input Data'!C33</f>
        <v>5.3086000000000002</v>
      </c>
      <c r="D70" s="383">
        <f>'Input Data'!D33</f>
        <v>4.8818999999999999</v>
      </c>
      <c r="E70" s="383">
        <f>'Input Data'!E33</f>
        <v>4.2443</v>
      </c>
      <c r="F70" s="385"/>
      <c r="G70" s="12"/>
      <c r="L70" s="386"/>
      <c r="M70" s="386"/>
      <c r="N70" s="386"/>
    </row>
    <row r="71" spans="1:14" ht="18.75" x14ac:dyDescent="0.3">
      <c r="A71" s="372">
        <f t="shared" si="3"/>
        <v>49</v>
      </c>
      <c r="B71" s="373" t="s">
        <v>815</v>
      </c>
      <c r="C71" s="383">
        <f>'Input Data'!C35</f>
        <v>5.3592000000000004</v>
      </c>
      <c r="D71" s="383">
        <f>'Input Data'!D35</f>
        <v>4.9287000000000001</v>
      </c>
      <c r="E71" s="383">
        <f>'Input Data'!E35</f>
        <v>4.3240999999999996</v>
      </c>
      <c r="F71" s="385"/>
      <c r="G71" s="12"/>
      <c r="L71" s="386"/>
      <c r="M71" s="386"/>
      <c r="N71" s="386"/>
    </row>
    <row r="72" spans="1:14" ht="18.75" x14ac:dyDescent="0.3">
      <c r="A72" s="372">
        <f t="shared" si="3"/>
        <v>50</v>
      </c>
      <c r="B72" s="373" t="s">
        <v>560</v>
      </c>
      <c r="C72" s="383">
        <f>'Input Data'!C34</f>
        <v>5.3422999999999998</v>
      </c>
      <c r="D72" s="383">
        <f>'Input Data'!D34</f>
        <v>4.9166999999999996</v>
      </c>
      <c r="E72" s="383">
        <f>'Input Data'!E34</f>
        <v>4.3018999999999998</v>
      </c>
      <c r="F72" s="385"/>
      <c r="G72" s="12"/>
      <c r="L72" s="386"/>
      <c r="M72" s="386"/>
      <c r="N72" s="386"/>
    </row>
    <row r="73" spans="1:14" ht="18.75" x14ac:dyDescent="0.3">
      <c r="A73" s="372">
        <f t="shared" si="3"/>
        <v>51</v>
      </c>
      <c r="B73" s="373" t="s">
        <v>789</v>
      </c>
      <c r="C73" s="383">
        <f>ROUND(C53/C23,4)</f>
        <v>6.6669999999999998</v>
      </c>
      <c r="D73" s="383">
        <f>ROUND(D53/D23,4)</f>
        <v>6.2064000000000004</v>
      </c>
      <c r="E73" s="383">
        <f>ROUND(E53/E23,4)</f>
        <v>5.516</v>
      </c>
      <c r="F73" s="374"/>
      <c r="G73" s="12"/>
    </row>
    <row r="74" spans="1:14" ht="18.75" x14ac:dyDescent="0.3">
      <c r="A74" s="372">
        <f t="shared" si="3"/>
        <v>52</v>
      </c>
      <c r="B74" s="373" t="s">
        <v>790</v>
      </c>
      <c r="C74" s="383">
        <f>ROUND(C60/C35,4)</f>
        <v>7.1646000000000001</v>
      </c>
      <c r="D74" s="383">
        <f>ROUND(D60/D35,4)</f>
        <v>7.1646000000000001</v>
      </c>
      <c r="E74" s="383">
        <f>ROUND(E60/E35,4)</f>
        <v>7.1646000000000001</v>
      </c>
      <c r="F74" s="374"/>
      <c r="G74" s="12"/>
    </row>
    <row r="75" spans="1:14" ht="18.75" x14ac:dyDescent="0.3">
      <c r="A75" s="372"/>
      <c r="B75" s="12"/>
      <c r="C75" s="374"/>
      <c r="D75" s="374"/>
      <c r="E75" s="374"/>
      <c r="F75" s="374"/>
      <c r="G75" s="12"/>
    </row>
    <row r="76" spans="1:14" ht="18.75" x14ac:dyDescent="0.3">
      <c r="A76" s="372"/>
      <c r="B76" s="369" t="s">
        <v>54</v>
      </c>
      <c r="C76" s="387"/>
      <c r="D76" s="387"/>
      <c r="E76" s="387"/>
      <c r="F76" s="374"/>
      <c r="G76" s="12"/>
    </row>
    <row r="77" spans="1:14" ht="18.75" x14ac:dyDescent="0.3">
      <c r="A77" s="372">
        <f>A74+1</f>
        <v>53</v>
      </c>
      <c r="B77" s="373" t="s">
        <v>55</v>
      </c>
      <c r="C77" s="374"/>
      <c r="D77" s="374"/>
      <c r="E77" s="374"/>
      <c r="F77" s="388">
        <f>ROUND(F40*'Input Data'!C18,4)</f>
        <v>11601864.1916</v>
      </c>
      <c r="G77" s="373" t="s">
        <v>56</v>
      </c>
    </row>
    <row r="78" spans="1:14" ht="18.75" x14ac:dyDescent="0.3">
      <c r="A78" s="372"/>
      <c r="B78" s="389" t="str">
        <f>CONCATENATE('Input Data'!D4," through ",'Input Data'!D5)</f>
        <v>February 1, 2023 through April 30, 2023</v>
      </c>
      <c r="C78" s="374"/>
      <c r="D78" s="374"/>
      <c r="E78" s="374"/>
      <c r="F78" s="12"/>
      <c r="G78" s="12"/>
    </row>
    <row r="79" spans="1:14" ht="18.75" x14ac:dyDescent="0.3">
      <c r="A79" s="372"/>
      <c r="B79" s="12"/>
      <c r="C79" s="374"/>
      <c r="D79" s="374"/>
      <c r="E79" s="374"/>
      <c r="F79" s="374"/>
      <c r="G79" s="12"/>
    </row>
    <row r="80" spans="1:14" ht="18.75" x14ac:dyDescent="0.3">
      <c r="A80" s="372">
        <f>A77+1</f>
        <v>54</v>
      </c>
      <c r="B80" s="389" t="s">
        <v>791</v>
      </c>
      <c r="C80" s="374"/>
      <c r="D80" s="374"/>
      <c r="E80" s="374"/>
      <c r="F80" s="390">
        <f>F65/F77</f>
        <v>6.7536739532540695</v>
      </c>
      <c r="G80" s="373" t="s">
        <v>57</v>
      </c>
    </row>
    <row r="81" spans="1:7" ht="18.75" x14ac:dyDescent="0.3">
      <c r="A81" s="372"/>
      <c r="B81" s="12"/>
      <c r="C81" s="12"/>
      <c r="D81" s="12"/>
      <c r="E81" s="12"/>
      <c r="F81" s="12"/>
      <c r="G81" s="12"/>
    </row>
    <row r="82" spans="1:7" ht="18.75" x14ac:dyDescent="0.3">
      <c r="A82" s="372"/>
      <c r="B82" s="12"/>
      <c r="C82" s="12"/>
      <c r="D82" s="12"/>
      <c r="E82" s="12"/>
      <c r="F82" s="12"/>
      <c r="G82" s="12"/>
    </row>
    <row r="83" spans="1:7" ht="18.75" x14ac:dyDescent="0.3">
      <c r="A83" s="372"/>
      <c r="B83" s="12"/>
      <c r="C83" s="12"/>
      <c r="D83" s="12"/>
      <c r="E83" s="12"/>
      <c r="F83" s="12"/>
      <c r="G83" s="12"/>
    </row>
    <row r="84" spans="1:7" ht="18.75" x14ac:dyDescent="0.3">
      <c r="A84" s="372"/>
      <c r="B84" s="12"/>
      <c r="C84" s="12"/>
      <c r="D84" s="12"/>
      <c r="E84" s="12"/>
      <c r="F84" s="12"/>
      <c r="G84" s="12"/>
    </row>
    <row r="85" spans="1:7" ht="18.75" x14ac:dyDescent="0.3">
      <c r="A85" s="372"/>
      <c r="B85" s="12"/>
      <c r="C85" s="12"/>
      <c r="D85" s="12"/>
      <c r="E85" s="12"/>
      <c r="F85" s="12"/>
      <c r="G85" s="12"/>
    </row>
    <row r="86" spans="1:7" ht="18.75" x14ac:dyDescent="0.3">
      <c r="A86" s="372"/>
      <c r="B86" s="12"/>
      <c r="C86" s="12"/>
      <c r="D86" s="12"/>
      <c r="E86" s="12"/>
      <c r="F86" s="12"/>
      <c r="G86" s="12"/>
    </row>
    <row r="87" spans="1:7" ht="18.75" x14ac:dyDescent="0.3">
      <c r="A87" s="372"/>
      <c r="B87" s="12"/>
      <c r="C87" s="12"/>
      <c r="D87" s="12"/>
      <c r="E87" s="12"/>
      <c r="F87" s="12"/>
      <c r="G87" s="12"/>
    </row>
    <row r="88" spans="1:7" ht="18.75" x14ac:dyDescent="0.3">
      <c r="A88" s="372"/>
      <c r="B88" s="12"/>
      <c r="C88" s="12"/>
      <c r="D88" s="12"/>
      <c r="E88" s="12"/>
      <c r="F88" s="12"/>
      <c r="G88" s="12"/>
    </row>
    <row r="89" spans="1:7" ht="18.75" x14ac:dyDescent="0.3">
      <c r="A89" s="372"/>
      <c r="B89" s="12"/>
      <c r="C89" s="12"/>
      <c r="D89" s="12"/>
      <c r="E89" s="12"/>
      <c r="F89" s="12"/>
      <c r="G89" s="12"/>
    </row>
    <row r="90" spans="1:7" ht="18.75" x14ac:dyDescent="0.3">
      <c r="A90" s="372"/>
      <c r="B90" s="12"/>
      <c r="C90" s="12"/>
      <c r="D90" s="12"/>
      <c r="E90" s="12"/>
      <c r="F90" s="12"/>
      <c r="G90" s="12"/>
    </row>
    <row r="91" spans="1:7" ht="18.75" x14ac:dyDescent="0.3">
      <c r="A91" s="372"/>
      <c r="B91" s="12"/>
      <c r="C91" s="383"/>
      <c r="D91" s="12"/>
      <c r="E91" s="12"/>
      <c r="F91" s="12"/>
      <c r="G91" s="12"/>
    </row>
    <row r="92" spans="1:7" ht="18.75" x14ac:dyDescent="0.3">
      <c r="A92" s="362"/>
      <c r="B92" s="12"/>
      <c r="C92" s="12"/>
      <c r="D92" s="12"/>
      <c r="E92" s="12"/>
      <c r="F92" s="12"/>
      <c r="G92" s="12"/>
    </row>
    <row r="93" spans="1:7" ht="18.75" x14ac:dyDescent="0.3">
      <c r="A93" s="362"/>
      <c r="B93" s="12"/>
      <c r="C93" s="12"/>
      <c r="D93" s="12"/>
      <c r="E93" s="12"/>
      <c r="F93" s="12"/>
      <c r="G93" s="12"/>
    </row>
  </sheetData>
  <protectedRanges>
    <protectedRange password="C6AD" sqref="C12:E12" name="Range1"/>
    <protectedRange password="C6AD" sqref="D68:E68" name="Range2"/>
  </protectedRanges>
  <phoneticPr fontId="3" type="noConversion"/>
  <pageMargins left="0.75" right="0.75" top="0.75" bottom="0.75" header="0.5" footer="0.5"/>
  <pageSetup scale="47" orientation="portrait" r:id="rId1"/>
  <headerFooter alignWithMargins="0">
    <oddHeader>&amp;R&amp;"Times New Roman,Bold"&amp;20Exhibit A
Page 1 of 2</oddHeader>
    <oddFooter>&amp;L&amp;1#&amp;"Calibri"&amp;14&amp;K000000Confidential</oddFooter>
  </headerFooter>
  <customProperties>
    <customPr name="_pios_id" r:id="rId2"/>
  </customPropertie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ransitionEvaluation="1" codeName="Sheet6">
    <tabColor theme="3" tint="0.59999389629810485"/>
    <pageSetUpPr fitToPage="1"/>
  </sheetPr>
  <dimension ref="A1:S77"/>
  <sheetViews>
    <sheetView zoomScale="80" zoomScaleNormal="80" workbookViewId="0">
      <selection sqref="A1:F1"/>
    </sheetView>
  </sheetViews>
  <sheetFormatPr defaultColWidth="9.77734375" defaultRowHeight="15.75" x14ac:dyDescent="0.25"/>
  <cols>
    <col min="1" max="1" width="8.21875" style="3" customWidth="1"/>
    <col min="2" max="2" width="60.33203125" style="3" customWidth="1"/>
    <col min="3" max="3" width="10.6640625" style="3" customWidth="1"/>
    <col min="4" max="4" width="9.6640625" style="3" customWidth="1"/>
    <col min="5" max="5" width="7.44140625" style="3" customWidth="1"/>
    <col min="6" max="6" width="13.6640625" style="3" customWidth="1"/>
    <col min="7" max="7" width="11.44140625" style="13" customWidth="1"/>
    <col min="8" max="8" width="6" style="3" hidden="1" customWidth="1"/>
    <col min="9" max="9" width="12.5546875" style="3" hidden="1" customWidth="1"/>
    <col min="10" max="10" width="13.44140625" style="3" hidden="1" customWidth="1"/>
    <col min="11" max="11" width="14.77734375" style="3" hidden="1" customWidth="1"/>
    <col min="12" max="12" width="14.5546875" style="3" hidden="1" customWidth="1"/>
    <col min="13" max="13" width="9.77734375" style="3" hidden="1" customWidth="1"/>
    <col min="14" max="14" width="11.109375" style="3" hidden="1" customWidth="1"/>
    <col min="15" max="15" width="9.77734375" style="3" hidden="1" customWidth="1"/>
    <col min="16" max="16" width="12" style="3" hidden="1" customWidth="1"/>
    <col min="17" max="19" width="9.77734375" style="3" hidden="1" customWidth="1"/>
    <col min="20" max="24" width="9.77734375" style="3" customWidth="1"/>
    <col min="25" max="16384" width="9.77734375" style="3"/>
  </cols>
  <sheetData>
    <row r="1" spans="1:17" ht="18.75" x14ac:dyDescent="0.25">
      <c r="A1" s="788" t="s">
        <v>29</v>
      </c>
      <c r="B1" s="788"/>
      <c r="C1" s="788"/>
      <c r="D1" s="788"/>
      <c r="E1" s="788"/>
      <c r="F1" s="788"/>
      <c r="G1" s="63"/>
    </row>
    <row r="2" spans="1:17" ht="18.75" x14ac:dyDescent="0.25">
      <c r="A2" s="789" t="s">
        <v>261</v>
      </c>
      <c r="B2" s="789"/>
      <c r="C2" s="789"/>
      <c r="D2" s="789"/>
      <c r="E2" s="789"/>
      <c r="F2" s="789"/>
      <c r="G2" s="63"/>
    </row>
    <row r="3" spans="1:17" s="254" customFormat="1" ht="17.25" customHeight="1" x14ac:dyDescent="0.3">
      <c r="A3" s="749" t="str">
        <f>CONCATENATE("For the Three-Month Period From ",'Input Data'!D4," thru ",'Input Data'!D5)</f>
        <v>For the Three-Month Period From February 1, 2023 thru April 30, 2023</v>
      </c>
      <c r="B3" s="749"/>
      <c r="C3" s="749"/>
      <c r="D3" s="749"/>
      <c r="E3" s="749"/>
      <c r="F3" s="749"/>
    </row>
    <row r="4" spans="1:17" ht="18.75" x14ac:dyDescent="0.3">
      <c r="A4" s="723"/>
      <c r="B4" s="723"/>
      <c r="C4" s="723"/>
      <c r="D4" s="723"/>
      <c r="E4" s="723"/>
      <c r="F4" s="723"/>
      <c r="G4" s="61"/>
    </row>
    <row r="5" spans="1:17" x14ac:dyDescent="0.25">
      <c r="B5" s="727"/>
      <c r="C5" s="298"/>
      <c r="D5" s="298"/>
      <c r="E5" s="298"/>
      <c r="F5" s="61"/>
      <c r="G5" s="64"/>
    </row>
    <row r="6" spans="1:17" x14ac:dyDescent="0.25">
      <c r="B6" s="727"/>
      <c r="C6" s="298"/>
      <c r="D6" s="298"/>
      <c r="E6" s="298"/>
      <c r="F6" s="91"/>
      <c r="G6" s="50"/>
    </row>
    <row r="7" spans="1:17" x14ac:dyDescent="0.25">
      <c r="B7" s="64"/>
      <c r="C7" s="64"/>
      <c r="D7" s="64"/>
      <c r="E7" s="64"/>
      <c r="F7" s="64"/>
      <c r="G7" s="11"/>
    </row>
    <row r="8" spans="1:17" x14ac:dyDescent="0.25">
      <c r="B8" s="51"/>
      <c r="C8" s="257"/>
      <c r="D8" s="257"/>
      <c r="E8" s="257"/>
      <c r="F8" s="50"/>
    </row>
    <row r="9" spans="1:17" ht="18.75" x14ac:dyDescent="0.3">
      <c r="A9" s="787" t="s">
        <v>249</v>
      </c>
      <c r="B9" s="787"/>
      <c r="C9" s="787"/>
      <c r="D9" s="787"/>
      <c r="E9" s="787"/>
      <c r="F9" s="787"/>
      <c r="G9" s="3"/>
      <c r="I9" s="260" t="s">
        <v>275</v>
      </c>
    </row>
    <row r="10" spans="1:17" ht="16.5" thickBot="1" x14ac:dyDescent="0.3">
      <c r="G10" s="3"/>
      <c r="I10" s="260" t="s">
        <v>354</v>
      </c>
    </row>
    <row r="11" spans="1:17" ht="48" thickBot="1" x14ac:dyDescent="0.3">
      <c r="A11" s="66" t="s">
        <v>247</v>
      </c>
      <c r="B11" s="66" t="s">
        <v>254</v>
      </c>
      <c r="C11" s="67" t="s">
        <v>251</v>
      </c>
      <c r="D11" s="66" t="s">
        <v>31</v>
      </c>
      <c r="E11" s="67" t="s">
        <v>252</v>
      </c>
      <c r="F11" s="67" t="s">
        <v>249</v>
      </c>
      <c r="I11" s="784" t="s">
        <v>324</v>
      </c>
      <c r="J11" s="785"/>
      <c r="K11" s="785"/>
      <c r="L11" s="786"/>
    </row>
    <row r="12" spans="1:17" ht="16.5" thickBot="1" x14ac:dyDescent="0.3">
      <c r="F12" s="13"/>
      <c r="I12" s="781" t="s">
        <v>245</v>
      </c>
      <c r="J12" s="782"/>
      <c r="K12" s="782"/>
      <c r="L12" s="783"/>
    </row>
    <row r="13" spans="1:17" x14ac:dyDescent="0.25">
      <c r="A13" s="722">
        <v>1</v>
      </c>
      <c r="B13" s="13" t="s">
        <v>253</v>
      </c>
      <c r="C13" s="99">
        <f>'Input Data'!C41</f>
        <v>12.7104</v>
      </c>
      <c r="D13" s="55">
        <f>'Input Data'!C47</f>
        <v>119913</v>
      </c>
      <c r="E13" s="722">
        <v>12</v>
      </c>
      <c r="F13" s="91">
        <f>ROUND((C13*D13*12),0)</f>
        <v>18289706</v>
      </c>
      <c r="I13" s="70"/>
      <c r="J13" s="29"/>
      <c r="K13" s="29"/>
      <c r="L13" s="52"/>
    </row>
    <row r="14" spans="1:17" x14ac:dyDescent="0.25">
      <c r="A14" s="722">
        <v>2</v>
      </c>
      <c r="B14" s="13" t="s">
        <v>552</v>
      </c>
      <c r="C14" s="99">
        <f>'Input Data'!C42</f>
        <v>4.1792999999999996</v>
      </c>
      <c r="D14" s="55">
        <f>'Input Data'!C48</f>
        <v>60000</v>
      </c>
      <c r="E14" s="722">
        <v>12</v>
      </c>
      <c r="F14" s="55">
        <f>ROUND((C14*D14*12),0)</f>
        <v>3009096</v>
      </c>
      <c r="I14" s="71" t="s">
        <v>78</v>
      </c>
      <c r="J14" s="92" t="s">
        <v>94</v>
      </c>
      <c r="K14" s="42" t="s">
        <v>235</v>
      </c>
      <c r="L14" s="72" t="s">
        <v>260</v>
      </c>
      <c r="N14" s="3" t="s">
        <v>549</v>
      </c>
    </row>
    <row r="15" spans="1:17" x14ac:dyDescent="0.25">
      <c r="A15" s="722">
        <v>3</v>
      </c>
      <c r="B15" s="13" t="s">
        <v>777</v>
      </c>
      <c r="C15" s="99">
        <f>'Input Data'!C44</f>
        <v>12.840999999999999</v>
      </c>
      <c r="D15" s="55">
        <f>'Input Data'!C50</f>
        <v>12500</v>
      </c>
      <c r="E15" s="722">
        <v>12</v>
      </c>
      <c r="F15" s="55">
        <f>ROUND((C15*D15*12),0)</f>
        <v>1926150</v>
      </c>
      <c r="I15" s="80">
        <f>'Input Data'!C4</f>
        <v>44958</v>
      </c>
      <c r="J15" s="81">
        <f>VLOOKUP(I15,Forecast!A$1:K$200,2)</f>
        <v>2914569</v>
      </c>
      <c r="K15" s="81">
        <f>VLOOKUP(I15,Forecast!A$1:K$200,3)</f>
        <v>41439</v>
      </c>
      <c r="L15" s="82">
        <f>SUM(J15:K15)</f>
        <v>2956008</v>
      </c>
      <c r="N15" s="81">
        <f>VLOOKUP($I15,Forecast!$A$10:$J$124,2,FALSE)</f>
        <v>2914569</v>
      </c>
      <c r="O15" s="3">
        <f>J15-N15</f>
        <v>0</v>
      </c>
      <c r="P15" s="81">
        <f>VLOOKUP($I15,Forecast!$A$10:$J$124,3,FALSE)</f>
        <v>41439</v>
      </c>
      <c r="Q15" s="3">
        <f>K15-P15</f>
        <v>0</v>
      </c>
    </row>
    <row r="16" spans="1:17" x14ac:dyDescent="0.25">
      <c r="A16" s="722">
        <v>4</v>
      </c>
      <c r="B16" s="13" t="s">
        <v>379</v>
      </c>
      <c r="C16" s="99">
        <f>'Input Data'!C43</f>
        <v>5.0644999999999998</v>
      </c>
      <c r="D16" s="55">
        <f>'Input Data'!C49</f>
        <v>20000</v>
      </c>
      <c r="E16" s="722">
        <v>12</v>
      </c>
      <c r="F16" s="55">
        <f>ROUND((C16*D16*12),0)</f>
        <v>1215480</v>
      </c>
      <c r="I16" s="80">
        <f>EOMONTH(I15,0)+1</f>
        <v>44986</v>
      </c>
      <c r="J16" s="81">
        <f>VLOOKUP(I16,Forecast!A$1:K$200,2)</f>
        <v>2788604</v>
      </c>
      <c r="K16" s="81">
        <f>VLOOKUP(I16,Forecast!A$1:K$200,3)</f>
        <v>61564</v>
      </c>
      <c r="L16" s="82">
        <f t="shared" ref="L16:L26" si="0">SUM(J16:K16)</f>
        <v>2850168</v>
      </c>
      <c r="N16" s="81">
        <f>VLOOKUP($I16,Forecast!$A$10:$J$124,2,FALSE)</f>
        <v>2788604</v>
      </c>
      <c r="O16" s="3">
        <f t="shared" ref="O16:O25" si="1">J16-N16</f>
        <v>0</v>
      </c>
      <c r="P16" s="81">
        <f>VLOOKUP($I16,Forecast!$A$10:$J$124,3,FALSE)</f>
        <v>61564</v>
      </c>
      <c r="Q16" s="3">
        <f t="shared" ref="Q16:Q26" si="2">K16-P16</f>
        <v>0</v>
      </c>
    </row>
    <row r="17" spans="1:17" x14ac:dyDescent="0.25">
      <c r="A17" s="722">
        <v>5</v>
      </c>
      <c r="B17" s="60" t="s">
        <v>58</v>
      </c>
      <c r="C17" s="617"/>
      <c r="D17" s="617"/>
      <c r="E17" s="618"/>
      <c r="F17" s="97">
        <f>'Input Data'!C53</f>
        <v>7505606</v>
      </c>
      <c r="I17" s="80">
        <f t="shared" ref="I17:I26" si="3">EOMONTH(I16,0)+1</f>
        <v>45017</v>
      </c>
      <c r="J17" s="81">
        <f>VLOOKUP(I17,Forecast!A$1:K$200,2)</f>
        <v>1444082</v>
      </c>
      <c r="K17" s="81">
        <f>VLOOKUP(I17,Forecast!A$1:K$200,3)</f>
        <v>70312</v>
      </c>
      <c r="L17" s="82">
        <f t="shared" si="0"/>
        <v>1514394</v>
      </c>
      <c r="N17" s="81">
        <f>VLOOKUP($I17,Forecast!$A$10:$J$124,2,FALSE)</f>
        <v>1444082</v>
      </c>
      <c r="O17" s="3">
        <f t="shared" si="1"/>
        <v>0</v>
      </c>
      <c r="P17" s="81">
        <f>VLOOKUP($I17,Forecast!$A$10:$J$124,3,FALSE)</f>
        <v>70312</v>
      </c>
      <c r="Q17" s="3">
        <f t="shared" si="2"/>
        <v>0</v>
      </c>
    </row>
    <row r="18" spans="1:17" x14ac:dyDescent="0.25">
      <c r="A18" s="722">
        <v>6</v>
      </c>
      <c r="C18" s="16"/>
      <c r="D18" s="16"/>
      <c r="E18" s="62" t="s">
        <v>256</v>
      </c>
      <c r="F18" s="619">
        <f>SUM(F13:F17)</f>
        <v>31946038</v>
      </c>
      <c r="I18" s="80">
        <f t="shared" si="3"/>
        <v>45047</v>
      </c>
      <c r="J18" s="81">
        <f>VLOOKUP(I18,Forecast!A$1:K$200,2)</f>
        <v>917653</v>
      </c>
      <c r="K18" s="81">
        <f>VLOOKUP(I18,Forecast!A$1:K$200,3)</f>
        <v>64367</v>
      </c>
      <c r="L18" s="82">
        <f t="shared" si="0"/>
        <v>982020</v>
      </c>
      <c r="N18" s="81">
        <f>VLOOKUP($I18,Forecast!$A$10:$J$124,2,FALSE)</f>
        <v>917653</v>
      </c>
      <c r="O18" s="3">
        <f t="shared" si="1"/>
        <v>0</v>
      </c>
      <c r="P18" s="81">
        <f>VLOOKUP($I18,Forecast!$A$10:$J$124,3,FALSE)</f>
        <v>64367</v>
      </c>
      <c r="Q18" s="3">
        <f t="shared" si="2"/>
        <v>0</v>
      </c>
    </row>
    <row r="19" spans="1:17" x14ac:dyDescent="0.25">
      <c r="A19" s="722"/>
      <c r="B19" s="16"/>
      <c r="C19" s="16"/>
      <c r="D19" s="16"/>
      <c r="E19" s="16"/>
      <c r="F19" s="619"/>
      <c r="I19" s="80">
        <f t="shared" si="3"/>
        <v>45078</v>
      </c>
      <c r="J19" s="81">
        <f>VLOOKUP(I19,Forecast!A$1:K$200,2)</f>
        <v>2264177</v>
      </c>
      <c r="K19" s="81">
        <f>VLOOKUP(I19,Forecast!A$1:K$200,3)</f>
        <v>59256</v>
      </c>
      <c r="L19" s="82">
        <f t="shared" si="0"/>
        <v>2323433</v>
      </c>
      <c r="N19" s="81">
        <f>VLOOKUP($I19,Forecast!$A$10:$J$124,2,FALSE)</f>
        <v>2264177</v>
      </c>
      <c r="O19" s="3">
        <f t="shared" si="1"/>
        <v>0</v>
      </c>
      <c r="P19" s="81">
        <f>VLOOKUP($I19,Forecast!$A$10:$J$124,3,FALSE)</f>
        <v>59256</v>
      </c>
      <c r="Q19" s="3">
        <f t="shared" si="2"/>
        <v>0</v>
      </c>
    </row>
    <row r="20" spans="1:17" x14ac:dyDescent="0.25">
      <c r="A20" s="722"/>
      <c r="B20" s="16"/>
      <c r="C20" s="16"/>
      <c r="D20" s="16"/>
      <c r="E20" s="16"/>
      <c r="F20" s="619"/>
      <c r="I20" s="80">
        <f t="shared" si="3"/>
        <v>45108</v>
      </c>
      <c r="J20" s="81">
        <f>VLOOKUP(I20,Forecast!A$1:K$200,2)</f>
        <v>2944627</v>
      </c>
      <c r="K20" s="81">
        <f>VLOOKUP(I20,Forecast!A$1:K$200,3)</f>
        <v>54515</v>
      </c>
      <c r="L20" s="82">
        <f t="shared" si="0"/>
        <v>2999142</v>
      </c>
      <c r="N20" s="81">
        <f>VLOOKUP($I20,Forecast!$A$10:$J$124,2,FALSE)</f>
        <v>2944627</v>
      </c>
      <c r="O20" s="3">
        <f t="shared" si="1"/>
        <v>0</v>
      </c>
      <c r="P20" s="81">
        <f>VLOOKUP($I20,Forecast!$A$10:$J$124,3,FALSE)</f>
        <v>54515</v>
      </c>
      <c r="Q20" s="3">
        <f t="shared" si="2"/>
        <v>0</v>
      </c>
    </row>
    <row r="21" spans="1:17" x14ac:dyDescent="0.25">
      <c r="A21" s="722"/>
      <c r="F21" s="65"/>
      <c r="I21" s="80">
        <f t="shared" si="3"/>
        <v>45139</v>
      </c>
      <c r="J21" s="81">
        <f>VLOOKUP(I21,Forecast!A$1:K$200,2)</f>
        <v>2861296</v>
      </c>
      <c r="K21" s="81">
        <f>VLOOKUP(I21,Forecast!A$1:K$200,3)</f>
        <v>55430</v>
      </c>
      <c r="L21" s="82">
        <f t="shared" si="0"/>
        <v>2916726</v>
      </c>
      <c r="N21" s="81">
        <f>VLOOKUP($I21,Forecast!$A$10:$J$124,2,FALSE)</f>
        <v>2861296</v>
      </c>
      <c r="O21" s="3">
        <f t="shared" si="1"/>
        <v>0</v>
      </c>
      <c r="P21" s="81">
        <f>VLOOKUP($I21,Forecast!$A$10:$J$124,3,FALSE)</f>
        <v>55430</v>
      </c>
      <c r="Q21" s="3">
        <f t="shared" si="2"/>
        <v>0</v>
      </c>
    </row>
    <row r="22" spans="1:17" x14ac:dyDescent="0.25">
      <c r="A22" s="727"/>
      <c r="F22" s="65"/>
      <c r="I22" s="80">
        <f t="shared" si="3"/>
        <v>45170</v>
      </c>
      <c r="J22" s="81">
        <f>VLOOKUP(I22,Forecast!A$1:K$200,2)</f>
        <v>2797257</v>
      </c>
      <c r="K22" s="81">
        <f>VLOOKUP(I22,Forecast!A$1:K$200,3)</f>
        <v>61481</v>
      </c>
      <c r="L22" s="82">
        <f t="shared" si="0"/>
        <v>2858738</v>
      </c>
      <c r="N22" s="81">
        <f>VLOOKUP($I22,Forecast!$A$10:$J$124,2,FALSE)</f>
        <v>2797257</v>
      </c>
      <c r="O22" s="3">
        <f t="shared" si="1"/>
        <v>0</v>
      </c>
      <c r="P22" s="81">
        <f>VLOOKUP($I22,Forecast!$A$10:$J$124,3,FALSE)</f>
        <v>61481</v>
      </c>
      <c r="Q22" s="3">
        <f t="shared" si="2"/>
        <v>0</v>
      </c>
    </row>
    <row r="23" spans="1:17" x14ac:dyDescent="0.25">
      <c r="A23" s="727"/>
      <c r="E23" s="54"/>
      <c r="I23" s="80">
        <f t="shared" si="3"/>
        <v>45200</v>
      </c>
      <c r="J23" s="81">
        <f>VLOOKUP(I23,Forecast!A$1:K$200,2)</f>
        <v>2930174</v>
      </c>
      <c r="K23" s="81">
        <f>VLOOKUP(I23,Forecast!A$1:K$200,3)</f>
        <v>73931</v>
      </c>
      <c r="L23" s="82">
        <f t="shared" si="0"/>
        <v>3004105</v>
      </c>
      <c r="N23" s="81">
        <f>VLOOKUP($I23,Forecast!$A$10:$J$124,2,FALSE)</f>
        <v>2930174</v>
      </c>
      <c r="O23" s="3">
        <f t="shared" si="1"/>
        <v>0</v>
      </c>
      <c r="P23" s="81">
        <f>VLOOKUP($I23,Forecast!$A$10:$J$124,3,FALSE)</f>
        <v>73931</v>
      </c>
      <c r="Q23" s="3">
        <f t="shared" si="2"/>
        <v>0</v>
      </c>
    </row>
    <row r="24" spans="1:17" ht="18.75" x14ac:dyDescent="0.3">
      <c r="A24" s="787" t="s">
        <v>250</v>
      </c>
      <c r="B24" s="787"/>
      <c r="C24" s="787"/>
      <c r="D24" s="787"/>
      <c r="E24" s="787"/>
      <c r="F24" s="787"/>
      <c r="I24" s="80">
        <f t="shared" si="3"/>
        <v>45231</v>
      </c>
      <c r="J24" s="81">
        <f>VLOOKUP(I24,Forecast!A$1:K$200,2)</f>
        <v>3456306</v>
      </c>
      <c r="K24" s="81">
        <f>VLOOKUP(I24,Forecast!A$1:K$200,3)</f>
        <v>61407</v>
      </c>
      <c r="L24" s="82">
        <f t="shared" si="0"/>
        <v>3517713</v>
      </c>
      <c r="N24" s="81">
        <f>VLOOKUP($I24,Forecast!$A$10:$J$124,2,FALSE)</f>
        <v>3456306</v>
      </c>
      <c r="O24" s="3">
        <f t="shared" si="1"/>
        <v>0</v>
      </c>
      <c r="P24" s="81">
        <f>VLOOKUP($I24,Forecast!$A$10:$J$124,3,FALSE)</f>
        <v>61407</v>
      </c>
      <c r="Q24" s="3">
        <f t="shared" si="2"/>
        <v>0</v>
      </c>
    </row>
    <row r="25" spans="1:17" x14ac:dyDescent="0.25">
      <c r="E25" s="54"/>
      <c r="I25" s="80">
        <f t="shared" si="3"/>
        <v>45261</v>
      </c>
      <c r="J25" s="81">
        <f>VLOOKUP(I25,Forecast!A$1:K$200,2)</f>
        <v>3501616</v>
      </c>
      <c r="K25" s="81">
        <f>VLOOKUP(I25,Forecast!A$1:K$200,3)</f>
        <v>51604</v>
      </c>
      <c r="L25" s="82">
        <f t="shared" si="0"/>
        <v>3553220</v>
      </c>
      <c r="N25" s="81">
        <f>VLOOKUP($I25,Forecast!$A$10:$J$124,2,FALSE)</f>
        <v>3501616</v>
      </c>
      <c r="O25" s="3">
        <f t="shared" si="1"/>
        <v>0</v>
      </c>
      <c r="P25" s="81">
        <f>VLOOKUP($I25,Forecast!$A$10:$J$124,3,FALSE)</f>
        <v>51604</v>
      </c>
      <c r="Q25" s="3">
        <f t="shared" si="2"/>
        <v>0</v>
      </c>
    </row>
    <row r="26" spans="1:17" x14ac:dyDescent="0.25">
      <c r="A26" s="722">
        <v>7</v>
      </c>
      <c r="B26" s="3" t="s">
        <v>558</v>
      </c>
      <c r="E26" s="13"/>
      <c r="F26" s="93">
        <f>F18</f>
        <v>31946038</v>
      </c>
      <c r="I26" s="80">
        <f t="shared" si="3"/>
        <v>45292</v>
      </c>
      <c r="J26" s="81">
        <f>VLOOKUP(I26,Forecast!A$1:K$200,2)</f>
        <v>3567911</v>
      </c>
      <c r="K26" s="81">
        <f>VLOOKUP(I26,Forecast!A$1:K$200,3)</f>
        <v>48232</v>
      </c>
      <c r="L26" s="82">
        <f t="shared" si="0"/>
        <v>3616143</v>
      </c>
      <c r="N26" s="81">
        <f>VLOOKUP($I26,Forecast!$A$10:$J$124,2,FALSE)</f>
        <v>3567911</v>
      </c>
      <c r="O26" s="3">
        <f>J26-N26</f>
        <v>0</v>
      </c>
      <c r="P26" s="81">
        <f>VLOOKUP($I26,Forecast!$A$10:$J$124,3,FALSE)</f>
        <v>48232</v>
      </c>
      <c r="Q26" s="3">
        <f t="shared" si="2"/>
        <v>0</v>
      </c>
    </row>
    <row r="27" spans="1:17" ht="16.5" thickBot="1" x14ac:dyDescent="0.3">
      <c r="A27" s="722">
        <v>8</v>
      </c>
      <c r="B27" s="60" t="s">
        <v>817</v>
      </c>
      <c r="C27" s="28"/>
      <c r="D27" s="28"/>
      <c r="E27" s="60"/>
      <c r="F27" s="97">
        <f>L28</f>
        <v>33091810</v>
      </c>
      <c r="G27" s="3"/>
      <c r="I27" s="73"/>
      <c r="J27" s="29"/>
      <c r="K27" s="29"/>
      <c r="L27" s="52"/>
      <c r="P27" s="81"/>
    </row>
    <row r="28" spans="1:17" ht="16.5" thickBot="1" x14ac:dyDescent="0.3">
      <c r="A28" s="722">
        <v>9</v>
      </c>
      <c r="B28" s="16"/>
      <c r="C28" s="16"/>
      <c r="D28" s="16"/>
      <c r="E28" s="62" t="s">
        <v>818</v>
      </c>
      <c r="F28" s="98">
        <f>ROUND(F26/F27,4)</f>
        <v>0.96540000000000004</v>
      </c>
      <c r="G28" s="3"/>
      <c r="I28" s="94" t="s">
        <v>755</v>
      </c>
      <c r="J28" s="95"/>
      <c r="K28" s="95"/>
      <c r="L28" s="96">
        <f>SUM(L15:L27)</f>
        <v>33091810</v>
      </c>
      <c r="P28" s="81">
        <f>SUM(N15:N26)+SUM(P15:P26)</f>
        <v>33091810</v>
      </c>
      <c r="Q28" s="3">
        <f>L28-P28</f>
        <v>0</v>
      </c>
    </row>
    <row r="29" spans="1:17" x14ac:dyDescent="0.25">
      <c r="I29" s="254"/>
    </row>
    <row r="30" spans="1:17" x14ac:dyDescent="0.25">
      <c r="I30" s="254"/>
    </row>
    <row r="31" spans="1:17" x14ac:dyDescent="0.25">
      <c r="I31" s="254"/>
    </row>
    <row r="32" spans="1:17" x14ac:dyDescent="0.25">
      <c r="I32" s="254"/>
    </row>
    <row r="33" spans="1:9" x14ac:dyDescent="0.25">
      <c r="I33" s="254"/>
    </row>
    <row r="34" spans="1:9" x14ac:dyDescent="0.25">
      <c r="I34" s="254"/>
    </row>
    <row r="35" spans="1:9" ht="18.75" customHeight="1" x14ac:dyDescent="0.25">
      <c r="F35" s="13"/>
      <c r="I35" s="254"/>
    </row>
    <row r="36" spans="1:9" ht="18.75" customHeight="1" x14ac:dyDescent="0.3">
      <c r="A36" s="749" t="s">
        <v>59</v>
      </c>
      <c r="B36" s="749"/>
      <c r="C36" s="749"/>
      <c r="D36" s="749"/>
      <c r="E36" s="749"/>
      <c r="F36" s="749"/>
      <c r="G36" s="3"/>
    </row>
    <row r="37" spans="1:9" ht="18.75" x14ac:dyDescent="0.3">
      <c r="A37" s="787" t="s">
        <v>442</v>
      </c>
      <c r="B37" s="787"/>
      <c r="C37" s="787"/>
      <c r="D37" s="787"/>
      <c r="E37" s="787"/>
      <c r="F37" s="787"/>
      <c r="G37" s="64"/>
    </row>
    <row r="38" spans="1:9" x14ac:dyDescent="0.25">
      <c r="F38" s="13"/>
      <c r="G38" s="64"/>
    </row>
    <row r="39" spans="1:9" x14ac:dyDescent="0.25">
      <c r="A39" s="722">
        <v>10</v>
      </c>
      <c r="B39" s="13" t="s">
        <v>559</v>
      </c>
      <c r="F39" s="248">
        <f>(F28)</f>
        <v>0.96540000000000004</v>
      </c>
      <c r="G39" s="3"/>
    </row>
    <row r="40" spans="1:9" x14ac:dyDescent="0.25">
      <c r="A40" s="722">
        <v>11</v>
      </c>
      <c r="B40" s="13" t="s">
        <v>470</v>
      </c>
      <c r="F40" s="258">
        <f>'Ex D-1 1 of 2'!H17</f>
        <v>0</v>
      </c>
    </row>
    <row r="41" spans="1:9" x14ac:dyDescent="0.25">
      <c r="A41" s="722">
        <v>12</v>
      </c>
      <c r="B41" s="60" t="s">
        <v>471</v>
      </c>
      <c r="C41" s="28"/>
      <c r="D41" s="28"/>
      <c r="E41" s="28"/>
      <c r="F41" s="259">
        <f>ROUND('Ex E-1 1 of 1'!D21,4)</f>
        <v>2.4500000000000001E-2</v>
      </c>
    </row>
    <row r="42" spans="1:9" x14ac:dyDescent="0.25">
      <c r="A42" s="722">
        <v>13</v>
      </c>
      <c r="B42" s="725"/>
      <c r="C42" s="16"/>
      <c r="D42" s="16"/>
      <c r="E42" s="62" t="s">
        <v>258</v>
      </c>
      <c r="F42" s="249">
        <f>SUM(F39:F41)</f>
        <v>0.9899</v>
      </c>
    </row>
    <row r="47" spans="1:9" x14ac:dyDescent="0.25">
      <c r="I47" s="56"/>
    </row>
    <row r="48" spans="1:9" x14ac:dyDescent="0.25">
      <c r="I48" s="254"/>
    </row>
    <row r="49" spans="1:11" x14ac:dyDescent="0.25">
      <c r="I49" s="254"/>
      <c r="J49" s="254"/>
    </row>
    <row r="50" spans="1:11" ht="18.75" x14ac:dyDescent="0.3">
      <c r="A50" s="749" t="s">
        <v>257</v>
      </c>
      <c r="B50" s="749"/>
      <c r="C50" s="749"/>
      <c r="D50" s="749"/>
      <c r="E50" s="749"/>
      <c r="F50" s="749"/>
      <c r="I50" s="254"/>
      <c r="J50" s="488" t="s">
        <v>754</v>
      </c>
      <c r="K50" s="489"/>
    </row>
    <row r="51" spans="1:11" ht="18.75" x14ac:dyDescent="0.3">
      <c r="A51" s="787" t="s">
        <v>396</v>
      </c>
      <c r="B51" s="787"/>
      <c r="C51" s="787"/>
      <c r="D51" s="787"/>
      <c r="E51" s="787"/>
      <c r="F51" s="787"/>
      <c r="H51" s="192"/>
      <c r="I51" s="254"/>
      <c r="J51" s="357" t="s">
        <v>446</v>
      </c>
      <c r="K51" s="620">
        <f>'Input Data'!C57</f>
        <v>322467</v>
      </c>
    </row>
    <row r="52" spans="1:11" x14ac:dyDescent="0.25">
      <c r="F52" s="65"/>
      <c r="H52" s="192"/>
      <c r="I52" s="254"/>
      <c r="J52" s="357" t="s">
        <v>447</v>
      </c>
      <c r="K52" s="620">
        <f>'Input Data'!C58</f>
        <v>156915</v>
      </c>
    </row>
    <row r="53" spans="1:11" x14ac:dyDescent="0.25">
      <c r="A53" s="722">
        <v>14</v>
      </c>
      <c r="B53" s="3" t="s">
        <v>558</v>
      </c>
      <c r="F53" s="65">
        <f>F18</f>
        <v>31946038</v>
      </c>
      <c r="I53" s="254"/>
      <c r="J53" s="357" t="s">
        <v>448</v>
      </c>
      <c r="K53" s="620">
        <f>'Input Data'!C59</f>
        <v>12132</v>
      </c>
    </row>
    <row r="54" spans="1:11" x14ac:dyDescent="0.25">
      <c r="A54" s="48">
        <v>15</v>
      </c>
      <c r="B54" s="28" t="s">
        <v>255</v>
      </c>
      <c r="C54" s="28"/>
      <c r="D54" s="28"/>
      <c r="E54" s="28"/>
      <c r="F54" s="97">
        <f>K55</f>
        <v>491963</v>
      </c>
      <c r="I54" s="254"/>
      <c r="J54" s="357" t="s">
        <v>563</v>
      </c>
      <c r="K54" s="620">
        <f>'Input Data'!C60</f>
        <v>449</v>
      </c>
    </row>
    <row r="55" spans="1:11" ht="16.5" thickBot="1" x14ac:dyDescent="0.3">
      <c r="A55" s="722">
        <v>16</v>
      </c>
      <c r="D55" s="55"/>
      <c r="E55" s="62" t="s">
        <v>819</v>
      </c>
      <c r="F55" s="100">
        <f>ROUND(F53/F54/365,4)</f>
        <v>0.1779</v>
      </c>
      <c r="I55" s="254"/>
      <c r="J55" s="488" t="s">
        <v>30</v>
      </c>
      <c r="K55" s="600">
        <f>SUM(K51:K54)</f>
        <v>491963</v>
      </c>
    </row>
    <row r="56" spans="1:11" ht="16.5" thickTop="1" x14ac:dyDescent="0.25">
      <c r="G56" s="254"/>
    </row>
    <row r="57" spans="1:11" x14ac:dyDescent="0.25">
      <c r="G57" s="254"/>
    </row>
    <row r="58" spans="1:11" x14ac:dyDescent="0.25">
      <c r="G58" s="254"/>
    </row>
    <row r="59" spans="1:11" x14ac:dyDescent="0.25">
      <c r="F59" s="13"/>
      <c r="G59" s="254"/>
    </row>
    <row r="60" spans="1:11" x14ac:dyDescent="0.25">
      <c r="F60" s="13"/>
      <c r="G60" s="3"/>
    </row>
    <row r="61" spans="1:11" x14ac:dyDescent="0.25">
      <c r="F61" s="13"/>
      <c r="G61" s="3"/>
    </row>
    <row r="62" spans="1:11" x14ac:dyDescent="0.25">
      <c r="A62" s="722"/>
      <c r="F62" s="13"/>
      <c r="G62" s="3"/>
    </row>
    <row r="63" spans="1:11" x14ac:dyDescent="0.25">
      <c r="A63" s="722"/>
      <c r="B63" s="57"/>
      <c r="F63" s="13"/>
      <c r="G63" s="3"/>
    </row>
    <row r="64" spans="1:11" x14ac:dyDescent="0.25">
      <c r="A64" s="722"/>
      <c r="G64" s="55"/>
    </row>
    <row r="65" spans="1:7" x14ac:dyDescent="0.25">
      <c r="A65" s="722"/>
      <c r="G65" s="3"/>
    </row>
    <row r="66" spans="1:7" x14ac:dyDescent="0.25">
      <c r="A66" s="722"/>
      <c r="G66" s="3"/>
    </row>
    <row r="69" spans="1:7" hidden="1" x14ac:dyDescent="0.25"/>
    <row r="70" spans="1:7" hidden="1" x14ac:dyDescent="0.25">
      <c r="A70" s="722"/>
    </row>
    <row r="71" spans="1:7" x14ac:dyDescent="0.25">
      <c r="F71" s="58"/>
    </row>
    <row r="72" spans="1:7" x14ac:dyDescent="0.25">
      <c r="F72" s="58"/>
    </row>
    <row r="73" spans="1:7" x14ac:dyDescent="0.25">
      <c r="F73" s="58"/>
    </row>
    <row r="74" spans="1:7" x14ac:dyDescent="0.25">
      <c r="F74" s="58"/>
    </row>
    <row r="75" spans="1:7" x14ac:dyDescent="0.25">
      <c r="F75" s="58"/>
    </row>
    <row r="76" spans="1:7" x14ac:dyDescent="0.25">
      <c r="F76" s="59"/>
    </row>
    <row r="77" spans="1:7" x14ac:dyDescent="0.25">
      <c r="F77" s="29"/>
    </row>
  </sheetData>
  <mergeCells count="11">
    <mergeCell ref="A51:F51"/>
    <mergeCell ref="A24:F24"/>
    <mergeCell ref="A36:F36"/>
    <mergeCell ref="A37:F37"/>
    <mergeCell ref="A50:F50"/>
    <mergeCell ref="I12:L12"/>
    <mergeCell ref="I11:L11"/>
    <mergeCell ref="A9:F9"/>
    <mergeCell ref="A1:F1"/>
    <mergeCell ref="A2:F2"/>
    <mergeCell ref="A3:F3"/>
  </mergeCells>
  <phoneticPr fontId="3" type="noConversion"/>
  <conditionalFormatting sqref="I47">
    <cfRule type="cellIs" dxfId="1" priority="1" operator="notEqual">
      <formula>0</formula>
    </cfRule>
    <cfRule type="expression" dxfId="0" priority="2">
      <formula>0</formula>
    </cfRule>
  </conditionalFormatting>
  <pageMargins left="0.75" right="0.75" top="1" bottom="1" header="0.5" footer="0.5"/>
  <pageSetup scale="68" orientation="portrait" r:id="rId1"/>
  <headerFooter alignWithMargins="0">
    <oddHeader>&amp;R&amp;"Times New Roman,Bold"&amp;16Exhibit A
Page 2 of 2</oddHeader>
    <oddFooter>&amp;L&amp;1#&amp;"Calibri"&amp;14&amp;K000000Confidential</oddFooter>
  </headerFooter>
  <customProperties>
    <customPr name="_pios_id" r:id="rId2"/>
  </customPropertie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E5A02B-9813-4705-B31F-3F7E960D6241}">
  <sheetPr codeName="Sheet34">
    <tabColor rgb="FF00B050"/>
  </sheetPr>
  <dimension ref="B1:I33"/>
  <sheetViews>
    <sheetView zoomScaleNormal="100" workbookViewId="0"/>
  </sheetViews>
  <sheetFormatPr defaultColWidth="8.77734375" defaultRowHeight="15.75" x14ac:dyDescent="0.25"/>
  <cols>
    <col min="1" max="1" width="1.109375" style="6" customWidth="1"/>
    <col min="2" max="2" width="8.77734375" style="6"/>
    <col min="3" max="3" width="9.6640625" style="6" customWidth="1"/>
    <col min="4" max="4" width="13.5546875" style="6" bestFit="1" customWidth="1"/>
    <col min="5" max="5" width="14.6640625" style="6" customWidth="1"/>
    <col min="6" max="6" width="8.77734375" style="6"/>
    <col min="7" max="7" width="9.6640625" style="6" customWidth="1"/>
    <col min="8" max="8" width="10.109375" style="6" customWidth="1"/>
    <col min="9" max="9" width="15.5546875" style="6" customWidth="1"/>
    <col min="10" max="16384" width="8.77734375" style="6"/>
  </cols>
  <sheetData>
    <row r="1" spans="2:9" x14ac:dyDescent="0.25">
      <c r="B1" s="766" t="s">
        <v>5</v>
      </c>
      <c r="C1" s="766"/>
      <c r="D1" s="766"/>
      <c r="E1" s="766"/>
      <c r="F1" s="766"/>
      <c r="G1" s="766"/>
      <c r="H1" s="766"/>
      <c r="I1" s="766"/>
    </row>
    <row r="2" spans="2:9" x14ac:dyDescent="0.25">
      <c r="B2" s="569"/>
      <c r="C2" s="569"/>
      <c r="D2" s="569"/>
      <c r="E2" s="569"/>
      <c r="F2" s="569"/>
      <c r="G2" s="569"/>
      <c r="H2" s="569"/>
      <c r="I2" s="569"/>
    </row>
    <row r="3" spans="2:9" x14ac:dyDescent="0.25">
      <c r="B3" s="766" t="str">
        <f>'Exhibit F Write-Up'!B3:N3</f>
        <v>Gas Supply Clause: 2022-00421</v>
      </c>
      <c r="C3" s="766"/>
      <c r="D3" s="766"/>
      <c r="E3" s="766"/>
      <c r="F3" s="766"/>
      <c r="G3" s="766"/>
      <c r="H3" s="766"/>
      <c r="I3" s="766"/>
    </row>
    <row r="4" spans="2:9" x14ac:dyDescent="0.25">
      <c r="B4" s="569"/>
      <c r="C4" s="569"/>
      <c r="D4" s="569"/>
      <c r="E4" s="569"/>
      <c r="F4" s="569"/>
      <c r="G4" s="569"/>
      <c r="H4" s="569"/>
      <c r="I4" s="569"/>
    </row>
    <row r="5" spans="2:9" x14ac:dyDescent="0.25">
      <c r="B5" s="766" t="s">
        <v>702</v>
      </c>
      <c r="C5" s="766"/>
      <c r="D5" s="766"/>
      <c r="E5" s="766"/>
      <c r="F5" s="766"/>
      <c r="G5" s="766"/>
      <c r="H5" s="766"/>
      <c r="I5" s="766"/>
    </row>
    <row r="7" spans="2:9" s="658" customFormat="1" ht="31.5" customHeight="1" x14ac:dyDescent="0.25">
      <c r="B7" s="790" t="s">
        <v>703</v>
      </c>
      <c r="C7" s="790"/>
      <c r="D7" s="790"/>
      <c r="E7" s="790"/>
      <c r="F7" s="790"/>
      <c r="G7" s="790"/>
      <c r="H7" s="790"/>
      <c r="I7" s="790"/>
    </row>
    <row r="9" spans="2:9" s="658" customFormat="1" ht="31.5" customHeight="1" x14ac:dyDescent="0.25">
      <c r="B9" s="790" t="str">
        <f>CONCATENATE("As shown on Page 1 of Exhibit B-1, the amount of recovery from Case Number ",'Ex B-1 1 of 7'!C12, " during the three-month period of ", 'Input Data'!B69, " through ", 'Input Data'!B70," was the following:")</f>
        <v>As shown on Page 1 of Exhibit B-1, the amount of recovery from Case Number 2022-00180 during the three-month period of August 2022 through October 2022 was the following:</v>
      </c>
      <c r="C9" s="790"/>
      <c r="D9" s="790"/>
      <c r="E9" s="790"/>
      <c r="F9" s="790"/>
      <c r="G9" s="790"/>
      <c r="H9" s="790"/>
      <c r="I9" s="790"/>
    </row>
    <row r="11" spans="2:9" x14ac:dyDescent="0.25">
      <c r="B11" s="13" t="s">
        <v>704</v>
      </c>
      <c r="C11" s="84"/>
      <c r="D11" s="601">
        <f>'Ex B-1 1 of 7'!D18</f>
        <v>-1917125</v>
      </c>
    </row>
    <row r="13" spans="2:9" ht="31.5" customHeight="1" x14ac:dyDescent="0.25">
      <c r="B13" s="790" t="str">
        <f>CONCATENATE("The calculation of the Gas Cost Actual Adjustment (GCAA) set forth in Exhibit B-1 results in the following factor, which LG&amp;E will place in effect ", 'Input Data'!B73, " with service rendered on and after ",'Input Data'!D4, " and continue for 12 months:")</f>
        <v>The calculation of the Gas Cost Actual Adjustment (GCAA) set forth in Exhibit B-1 results in the following factor, which LG&amp;E will place in effect as a credit with service rendered on and after February 1, 2023 and continue for 12 months:</v>
      </c>
      <c r="C13" s="790"/>
      <c r="D13" s="790"/>
      <c r="E13" s="790"/>
      <c r="F13" s="790"/>
      <c r="G13" s="790"/>
      <c r="H13" s="790"/>
      <c r="I13" s="790"/>
    </row>
    <row r="15" spans="2:9" x14ac:dyDescent="0.25">
      <c r="B15" s="6" t="s">
        <v>705</v>
      </c>
      <c r="E15" s="602">
        <f>'Ex B-1 1 of 7'!D25</f>
        <v>-6.2100000000000002E-3</v>
      </c>
    </row>
    <row r="17" spans="2:9" s="658" customFormat="1" ht="47.25" customHeight="1" x14ac:dyDescent="0.25">
      <c r="B17" s="790" t="str">
        <f>CONCATENATE("Also enclosed, on pages 6 and 7 of Exhibit B-1, is a breakdown of gas purchases for the three-month period from ", 'Input Data'!B69, " through ", 'Input Data'!B70, ".  [Please note that the names of the suppliers have been redacted from these pages, in accordance with LG&amp;E's Petition for Confidentiality filed this quarter.]")</f>
        <v>Also enclosed, on pages 6 and 7 of Exhibit B-1, is a breakdown of gas purchases for the three-month period from August 2022 through October 2022.  [Please note that the names of the suppliers have been redacted from these pages, in accordance with LG&amp;E's Petition for Confidentiality filed this quarter.]</v>
      </c>
      <c r="C17" s="790"/>
      <c r="D17" s="790"/>
      <c r="E17" s="790"/>
      <c r="F17" s="790"/>
      <c r="G17" s="790"/>
      <c r="H17" s="790"/>
      <c r="I17" s="790"/>
    </row>
    <row r="19" spans="2:9" ht="47.25" customHeight="1" x14ac:dyDescent="0.25">
      <c r="B19" s="790" t="str">
        <f>CONCATENATE("In this filing, LG&amp;E will be eliminating the GCAA from Case Number ", 'Input Data'!B71, " which will have been in effect for twelve months.  Any over- or under-recovery of the amount originally established will be transferred to the Gas Cost Balance Adjustment (GCBA) which will be implemented in LG&amp;E's next Gas Supply Clause filing.")</f>
        <v>In this filing, LG&amp;E will be eliminating the GCAA from Case Number 2021-00251 which will have been in effect for twelve months.  Any over- or under-recovery of the amount originally established will be transferred to the Gas Cost Balance Adjustment (GCBA) which will be implemented in LG&amp;E's next Gas Supply Clause filing.</v>
      </c>
      <c r="C19" s="790"/>
      <c r="D19" s="790"/>
      <c r="E19" s="790"/>
      <c r="F19" s="790"/>
      <c r="G19" s="790"/>
      <c r="H19" s="790"/>
      <c r="I19" s="790"/>
    </row>
    <row r="21" spans="2:9" x14ac:dyDescent="0.25">
      <c r="B21" s="6" t="s">
        <v>706</v>
      </c>
    </row>
    <row r="23" spans="2:9" s="659" customFormat="1" x14ac:dyDescent="0.25">
      <c r="E23" s="581" t="s">
        <v>371</v>
      </c>
      <c r="G23" s="581" t="s">
        <v>116</v>
      </c>
      <c r="I23" s="581" t="s">
        <v>711</v>
      </c>
    </row>
    <row r="24" spans="2:9" s="659" customFormat="1" x14ac:dyDescent="0.25"/>
    <row r="25" spans="2:9" x14ac:dyDescent="0.25">
      <c r="B25" s="6" t="s">
        <v>707</v>
      </c>
      <c r="E25" s="599">
        <f>'Summary Sheet'!F22</f>
        <v>44958</v>
      </c>
      <c r="G25" s="6" t="str">
        <f>'Summary Sheet'!G22</f>
        <v>2022-00180</v>
      </c>
      <c r="I25" s="575">
        <f>'Summary Sheet'!K22</f>
        <v>-6.2100000000000002E-3</v>
      </c>
    </row>
    <row r="26" spans="2:9" x14ac:dyDescent="0.25">
      <c r="E26" s="599"/>
      <c r="I26" s="575"/>
    </row>
    <row r="27" spans="2:9" x14ac:dyDescent="0.25">
      <c r="B27" s="6" t="s">
        <v>708</v>
      </c>
      <c r="E27" s="599">
        <f>'Summary Sheet'!F23</f>
        <v>44866</v>
      </c>
      <c r="G27" s="6" t="str">
        <f>'Summary Sheet'!G23</f>
        <v>2022-00083</v>
      </c>
      <c r="I27" s="575">
        <f>'Summary Sheet'!K23</f>
        <v>3.619E-2</v>
      </c>
    </row>
    <row r="28" spans="2:9" x14ac:dyDescent="0.25">
      <c r="E28" s="599"/>
      <c r="I28" s="575"/>
    </row>
    <row r="29" spans="2:9" ht="18.75" x14ac:dyDescent="0.25">
      <c r="B29" s="6" t="s">
        <v>709</v>
      </c>
      <c r="E29" s="599">
        <f>'Summary Sheet'!F24</f>
        <v>44774</v>
      </c>
      <c r="G29" s="6" t="str">
        <f>'Summary Sheet'!G24</f>
        <v>2021-00458</v>
      </c>
      <c r="I29" s="575">
        <f>'Summary Sheet'!K24</f>
        <v>3.6139999999999999E-2</v>
      </c>
    </row>
    <row r="30" spans="2:9" x14ac:dyDescent="0.25">
      <c r="E30" s="599"/>
      <c r="I30" s="575"/>
    </row>
    <row r="31" spans="2:9" ht="18.75" x14ac:dyDescent="0.25">
      <c r="B31" s="6" t="s">
        <v>710</v>
      </c>
      <c r="E31" s="599">
        <f>'Summary Sheet'!F25</f>
        <v>44682</v>
      </c>
      <c r="G31" s="6" t="str">
        <f>'Summary Sheet'!G25</f>
        <v>2021-00368</v>
      </c>
      <c r="I31" s="575">
        <f>'Summary Sheet'!K25</f>
        <v>1.132E-2</v>
      </c>
    </row>
    <row r="33" spans="2:9" x14ac:dyDescent="0.25">
      <c r="B33" s="569" t="s">
        <v>712</v>
      </c>
      <c r="I33" s="603">
        <f>SUM(I25:I31)</f>
        <v>7.7439999999999995E-2</v>
      </c>
    </row>
  </sheetData>
  <mergeCells count="8">
    <mergeCell ref="B13:I13"/>
    <mergeCell ref="B17:I17"/>
    <mergeCell ref="B19:I19"/>
    <mergeCell ref="B1:I1"/>
    <mergeCell ref="B3:I3"/>
    <mergeCell ref="B5:I5"/>
    <mergeCell ref="B7:I7"/>
    <mergeCell ref="B9:I9"/>
  </mergeCells>
  <pageMargins left="0.7" right="0.7" top="0.75" bottom="0.75" header="0.3" footer="0.3"/>
  <pageSetup scale="83" orientation="portrait" r:id="rId1"/>
  <headerFooter>
    <oddHeader>&amp;R&amp;"Times New Roman,Bold"Exhibit B</oddHeader>
    <oddFooter>&amp;L&amp;1#&amp;"Calibri"&amp;14&amp;K000000Confidential</oddFooter>
  </headerFooter>
  <customProperties>
    <customPr name="_pios_id" r:id="rId2"/>
  </customPropertie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7">
    <tabColor theme="3" tint="0.59999389629810485"/>
    <pageSetUpPr fitToPage="1"/>
  </sheetPr>
  <dimension ref="A1:S110"/>
  <sheetViews>
    <sheetView zoomScale="80" zoomScaleNormal="80" workbookViewId="0">
      <selection sqref="A1:F1"/>
    </sheetView>
  </sheetViews>
  <sheetFormatPr defaultColWidth="9.77734375" defaultRowHeight="15.75" x14ac:dyDescent="0.25"/>
  <cols>
    <col min="1" max="1" width="7.77734375" style="3" customWidth="1"/>
    <col min="2" max="2" width="15.5546875" style="3" customWidth="1"/>
    <col min="3" max="3" width="22.44140625" style="3" customWidth="1"/>
    <col min="4" max="4" width="18.21875" style="3" customWidth="1"/>
    <col min="5" max="5" width="17.33203125" style="3" customWidth="1"/>
    <col min="6" max="6" width="16.21875" style="3" customWidth="1"/>
    <col min="7" max="7" width="14.88671875" style="3" customWidth="1"/>
    <col min="8" max="8" width="14.109375" style="3" hidden="1" customWidth="1"/>
    <col min="9" max="9" width="13.44140625" style="1" hidden="1" customWidth="1"/>
    <col min="10" max="10" width="14.5546875" style="23" hidden="1" customWidth="1"/>
    <col min="11" max="11" width="14" style="3" hidden="1" customWidth="1"/>
    <col min="12" max="12" width="15.21875" style="3" hidden="1" customWidth="1"/>
    <col min="13" max="19" width="9.77734375" style="3" hidden="1" customWidth="1"/>
    <col min="20" max="20" width="9.77734375" style="3" customWidth="1"/>
    <col min="21" max="21" width="11.5546875" style="3" customWidth="1"/>
    <col min="22" max="22" width="4.77734375" style="3" customWidth="1"/>
    <col min="23" max="23" width="4.33203125" style="3" customWidth="1"/>
    <col min="24" max="24" width="12" style="3" customWidth="1"/>
    <col min="25" max="25" width="11.5546875" style="3" customWidth="1"/>
    <col min="26" max="26" width="5.88671875" style="3" customWidth="1"/>
    <col min="27" max="28" width="9.77734375" style="3"/>
    <col min="29" max="29" width="3.109375" style="3" bestFit="1" customWidth="1"/>
    <col min="30" max="16384" width="9.77734375" style="3"/>
  </cols>
  <sheetData>
    <row r="1" spans="1:17" ht="18.75" x14ac:dyDescent="0.3">
      <c r="A1" s="762" t="s">
        <v>5</v>
      </c>
      <c r="B1" s="762"/>
      <c r="C1" s="762"/>
      <c r="D1" s="762"/>
      <c r="E1" s="762"/>
      <c r="F1" s="762"/>
    </row>
    <row r="2" spans="1:17" ht="18.75" x14ac:dyDescent="0.3">
      <c r="A2" s="749" t="s">
        <v>295</v>
      </c>
      <c r="B2" s="749"/>
      <c r="C2" s="749"/>
      <c r="D2" s="749"/>
      <c r="E2" s="749"/>
      <c r="F2" s="749"/>
    </row>
    <row r="3" spans="1:17" ht="18.75" x14ac:dyDescent="0.3">
      <c r="A3" s="749" t="s">
        <v>344</v>
      </c>
      <c r="B3" s="749"/>
      <c r="C3" s="749"/>
      <c r="D3" s="749"/>
      <c r="E3" s="749"/>
      <c r="F3" s="749"/>
    </row>
    <row r="4" spans="1:17" ht="18.75" x14ac:dyDescent="0.3">
      <c r="A4" s="749" t="s">
        <v>296</v>
      </c>
      <c r="B4" s="749"/>
      <c r="C4" s="749"/>
      <c r="D4" s="749"/>
      <c r="E4" s="749"/>
      <c r="F4" s="749"/>
    </row>
    <row r="5" spans="1:17" ht="18.75" x14ac:dyDescent="0.3">
      <c r="A5" s="749" t="str">
        <f>CONCATENATE("For Service Rendered On and After ",'Input Data'!$D$4)</f>
        <v>For Service Rendered On and After February 1, 2023</v>
      </c>
      <c r="B5" s="749"/>
      <c r="C5" s="749"/>
      <c r="D5" s="749"/>
      <c r="E5" s="749"/>
      <c r="F5" s="749"/>
    </row>
    <row r="6" spans="1:17" x14ac:dyDescent="0.25">
      <c r="I6" s="260" t="s">
        <v>275</v>
      </c>
    </row>
    <row r="7" spans="1:17" ht="16.5" thickBot="1" x14ac:dyDescent="0.3">
      <c r="F7" s="692"/>
      <c r="G7" s="692"/>
      <c r="I7" s="260" t="s">
        <v>354</v>
      </c>
      <c r="J7" s="34"/>
      <c r="K7" s="34"/>
      <c r="L7" s="34"/>
    </row>
    <row r="8" spans="1:17" ht="26.25" thickBot="1" x14ac:dyDescent="0.4">
      <c r="B8" s="29"/>
      <c r="D8" s="692"/>
      <c r="E8" s="692"/>
      <c r="F8" s="692"/>
      <c r="G8" s="692"/>
      <c r="I8" s="791" t="s">
        <v>211</v>
      </c>
      <c r="J8" s="792"/>
      <c r="K8" s="792"/>
      <c r="L8" s="793"/>
    </row>
    <row r="9" spans="1:17" ht="16.5" thickBot="1" x14ac:dyDescent="0.3">
      <c r="B9" s="29"/>
      <c r="D9" s="692"/>
      <c r="E9" s="692"/>
      <c r="F9" s="692"/>
      <c r="G9" s="692"/>
      <c r="I9" s="781" t="s">
        <v>245</v>
      </c>
      <c r="J9" s="782"/>
      <c r="K9" s="782"/>
      <c r="L9" s="783"/>
      <c r="M9" s="38"/>
    </row>
    <row r="10" spans="1:17" ht="47.25" x14ac:dyDescent="0.25">
      <c r="A10" s="694" t="s">
        <v>247</v>
      </c>
      <c r="B10" s="695" t="s">
        <v>348</v>
      </c>
      <c r="C10" s="694" t="s">
        <v>0</v>
      </c>
      <c r="D10" s="142" t="s">
        <v>392</v>
      </c>
      <c r="E10" s="142" t="s">
        <v>393</v>
      </c>
      <c r="F10" s="142" t="s">
        <v>309</v>
      </c>
      <c r="G10" s="143"/>
      <c r="I10" s="76"/>
      <c r="J10" s="461" t="s">
        <v>210</v>
      </c>
      <c r="K10" s="462" t="s">
        <v>610</v>
      </c>
      <c r="L10" s="463" t="s">
        <v>233</v>
      </c>
      <c r="M10" s="38"/>
      <c r="N10" s="3" t="s">
        <v>550</v>
      </c>
    </row>
    <row r="11" spans="1:17" ht="15.75" customHeight="1" x14ac:dyDescent="0.25">
      <c r="A11" s="46" t="s">
        <v>60</v>
      </c>
      <c r="B11" s="46" t="s">
        <v>61</v>
      </c>
      <c r="C11" s="46" t="s">
        <v>62</v>
      </c>
      <c r="D11" s="46" t="s">
        <v>63</v>
      </c>
      <c r="E11" s="46" t="s">
        <v>64</v>
      </c>
      <c r="F11" s="46" t="s">
        <v>491</v>
      </c>
      <c r="G11" s="46"/>
      <c r="I11" s="464">
        <f>'Input Data'!C4</f>
        <v>44958</v>
      </c>
      <c r="J11" s="192">
        <f>VLOOKUP(I11,Forecast!A$1:K$200,9)</f>
        <v>5151024</v>
      </c>
      <c r="K11" s="192">
        <f>VLOOKUP(I11,Forecast!A$1:K$200,10)</f>
        <v>17443</v>
      </c>
      <c r="L11" s="465">
        <f>SUM(J11:K11)</f>
        <v>5168467</v>
      </c>
      <c r="M11" s="38"/>
      <c r="N11" s="81">
        <f>VLOOKUP($I11,Forecast!$A$10:$J$124,9,FALSE)</f>
        <v>5151024</v>
      </c>
      <c r="O11" s="3">
        <f>J11-N11</f>
        <v>0</v>
      </c>
      <c r="P11" s="81">
        <f>VLOOKUP($I11,Forecast!$A$10:$J$124,10,FALSE)</f>
        <v>17443</v>
      </c>
      <c r="Q11" s="3">
        <f>K11-P11</f>
        <v>0</v>
      </c>
    </row>
    <row r="12" spans="1:17" ht="15.75" customHeight="1" x14ac:dyDescent="0.25">
      <c r="A12" s="46">
        <v>1</v>
      </c>
      <c r="B12" s="144">
        <f>'Input Data'!C7</f>
        <v>44774</v>
      </c>
      <c r="C12" s="692" t="str">
        <f>VLOOKUP(B12,'Case Database'!$A$5:$H$200,3,FALSE)</f>
        <v>2022-00180</v>
      </c>
      <c r="D12" s="84">
        <f>'Ex B-1 2 of 7'!J19</f>
        <v>2683518</v>
      </c>
      <c r="E12" s="84">
        <f>'Ex B-1 5 of 7'!I31</f>
        <v>6284019</v>
      </c>
      <c r="F12" s="84">
        <f>E12-D12</f>
        <v>3600501</v>
      </c>
      <c r="G12" s="84"/>
      <c r="H12" s="145"/>
      <c r="I12" s="80">
        <f>EOMONTH(I11,0)+1</f>
        <v>44986</v>
      </c>
      <c r="J12" s="192">
        <f>VLOOKUP(I12,Forecast!A$1:K$200,9)</f>
        <v>3881113</v>
      </c>
      <c r="K12" s="192">
        <f>VLOOKUP(I12,Forecast!A$1:K$200,10)</f>
        <v>18632</v>
      </c>
      <c r="L12" s="465">
        <f t="shared" ref="L12:L22" si="0">SUM(J12:K12)</f>
        <v>3899745</v>
      </c>
      <c r="M12" s="38"/>
      <c r="N12" s="81">
        <f>VLOOKUP($I12,Forecast!$A$10:$J$124,9,FALSE)</f>
        <v>3881113</v>
      </c>
      <c r="O12" s="3">
        <f t="shared" ref="O12:O22" si="1">J12-N12</f>
        <v>0</v>
      </c>
      <c r="P12" s="81">
        <f>VLOOKUP($I12,Forecast!$A$10:$J$124,10,FALSE)</f>
        <v>18632</v>
      </c>
      <c r="Q12" s="3">
        <f t="shared" ref="Q12:Q22" si="2">K12-P12</f>
        <v>0</v>
      </c>
    </row>
    <row r="13" spans="1:17" ht="15.75" customHeight="1" x14ac:dyDescent="0.25">
      <c r="A13" s="46">
        <v>2</v>
      </c>
      <c r="B13" s="144">
        <f>EDATE(B12,1)</f>
        <v>44805</v>
      </c>
      <c r="C13" s="692" t="str">
        <f>C12</f>
        <v>2022-00180</v>
      </c>
      <c r="D13" s="84">
        <f>'Ex B-1 2 of 7'!J20</f>
        <v>5435984</v>
      </c>
      <c r="E13" s="84">
        <f>'Ex B-1 5 of 7'!I32</f>
        <v>6640883</v>
      </c>
      <c r="F13" s="84">
        <f>E13-D13</f>
        <v>1204899</v>
      </c>
      <c r="G13" s="152"/>
      <c r="H13" s="148"/>
      <c r="I13" s="80">
        <f t="shared" ref="I13:I22" si="3">EOMONTH(I12,0)+1</f>
        <v>45017</v>
      </c>
      <c r="J13" s="192">
        <f>VLOOKUP(I13,Forecast!A$1:K$200,9)</f>
        <v>1985223</v>
      </c>
      <c r="K13" s="192">
        <f>VLOOKUP(I13,Forecast!A$1:K$200,10)</f>
        <v>17292</v>
      </c>
      <c r="L13" s="465">
        <f t="shared" si="0"/>
        <v>2002515</v>
      </c>
      <c r="M13" s="38"/>
      <c r="N13" s="81">
        <f>VLOOKUP($I13,Forecast!$A$10:$J$124,9,FALSE)</f>
        <v>1985223</v>
      </c>
      <c r="O13" s="3">
        <f t="shared" si="1"/>
        <v>0</v>
      </c>
      <c r="P13" s="81">
        <f>VLOOKUP($I13,Forecast!$A$10:$J$124,10,FALSE)</f>
        <v>17292</v>
      </c>
      <c r="Q13" s="3">
        <f t="shared" si="2"/>
        <v>0</v>
      </c>
    </row>
    <row r="14" spans="1:17" ht="15.75" customHeight="1" x14ac:dyDescent="0.25">
      <c r="A14" s="46">
        <v>3</v>
      </c>
      <c r="B14" s="144">
        <f>EDATE(B13,1)</f>
        <v>44835</v>
      </c>
      <c r="C14" s="146" t="str">
        <f>C13</f>
        <v>2022-00180</v>
      </c>
      <c r="D14" s="84">
        <f>'Ex B-1 2 of 7'!J21</f>
        <v>8586417</v>
      </c>
      <c r="E14" s="147">
        <f>'Ex B-1 5 of 7'!I33</f>
        <v>9923397</v>
      </c>
      <c r="F14" s="84">
        <f>E14-D14</f>
        <v>1336980</v>
      </c>
      <c r="G14" s="152"/>
      <c r="H14" s="148"/>
      <c r="I14" s="80">
        <f t="shared" si="3"/>
        <v>45047</v>
      </c>
      <c r="J14" s="192">
        <f>VLOOKUP(I14,Forecast!A$1:K$200,9)</f>
        <v>1099875</v>
      </c>
      <c r="K14" s="192">
        <f>VLOOKUP(I14,Forecast!A$1:K$200,10)</f>
        <v>19259</v>
      </c>
      <c r="L14" s="465">
        <f t="shared" si="0"/>
        <v>1119134</v>
      </c>
      <c r="M14" s="38"/>
      <c r="N14" s="81">
        <f>VLOOKUP($I14,Forecast!$A$10:$J$124,9,FALSE)</f>
        <v>1099875</v>
      </c>
      <c r="O14" s="3">
        <f t="shared" si="1"/>
        <v>0</v>
      </c>
      <c r="P14" s="81">
        <f>VLOOKUP($I14,Forecast!$A$10:$J$124,10,FALSE)</f>
        <v>19259</v>
      </c>
      <c r="Q14" s="3">
        <f t="shared" si="2"/>
        <v>0</v>
      </c>
    </row>
    <row r="15" spans="1:17" ht="15.75" customHeight="1" x14ac:dyDescent="0.25">
      <c r="A15" s="692">
        <v>4</v>
      </c>
      <c r="B15" s="144">
        <f>EDATE(B14,1)</f>
        <v>44866</v>
      </c>
      <c r="C15" s="146" t="s">
        <v>267</v>
      </c>
      <c r="D15" s="149">
        <f>'Ex B-1 2 of 7'!J22</f>
        <v>8059505</v>
      </c>
      <c r="E15" s="149">
        <f>'Ex B-1 5 of 7'!I34</f>
        <v>0</v>
      </c>
      <c r="F15" s="149">
        <f>E15-D15</f>
        <v>-8059505</v>
      </c>
      <c r="G15" s="152"/>
      <c r="H15" s="148"/>
      <c r="I15" s="80">
        <f t="shared" si="3"/>
        <v>45078</v>
      </c>
      <c r="J15" s="192">
        <f>VLOOKUP(I15,Forecast!A$1:K$200,9)</f>
        <v>725702</v>
      </c>
      <c r="K15" s="192">
        <f>VLOOKUP(I15,Forecast!A$1:K$200,10)</f>
        <v>22537</v>
      </c>
      <c r="L15" s="465">
        <f t="shared" si="0"/>
        <v>748239</v>
      </c>
      <c r="M15" s="38"/>
      <c r="N15" s="81">
        <f>VLOOKUP($I15,Forecast!$A$10:$J$124,9,FALSE)</f>
        <v>725702</v>
      </c>
      <c r="O15" s="3">
        <f t="shared" si="1"/>
        <v>0</v>
      </c>
      <c r="P15" s="81">
        <f>VLOOKUP($I15,Forecast!$A$10:$J$124,10,FALSE)</f>
        <v>22537</v>
      </c>
      <c r="Q15" s="3">
        <f t="shared" si="2"/>
        <v>0</v>
      </c>
    </row>
    <row r="16" spans="1:17" ht="15.75" customHeight="1" x14ac:dyDescent="0.25">
      <c r="A16" s="692">
        <v>5</v>
      </c>
      <c r="B16" s="150"/>
      <c r="C16" s="146"/>
      <c r="D16" s="84">
        <f>(SUM(D12:D15))</f>
        <v>24765424</v>
      </c>
      <c r="E16" s="84">
        <f>(SUM(E12:E15))</f>
        <v>22848299</v>
      </c>
      <c r="F16" s="84">
        <f>(SUM(F12:F15))</f>
        <v>-1917125</v>
      </c>
      <c r="G16" s="152"/>
      <c r="H16" s="148"/>
      <c r="I16" s="80">
        <f t="shared" si="3"/>
        <v>45108</v>
      </c>
      <c r="J16" s="192">
        <f>VLOOKUP(I16,Forecast!A$1:K$200,9)</f>
        <v>715511</v>
      </c>
      <c r="K16" s="192">
        <f>VLOOKUP(I16,Forecast!A$1:K$200,10)</f>
        <v>16358</v>
      </c>
      <c r="L16" s="465">
        <f t="shared" si="0"/>
        <v>731869</v>
      </c>
      <c r="M16" s="38"/>
      <c r="N16" s="81">
        <f>VLOOKUP($I16,Forecast!$A$10:$J$124,9,FALSE)</f>
        <v>715511</v>
      </c>
      <c r="O16" s="3">
        <f t="shared" si="1"/>
        <v>0</v>
      </c>
      <c r="P16" s="81">
        <f>VLOOKUP($I16,Forecast!$A$10:$J$124,10,FALSE)</f>
        <v>16358</v>
      </c>
      <c r="Q16" s="3">
        <f t="shared" si="2"/>
        <v>0</v>
      </c>
    </row>
    <row r="17" spans="1:17" ht="15.75" customHeight="1" x14ac:dyDescent="0.25">
      <c r="A17" s="692"/>
      <c r="B17" s="151"/>
      <c r="C17" s="151"/>
      <c r="D17" s="145"/>
      <c r="E17" s="145"/>
      <c r="F17" s="152"/>
      <c r="G17" s="152"/>
      <c r="I17" s="80">
        <f t="shared" si="3"/>
        <v>45139</v>
      </c>
      <c r="J17" s="192">
        <f>VLOOKUP(I17,Forecast!A$1:K$200,9)</f>
        <v>675736</v>
      </c>
      <c r="K17" s="192">
        <f>VLOOKUP(I17,Forecast!A$1:K$200,10)</f>
        <v>13169</v>
      </c>
      <c r="L17" s="465">
        <f t="shared" si="0"/>
        <v>688905</v>
      </c>
      <c r="M17" s="38"/>
      <c r="N17" s="81">
        <f>VLOOKUP($I17,Forecast!$A$10:$J$124,9,FALSE)</f>
        <v>675736</v>
      </c>
      <c r="O17" s="3">
        <f t="shared" si="1"/>
        <v>0</v>
      </c>
      <c r="P17" s="81">
        <f>VLOOKUP($I17,Forecast!$A$10:$J$124,10,FALSE)</f>
        <v>13169</v>
      </c>
      <c r="Q17" s="3">
        <f t="shared" si="2"/>
        <v>0</v>
      </c>
    </row>
    <row r="18" spans="1:17" ht="15.75" customHeight="1" x14ac:dyDescent="0.25">
      <c r="A18" s="692">
        <v>6</v>
      </c>
      <c r="B18" s="151"/>
      <c r="C18" s="54" t="s">
        <v>309</v>
      </c>
      <c r="D18" s="84">
        <f>F16</f>
        <v>-1917125</v>
      </c>
      <c r="E18" s="145"/>
      <c r="F18" s="152"/>
      <c r="G18" s="152"/>
      <c r="I18" s="80">
        <f t="shared" si="3"/>
        <v>45170</v>
      </c>
      <c r="J18" s="192">
        <f>VLOOKUP(I18,Forecast!A$1:K$200,9)</f>
        <v>744945</v>
      </c>
      <c r="K18" s="192">
        <f>VLOOKUP(I18,Forecast!A$1:K$200,10)</f>
        <v>17952</v>
      </c>
      <c r="L18" s="465">
        <f t="shared" si="0"/>
        <v>762897</v>
      </c>
      <c r="M18" s="38"/>
      <c r="N18" s="81">
        <f>VLOOKUP($I18,Forecast!$A$10:$J$124,9,FALSE)</f>
        <v>744945</v>
      </c>
      <c r="O18" s="3">
        <f t="shared" si="1"/>
        <v>0</v>
      </c>
      <c r="P18" s="81">
        <f>VLOOKUP($I18,Forecast!$A$10:$J$124,10,FALSE)</f>
        <v>17952</v>
      </c>
      <c r="Q18" s="3">
        <f t="shared" si="2"/>
        <v>0</v>
      </c>
    </row>
    <row r="19" spans="1:17" ht="15.75" customHeight="1" x14ac:dyDescent="0.25">
      <c r="A19" s="692"/>
      <c r="B19" s="90"/>
      <c r="C19" s="54"/>
      <c r="D19" s="90"/>
      <c r="E19" s="90"/>
      <c r="F19" s="152"/>
      <c r="G19" s="152"/>
      <c r="I19" s="80">
        <f t="shared" si="3"/>
        <v>45200</v>
      </c>
      <c r="J19" s="192">
        <f>VLOOKUP(I19,Forecast!A$1:K$200,9)</f>
        <v>1542762</v>
      </c>
      <c r="K19" s="192">
        <f>VLOOKUP(I19,Forecast!A$1:K$200,10)</f>
        <v>9981</v>
      </c>
      <c r="L19" s="465">
        <f t="shared" si="0"/>
        <v>1552743</v>
      </c>
      <c r="M19" s="38"/>
      <c r="N19" s="81">
        <f>VLOOKUP($I19,Forecast!$A$10:$J$124,9,FALSE)</f>
        <v>1542762</v>
      </c>
      <c r="O19" s="3">
        <f t="shared" si="1"/>
        <v>0</v>
      </c>
      <c r="P19" s="81">
        <f>VLOOKUP($I19,Forecast!$A$10:$J$124,10,FALSE)</f>
        <v>9981</v>
      </c>
      <c r="Q19" s="3">
        <f t="shared" si="2"/>
        <v>0</v>
      </c>
    </row>
    <row r="20" spans="1:17" ht="15.75" customHeight="1" x14ac:dyDescent="0.25">
      <c r="F20" s="152"/>
      <c r="G20" s="273"/>
      <c r="I20" s="80">
        <f t="shared" si="3"/>
        <v>45231</v>
      </c>
      <c r="J20" s="192">
        <f>VLOOKUP(I20,Forecast!A$1:K$200,9)</f>
        <v>3331210</v>
      </c>
      <c r="K20" s="192">
        <f>VLOOKUP(I20,Forecast!A$1:K$200,10)</f>
        <v>22843</v>
      </c>
      <c r="L20" s="465">
        <f t="shared" si="0"/>
        <v>3354053</v>
      </c>
      <c r="M20" s="38"/>
      <c r="N20" s="81">
        <f>VLOOKUP($I20,Forecast!$A$10:$J$124,9,FALSE)</f>
        <v>3331210</v>
      </c>
      <c r="O20" s="3">
        <f t="shared" si="1"/>
        <v>0</v>
      </c>
      <c r="P20" s="81">
        <f>VLOOKUP($I20,Forecast!$A$10:$J$124,10,FALSE)</f>
        <v>22843</v>
      </c>
      <c r="Q20" s="3">
        <f t="shared" si="2"/>
        <v>0</v>
      </c>
    </row>
    <row r="21" spans="1:17" ht="15.75" customHeight="1" x14ac:dyDescent="0.25">
      <c r="A21" s="692">
        <v>7</v>
      </c>
      <c r="B21" s="151"/>
      <c r="C21" s="54" t="s">
        <v>318</v>
      </c>
      <c r="E21" s="153"/>
      <c r="F21" s="271"/>
      <c r="G21" s="1"/>
      <c r="I21" s="80">
        <f t="shared" si="3"/>
        <v>45261</v>
      </c>
      <c r="J21" s="192">
        <f>VLOOKUP(I21,Forecast!A$1:K$200,9)</f>
        <v>4974617</v>
      </c>
      <c r="K21" s="192">
        <f>VLOOKUP(I21,Forecast!A$1:K$200,10)</f>
        <v>17414</v>
      </c>
      <c r="L21" s="465">
        <f t="shared" si="0"/>
        <v>4992031</v>
      </c>
      <c r="M21" s="38"/>
      <c r="N21" s="81">
        <f>VLOOKUP($I21,Forecast!$A$10:$J$124,9,FALSE)</f>
        <v>4974617</v>
      </c>
      <c r="O21" s="3">
        <f t="shared" si="1"/>
        <v>0</v>
      </c>
      <c r="P21" s="81">
        <f>VLOOKUP($I21,Forecast!$A$10:$J$124,10,FALSE)</f>
        <v>17414</v>
      </c>
      <c r="Q21" s="3">
        <f t="shared" si="2"/>
        <v>0</v>
      </c>
    </row>
    <row r="22" spans="1:17" ht="15.75" customHeight="1" x14ac:dyDescent="0.25">
      <c r="A22" s="692">
        <v>8</v>
      </c>
      <c r="B22" s="151"/>
      <c r="C22" s="54" t="s">
        <v>319</v>
      </c>
      <c r="D22" s="55">
        <f>L25</f>
        <v>30851479</v>
      </c>
      <c r="E22" s="153"/>
      <c r="F22" s="152"/>
      <c r="G22" s="1"/>
      <c r="I22" s="80">
        <f t="shared" si="3"/>
        <v>45292</v>
      </c>
      <c r="J22" s="192">
        <f>VLOOKUP(I22,Forecast!A$1:K$200,9)</f>
        <v>5812249</v>
      </c>
      <c r="K22" s="192">
        <f>VLOOKUP(I22,Forecast!A$1:K$200,10)</f>
        <v>18632</v>
      </c>
      <c r="L22" s="465">
        <f t="shared" si="0"/>
        <v>5830881</v>
      </c>
      <c r="M22" s="38"/>
      <c r="N22" s="556">
        <f>VLOOKUP($I22,Forecast!$A$10:$J$124,9,FALSE)</f>
        <v>5812249</v>
      </c>
      <c r="O22" s="508">
        <f t="shared" si="1"/>
        <v>0</v>
      </c>
      <c r="P22" s="556">
        <f>VLOOKUP($I22,Forecast!$A$10:$J$124,10,FALSE)</f>
        <v>18632</v>
      </c>
      <c r="Q22" s="508">
        <f t="shared" si="2"/>
        <v>0</v>
      </c>
    </row>
    <row r="23" spans="1:17" ht="15.75" customHeight="1" x14ac:dyDescent="0.25">
      <c r="E23" s="145"/>
      <c r="F23" s="152"/>
      <c r="G23" s="1"/>
      <c r="I23" s="466"/>
      <c r="J23" s="467"/>
      <c r="K23" s="467"/>
      <c r="L23" s="468"/>
      <c r="M23" s="38"/>
      <c r="N23" s="192">
        <f>SUM(N11:N22)</f>
        <v>30639967</v>
      </c>
      <c r="P23" s="192">
        <f>SUM(P11:P22)</f>
        <v>211512</v>
      </c>
    </row>
    <row r="24" spans="1:17" ht="16.5" thickBot="1" x14ac:dyDescent="0.3">
      <c r="A24" s="692">
        <v>9</v>
      </c>
      <c r="B24" s="151"/>
      <c r="C24" s="54" t="s">
        <v>317</v>
      </c>
      <c r="D24" s="99">
        <f>ROUND((D18)/D22,4)</f>
        <v>-6.2100000000000002E-2</v>
      </c>
      <c r="E24" s="145"/>
      <c r="F24" s="152"/>
      <c r="I24" s="466"/>
      <c r="J24" s="467"/>
      <c r="K24" s="467"/>
      <c r="L24" s="468"/>
      <c r="M24" s="38"/>
      <c r="N24" s="37"/>
      <c r="P24" s="37"/>
      <c r="Q24" s="37"/>
    </row>
    <row r="25" spans="1:17" ht="15.75" customHeight="1" thickBot="1" x14ac:dyDescent="0.3">
      <c r="A25" s="692">
        <v>10</v>
      </c>
      <c r="B25" s="151"/>
      <c r="C25" s="54" t="s">
        <v>320</v>
      </c>
      <c r="D25" s="154">
        <f>ROUND(D24/10,5)</f>
        <v>-6.2100000000000002E-3</v>
      </c>
      <c r="E25" s="1"/>
      <c r="F25" s="1"/>
      <c r="H25" s="1"/>
      <c r="I25" s="469"/>
      <c r="J25" s="470"/>
      <c r="K25" s="471"/>
      <c r="L25" s="472">
        <f>SUM(L11:L23)</f>
        <v>30851479</v>
      </c>
      <c r="M25" s="30"/>
      <c r="N25" s="192">
        <f>N23+P23</f>
        <v>30851479</v>
      </c>
      <c r="O25" s="3">
        <f>L25-N25</f>
        <v>0</v>
      </c>
      <c r="P25" s="37"/>
    </row>
    <row r="26" spans="1:17" ht="15.75" customHeight="1" x14ac:dyDescent="0.25">
      <c r="A26" s="692"/>
      <c r="B26" s="1"/>
      <c r="C26" s="54"/>
      <c r="D26" s="549"/>
      <c r="E26" s="1"/>
      <c r="F26" s="1"/>
      <c r="H26" s="1"/>
      <c r="M26" s="30"/>
    </row>
    <row r="27" spans="1:17" ht="15.75" customHeight="1" x14ac:dyDescent="0.25">
      <c r="A27" s="692"/>
      <c r="D27" s="1"/>
      <c r="E27" s="1"/>
      <c r="F27" s="1"/>
    </row>
    <row r="28" spans="1:17" x14ac:dyDescent="0.25">
      <c r="A28" s="692"/>
      <c r="D28" s="1"/>
    </row>
    <row r="29" spans="1:17" ht="18.75" x14ac:dyDescent="0.25">
      <c r="A29" s="692"/>
      <c r="B29" s="155" t="s">
        <v>394</v>
      </c>
      <c r="C29" s="1"/>
    </row>
    <row r="30" spans="1:17" ht="18.75" x14ac:dyDescent="0.25">
      <c r="B30" s="155" t="s">
        <v>462</v>
      </c>
      <c r="C30" s="1"/>
    </row>
    <row r="31" spans="1:17" ht="18.75" x14ac:dyDescent="0.25">
      <c r="B31" s="3" t="s">
        <v>473</v>
      </c>
    </row>
    <row r="45" ht="15.75" customHeight="1" x14ac:dyDescent="0.25"/>
    <row r="58" s="3" customFormat="1" x14ac:dyDescent="0.25"/>
    <row r="59" s="3" customFormat="1" x14ac:dyDescent="0.25"/>
    <row r="60" s="3" customFormat="1" x14ac:dyDescent="0.25"/>
    <row r="61" s="3" customFormat="1" x14ac:dyDescent="0.25"/>
    <row r="62" s="3" customFormat="1" x14ac:dyDescent="0.25"/>
    <row r="63" s="3" customFormat="1" x14ac:dyDescent="0.25"/>
    <row r="64" s="3" customFormat="1" x14ac:dyDescent="0.25"/>
    <row r="65" s="3" customFormat="1" x14ac:dyDescent="0.25"/>
    <row r="66" s="3" customFormat="1" x14ac:dyDescent="0.25"/>
    <row r="67" s="3" customFormat="1" x14ac:dyDescent="0.25"/>
    <row r="68" s="3" customFormat="1" x14ac:dyDescent="0.25"/>
    <row r="69" s="3" customFormat="1" x14ac:dyDescent="0.25"/>
    <row r="70" s="3" customFormat="1" x14ac:dyDescent="0.25"/>
    <row r="71" s="3" customFormat="1" x14ac:dyDescent="0.25"/>
    <row r="72" s="3" customFormat="1" x14ac:dyDescent="0.25"/>
    <row r="73" s="3" customFormat="1" x14ac:dyDescent="0.25"/>
    <row r="74" s="3" customFormat="1" x14ac:dyDescent="0.25"/>
    <row r="75" s="3" customFormat="1" x14ac:dyDescent="0.25"/>
    <row r="76" s="3" customFormat="1" x14ac:dyDescent="0.25"/>
    <row r="77" s="3" customFormat="1" x14ac:dyDescent="0.25"/>
    <row r="78" s="3" customFormat="1" x14ac:dyDescent="0.25"/>
    <row r="79" s="3" customFormat="1" x14ac:dyDescent="0.25"/>
    <row r="80" s="3" customFormat="1" x14ac:dyDescent="0.25"/>
    <row r="81" s="3" customFormat="1" x14ac:dyDescent="0.25"/>
    <row r="82" s="3" customFormat="1" x14ac:dyDescent="0.25"/>
    <row r="83" s="3" customFormat="1" x14ac:dyDescent="0.25"/>
    <row r="84" s="3" customFormat="1" x14ac:dyDescent="0.25"/>
    <row r="85" s="3" customFormat="1" x14ac:dyDescent="0.25"/>
    <row r="86" s="3" customFormat="1" x14ac:dyDescent="0.25"/>
    <row r="87" s="3" customFormat="1" x14ac:dyDescent="0.25"/>
    <row r="88" s="3" customFormat="1" x14ac:dyDescent="0.25"/>
    <row r="89" s="3" customFormat="1" x14ac:dyDescent="0.25"/>
    <row r="90" s="3" customFormat="1" x14ac:dyDescent="0.25"/>
    <row r="91" s="3" customFormat="1" x14ac:dyDescent="0.25"/>
    <row r="92" s="3" customFormat="1" x14ac:dyDescent="0.25"/>
    <row r="93" s="3" customFormat="1" x14ac:dyDescent="0.25"/>
    <row r="94" s="3" customFormat="1" x14ac:dyDescent="0.25"/>
    <row r="95" s="3" customFormat="1" x14ac:dyDescent="0.25"/>
    <row r="96" s="3" customFormat="1" x14ac:dyDescent="0.25"/>
    <row r="97" s="3" customFormat="1" x14ac:dyDescent="0.25"/>
    <row r="98" s="3" customFormat="1" x14ac:dyDescent="0.25"/>
    <row r="99" s="3" customFormat="1" x14ac:dyDescent="0.25"/>
    <row r="100" s="3" customFormat="1" x14ac:dyDescent="0.25"/>
    <row r="101" s="3" customFormat="1" x14ac:dyDescent="0.25"/>
    <row r="102" s="3" customFormat="1" x14ac:dyDescent="0.25"/>
    <row r="103" s="3" customFormat="1" x14ac:dyDescent="0.25"/>
    <row r="104" s="3" customFormat="1" x14ac:dyDescent="0.25"/>
    <row r="105" s="3" customFormat="1" x14ac:dyDescent="0.25"/>
    <row r="106" s="3" customFormat="1" x14ac:dyDescent="0.25"/>
    <row r="107" s="3" customFormat="1" x14ac:dyDescent="0.25"/>
    <row r="108" s="3" customFormat="1" x14ac:dyDescent="0.25"/>
    <row r="109" s="3" customFormat="1" x14ac:dyDescent="0.25"/>
    <row r="110" s="3" customFormat="1" x14ac:dyDescent="0.25"/>
  </sheetData>
  <mergeCells count="7">
    <mergeCell ref="I9:L9"/>
    <mergeCell ref="I8:L8"/>
    <mergeCell ref="A1:F1"/>
    <mergeCell ref="A2:F2"/>
    <mergeCell ref="A3:F3"/>
    <mergeCell ref="A4:F4"/>
    <mergeCell ref="A5:F5"/>
  </mergeCells>
  <phoneticPr fontId="3" type="noConversion"/>
  <printOptions horizontalCentered="1"/>
  <pageMargins left="0.62" right="0.72" top="1.02" bottom="1" header="0.5" footer="0.5"/>
  <pageSetup scale="68" orientation="portrait" blackAndWhite="1" r:id="rId1"/>
  <headerFooter alignWithMargins="0">
    <oddHeader>&amp;R&amp;"Times New Roman,Bold"Exhibit B-1
Page 1 of 7</oddHeader>
    <oddFooter>&amp;L&amp;1#&amp;"Calibri"&amp;14&amp;K000000Confidential</oddFooter>
  </headerFooter>
  <customProperties>
    <customPr name="_pios_id" r:id="rId2"/>
  </customPropertie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8">
    <tabColor theme="3" tint="0.59999389629810485"/>
    <pageSetUpPr fitToPage="1"/>
  </sheetPr>
  <dimension ref="A1:U53"/>
  <sheetViews>
    <sheetView zoomScale="80" zoomScaleNormal="80" workbookViewId="0">
      <selection sqref="A1:N1"/>
    </sheetView>
  </sheetViews>
  <sheetFormatPr defaultColWidth="9.21875" defaultRowHeight="15" x14ac:dyDescent="0.25"/>
  <cols>
    <col min="1" max="1" width="7" style="2" customWidth="1"/>
    <col min="2" max="2" width="14.88671875" style="2" customWidth="1"/>
    <col min="3" max="3" width="3.21875" style="2" customWidth="1"/>
    <col min="4" max="4" width="13.33203125" style="2" customWidth="1"/>
    <col min="5" max="5" width="3" style="2" customWidth="1"/>
    <col min="6" max="6" width="13" style="2" customWidth="1"/>
    <col min="7" max="7" width="2.21875" style="2" customWidth="1"/>
    <col min="8" max="8" width="10.6640625" style="2" customWidth="1"/>
    <col min="9" max="9" width="2.33203125" style="2" customWidth="1"/>
    <col min="10" max="10" width="14.88671875" style="2" customWidth="1"/>
    <col min="11" max="11" width="2.44140625" style="2" customWidth="1"/>
    <col min="12" max="12" width="12.33203125" style="2" customWidth="1"/>
    <col min="13" max="13" width="11.88671875" style="2" customWidth="1"/>
    <col min="14" max="14" width="16.109375" style="2" customWidth="1"/>
    <col min="15" max="15" width="13.6640625" style="2" customWidth="1"/>
    <col min="16" max="16" width="11.33203125" style="2" customWidth="1"/>
    <col min="17" max="17" width="15.77734375" style="2" customWidth="1"/>
    <col min="18" max="19" width="13.21875" style="2" customWidth="1"/>
    <col min="20" max="20" width="8.77734375" style="2" customWidth="1"/>
    <col min="21" max="21" width="18" style="2" customWidth="1"/>
    <col min="22" max="16384" width="9.21875" style="2"/>
  </cols>
  <sheetData>
    <row r="1" spans="1:21" ht="18.75" x14ac:dyDescent="0.3">
      <c r="A1" s="762" t="s">
        <v>5</v>
      </c>
      <c r="B1" s="762"/>
      <c r="C1" s="762"/>
      <c r="D1" s="762"/>
      <c r="E1" s="762"/>
      <c r="F1" s="762"/>
      <c r="G1" s="762"/>
      <c r="H1" s="762"/>
      <c r="I1" s="762"/>
      <c r="J1" s="762"/>
      <c r="K1" s="762"/>
      <c r="L1" s="762"/>
      <c r="M1" s="762"/>
      <c r="N1" s="762"/>
      <c r="O1" s="177"/>
      <c r="P1" s="177"/>
      <c r="Q1" s="177"/>
      <c r="R1" s="177"/>
      <c r="S1" s="177"/>
      <c r="T1" s="177"/>
      <c r="U1" s="177"/>
    </row>
    <row r="2" spans="1:21" ht="18.75" x14ac:dyDescent="0.3">
      <c r="A2" s="749" t="s">
        <v>293</v>
      </c>
      <c r="B2" s="749"/>
      <c r="C2" s="749"/>
      <c r="D2" s="749"/>
      <c r="E2" s="749"/>
      <c r="F2" s="749"/>
      <c r="G2" s="749"/>
      <c r="H2" s="749"/>
      <c r="I2" s="749"/>
      <c r="J2" s="749"/>
      <c r="K2" s="749"/>
      <c r="L2" s="749"/>
      <c r="M2" s="749"/>
      <c r="N2" s="749"/>
      <c r="O2" s="104"/>
      <c r="P2" s="104"/>
      <c r="Q2" s="104"/>
      <c r="R2" s="104"/>
      <c r="S2" s="104"/>
      <c r="T2" s="104"/>
      <c r="U2" s="104"/>
    </row>
    <row r="3" spans="1:21" ht="18.75" x14ac:dyDescent="0.3">
      <c r="A3" s="749" t="s">
        <v>294</v>
      </c>
      <c r="B3" s="749"/>
      <c r="C3" s="749"/>
      <c r="D3" s="749"/>
      <c r="E3" s="749"/>
      <c r="F3" s="749"/>
      <c r="G3" s="749"/>
      <c r="H3" s="749"/>
      <c r="I3" s="749"/>
      <c r="J3" s="749"/>
      <c r="K3" s="749"/>
      <c r="L3" s="749"/>
      <c r="M3" s="749"/>
      <c r="N3" s="749"/>
      <c r="O3" s="104"/>
      <c r="P3" s="104"/>
      <c r="Q3" s="104"/>
      <c r="R3" s="104"/>
      <c r="S3" s="104"/>
      <c r="T3" s="104"/>
      <c r="U3" s="104"/>
    </row>
    <row r="4" spans="1:21" ht="18.75" x14ac:dyDescent="0.3">
      <c r="A4" s="749" t="str">
        <f>CONCATENATE("For Service Rendered On and After ",'Input Data'!$D$4)</f>
        <v>For Service Rendered On and After February 1, 2023</v>
      </c>
      <c r="B4" s="749"/>
      <c r="C4" s="749"/>
      <c r="D4" s="749"/>
      <c r="E4" s="749"/>
      <c r="F4" s="749"/>
      <c r="G4" s="749"/>
      <c r="H4" s="749"/>
      <c r="I4" s="749"/>
      <c r="J4" s="749"/>
      <c r="K4" s="749"/>
      <c r="L4" s="749"/>
      <c r="M4" s="749"/>
      <c r="N4" s="749"/>
      <c r="O4" s="104"/>
      <c r="P4" s="104"/>
      <c r="Q4" s="104"/>
      <c r="R4" s="104"/>
      <c r="S4" s="104"/>
      <c r="T4" s="104"/>
      <c r="U4" s="104"/>
    </row>
    <row r="5" spans="1:21" ht="15.75" x14ac:dyDescent="0.25">
      <c r="A5" s="3"/>
      <c r="B5" s="3"/>
      <c r="C5" s="3"/>
      <c r="D5" s="3"/>
      <c r="E5" s="3"/>
      <c r="F5" s="3"/>
      <c r="G5" s="3"/>
      <c r="H5" s="3"/>
      <c r="I5" s="3"/>
      <c r="J5" s="692"/>
      <c r="K5" s="3"/>
      <c r="L5" s="692"/>
      <c r="M5" s="324"/>
    </row>
    <row r="6" spans="1:21" ht="87" customHeight="1" x14ac:dyDescent="0.25">
      <c r="A6" s="694" t="s">
        <v>247</v>
      </c>
      <c r="B6" s="695" t="s">
        <v>348</v>
      </c>
      <c r="C6" s="695"/>
      <c r="D6" s="694" t="s">
        <v>310</v>
      </c>
      <c r="E6" s="694"/>
      <c r="F6" s="694" t="s">
        <v>116</v>
      </c>
      <c r="G6" s="694"/>
      <c r="H6" s="695" t="s">
        <v>369</v>
      </c>
      <c r="I6" s="695"/>
      <c r="J6" s="695" t="s">
        <v>361</v>
      </c>
      <c r="K6" s="3"/>
      <c r="L6" s="695" t="s">
        <v>268</v>
      </c>
      <c r="M6" s="392" t="s">
        <v>440</v>
      </c>
      <c r="N6" s="142" t="s">
        <v>264</v>
      </c>
    </row>
    <row r="7" spans="1:21" ht="34.5" customHeight="1" x14ac:dyDescent="0.25">
      <c r="A7" s="393" t="s">
        <v>60</v>
      </c>
      <c r="B7" s="393" t="s">
        <v>61</v>
      </c>
      <c r="C7" s="393"/>
      <c r="D7" s="393" t="s">
        <v>62</v>
      </c>
      <c r="F7" s="393" t="s">
        <v>63</v>
      </c>
      <c r="G7" s="393"/>
      <c r="H7" s="393" t="s">
        <v>64</v>
      </c>
      <c r="I7" s="3"/>
      <c r="J7" s="393" t="s">
        <v>65</v>
      </c>
      <c r="L7" s="394" t="s">
        <v>66</v>
      </c>
      <c r="M7" s="394" t="s">
        <v>111</v>
      </c>
      <c r="N7" s="393" t="s">
        <v>490</v>
      </c>
      <c r="Q7" s="254"/>
      <c r="R7" s="254"/>
    </row>
    <row r="8" spans="1:21" ht="15.75" x14ac:dyDescent="0.25">
      <c r="A8" s="54"/>
      <c r="B8" s="395"/>
      <c r="C8" s="395"/>
      <c r="D8" s="395"/>
      <c r="E8" s="395"/>
      <c r="F8" s="395"/>
      <c r="G8" s="395"/>
      <c r="H8" s="395"/>
      <c r="I8" s="395"/>
      <c r="K8" s="1"/>
      <c r="L8" s="3"/>
      <c r="Q8" s="254"/>
      <c r="R8" s="254"/>
    </row>
    <row r="9" spans="1:21" ht="18.75" x14ac:dyDescent="0.25">
      <c r="A9" s="692">
        <v>1</v>
      </c>
      <c r="B9" s="146">
        <f>'Input Data'!C7</f>
        <v>44774</v>
      </c>
      <c r="C9" s="146"/>
      <c r="D9" s="146" t="s">
        <v>364</v>
      </c>
      <c r="E9" s="146"/>
      <c r="F9" s="146" t="str">
        <f>'Ex B-1 1 of 7'!C12</f>
        <v>2022-00180</v>
      </c>
      <c r="G9" s="146"/>
      <c r="H9" s="396">
        <f>VLOOKUP($B9,'Sales Volumes'!$A$1:$H$150,2,FALSE)</f>
        <v>633620</v>
      </c>
      <c r="I9" s="397">
        <v>1</v>
      </c>
      <c r="J9" s="398">
        <f>VLOOKUP($B9,'Sales Volumes'!$A$1:$H$150,4,FALSE)</f>
        <v>313736</v>
      </c>
      <c r="K9" s="397">
        <v>2</v>
      </c>
      <c r="L9" s="399">
        <f>VLOOKUP(F9,'Case Database'!C3:E200,2)</f>
        <v>8.1089000000000002</v>
      </c>
      <c r="M9" s="156">
        <f>'Ex B-1 3 of 7'!L13</f>
        <v>0</v>
      </c>
      <c r="N9" s="156">
        <f>ROUND(J9*L9,0)+M9</f>
        <v>2544054</v>
      </c>
      <c r="Q9" s="254"/>
      <c r="R9" s="254"/>
    </row>
    <row r="10" spans="1:21" ht="18.75" x14ac:dyDescent="0.25">
      <c r="A10" s="692">
        <v>2</v>
      </c>
      <c r="B10" s="146">
        <f>EDATE(B9,1)</f>
        <v>44805</v>
      </c>
      <c r="C10" s="146"/>
      <c r="D10" s="146"/>
      <c r="E10" s="146"/>
      <c r="F10" s="146" t="str">
        <f>F9</f>
        <v>2022-00180</v>
      </c>
      <c r="G10" s="146"/>
      <c r="H10" s="396">
        <f>VLOOKUP($B10,'Sales Volumes'!$A$1:$H$150,2,FALSE)</f>
        <v>649768.6</v>
      </c>
      <c r="I10" s="400"/>
      <c r="J10" s="398">
        <f>H10</f>
        <v>649768.6</v>
      </c>
      <c r="K10" s="193"/>
      <c r="L10" s="399">
        <f>$L$9</f>
        <v>8.1089000000000002</v>
      </c>
      <c r="M10" s="156">
        <f>'Ex B-1 3 of 7'!L14</f>
        <v>0</v>
      </c>
      <c r="N10" s="156">
        <f>ROUND(J10*L10,0)+M10</f>
        <v>5268909</v>
      </c>
      <c r="Q10" s="254"/>
      <c r="R10" s="254"/>
    </row>
    <row r="11" spans="1:21" ht="18.75" x14ac:dyDescent="0.25">
      <c r="A11" s="692">
        <v>3</v>
      </c>
      <c r="B11" s="146">
        <f>EDATE(B10,1)</f>
        <v>44835</v>
      </c>
      <c r="C11" s="146"/>
      <c r="D11" s="146"/>
      <c r="E11" s="146"/>
      <c r="F11" s="146" t="str">
        <f>F9</f>
        <v>2022-00180</v>
      </c>
      <c r="G11" s="146"/>
      <c r="H11" s="396">
        <f>VLOOKUP($B11,'Sales Volumes'!$A$1:$H$150,2,FALSE)</f>
        <v>1035494.7</v>
      </c>
      <c r="I11" s="400"/>
      <c r="J11" s="398">
        <f>H11</f>
        <v>1035494.7</v>
      </c>
      <c r="K11" s="193"/>
      <c r="L11" s="399">
        <f>$L$9</f>
        <v>8.1089000000000002</v>
      </c>
      <c r="M11" s="156">
        <f>'Ex B-1 3 of 7'!L15</f>
        <v>0</v>
      </c>
      <c r="N11" s="156">
        <f>ROUND(J11*L11,0)+M11</f>
        <v>8396723</v>
      </c>
      <c r="Q11" s="254"/>
      <c r="R11" s="254"/>
    </row>
    <row r="12" spans="1:21" ht="18.75" x14ac:dyDescent="0.25">
      <c r="A12" s="692">
        <v>4</v>
      </c>
      <c r="B12" s="146">
        <f>EDATE(B11,1)</f>
        <v>44866</v>
      </c>
      <c r="C12" s="146"/>
      <c r="D12" s="146" t="s">
        <v>364</v>
      </c>
      <c r="E12" s="146"/>
      <c r="F12" s="146" t="str">
        <f>F9</f>
        <v>2022-00180</v>
      </c>
      <c r="G12" s="146"/>
      <c r="H12" s="396">
        <f>VLOOKUP($B12,'Sales Volumes'!$A$1:$H$150,2,FALSE)</f>
        <v>2117518.5</v>
      </c>
      <c r="I12" s="397">
        <v>1</v>
      </c>
      <c r="J12" s="401">
        <f>VLOOKUP($B12,'Sales Volumes'!$A$1:$H$150,3,FALSE)</f>
        <v>993908.5</v>
      </c>
      <c r="K12" s="397">
        <v>2</v>
      </c>
      <c r="L12" s="399">
        <f>$L$9</f>
        <v>8.1089000000000002</v>
      </c>
      <c r="M12" s="402"/>
      <c r="N12" s="403">
        <f>ROUND(J12*L12,0)+M12</f>
        <v>8059505</v>
      </c>
    </row>
    <row r="13" spans="1:21" ht="18" customHeight="1" x14ac:dyDescent="0.25">
      <c r="A13" s="692">
        <v>5</v>
      </c>
      <c r="I13" s="1"/>
      <c r="J13" s="404">
        <f>SUM(J9:J12)</f>
        <v>2992907.8</v>
      </c>
      <c r="K13" s="405"/>
      <c r="L13" s="54"/>
      <c r="M13" s="156">
        <f>SUM(M9:M12)</f>
        <v>0</v>
      </c>
      <c r="N13" s="156">
        <f>SUM(N9:N12)</f>
        <v>24269191</v>
      </c>
    </row>
    <row r="14" spans="1:21" ht="16.5" customHeight="1" x14ac:dyDescent="0.25">
      <c r="I14" s="1"/>
      <c r="K14" s="3"/>
      <c r="L14" s="3"/>
    </row>
    <row r="15" spans="1:21" ht="15.75" x14ac:dyDescent="0.25">
      <c r="K15" s="3"/>
      <c r="L15" s="3"/>
    </row>
    <row r="16" spans="1:21" ht="51.75" customHeight="1" x14ac:dyDescent="0.25">
      <c r="D16" s="142" t="s">
        <v>463</v>
      </c>
      <c r="E16" s="397">
        <v>3</v>
      </c>
      <c r="F16" s="142" t="s">
        <v>457</v>
      </c>
      <c r="G16" s="397">
        <v>4</v>
      </c>
      <c r="H16" s="142" t="s">
        <v>265</v>
      </c>
      <c r="J16" s="142" t="s">
        <v>266</v>
      </c>
    </row>
    <row r="17" spans="1:21" ht="31.5" x14ac:dyDescent="0.25">
      <c r="D17" s="393" t="s">
        <v>113</v>
      </c>
      <c r="E17" s="393"/>
      <c r="F17" s="393" t="s">
        <v>375</v>
      </c>
      <c r="G17" s="393"/>
      <c r="H17" s="393" t="s">
        <v>365</v>
      </c>
      <c r="J17" s="406" t="s">
        <v>474</v>
      </c>
      <c r="K17" s="254"/>
      <c r="L17" s="254"/>
      <c r="M17" s="254"/>
      <c r="N17" s="254"/>
    </row>
    <row r="18" spans="1:21" ht="16.5" customHeight="1" x14ac:dyDescent="0.25">
      <c r="K18" s="254"/>
      <c r="L18" s="254"/>
      <c r="M18" s="254"/>
      <c r="N18" s="254"/>
    </row>
    <row r="19" spans="1:21" ht="18.75" customHeight="1" x14ac:dyDescent="0.25">
      <c r="A19" s="324">
        <v>6</v>
      </c>
      <c r="B19" s="146">
        <f>B9</f>
        <v>44774</v>
      </c>
      <c r="D19" s="156">
        <f>'Ex B-1 3 of 7'!N13</f>
        <v>107432</v>
      </c>
      <c r="F19" s="156">
        <f>'Ex B-1 4 of 7'!N15</f>
        <v>32032</v>
      </c>
      <c r="G19" s="156"/>
      <c r="H19" s="156">
        <f>'Input Data'!C78</f>
        <v>0</v>
      </c>
      <c r="J19" s="156">
        <f>N9+D19+F19+H19</f>
        <v>2683518</v>
      </c>
      <c r="K19" s="254"/>
      <c r="L19" s="254"/>
      <c r="M19" s="254"/>
      <c r="N19" s="254"/>
    </row>
    <row r="20" spans="1:21" ht="18.75" customHeight="1" x14ac:dyDescent="0.25">
      <c r="A20" s="324">
        <v>7</v>
      </c>
      <c r="B20" s="146">
        <f>B10</f>
        <v>44805</v>
      </c>
      <c r="D20" s="156">
        <f>'Ex B-1 3 of 7'!N14</f>
        <v>99084</v>
      </c>
      <c r="E20" s="407"/>
      <c r="F20" s="156">
        <f>'Ex B-1 4 of 7'!N16</f>
        <v>67991</v>
      </c>
      <c r="G20" s="156"/>
      <c r="H20" s="156">
        <f>'Input Data'!D78</f>
        <v>0</v>
      </c>
      <c r="J20" s="156">
        <f>N10+D20+F20+H20</f>
        <v>5435984</v>
      </c>
      <c r="K20" s="254"/>
      <c r="L20" s="254"/>
      <c r="M20" s="254"/>
      <c r="N20" s="254"/>
    </row>
    <row r="21" spans="1:21" ht="18.75" customHeight="1" x14ac:dyDescent="0.25">
      <c r="A21" s="324">
        <v>8</v>
      </c>
      <c r="B21" s="146">
        <f>B11</f>
        <v>44835</v>
      </c>
      <c r="D21" s="156">
        <f>'Ex B-1 3 of 7'!N15</f>
        <v>74711</v>
      </c>
      <c r="E21" s="407"/>
      <c r="F21" s="156">
        <f>'Ex B-1 4 of 7'!N17</f>
        <v>114983</v>
      </c>
      <c r="G21" s="156"/>
      <c r="H21" s="156">
        <f>'Input Data'!E78</f>
        <v>0</v>
      </c>
      <c r="J21" s="156">
        <f>N11+D21+F21+H21</f>
        <v>8586417</v>
      </c>
      <c r="K21" s="254"/>
      <c r="L21" s="254"/>
      <c r="M21" s="254"/>
      <c r="N21" s="254"/>
    </row>
    <row r="22" spans="1:21" ht="18.75" customHeight="1" x14ac:dyDescent="0.25">
      <c r="A22" s="324">
        <v>9</v>
      </c>
      <c r="B22" s="146">
        <f>B12</f>
        <v>44866</v>
      </c>
      <c r="D22" s="408"/>
      <c r="E22" s="409"/>
      <c r="F22" s="410"/>
      <c r="G22" s="411"/>
      <c r="H22" s="412"/>
      <c r="J22" s="403">
        <f>N12+D22+F22+H22</f>
        <v>8059505</v>
      </c>
      <c r="K22" s="254"/>
      <c r="L22" s="254"/>
      <c r="M22" s="254"/>
      <c r="N22" s="254"/>
    </row>
    <row r="23" spans="1:21" ht="18.75" customHeight="1" x14ac:dyDescent="0.25">
      <c r="A23" s="324">
        <v>10</v>
      </c>
      <c r="B23" s="146"/>
      <c r="D23" s="156">
        <f>SUM(D19:D22)</f>
        <v>281227</v>
      </c>
      <c r="E23" s="157"/>
      <c r="F23" s="156">
        <f>SUM(F19:F22)</f>
        <v>215006</v>
      </c>
      <c r="G23" s="156"/>
      <c r="H23" s="156">
        <f>SUM(H19:H22)</f>
        <v>0</v>
      </c>
      <c r="J23" s="156">
        <f>SUM(J19:J22)</f>
        <v>24765424</v>
      </c>
      <c r="K23" s="254"/>
      <c r="L23" s="254"/>
      <c r="M23" s="254"/>
      <c r="N23" s="254"/>
    </row>
    <row r="24" spans="1:21" ht="16.5" customHeight="1" x14ac:dyDescent="0.25">
      <c r="H24" s="413"/>
      <c r="K24" s="3"/>
      <c r="L24" s="3"/>
      <c r="N24" s="414"/>
    </row>
    <row r="25" spans="1:21" ht="16.5" customHeight="1" x14ac:dyDescent="0.25">
      <c r="K25" s="3"/>
      <c r="L25" s="3"/>
      <c r="N25" s="414"/>
    </row>
    <row r="26" spans="1:21" ht="18.75" x14ac:dyDescent="0.25">
      <c r="A26" s="415">
        <v>1</v>
      </c>
      <c r="B26" s="3" t="s">
        <v>475</v>
      </c>
      <c r="C26" s="3"/>
      <c r="D26" s="3"/>
      <c r="E26" s="3"/>
      <c r="F26" s="3"/>
      <c r="G26" s="3"/>
      <c r="H26" s="3"/>
      <c r="K26" s="3"/>
      <c r="L26" s="3"/>
      <c r="N26" s="414"/>
    </row>
    <row r="27" spans="1:21" ht="18.75" x14ac:dyDescent="0.25">
      <c r="A27" s="415">
        <v>2</v>
      </c>
      <c r="B27" s="3" t="s">
        <v>476</v>
      </c>
      <c r="C27" s="3"/>
      <c r="D27" s="3"/>
      <c r="E27" s="3"/>
      <c r="F27" s="3"/>
      <c r="G27" s="3"/>
      <c r="H27" s="3"/>
      <c r="K27" s="3"/>
      <c r="L27" s="3"/>
      <c r="N27" s="414"/>
    </row>
    <row r="28" spans="1:21" ht="18.75" x14ac:dyDescent="0.25">
      <c r="A28" s="415">
        <v>3</v>
      </c>
      <c r="B28" s="3" t="s">
        <v>477</v>
      </c>
      <c r="C28" s="3"/>
      <c r="D28" s="3"/>
      <c r="E28" s="3"/>
      <c r="F28" s="3"/>
      <c r="G28" s="3"/>
      <c r="H28" s="3"/>
      <c r="K28" s="3"/>
      <c r="L28" s="3"/>
      <c r="N28" s="414"/>
    </row>
    <row r="29" spans="1:21" ht="18.75" x14ac:dyDescent="0.25">
      <c r="A29" s="415">
        <v>4</v>
      </c>
      <c r="B29" s="3" t="s">
        <v>478</v>
      </c>
      <c r="C29" s="3"/>
      <c r="D29" s="3"/>
      <c r="E29" s="3"/>
      <c r="F29" s="3"/>
      <c r="G29" s="3"/>
      <c r="H29" s="3"/>
      <c r="I29" s="3"/>
      <c r="J29" s="3"/>
      <c r="K29" s="3"/>
      <c r="L29" s="3"/>
      <c r="Q29" s="254"/>
      <c r="R29" s="254"/>
      <c r="S29" s="254"/>
      <c r="T29" s="254"/>
      <c r="U29" s="254"/>
    </row>
    <row r="30" spans="1:21" ht="20.100000000000001" customHeight="1" x14ac:dyDescent="0.25">
      <c r="A30" s="415"/>
      <c r="B30" s="13"/>
      <c r="C30" s="13"/>
      <c r="D30" s="13"/>
      <c r="E30" s="13"/>
      <c r="F30" s="13"/>
      <c r="G30" s="13"/>
      <c r="H30" s="13"/>
      <c r="I30" s="13"/>
      <c r="J30" s="3"/>
      <c r="K30" s="3"/>
      <c r="L30" s="3"/>
    </row>
    <row r="31" spans="1:21" ht="20.100000000000001" customHeight="1" x14ac:dyDescent="0.25">
      <c r="I31" s="3"/>
      <c r="J31" s="3"/>
      <c r="K31" s="3"/>
      <c r="L31" s="3"/>
    </row>
    <row r="32" spans="1:21" ht="20.100000000000001" customHeight="1" x14ac:dyDescent="0.25">
      <c r="I32" s="3"/>
      <c r="J32" s="3"/>
      <c r="K32" s="3"/>
      <c r="L32" s="3"/>
    </row>
    <row r="33" spans="1:12" ht="20.100000000000001" customHeight="1" x14ac:dyDescent="0.25">
      <c r="I33" s="3"/>
      <c r="J33" s="3"/>
      <c r="K33" s="3"/>
      <c r="L33" s="3"/>
    </row>
    <row r="34" spans="1:12" ht="20.100000000000001" customHeight="1" x14ac:dyDescent="0.25">
      <c r="A34" s="3"/>
      <c r="B34" s="3"/>
      <c r="C34" s="3"/>
      <c r="D34" s="3"/>
      <c r="E34" s="3"/>
      <c r="F34" s="3"/>
      <c r="G34" s="3"/>
      <c r="H34" s="3"/>
      <c r="I34" s="3"/>
      <c r="J34" s="3"/>
      <c r="K34" s="3"/>
      <c r="L34" s="3"/>
    </row>
    <row r="35" spans="1:12" ht="20.100000000000001" customHeight="1" x14ac:dyDescent="0.25">
      <c r="A35" s="3"/>
      <c r="B35" s="3"/>
      <c r="C35" s="3"/>
      <c r="D35" s="3"/>
      <c r="E35" s="3"/>
      <c r="F35" s="3"/>
      <c r="G35" s="3"/>
      <c r="H35" s="3"/>
      <c r="I35" s="3"/>
      <c r="J35" s="3"/>
    </row>
    <row r="36" spans="1:12" ht="15.75" x14ac:dyDescent="0.25">
      <c r="A36" s="3"/>
      <c r="B36" s="3"/>
      <c r="C36" s="3"/>
      <c r="D36" s="3"/>
      <c r="E36" s="3"/>
      <c r="F36" s="3"/>
      <c r="G36" s="3"/>
      <c r="H36" s="3"/>
      <c r="I36" s="3"/>
      <c r="J36" s="3"/>
    </row>
    <row r="37" spans="1:12" ht="15.75" x14ac:dyDescent="0.25">
      <c r="A37" s="3"/>
      <c r="B37" s="3"/>
      <c r="C37" s="3"/>
      <c r="D37" s="3"/>
      <c r="E37" s="3"/>
      <c r="F37" s="3"/>
      <c r="G37" s="3"/>
      <c r="H37" s="3"/>
      <c r="I37" s="3"/>
      <c r="J37" s="3"/>
    </row>
    <row r="38" spans="1:12" ht="15.75" x14ac:dyDescent="0.25">
      <c r="A38" s="3"/>
      <c r="B38" s="3"/>
      <c r="C38" s="3"/>
      <c r="D38" s="3"/>
      <c r="E38" s="3"/>
      <c r="F38" s="3"/>
      <c r="G38" s="3"/>
      <c r="H38" s="3"/>
      <c r="I38" s="3"/>
    </row>
    <row r="39" spans="1:12" ht="21" customHeight="1" x14ac:dyDescent="0.25">
      <c r="A39" s="3"/>
    </row>
    <row r="40" spans="1:12" ht="21.75" customHeight="1" x14ac:dyDescent="0.25">
      <c r="K40" s="3"/>
      <c r="L40" s="3"/>
    </row>
    <row r="41" spans="1:12" ht="15.75" x14ac:dyDescent="0.25">
      <c r="K41" s="3"/>
      <c r="L41" s="3"/>
    </row>
    <row r="42" spans="1:12" ht="15.75" x14ac:dyDescent="0.25">
      <c r="A42" s="3"/>
      <c r="B42" s="11"/>
      <c r="C42" s="11"/>
      <c r="D42" s="11"/>
      <c r="E42" s="11"/>
      <c r="F42" s="11"/>
      <c r="G42" s="11"/>
      <c r="H42" s="11"/>
      <c r="I42" s="11"/>
    </row>
    <row r="43" spans="1:12" ht="15.75" x14ac:dyDescent="0.25">
      <c r="A43" s="3"/>
      <c r="B43" s="13"/>
      <c r="C43" s="13"/>
      <c r="D43" s="13"/>
      <c r="E43" s="13"/>
      <c r="F43" s="13"/>
      <c r="G43" s="13"/>
      <c r="H43" s="13"/>
      <c r="I43" s="13"/>
    </row>
    <row r="44" spans="1:12" ht="15.75" x14ac:dyDescent="0.25">
      <c r="A44" s="3"/>
      <c r="B44" s="3"/>
      <c r="C44" s="3"/>
      <c r="D44" s="3"/>
      <c r="E44" s="3"/>
      <c r="F44" s="3"/>
      <c r="G44" s="3"/>
      <c r="H44" s="3"/>
      <c r="I44" s="3"/>
    </row>
    <row r="45" spans="1:12" ht="15.75" x14ac:dyDescent="0.25">
      <c r="A45" s="3"/>
      <c r="B45" s="3"/>
      <c r="C45" s="3"/>
      <c r="D45" s="3"/>
      <c r="E45" s="3"/>
      <c r="F45" s="3"/>
      <c r="G45" s="3"/>
      <c r="H45" s="3"/>
      <c r="I45" s="3"/>
    </row>
    <row r="46" spans="1:12" ht="15.75" x14ac:dyDescent="0.25">
      <c r="A46" s="3"/>
      <c r="B46" s="3"/>
      <c r="C46" s="3"/>
      <c r="D46" s="3"/>
      <c r="E46" s="3"/>
      <c r="F46" s="3"/>
      <c r="G46" s="3"/>
      <c r="H46" s="3"/>
      <c r="I46" s="3"/>
    </row>
    <row r="47" spans="1:12" ht="15.75" x14ac:dyDescent="0.25">
      <c r="A47" s="3"/>
      <c r="B47" s="3"/>
      <c r="C47" s="3"/>
      <c r="D47" s="3"/>
      <c r="E47" s="3"/>
      <c r="F47" s="3"/>
      <c r="G47" s="3"/>
      <c r="H47" s="3"/>
      <c r="I47" s="3"/>
    </row>
    <row r="48" spans="1:12" ht="15.75" x14ac:dyDescent="0.25">
      <c r="A48" s="3"/>
      <c r="B48" s="3"/>
      <c r="C48" s="3"/>
      <c r="D48" s="3"/>
      <c r="E48" s="3"/>
      <c r="F48" s="3"/>
      <c r="G48" s="3"/>
      <c r="H48" s="3"/>
      <c r="I48" s="3"/>
    </row>
    <row r="49" spans="1:9" ht="15.75" x14ac:dyDescent="0.25">
      <c r="A49" s="3"/>
      <c r="B49" s="3"/>
      <c r="C49" s="3"/>
      <c r="D49" s="3"/>
      <c r="E49" s="3"/>
      <c r="F49" s="3"/>
      <c r="G49" s="3"/>
      <c r="H49" s="3"/>
      <c r="I49" s="3"/>
    </row>
    <row r="50" spans="1:9" ht="15.75" x14ac:dyDescent="0.25">
      <c r="A50" s="3"/>
      <c r="B50" s="3"/>
      <c r="C50" s="3"/>
      <c r="D50" s="3"/>
      <c r="E50" s="3"/>
      <c r="F50" s="3"/>
      <c r="G50" s="3"/>
      <c r="H50" s="3"/>
      <c r="I50" s="3"/>
    </row>
    <row r="51" spans="1:9" ht="15.75" x14ac:dyDescent="0.25">
      <c r="A51" s="3"/>
      <c r="B51" s="3"/>
      <c r="C51" s="3"/>
      <c r="D51" s="3"/>
      <c r="E51" s="3"/>
      <c r="F51" s="3"/>
      <c r="G51" s="3"/>
      <c r="H51" s="3"/>
      <c r="I51" s="3"/>
    </row>
    <row r="52" spans="1:9" ht="15.75" x14ac:dyDescent="0.25">
      <c r="A52" s="3"/>
    </row>
    <row r="53" spans="1:9" ht="15.75" x14ac:dyDescent="0.25">
      <c r="A53" s="3"/>
    </row>
  </sheetData>
  <mergeCells count="4">
    <mergeCell ref="A1:N1"/>
    <mergeCell ref="A2:N2"/>
    <mergeCell ref="A3:N3"/>
    <mergeCell ref="A4:N4"/>
  </mergeCells>
  <phoneticPr fontId="3" type="noConversion"/>
  <pageMargins left="0.75" right="0.35" top="1.5" bottom="1" header="0.5" footer="0.5"/>
  <pageSetup scale="62" orientation="portrait" blackAndWhite="1" r:id="rId1"/>
  <headerFooter alignWithMargins="0">
    <oddHeader>&amp;R&amp;"Times New Roman,Bold"Exhibit B-1
Page 2 of 7</oddHeader>
    <oddFooter>&amp;L&amp;1#&amp;"Calibri"&amp;14&amp;K000000Confidential</oddFooter>
  </headerFooter>
  <customProperties>
    <customPr name="_pios_id" r:id="rId2"/>
  </customPropertie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30">
    <tabColor theme="3" tint="0.59999389629810485"/>
    <pageSetUpPr fitToPage="1"/>
  </sheetPr>
  <dimension ref="A1:R28"/>
  <sheetViews>
    <sheetView zoomScale="80" zoomScaleNormal="80" workbookViewId="0">
      <selection sqref="A1:N1"/>
    </sheetView>
  </sheetViews>
  <sheetFormatPr defaultColWidth="8.88671875" defaultRowHeight="15.75" x14ac:dyDescent="0.25"/>
  <cols>
    <col min="1" max="1" width="7.109375" style="4" customWidth="1"/>
    <col min="2" max="2" width="10.44140625" style="119" customWidth="1"/>
    <col min="3" max="3" width="11.88671875" style="119" customWidth="1"/>
    <col min="4" max="4" width="11.21875" style="119" customWidth="1"/>
    <col min="5" max="5" width="10.77734375" style="119" customWidth="1"/>
    <col min="6" max="6" width="11.109375" style="119" customWidth="1"/>
    <col min="7" max="7" width="9.88671875" style="119" bestFit="1" customWidth="1"/>
    <col min="8" max="8" width="8.88671875" style="119"/>
    <col min="9" max="9" width="9.88671875" style="119" bestFit="1" customWidth="1"/>
    <col min="10" max="11" width="9.88671875" style="119" customWidth="1"/>
    <col min="12" max="12" width="10.6640625" style="119" customWidth="1"/>
    <col min="13" max="13" width="10.21875" style="119" customWidth="1"/>
    <col min="14" max="14" width="13.5546875" style="119" customWidth="1"/>
    <col min="15" max="15" width="13.88671875" style="119" customWidth="1"/>
    <col min="16" max="16384" width="8.88671875" style="119"/>
  </cols>
  <sheetData>
    <row r="1" spans="1:18" ht="18.75" x14ac:dyDescent="0.3">
      <c r="A1" s="794" t="s">
        <v>5</v>
      </c>
      <c r="B1" s="794"/>
      <c r="C1" s="794"/>
      <c r="D1" s="794"/>
      <c r="E1" s="794"/>
      <c r="F1" s="794"/>
      <c r="G1" s="794"/>
      <c r="H1" s="794"/>
      <c r="I1" s="794"/>
      <c r="J1" s="794"/>
      <c r="K1" s="794"/>
      <c r="L1" s="794"/>
      <c r="M1" s="794"/>
      <c r="N1" s="794"/>
      <c r="O1" s="318"/>
      <c r="P1" s="318"/>
      <c r="Q1" s="318"/>
      <c r="R1" s="318"/>
    </row>
    <row r="2" spans="1:18" ht="18.75" x14ac:dyDescent="0.3">
      <c r="A2" s="795" t="s">
        <v>297</v>
      </c>
      <c r="B2" s="795"/>
      <c r="C2" s="795"/>
      <c r="D2" s="795"/>
      <c r="E2" s="795"/>
      <c r="F2" s="795"/>
      <c r="G2" s="795"/>
      <c r="H2" s="795"/>
      <c r="I2" s="795"/>
      <c r="J2" s="795"/>
      <c r="K2" s="795"/>
      <c r="L2" s="795"/>
      <c r="M2" s="795"/>
      <c r="N2" s="795"/>
      <c r="O2" s="256"/>
      <c r="P2" s="256"/>
      <c r="Q2" s="256"/>
      <c r="R2" s="256"/>
    </row>
    <row r="3" spans="1:18" ht="18.75" x14ac:dyDescent="0.3">
      <c r="A3" s="795" t="s">
        <v>451</v>
      </c>
      <c r="B3" s="795"/>
      <c r="C3" s="795"/>
      <c r="D3" s="795"/>
      <c r="E3" s="795"/>
      <c r="F3" s="795"/>
      <c r="G3" s="795"/>
      <c r="H3" s="795"/>
      <c r="I3" s="795"/>
      <c r="J3" s="795"/>
      <c r="K3" s="795"/>
      <c r="L3" s="795"/>
      <c r="M3" s="795"/>
      <c r="N3" s="795"/>
      <c r="O3" s="256"/>
      <c r="P3" s="256"/>
      <c r="Q3" s="256"/>
      <c r="R3" s="256"/>
    </row>
    <row r="4" spans="1:18" ht="18.75" x14ac:dyDescent="0.3">
      <c r="A4" s="795" t="str">
        <f>CONCATENATE("For Service Rendered On and After ",'Input Data'!$D$4)</f>
        <v>For Service Rendered On and After February 1, 2023</v>
      </c>
      <c r="B4" s="795"/>
      <c r="C4" s="795"/>
      <c r="D4" s="795"/>
      <c r="E4" s="795"/>
      <c r="F4" s="795"/>
      <c r="G4" s="795"/>
      <c r="H4" s="795"/>
      <c r="I4" s="795"/>
      <c r="J4" s="795"/>
      <c r="K4" s="795"/>
      <c r="L4" s="795"/>
      <c r="M4" s="795"/>
      <c r="N4" s="795"/>
      <c r="O4" s="256"/>
      <c r="P4" s="256"/>
      <c r="Q4" s="256"/>
      <c r="R4" s="256"/>
    </row>
    <row r="5" spans="1:18" x14ac:dyDescent="0.25">
      <c r="B5" s="321"/>
      <c r="C5" s="321"/>
      <c r="D5" s="321"/>
      <c r="E5" s="321"/>
      <c r="F5" s="321"/>
      <c r="G5" s="321"/>
      <c r="H5" s="321"/>
      <c r="I5" s="321"/>
      <c r="J5" s="321"/>
      <c r="K5" s="321"/>
      <c r="L5" s="321"/>
      <c r="M5" s="321"/>
      <c r="N5" s="321"/>
      <c r="O5" s="321"/>
      <c r="P5" s="321"/>
      <c r="Q5" s="321"/>
      <c r="R5" s="321"/>
    </row>
    <row r="6" spans="1:18" x14ac:dyDescent="0.25">
      <c r="B6" s="321"/>
      <c r="C6" s="321"/>
      <c r="D6" s="321"/>
      <c r="E6" s="321"/>
      <c r="F6" s="321"/>
      <c r="G6" s="321"/>
      <c r="H6" s="321"/>
      <c r="I6" s="321"/>
      <c r="J6" s="321"/>
      <c r="K6" s="321"/>
      <c r="L6" s="321"/>
      <c r="M6" s="321"/>
      <c r="N6" s="321"/>
      <c r="O6" s="321"/>
      <c r="P6" s="321"/>
      <c r="Q6" s="321"/>
      <c r="R6" s="321"/>
    </row>
    <row r="7" spans="1:18" x14ac:dyDescent="0.25">
      <c r="B7" s="4"/>
      <c r="C7" s="4"/>
      <c r="D7" s="4"/>
      <c r="E7" s="4"/>
      <c r="F7" s="4"/>
      <c r="G7" s="4"/>
      <c r="H7" s="4"/>
      <c r="I7" s="4"/>
      <c r="J7" s="4"/>
      <c r="K7" s="4"/>
      <c r="L7" s="4"/>
      <c r="M7" s="4"/>
      <c r="N7" s="4"/>
      <c r="O7" s="4"/>
      <c r="P7" s="4"/>
    </row>
    <row r="8" spans="1:18" x14ac:dyDescent="0.25">
      <c r="B8" s="4"/>
      <c r="C8" s="4"/>
      <c r="D8" s="320"/>
      <c r="E8" s="4"/>
      <c r="F8" s="4"/>
      <c r="G8" s="4"/>
      <c r="H8" s="4"/>
      <c r="I8" s="4"/>
      <c r="J8" s="4"/>
      <c r="K8" s="4"/>
      <c r="L8" s="4"/>
      <c r="M8" s="4"/>
      <c r="N8" s="4"/>
      <c r="O8" s="4"/>
      <c r="P8" s="320"/>
    </row>
    <row r="9" spans="1:18" x14ac:dyDescent="0.25">
      <c r="A9" s="320"/>
      <c r="B9" s="320"/>
      <c r="C9" s="320"/>
      <c r="D9" s="320"/>
      <c r="E9" s="320"/>
      <c r="F9" s="320"/>
      <c r="G9" s="320"/>
      <c r="H9" s="320"/>
      <c r="I9" s="174"/>
      <c r="J9" s="174"/>
      <c r="K9" s="174"/>
      <c r="L9" s="174"/>
      <c r="M9" s="320"/>
    </row>
    <row r="10" spans="1:18" ht="78.75" x14ac:dyDescent="0.25">
      <c r="A10" s="160" t="s">
        <v>247</v>
      </c>
      <c r="B10" s="309" t="s">
        <v>348</v>
      </c>
      <c r="C10" s="309" t="s">
        <v>0</v>
      </c>
      <c r="D10" s="317" t="s">
        <v>460</v>
      </c>
      <c r="E10" s="309" t="s">
        <v>461</v>
      </c>
      <c r="F10" s="316" t="s">
        <v>456</v>
      </c>
      <c r="G10" s="309" t="s">
        <v>452</v>
      </c>
      <c r="H10" s="309" t="s">
        <v>464</v>
      </c>
      <c r="I10" s="309" t="s">
        <v>453</v>
      </c>
      <c r="J10" s="309" t="s">
        <v>492</v>
      </c>
      <c r="K10" s="309" t="s">
        <v>465</v>
      </c>
      <c r="L10" s="309" t="s">
        <v>459</v>
      </c>
      <c r="M10" s="309" t="s">
        <v>454</v>
      </c>
      <c r="N10" s="309" t="s">
        <v>455</v>
      </c>
    </row>
    <row r="11" spans="1:18" ht="31.5" x14ac:dyDescent="0.25">
      <c r="B11" s="320" t="s">
        <v>60</v>
      </c>
      <c r="C11" s="320" t="s">
        <v>61</v>
      </c>
      <c r="D11" s="320" t="s">
        <v>62</v>
      </c>
      <c r="E11" s="416">
        <v>-4</v>
      </c>
      <c r="F11" s="417" t="s">
        <v>482</v>
      </c>
      <c r="G11" s="416">
        <v>-6</v>
      </c>
      <c r="H11" s="417">
        <v>-7</v>
      </c>
      <c r="I11" s="417" t="s">
        <v>111</v>
      </c>
      <c r="J11" s="416">
        <v>-9</v>
      </c>
      <c r="K11" s="416" t="s">
        <v>113</v>
      </c>
      <c r="L11" s="416" t="s">
        <v>375</v>
      </c>
      <c r="M11" s="416" t="s">
        <v>365</v>
      </c>
      <c r="N11" s="418" t="s">
        <v>466</v>
      </c>
    </row>
    <row r="12" spans="1:18" x14ac:dyDescent="0.25">
      <c r="B12" s="320"/>
      <c r="C12" s="161"/>
      <c r="D12" s="320"/>
      <c r="E12" s="419"/>
      <c r="G12" s="420"/>
      <c r="H12" s="420"/>
      <c r="I12" s="420"/>
      <c r="J12" s="420"/>
      <c r="K12" s="420"/>
      <c r="L12" s="420"/>
      <c r="M12" s="420"/>
      <c r="N12" s="18"/>
    </row>
    <row r="13" spans="1:18" x14ac:dyDescent="0.25">
      <c r="A13" s="320">
        <v>1</v>
      </c>
      <c r="B13" s="272">
        <f>'Input Data'!C7</f>
        <v>44774</v>
      </c>
      <c r="C13" s="320" t="str">
        <f>'Ex B-1 1 of 7'!C12</f>
        <v>2022-00180</v>
      </c>
      <c r="D13" s="421">
        <f>'TS-2 Data'!B5</f>
        <v>68067</v>
      </c>
      <c r="E13" s="621">
        <f>VLOOKUP(C13,'Case Database'!C3:K200,7)</f>
        <v>0.88339999999999996</v>
      </c>
      <c r="F13" s="422">
        <f>D13*E13</f>
        <v>60130.387799999997</v>
      </c>
      <c r="G13" s="353">
        <f>'TS-2 Data'!H5</f>
        <v>0</v>
      </c>
      <c r="H13" s="404">
        <f>'TS-2 Data'!P5</f>
        <v>256</v>
      </c>
      <c r="I13" s="423">
        <f>'TS-2 Data'!Q5</f>
        <v>1380.22</v>
      </c>
      <c r="J13" s="473">
        <f>'TS-2 Data'!T5</f>
        <v>4724</v>
      </c>
      <c r="K13" s="423">
        <f>'TS-2 Data'!U5</f>
        <v>45921.87</v>
      </c>
      <c r="L13" s="425">
        <f>'Input Data'!C84</f>
        <v>0</v>
      </c>
      <c r="M13" s="425">
        <f>'TS-2 Data'!I5</f>
        <v>0</v>
      </c>
      <c r="N13" s="250">
        <f>ROUND((F13+G13+I13+K13+L13+M13),0)</f>
        <v>107432</v>
      </c>
    </row>
    <row r="14" spans="1:18" x14ac:dyDescent="0.25">
      <c r="A14" s="320">
        <v>2</v>
      </c>
      <c r="B14" s="272">
        <f>EDATE(B13,1)</f>
        <v>44805</v>
      </c>
      <c r="C14" s="320" t="str">
        <f>C13</f>
        <v>2022-00180</v>
      </c>
      <c r="D14" s="421">
        <f>'TS-2 Data'!B6</f>
        <v>86339</v>
      </c>
      <c r="E14" s="426">
        <f>E13</f>
        <v>0.88339999999999996</v>
      </c>
      <c r="F14" s="422">
        <f>D14*E14</f>
        <v>76271.872600000002</v>
      </c>
      <c r="G14" s="353">
        <f>'TS-2 Data'!H6</f>
        <v>0</v>
      </c>
      <c r="H14" s="404">
        <f>'TS-2 Data'!P6</f>
        <v>0</v>
      </c>
      <c r="I14" s="423">
        <f>'TS-2 Data'!Q6</f>
        <v>0</v>
      </c>
      <c r="J14" s="473">
        <f>'TS-2 Data'!T6</f>
        <v>2568</v>
      </c>
      <c r="K14" s="423">
        <f>'TS-2 Data'!U6</f>
        <v>22811.8</v>
      </c>
      <c r="L14" s="425">
        <f>'Input Data'!D84</f>
        <v>0</v>
      </c>
      <c r="M14" s="425">
        <f>'TS-2 Data'!I6</f>
        <v>0</v>
      </c>
      <c r="N14" s="250">
        <f>ROUND((F14+G14+I14+K14+L14+M14),0)</f>
        <v>99084</v>
      </c>
    </row>
    <row r="15" spans="1:18" x14ac:dyDescent="0.25">
      <c r="A15" s="320">
        <v>3</v>
      </c>
      <c r="B15" s="358">
        <f>EDATE(B14,1)</f>
        <v>44835</v>
      </c>
      <c r="C15" s="311" t="str">
        <f>C13</f>
        <v>2022-00180</v>
      </c>
      <c r="D15" s="427">
        <f>'TS-2 Data'!B7</f>
        <v>80730</v>
      </c>
      <c r="E15" s="428">
        <f>E13</f>
        <v>0.88339999999999996</v>
      </c>
      <c r="F15" s="429">
        <f>D15*E15</f>
        <v>71316.881999999998</v>
      </c>
      <c r="G15" s="354">
        <f>'TS-2 Data'!H7</f>
        <v>0</v>
      </c>
      <c r="H15" s="430">
        <f>'TS-2 Data'!P7</f>
        <v>168</v>
      </c>
      <c r="I15" s="431">
        <f>'TS-2 Data'!Q7</f>
        <v>1492.36</v>
      </c>
      <c r="J15" s="474">
        <f>'TS-2 Data'!T7</f>
        <v>276</v>
      </c>
      <c r="K15" s="431">
        <f>'TS-2 Data'!U7</f>
        <v>1901.84</v>
      </c>
      <c r="L15" s="433">
        <f>'Input Data'!E84</f>
        <v>0</v>
      </c>
      <c r="M15" s="433">
        <f>'TS-2 Data'!I7</f>
        <v>0</v>
      </c>
      <c r="N15" s="434">
        <f>ROUND((F15+G15+I15+K15+L15+M15),0)</f>
        <v>74711</v>
      </c>
    </row>
    <row r="16" spans="1:18" x14ac:dyDescent="0.25">
      <c r="B16" s="320"/>
      <c r="C16" s="320"/>
      <c r="D16" s="320"/>
      <c r="E16" s="435"/>
      <c r="F16" s="436"/>
      <c r="G16" s="435"/>
      <c r="H16" s="435"/>
      <c r="I16" s="437"/>
      <c r="J16" s="437"/>
      <c r="K16" s="437"/>
      <c r="L16" s="435"/>
      <c r="M16" s="435"/>
      <c r="N16" s="436"/>
      <c r="O16" s="101"/>
      <c r="P16" s="101"/>
      <c r="Q16" s="310"/>
      <c r="R16" s="250"/>
    </row>
    <row r="17" spans="1:18" x14ac:dyDescent="0.25">
      <c r="A17" s="320">
        <v>4</v>
      </c>
      <c r="B17" s="320"/>
      <c r="C17" s="320"/>
      <c r="D17" s="320"/>
      <c r="E17" s="435"/>
      <c r="F17" s="436"/>
      <c r="G17" s="435"/>
      <c r="H17" s="435"/>
      <c r="L17" s="435"/>
      <c r="M17" s="162" t="s">
        <v>380</v>
      </c>
      <c r="N17" s="250">
        <f>SUM(N13:N15)</f>
        <v>281227</v>
      </c>
      <c r="P17" s="162"/>
      <c r="Q17" s="156"/>
      <c r="R17" s="250"/>
    </row>
    <row r="18" spans="1:18" x14ac:dyDescent="0.25">
      <c r="B18" s="167"/>
      <c r="C18" s="4"/>
      <c r="D18" s="163"/>
      <c r="E18" s="164"/>
      <c r="F18" s="165"/>
      <c r="G18" s="164"/>
      <c r="H18" s="164"/>
      <c r="I18" s="166"/>
      <c r="J18" s="166"/>
      <c r="K18" s="166"/>
      <c r="L18" s="164"/>
      <c r="M18" s="164"/>
      <c r="N18" s="165"/>
      <c r="O18" s="39"/>
      <c r="P18" s="39"/>
      <c r="Q18" s="39"/>
      <c r="R18" s="20"/>
    </row>
    <row r="19" spans="1:18" x14ac:dyDescent="0.25">
      <c r="B19" s="167"/>
      <c r="C19" s="4"/>
      <c r="D19" s="163"/>
      <c r="E19" s="164"/>
      <c r="F19" s="165"/>
      <c r="G19" s="164"/>
      <c r="H19" s="164"/>
      <c r="I19" s="166"/>
      <c r="J19" s="166"/>
      <c r="K19" s="166"/>
      <c r="L19" s="4"/>
      <c r="M19" s="4"/>
    </row>
    <row r="20" spans="1:18" x14ac:dyDescent="0.25">
      <c r="B20" s="167"/>
      <c r="C20" s="4"/>
      <c r="D20" s="163"/>
      <c r="E20" s="164"/>
      <c r="F20" s="165"/>
      <c r="G20" s="164"/>
      <c r="H20" s="164"/>
      <c r="I20" s="166"/>
      <c r="J20" s="166"/>
      <c r="K20" s="166"/>
      <c r="L20" s="4"/>
      <c r="M20" s="4"/>
    </row>
    <row r="21" spans="1:18" x14ac:dyDescent="0.25">
      <c r="B21" s="167"/>
      <c r="C21" s="4"/>
      <c r="D21" s="163"/>
      <c r="E21" s="164"/>
      <c r="F21" s="165"/>
      <c r="G21" s="164"/>
      <c r="H21" s="164"/>
      <c r="I21" s="166"/>
      <c r="J21" s="166"/>
      <c r="K21" s="166"/>
      <c r="L21" s="4"/>
      <c r="M21" s="4"/>
    </row>
    <row r="22" spans="1:18" x14ac:dyDescent="0.25">
      <c r="B22" s="167"/>
      <c r="C22" s="4"/>
      <c r="D22" s="163"/>
      <c r="E22" s="164"/>
      <c r="F22" s="165"/>
      <c r="G22" s="164"/>
      <c r="H22" s="164"/>
      <c r="I22" s="166"/>
      <c r="J22" s="166"/>
      <c r="K22" s="166"/>
      <c r="L22" s="4"/>
      <c r="M22" s="4"/>
    </row>
    <row r="23" spans="1:18" x14ac:dyDescent="0.25">
      <c r="B23" s="167"/>
      <c r="C23" s="4"/>
      <c r="D23" s="163"/>
      <c r="E23" s="164"/>
      <c r="F23" s="165"/>
      <c r="G23" s="164"/>
      <c r="H23" s="164"/>
      <c r="I23" s="166"/>
      <c r="J23" s="166"/>
      <c r="K23" s="166"/>
      <c r="L23" s="4"/>
      <c r="M23" s="4"/>
    </row>
    <row r="24" spans="1:18" x14ac:dyDescent="0.25">
      <c r="B24" s="168" t="s">
        <v>480</v>
      </c>
      <c r="C24" s="4"/>
      <c r="D24" s="4"/>
      <c r="E24" s="4"/>
      <c r="F24" s="4"/>
      <c r="G24" s="4"/>
      <c r="H24" s="4"/>
      <c r="I24" s="4"/>
      <c r="J24" s="4"/>
      <c r="K24" s="166"/>
      <c r="L24" s="4"/>
      <c r="M24" s="4"/>
    </row>
    <row r="25" spans="1:18" x14ac:dyDescent="0.25">
      <c r="B25" s="4"/>
      <c r="C25" s="168" t="s">
        <v>481</v>
      </c>
      <c r="D25" s="4"/>
      <c r="E25" s="4"/>
      <c r="F25" s="4"/>
      <c r="G25" s="4"/>
      <c r="H25" s="4"/>
      <c r="I25" s="169"/>
      <c r="J25" s="19"/>
      <c r="K25" s="166"/>
      <c r="L25" s="4"/>
      <c r="M25" s="4"/>
    </row>
    <row r="26" spans="1:18" x14ac:dyDescent="0.25">
      <c r="B26" s="4"/>
      <c r="C26" s="4"/>
      <c r="D26" s="4"/>
      <c r="E26" s="4"/>
      <c r="F26" s="4"/>
      <c r="G26" s="4"/>
      <c r="H26" s="4"/>
      <c r="I26" s="169"/>
      <c r="J26" s="19"/>
    </row>
    <row r="27" spans="1:18" x14ac:dyDescent="0.25">
      <c r="B27" s="168" t="s">
        <v>88</v>
      </c>
      <c r="C27" s="4"/>
      <c r="D27" s="4"/>
      <c r="E27" s="4"/>
      <c r="F27" s="4"/>
      <c r="G27" s="4"/>
      <c r="H27" s="4"/>
      <c r="I27" s="169"/>
      <c r="J27" s="19"/>
    </row>
    <row r="28" spans="1:18" x14ac:dyDescent="0.25">
      <c r="B28" s="4"/>
      <c r="C28" s="168" t="s">
        <v>89</v>
      </c>
      <c r="D28" s="4"/>
      <c r="E28" s="4"/>
      <c r="F28" s="4"/>
      <c r="G28" s="4"/>
      <c r="H28" s="4"/>
      <c r="I28" s="169"/>
      <c r="J28" s="19"/>
    </row>
  </sheetData>
  <mergeCells count="4">
    <mergeCell ref="A1:N1"/>
    <mergeCell ref="A2:N2"/>
    <mergeCell ref="A3:N3"/>
    <mergeCell ref="A4:N4"/>
  </mergeCells>
  <pageMargins left="0.7" right="0.7" top="0.75" bottom="0.75" header="0.3" footer="0.3"/>
  <pageSetup scale="70" orientation="landscape" r:id="rId1"/>
  <headerFooter>
    <oddFooter>&amp;R&amp;"Times New Roman,Bold"Exhibit B-1
Page 3 of 7&amp;L&amp;1#&amp;"Calibri"&amp;14&amp;K000000Confidential</oddFooter>
  </headerFooter>
  <customProperties>
    <customPr name="_pios_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dimension ref="A1:XFC105"/>
  <sheetViews>
    <sheetView topLeftCell="A4" zoomScale="70" zoomScaleNormal="70" zoomScaleSheetLayoutView="50" workbookViewId="0">
      <selection activeCell="I41" sqref="I41"/>
    </sheetView>
  </sheetViews>
  <sheetFormatPr defaultColWidth="8.88671875" defaultRowHeight="18.75" x14ac:dyDescent="0.3"/>
  <cols>
    <col min="1" max="1" width="10.88671875" style="274" customWidth="1"/>
    <col min="2" max="2" width="17.77734375" style="274" customWidth="1"/>
    <col min="3" max="3" width="10.77734375" style="274" customWidth="1"/>
    <col min="4" max="4" width="4.77734375" style="274" customWidth="1"/>
    <col min="5" max="5" width="9.109375" style="274" customWidth="1"/>
    <col min="6" max="6" width="5" style="274" customWidth="1"/>
    <col min="7" max="7" width="9.109375" style="274" bestFit="1" customWidth="1"/>
    <col min="8" max="8" width="8.88671875" style="274"/>
    <col min="9" max="9" width="17.77734375" style="274" customWidth="1"/>
    <col min="10" max="10" width="10.77734375" style="274" customWidth="1"/>
    <col min="11" max="11" width="4.6640625" style="274" customWidth="1"/>
    <col min="12" max="12" width="10.44140625" style="274" customWidth="1"/>
    <col min="13" max="13" width="4.77734375" style="274" customWidth="1"/>
    <col min="14" max="14" width="9.109375" style="274" bestFit="1" customWidth="1"/>
    <col min="15" max="15" width="8.88671875" style="274"/>
    <col min="16" max="16" width="17.77734375" style="274" customWidth="1"/>
    <col min="17" max="17" width="10.77734375" style="274" customWidth="1"/>
    <col min="18" max="18" width="4.6640625" style="274" customWidth="1"/>
    <col min="19" max="19" width="10" style="274" customWidth="1"/>
    <col min="20" max="20" width="4.77734375" style="274" customWidth="1"/>
    <col min="21" max="21" width="9.109375" style="274" bestFit="1" customWidth="1"/>
    <col min="22" max="16384" width="8.88671875" style="274"/>
  </cols>
  <sheetData>
    <row r="1" spans="2:23 16383:16383" x14ac:dyDescent="0.3">
      <c r="B1" s="182" t="s">
        <v>494</v>
      </c>
      <c r="D1" s="176"/>
      <c r="E1" s="176"/>
      <c r="F1" s="176"/>
      <c r="G1" s="176"/>
      <c r="H1" s="176"/>
      <c r="I1" s="176"/>
      <c r="J1" s="176"/>
      <c r="K1" s="176"/>
      <c r="L1" s="176"/>
      <c r="M1" s="176"/>
      <c r="N1" s="176"/>
      <c r="O1" s="176"/>
    </row>
    <row r="2" spans="2:23 16383:16383" ht="19.5" x14ac:dyDescent="0.35">
      <c r="B2" s="176"/>
      <c r="C2" s="176"/>
      <c r="D2" s="176"/>
      <c r="E2" s="176"/>
      <c r="F2" s="176"/>
      <c r="G2" s="176"/>
      <c r="H2" s="275"/>
      <c r="I2" s="275"/>
      <c r="J2" s="176"/>
      <c r="K2"/>
      <c r="L2"/>
      <c r="M2"/>
      <c r="N2"/>
      <c r="O2" s="176"/>
      <c r="XFC2" s="710"/>
    </row>
    <row r="3" spans="2:23 16383:16383" x14ac:dyDescent="0.3">
      <c r="B3" s="176" t="s">
        <v>397</v>
      </c>
      <c r="C3" s="176"/>
      <c r="D3" s="176"/>
      <c r="E3" s="176"/>
      <c r="F3" s="176"/>
      <c r="G3" s="176"/>
      <c r="H3" s="176"/>
      <c r="I3" s="176"/>
      <c r="J3" s="176"/>
      <c r="K3" s="176"/>
      <c r="L3" s="176"/>
      <c r="M3" s="176"/>
      <c r="N3" s="176"/>
      <c r="O3" s="176"/>
      <c r="Q3" s="333"/>
    </row>
    <row r="4" spans="2:23 16383:16383" x14ac:dyDescent="0.3">
      <c r="B4" s="176"/>
      <c r="C4" s="176"/>
      <c r="D4" s="176"/>
      <c r="E4" s="176"/>
      <c r="F4" s="176"/>
      <c r="G4" s="176"/>
      <c r="H4" s="176"/>
      <c r="I4" s="176"/>
      <c r="J4" s="176"/>
      <c r="K4" s="176"/>
      <c r="L4" s="176"/>
      <c r="M4" s="176"/>
      <c r="N4" s="176"/>
      <c r="O4" s="176"/>
      <c r="P4" s="176"/>
      <c r="Q4" s="176"/>
      <c r="R4" s="176"/>
      <c r="S4" s="176"/>
      <c r="T4" s="176"/>
      <c r="U4" s="176"/>
    </row>
    <row r="5" spans="2:23 16383:16383" x14ac:dyDescent="0.3">
      <c r="B5" s="176"/>
      <c r="C5" s="288">
        <f>EOMONTH(J5,-3)</f>
        <v>44895</v>
      </c>
      <c r="D5" s="176"/>
      <c r="E5" s="176"/>
      <c r="F5" s="176"/>
      <c r="G5" s="176"/>
      <c r="H5" s="176"/>
      <c r="I5" s="176"/>
      <c r="J5" s="288">
        <f>'Input Data'!C4</f>
        <v>44958</v>
      </c>
      <c r="K5" s="176" t="s">
        <v>398</v>
      </c>
      <c r="L5" s="176"/>
      <c r="M5" s="176"/>
      <c r="N5" s="176"/>
      <c r="O5" s="176"/>
      <c r="P5" s="176"/>
      <c r="Q5" s="288">
        <f>EOMONTH(J5,-12)</f>
        <v>44620</v>
      </c>
      <c r="R5" s="176" t="s">
        <v>399</v>
      </c>
      <c r="S5" s="176"/>
      <c r="T5" s="176"/>
      <c r="U5" s="176"/>
    </row>
    <row r="6" spans="2:23 16383:16383" ht="6.75" customHeight="1" x14ac:dyDescent="0.3">
      <c r="B6" s="176"/>
      <c r="C6" s="176"/>
      <c r="D6" s="176"/>
      <c r="E6" s="176"/>
      <c r="F6" s="176"/>
      <c r="G6" s="176"/>
      <c r="H6" s="176"/>
      <c r="I6" s="176"/>
      <c r="J6" s="176"/>
      <c r="K6" s="176"/>
      <c r="L6" s="176"/>
      <c r="M6" s="176"/>
      <c r="N6" s="176"/>
      <c r="O6" s="176"/>
      <c r="P6" s="176"/>
      <c r="Q6" s="176"/>
      <c r="R6" s="176"/>
      <c r="S6" s="176"/>
      <c r="T6" s="176"/>
      <c r="U6" s="176"/>
    </row>
    <row r="7" spans="2:23 16383:16383" x14ac:dyDescent="0.3">
      <c r="B7" s="176"/>
      <c r="C7" s="176" t="s">
        <v>400</v>
      </c>
      <c r="D7" s="176"/>
      <c r="E7" s="176"/>
      <c r="F7" s="176"/>
      <c r="G7" s="743">
        <f>0.65*365/12</f>
        <v>19.770833333333332</v>
      </c>
      <c r="H7" s="176"/>
      <c r="I7" s="176"/>
      <c r="J7" s="176" t="s">
        <v>400</v>
      </c>
      <c r="K7" s="176"/>
      <c r="L7" s="176"/>
      <c r="M7" s="176"/>
      <c r="N7" s="743">
        <f>0.65*365/12</f>
        <v>19.770833333333332</v>
      </c>
      <c r="O7" s="176"/>
      <c r="P7" s="176"/>
      <c r="Q7" s="176" t="s">
        <v>400</v>
      </c>
      <c r="R7" s="176"/>
      <c r="S7" s="176"/>
      <c r="T7" s="176"/>
      <c r="U7" s="743">
        <f>0.65*365/12</f>
        <v>19.770833333333332</v>
      </c>
    </row>
    <row r="8" spans="2:23 16383:16383" x14ac:dyDescent="0.3">
      <c r="B8" s="176"/>
      <c r="C8" s="176"/>
      <c r="D8" s="176"/>
      <c r="E8" s="176"/>
      <c r="F8" s="176"/>
      <c r="G8" s="176"/>
      <c r="H8" s="176"/>
      <c r="I8" s="176"/>
      <c r="J8" s="176"/>
      <c r="K8" s="176"/>
      <c r="L8" s="176"/>
      <c r="M8" s="176"/>
      <c r="N8" s="176"/>
      <c r="O8" s="176"/>
      <c r="P8" s="176"/>
      <c r="Q8" s="176"/>
      <c r="R8" s="176"/>
      <c r="S8" s="176"/>
      <c r="T8" s="176"/>
      <c r="U8" s="176"/>
    </row>
    <row r="9" spans="2:23 16383:16383" x14ac:dyDescent="0.3">
      <c r="B9" s="176" t="s">
        <v>401</v>
      </c>
      <c r="C9" s="456">
        <v>60</v>
      </c>
      <c r="D9" s="498" t="s">
        <v>402</v>
      </c>
      <c r="E9" s="740">
        <v>0.51809000000000005</v>
      </c>
      <c r="F9" s="562" t="s">
        <v>403</v>
      </c>
      <c r="G9" s="278">
        <f>ROUND(C9*E9,2)</f>
        <v>31.09</v>
      </c>
      <c r="H9" s="176"/>
      <c r="I9" s="176" t="s">
        <v>401</v>
      </c>
      <c r="J9" s="176">
        <f>$C$9</f>
        <v>60</v>
      </c>
      <c r="K9" s="562" t="s">
        <v>402</v>
      </c>
      <c r="L9" s="740">
        <v>0.51809000000000005</v>
      </c>
      <c r="M9" s="562" t="s">
        <v>403</v>
      </c>
      <c r="N9" s="278">
        <f>ROUND(J9*L9,2)</f>
        <v>31.09</v>
      </c>
      <c r="O9" s="176"/>
      <c r="P9" s="176" t="s">
        <v>401</v>
      </c>
      <c r="Q9" s="176">
        <f>$C$9</f>
        <v>60</v>
      </c>
      <c r="R9" s="562" t="s">
        <v>402</v>
      </c>
      <c r="S9" s="740">
        <v>0.51809000000000005</v>
      </c>
      <c r="T9" s="562" t="s">
        <v>403</v>
      </c>
      <c r="U9" s="278">
        <f>ROUND(Q9*S9,2)</f>
        <v>31.09</v>
      </c>
    </row>
    <row r="10" spans="2:23 16383:16383" x14ac:dyDescent="0.3">
      <c r="B10" s="176"/>
      <c r="C10" s="176"/>
      <c r="D10" s="176"/>
      <c r="E10" s="279"/>
      <c r="F10" s="176"/>
      <c r="G10" s="278"/>
      <c r="H10" s="176"/>
      <c r="I10" s="176"/>
      <c r="J10" s="176"/>
      <c r="K10" s="176"/>
      <c r="L10" s="279"/>
      <c r="M10" s="176"/>
      <c r="N10" s="278"/>
      <c r="O10" s="176"/>
      <c r="P10" s="176"/>
      <c r="Q10" s="176"/>
      <c r="R10" s="176"/>
      <c r="S10" s="279"/>
      <c r="T10" s="176"/>
      <c r="U10" s="278"/>
    </row>
    <row r="11" spans="2:23 16383:16383" x14ac:dyDescent="0.3">
      <c r="B11" s="176" t="s">
        <v>213</v>
      </c>
      <c r="C11" s="176">
        <f>$C$9</f>
        <v>60</v>
      </c>
      <c r="D11" s="498" t="s">
        <v>402</v>
      </c>
      <c r="E11" s="740">
        <v>0.97568999999999995</v>
      </c>
      <c r="F11" s="562" t="s">
        <v>403</v>
      </c>
      <c r="G11" s="278">
        <f>ROUND(C11*E11,2)</f>
        <v>58.54</v>
      </c>
      <c r="H11" s="176"/>
      <c r="I11" s="176" t="s">
        <v>213</v>
      </c>
      <c r="J11" s="176">
        <f>$C$9</f>
        <v>60</v>
      </c>
      <c r="K11" s="562" t="s">
        <v>402</v>
      </c>
      <c r="L11" s="289">
        <f>'Summary Sheet'!K59</f>
        <v>0.77037999999999995</v>
      </c>
      <c r="M11" s="562" t="s">
        <v>403</v>
      </c>
      <c r="N11" s="278">
        <f>ROUND(J11*L11,2)</f>
        <v>46.22</v>
      </c>
      <c r="O11" s="176"/>
      <c r="P11" s="176" t="s">
        <v>213</v>
      </c>
      <c r="Q11" s="176">
        <f>$C$9</f>
        <v>60</v>
      </c>
      <c r="R11" s="562" t="s">
        <v>402</v>
      </c>
      <c r="S11" s="740">
        <v>0.51673999999999998</v>
      </c>
      <c r="T11" s="562" t="s">
        <v>403</v>
      </c>
      <c r="U11" s="278">
        <f>ROUND(Q11*S11,2)</f>
        <v>31</v>
      </c>
      <c r="V11" s="280"/>
      <c r="W11" s="281"/>
    </row>
    <row r="12" spans="2:23 16383:16383" x14ac:dyDescent="0.3">
      <c r="B12" s="176"/>
      <c r="C12" s="176"/>
      <c r="D12" s="176"/>
      <c r="E12" s="279"/>
      <c r="F12" s="176"/>
      <c r="G12" s="176"/>
      <c r="H12" s="176"/>
      <c r="I12" s="176"/>
      <c r="J12" s="176"/>
      <c r="K12" s="176"/>
      <c r="L12" s="279"/>
      <c r="M12" s="176"/>
      <c r="N12" s="176"/>
      <c r="O12" s="176"/>
      <c r="P12" s="176"/>
      <c r="Q12" s="176"/>
      <c r="R12" s="176"/>
      <c r="S12" s="279"/>
      <c r="T12" s="176"/>
      <c r="U12" s="176"/>
      <c r="V12" s="280"/>
      <c r="W12" s="281"/>
    </row>
    <row r="13" spans="2:23 16383:16383" x14ac:dyDescent="0.3">
      <c r="B13" s="176" t="s">
        <v>404</v>
      </c>
      <c r="C13" s="176">
        <f>$C$9</f>
        <v>60</v>
      </c>
      <c r="D13" s="498" t="s">
        <v>405</v>
      </c>
      <c r="E13" s="740">
        <v>4.1200000000000004E-3</v>
      </c>
      <c r="F13" s="562" t="s">
        <v>403</v>
      </c>
      <c r="G13" s="278">
        <f>ROUND(C13*E13,2)</f>
        <v>0.25</v>
      </c>
      <c r="H13" s="176"/>
      <c r="I13" s="176" t="s">
        <v>404</v>
      </c>
      <c r="J13" s="176">
        <f>$C$9</f>
        <v>60</v>
      </c>
      <c r="K13" s="562" t="s">
        <v>405</v>
      </c>
      <c r="L13" s="740">
        <v>4.2199999999999998E-3</v>
      </c>
      <c r="M13" s="562" t="s">
        <v>403</v>
      </c>
      <c r="N13" s="278">
        <f>ROUND(J13*L13,2)</f>
        <v>0.25</v>
      </c>
      <c r="O13" s="176"/>
      <c r="P13" s="176" t="s">
        <v>404</v>
      </c>
      <c r="Q13" s="176">
        <f>$C$9</f>
        <v>60</v>
      </c>
      <c r="R13" s="562" t="s">
        <v>405</v>
      </c>
      <c r="S13" s="740">
        <v>2.31E-3</v>
      </c>
      <c r="T13" s="562" t="s">
        <v>403</v>
      </c>
      <c r="U13" s="278">
        <f>ROUND(Q13*S13,2)</f>
        <v>0.14000000000000001</v>
      </c>
    </row>
    <row r="14" spans="2:23 16383:16383" x14ac:dyDescent="0.3">
      <c r="B14" s="176"/>
      <c r="C14" s="176"/>
      <c r="D14" s="176"/>
      <c r="E14" s="279"/>
      <c r="F14" s="176"/>
      <c r="G14" s="276"/>
      <c r="H14" s="176"/>
      <c r="I14" s="176"/>
      <c r="J14" s="176"/>
      <c r="K14" s="176"/>
      <c r="L14" s="279"/>
      <c r="M14" s="176"/>
      <c r="N14" s="276"/>
      <c r="O14" s="176"/>
      <c r="P14" s="176"/>
      <c r="Q14" s="176"/>
      <c r="R14" s="176"/>
      <c r="S14" s="176"/>
      <c r="T14" s="176"/>
      <c r="U14" s="276"/>
    </row>
    <row r="15" spans="2:23 16383:16383" ht="37.5" x14ac:dyDescent="0.3">
      <c r="B15" s="480" t="s">
        <v>607</v>
      </c>
      <c r="C15" s="176">
        <v>60</v>
      </c>
      <c r="D15" s="498" t="s">
        <v>402</v>
      </c>
      <c r="E15" s="740">
        <v>2.5600000000000002E-3</v>
      </c>
      <c r="F15" s="562" t="s">
        <v>403</v>
      </c>
      <c r="G15" s="278">
        <f>ROUND(C15*E15,2)</f>
        <v>0.15</v>
      </c>
      <c r="H15" s="176"/>
      <c r="I15" s="480" t="s">
        <v>607</v>
      </c>
      <c r="J15" s="176">
        <v>60</v>
      </c>
      <c r="K15" s="562" t="s">
        <v>402</v>
      </c>
      <c r="L15" s="740">
        <v>2.5600000000000002E-3</v>
      </c>
      <c r="M15" s="562" t="s">
        <v>403</v>
      </c>
      <c r="N15" s="278">
        <f>ROUND(J15*L15,2)</f>
        <v>0.15</v>
      </c>
      <c r="O15" s="176"/>
      <c r="P15" s="480" t="s">
        <v>607</v>
      </c>
      <c r="Q15" s="176">
        <v>60</v>
      </c>
      <c r="R15" s="562" t="s">
        <v>402</v>
      </c>
      <c r="S15" s="740">
        <v>2.988E-2</v>
      </c>
      <c r="T15" s="562" t="s">
        <v>403</v>
      </c>
      <c r="U15" s="278">
        <f>ROUND(Q15*S15,2)</f>
        <v>1.79</v>
      </c>
    </row>
    <row r="16" spans="2:23 16383:16383" hidden="1" x14ac:dyDescent="0.3">
      <c r="B16" s="176"/>
      <c r="C16" s="176"/>
      <c r="D16" s="176"/>
      <c r="E16" s="279"/>
      <c r="F16" s="176"/>
      <c r="G16" s="276"/>
      <c r="H16" s="176"/>
      <c r="I16" s="176"/>
      <c r="J16" s="176"/>
      <c r="K16" s="176"/>
      <c r="L16" s="279"/>
      <c r="M16" s="176"/>
      <c r="N16" s="276"/>
      <c r="O16" s="176"/>
      <c r="P16" s="176"/>
      <c r="Q16" s="176"/>
      <c r="R16" s="176"/>
      <c r="S16" s="176"/>
      <c r="T16" s="176"/>
      <c r="U16" s="276"/>
    </row>
    <row r="17" spans="1:21" hidden="1" x14ac:dyDescent="0.3">
      <c r="B17" s="176" t="s">
        <v>591</v>
      </c>
      <c r="C17" s="176">
        <v>60</v>
      </c>
      <c r="D17" s="498" t="s">
        <v>402</v>
      </c>
      <c r="E17" s="277">
        <v>0</v>
      </c>
      <c r="F17" s="562" t="s">
        <v>403</v>
      </c>
      <c r="G17" s="278">
        <f>ROUND(C17*E17,2)</f>
        <v>0</v>
      </c>
      <c r="H17" s="176"/>
      <c r="I17" s="176" t="s">
        <v>591</v>
      </c>
      <c r="J17" s="176">
        <v>60</v>
      </c>
      <c r="K17" s="562" t="s">
        <v>402</v>
      </c>
      <c r="L17" s="277">
        <v>0</v>
      </c>
      <c r="M17" s="562" t="s">
        <v>403</v>
      </c>
      <c r="N17" s="278">
        <f>ROUND(J17*L17,2)</f>
        <v>0</v>
      </c>
      <c r="O17" s="176"/>
      <c r="P17" s="176" t="s">
        <v>591</v>
      </c>
      <c r="Q17" s="176">
        <v>60</v>
      </c>
      <c r="R17" s="562" t="s">
        <v>402</v>
      </c>
      <c r="S17" s="277">
        <v>0</v>
      </c>
      <c r="T17" s="562" t="s">
        <v>403</v>
      </c>
      <c r="U17" s="278">
        <f>ROUND(Q17*S17,2)</f>
        <v>0</v>
      </c>
    </row>
    <row r="18" spans="1:21" x14ac:dyDescent="0.3">
      <c r="B18" s="176"/>
      <c r="C18" s="176"/>
      <c r="D18" s="176"/>
      <c r="E18" s="279"/>
      <c r="F18" s="176"/>
      <c r="G18" s="276"/>
      <c r="H18" s="176"/>
      <c r="I18" s="176"/>
      <c r="J18" s="176"/>
      <c r="K18" s="176"/>
      <c r="L18" s="279"/>
      <c r="M18" s="176"/>
      <c r="N18" s="276"/>
      <c r="O18" s="176"/>
      <c r="P18" s="176"/>
      <c r="Q18" s="176"/>
      <c r="R18" s="176"/>
      <c r="S18" s="176"/>
      <c r="T18" s="176"/>
      <c r="U18" s="276"/>
    </row>
    <row r="19" spans="1:21" ht="37.5" x14ac:dyDescent="0.3">
      <c r="B19" s="480" t="s">
        <v>756</v>
      </c>
      <c r="C19" s="176">
        <v>60</v>
      </c>
      <c r="D19" s="680" t="s">
        <v>402</v>
      </c>
      <c r="E19" s="741">
        <v>0</v>
      </c>
      <c r="F19" s="680" t="s">
        <v>403</v>
      </c>
      <c r="G19" s="278">
        <f>ROUND(C19*E19,2)</f>
        <v>0</v>
      </c>
      <c r="H19" s="176"/>
      <c r="I19" s="480" t="s">
        <v>756</v>
      </c>
      <c r="J19" s="176">
        <v>60</v>
      </c>
      <c r="K19" s="680" t="s">
        <v>402</v>
      </c>
      <c r="L19" s="741">
        <v>0</v>
      </c>
      <c r="M19" s="680" t="s">
        <v>403</v>
      </c>
      <c r="N19" s="278">
        <f>ROUND(J19*L19,2)</f>
        <v>0</v>
      </c>
      <c r="O19" s="176"/>
      <c r="P19" s="480" t="s">
        <v>756</v>
      </c>
      <c r="Q19" s="176">
        <v>60</v>
      </c>
      <c r="R19" s="712" t="s">
        <v>402</v>
      </c>
      <c r="S19" s="741">
        <v>-6.1900000000000002E-3</v>
      </c>
      <c r="T19" s="712" t="s">
        <v>403</v>
      </c>
      <c r="U19" s="278">
        <f>ROUND(Q19*S19,2)</f>
        <v>-0.37</v>
      </c>
    </row>
    <row r="20" spans="1:21" x14ac:dyDescent="0.3">
      <c r="B20" s="176"/>
      <c r="C20" s="176"/>
      <c r="D20" s="176"/>
      <c r="E20" s="279"/>
      <c r="F20" s="176"/>
      <c r="G20" s="276"/>
      <c r="H20" s="176"/>
      <c r="I20" s="176"/>
      <c r="J20" s="176"/>
      <c r="K20" s="176"/>
      <c r="L20" s="279"/>
      <c r="M20" s="176"/>
      <c r="N20" s="276"/>
      <c r="O20" s="176"/>
      <c r="P20" s="176"/>
      <c r="Q20" s="176"/>
      <c r="R20" s="176"/>
      <c r="S20" s="176"/>
      <c r="T20" s="176"/>
      <c r="U20" s="276"/>
    </row>
    <row r="21" spans="1:21" x14ac:dyDescent="0.3">
      <c r="B21" s="176"/>
      <c r="C21" s="176" t="s">
        <v>406</v>
      </c>
      <c r="D21" s="176"/>
      <c r="E21" s="176"/>
      <c r="F21" s="176"/>
      <c r="G21" s="278">
        <f>ROUND(SUM(G7:G19),2)</f>
        <v>109.8</v>
      </c>
      <c r="H21" s="176"/>
      <c r="I21" s="176"/>
      <c r="J21" s="176" t="s">
        <v>406</v>
      </c>
      <c r="K21" s="176"/>
      <c r="L21" s="176"/>
      <c r="M21" s="176"/>
      <c r="N21" s="278">
        <f>ROUND(SUM(N7:N19),2)</f>
        <v>97.48</v>
      </c>
      <c r="O21" s="176"/>
      <c r="P21" s="176"/>
      <c r="Q21" s="176" t="s">
        <v>406</v>
      </c>
      <c r="R21" s="176"/>
      <c r="S21" s="176"/>
      <c r="T21" s="176"/>
      <c r="U21" s="278">
        <f>ROUND(SUM(U7:U19),2)</f>
        <v>83.42</v>
      </c>
    </row>
    <row r="22" spans="1:21" x14ac:dyDescent="0.3">
      <c r="B22" s="176"/>
      <c r="C22" s="176"/>
      <c r="D22" s="176"/>
      <c r="E22" s="176"/>
      <c r="F22" s="176"/>
      <c r="G22" s="278"/>
      <c r="H22" s="176"/>
      <c r="I22" s="176"/>
      <c r="J22" s="176"/>
      <c r="K22" s="176"/>
      <c r="L22" s="176"/>
      <c r="M22" s="176"/>
      <c r="N22" s="278"/>
      <c r="O22" s="176"/>
      <c r="P22" s="176"/>
      <c r="Q22" s="176"/>
      <c r="R22" s="176"/>
      <c r="S22" s="176"/>
      <c r="T22" s="176"/>
      <c r="U22" s="278"/>
    </row>
    <row r="23" spans="1:21" x14ac:dyDescent="0.3">
      <c r="B23" s="176" t="s">
        <v>606</v>
      </c>
      <c r="C23" s="278"/>
      <c r="D23" s="176"/>
      <c r="E23" s="176"/>
      <c r="F23" s="176"/>
      <c r="G23" s="742">
        <v>1.39</v>
      </c>
      <c r="H23" s="176"/>
      <c r="I23" s="176" t="s">
        <v>606</v>
      </c>
      <c r="J23" s="278"/>
      <c r="K23" s="176"/>
      <c r="L23" s="176"/>
      <c r="M23" s="176"/>
      <c r="N23" s="742">
        <v>1.39</v>
      </c>
      <c r="O23" s="176"/>
      <c r="P23" s="176" t="s">
        <v>606</v>
      </c>
      <c r="Q23" s="282"/>
      <c r="R23" s="176"/>
      <c r="S23" s="176"/>
      <c r="T23" s="176"/>
      <c r="U23" s="742">
        <v>1.92</v>
      </c>
    </row>
    <row r="24" spans="1:21" x14ac:dyDescent="0.3">
      <c r="B24" s="176"/>
      <c r="C24" s="283"/>
      <c r="D24" s="176"/>
      <c r="E24" s="176"/>
      <c r="F24" s="176"/>
      <c r="G24" s="278"/>
      <c r="H24" s="176"/>
      <c r="I24" s="176"/>
      <c r="J24" s="283"/>
      <c r="K24" s="176"/>
      <c r="L24" s="176"/>
      <c r="M24" s="176"/>
      <c r="N24" s="278"/>
      <c r="O24" s="176"/>
      <c r="P24" s="176"/>
      <c r="Q24" s="283"/>
      <c r="R24" s="176"/>
      <c r="S24" s="176"/>
      <c r="T24" s="176"/>
      <c r="U24" s="278"/>
    </row>
    <row r="25" spans="1:21" x14ac:dyDescent="0.3">
      <c r="B25" s="176" t="s">
        <v>408</v>
      </c>
      <c r="C25" s="283"/>
      <c r="D25" s="176"/>
      <c r="E25" s="176"/>
      <c r="F25" s="176"/>
      <c r="G25" s="742">
        <v>0.3</v>
      </c>
      <c r="H25" s="176"/>
      <c r="I25" s="176" t="s">
        <v>408</v>
      </c>
      <c r="J25" s="283"/>
      <c r="K25" s="176"/>
      <c r="L25" s="176"/>
      <c r="M25" s="176"/>
      <c r="N25" s="742">
        <v>0.3</v>
      </c>
      <c r="O25" s="176"/>
      <c r="P25" s="176" t="s">
        <v>408</v>
      </c>
      <c r="Q25" s="283"/>
      <c r="R25" s="176"/>
      <c r="S25" s="176"/>
      <c r="T25" s="176"/>
      <c r="U25" s="742">
        <v>0.3</v>
      </c>
    </row>
    <row r="26" spans="1:21" ht="19.5" thickBot="1" x14ac:dyDescent="0.35">
      <c r="B26" s="176"/>
      <c r="C26" s="283"/>
      <c r="D26" s="176"/>
      <c r="E26" s="176"/>
      <c r="F26" s="176"/>
      <c r="G26" s="278"/>
      <c r="H26" s="176"/>
      <c r="I26" s="176"/>
      <c r="J26" s="283"/>
      <c r="K26" s="176"/>
      <c r="L26" s="176"/>
      <c r="M26" s="176"/>
      <c r="N26" s="278"/>
      <c r="O26" s="176"/>
      <c r="P26" s="176"/>
      <c r="Q26" s="283"/>
      <c r="R26" s="176"/>
      <c r="S26" s="176"/>
      <c r="T26" s="176"/>
      <c r="U26" s="278"/>
    </row>
    <row r="27" spans="1:21" ht="19.5" thickBot="1" x14ac:dyDescent="0.35">
      <c r="B27" s="176"/>
      <c r="C27" s="176" t="s">
        <v>30</v>
      </c>
      <c r="D27" s="176"/>
      <c r="E27" s="176"/>
      <c r="F27" s="176"/>
      <c r="G27" s="284">
        <f>ROUND(G21+G23+G25,4)</f>
        <v>111.49</v>
      </c>
      <c r="H27" s="176"/>
      <c r="I27" s="176"/>
      <c r="J27" s="176" t="s">
        <v>30</v>
      </c>
      <c r="K27" s="176"/>
      <c r="L27" s="176"/>
      <c r="M27" s="176"/>
      <c r="N27" s="284">
        <f>ROUND(N21+N23+N25,4)</f>
        <v>99.17</v>
      </c>
      <c r="O27" s="176"/>
      <c r="P27" s="176"/>
      <c r="Q27" s="176" t="s">
        <v>30</v>
      </c>
      <c r="R27" s="176"/>
      <c r="S27" s="176"/>
      <c r="T27" s="176"/>
      <c r="U27" s="284">
        <f>ROUND(U21+U23+U25,2)</f>
        <v>85.64</v>
      </c>
    </row>
    <row r="28" spans="1:21" ht="19.5" thickBot="1" x14ac:dyDescent="0.35">
      <c r="B28" s="176"/>
      <c r="C28" s="176"/>
      <c r="D28" s="176"/>
      <c r="E28" s="176"/>
      <c r="F28" s="176"/>
      <c r="G28" s="176"/>
      <c r="H28" s="176"/>
      <c r="I28" s="176"/>
      <c r="J28" s="176"/>
      <c r="K28" s="176"/>
      <c r="L28" s="176"/>
      <c r="M28" s="176"/>
      <c r="N28" s="176"/>
      <c r="O28" s="176"/>
      <c r="P28" s="176"/>
      <c r="Q28" s="176"/>
      <c r="R28" s="176"/>
      <c r="S28" s="176"/>
      <c r="T28" s="176"/>
      <c r="U28" s="176"/>
    </row>
    <row r="29" spans="1:21" ht="19.5" thickBot="1" x14ac:dyDescent="0.35">
      <c r="B29" s="176"/>
      <c r="C29" s="176"/>
      <c r="D29" s="176"/>
      <c r="E29" s="176"/>
      <c r="F29" s="176"/>
      <c r="G29" s="176"/>
      <c r="H29" s="176"/>
      <c r="I29" s="176"/>
      <c r="J29" s="176" t="s">
        <v>409</v>
      </c>
      <c r="L29" s="176"/>
      <c r="M29" s="176"/>
      <c r="N29" s="285">
        <f>ROUND(N27-G27,4)</f>
        <v>-12.32</v>
      </c>
      <c r="O29" s="176"/>
      <c r="P29" s="176"/>
      <c r="Q29" s="176" t="s">
        <v>410</v>
      </c>
      <c r="S29" s="176"/>
      <c r="T29" s="176"/>
      <c r="U29" s="286">
        <f>(N27/U27)-1</f>
        <v>0.15798692199906594</v>
      </c>
    </row>
    <row r="30" spans="1:21" ht="19.5" thickBot="1" x14ac:dyDescent="0.35">
      <c r="B30" s="176"/>
      <c r="C30" s="176"/>
      <c r="D30" s="176"/>
      <c r="E30" s="176"/>
      <c r="F30" s="176"/>
      <c r="G30" s="176"/>
      <c r="H30" s="176"/>
      <c r="I30" s="176"/>
      <c r="J30" s="176"/>
      <c r="L30" s="176"/>
      <c r="M30" s="176"/>
      <c r="N30" s="176"/>
      <c r="O30" s="176"/>
      <c r="P30" s="176"/>
      <c r="Q30" s="176"/>
      <c r="R30" s="176"/>
      <c r="S30" s="176"/>
      <c r="T30" s="176"/>
      <c r="U30" s="176"/>
    </row>
    <row r="31" spans="1:21" ht="19.5" thickBot="1" x14ac:dyDescent="0.35">
      <c r="H31" s="176"/>
      <c r="I31" s="176"/>
      <c r="J31" s="176" t="s">
        <v>409</v>
      </c>
      <c r="L31" s="176"/>
      <c r="M31" s="176"/>
      <c r="N31" s="287">
        <f>ROUND(N27/G27-1,4)</f>
        <v>-0.1105</v>
      </c>
      <c r="O31" s="176"/>
    </row>
    <row r="32" spans="1:21" x14ac:dyDescent="0.3">
      <c r="A32" s="274" t="s">
        <v>411</v>
      </c>
      <c r="B32" s="288">
        <f>J5</f>
        <v>44958</v>
      </c>
      <c r="C32" s="553">
        <f>L11</f>
        <v>0.77037999999999995</v>
      </c>
      <c r="D32" s="176"/>
      <c r="E32" s="278"/>
      <c r="F32" s="176"/>
      <c r="G32" s="176"/>
      <c r="H32" s="288"/>
      <c r="I32" s="289"/>
      <c r="J32" s="289"/>
      <c r="K32" s="278"/>
      <c r="L32" s="176"/>
      <c r="M32" s="176"/>
      <c r="N32" s="288"/>
      <c r="O32" s="277"/>
      <c r="P32" s="176"/>
      <c r="R32" s="278"/>
      <c r="S32" s="176"/>
    </row>
    <row r="33" spans="1:19" x14ac:dyDescent="0.3">
      <c r="B33" s="288">
        <f>C5</f>
        <v>44895</v>
      </c>
      <c r="C33" s="553">
        <f>E11</f>
        <v>0.97568999999999995</v>
      </c>
      <c r="D33" s="176"/>
      <c r="E33" s="278"/>
      <c r="F33" s="176"/>
      <c r="G33" s="176"/>
      <c r="H33" s="288"/>
      <c r="I33" s="176"/>
      <c r="J33" s="289"/>
      <c r="K33" s="278"/>
      <c r="L33" s="176"/>
      <c r="M33" s="176"/>
      <c r="N33" s="288"/>
      <c r="O33" s="279"/>
      <c r="P33" s="663"/>
      <c r="R33" s="278"/>
      <c r="S33" s="176"/>
    </row>
    <row r="34" spans="1:19" x14ac:dyDescent="0.3">
      <c r="B34" s="288"/>
      <c r="C34" s="290"/>
      <c r="D34" s="176"/>
      <c r="E34" s="291"/>
      <c r="F34" s="176"/>
      <c r="G34" s="176"/>
      <c r="H34" s="176"/>
      <c r="I34" s="662"/>
      <c r="J34" s="291"/>
      <c r="K34" s="291"/>
      <c r="L34" s="176"/>
      <c r="M34" s="176"/>
      <c r="N34" s="176"/>
      <c r="O34" s="291"/>
      <c r="P34" s="663"/>
      <c r="R34" s="291"/>
      <c r="S34" s="176"/>
    </row>
    <row r="35" spans="1:19" x14ac:dyDescent="0.3">
      <c r="B35" s="178" t="s">
        <v>412</v>
      </c>
      <c r="C35" s="553">
        <f>+C32-C33</f>
        <v>-0.20530999999999999</v>
      </c>
      <c r="D35" s="176"/>
      <c r="E35" s="291"/>
      <c r="F35" s="176"/>
      <c r="G35" s="176"/>
      <c r="H35" s="176"/>
      <c r="I35" s="663"/>
      <c r="J35" s="176"/>
      <c r="K35" s="176"/>
      <c r="L35" s="176"/>
      <c r="M35" s="176"/>
      <c r="N35" s="176"/>
      <c r="O35" s="176"/>
      <c r="P35" s="176"/>
      <c r="R35" s="176"/>
      <c r="S35" s="176"/>
    </row>
    <row r="36" spans="1:19" x14ac:dyDescent="0.3">
      <c r="B36" s="178" t="s">
        <v>413</v>
      </c>
      <c r="C36" s="292">
        <f>(C32-C33)/C33</f>
        <v>-0.21042544250735376</v>
      </c>
      <c r="D36" s="176"/>
      <c r="E36" s="291"/>
      <c r="F36" s="176"/>
      <c r="G36" s="293"/>
      <c r="H36" s="176"/>
      <c r="I36" s="176"/>
      <c r="J36" s="176"/>
      <c r="K36" s="294"/>
      <c r="L36" s="176"/>
      <c r="M36" s="176"/>
      <c r="N36" s="176"/>
      <c r="O36" s="176"/>
      <c r="P36" s="176"/>
      <c r="R36" s="294"/>
      <c r="S36" s="176"/>
    </row>
    <row r="37" spans="1:19" x14ac:dyDescent="0.3">
      <c r="B37" s="288">
        <f>+B33</f>
        <v>44895</v>
      </c>
      <c r="C37" s="295">
        <f>+ROUND(G27,2)</f>
        <v>111.49</v>
      </c>
      <c r="D37" s="176"/>
      <c r="E37" s="291"/>
      <c r="F37" s="176"/>
      <c r="G37" s="176"/>
      <c r="H37" s="176"/>
      <c r="I37" s="176"/>
      <c r="J37" s="176"/>
      <c r="K37" s="176"/>
      <c r="L37" s="176"/>
      <c r="M37" s="176"/>
      <c r="N37" s="176"/>
      <c r="O37" s="176"/>
      <c r="P37" s="176"/>
      <c r="R37" s="176"/>
      <c r="S37" s="176"/>
    </row>
    <row r="38" spans="1:19" x14ac:dyDescent="0.3">
      <c r="A38" s="274" t="s">
        <v>414</v>
      </c>
      <c r="B38" s="288">
        <f>+B32</f>
        <v>44958</v>
      </c>
      <c r="C38" s="295">
        <f>+ROUND(N27,2)</f>
        <v>99.17</v>
      </c>
      <c r="D38" s="176"/>
      <c r="E38" s="291"/>
      <c r="F38" s="176"/>
      <c r="G38" s="176"/>
      <c r="H38" s="176"/>
      <c r="I38" s="176"/>
      <c r="J38" s="176"/>
      <c r="K38" s="176"/>
      <c r="L38" s="176"/>
      <c r="M38" s="176"/>
      <c r="N38" s="663"/>
      <c r="O38" s="176"/>
      <c r="P38" s="176"/>
      <c r="R38" s="176"/>
      <c r="S38" s="176"/>
    </row>
    <row r="39" spans="1:19" x14ac:dyDescent="0.3">
      <c r="A39" s="274" t="s">
        <v>415</v>
      </c>
      <c r="B39" s="176"/>
      <c r="C39" s="292">
        <f>+ROUND((C38-C37)/C37,4)</f>
        <v>-0.1105</v>
      </c>
      <c r="D39" s="176"/>
      <c r="E39" s="291"/>
      <c r="F39" s="176"/>
      <c r="H39" s="176"/>
      <c r="I39" s="176"/>
      <c r="J39" s="289"/>
      <c r="K39" s="176"/>
      <c r="L39" s="176"/>
      <c r="M39" s="176"/>
      <c r="N39" s="663"/>
      <c r="O39" s="176"/>
    </row>
    <row r="40" spans="1:19" x14ac:dyDescent="0.3">
      <c r="B40" s="176"/>
      <c r="C40" s="291"/>
      <c r="D40" s="176"/>
      <c r="E40" s="291"/>
      <c r="F40" s="294"/>
      <c r="H40" s="176"/>
      <c r="I40" s="176"/>
      <c r="J40" s="289"/>
      <c r="K40" s="176"/>
      <c r="L40" s="176"/>
      <c r="M40" s="176"/>
      <c r="N40" s="176"/>
      <c r="O40" s="176"/>
    </row>
    <row r="41" spans="1:19" x14ac:dyDescent="0.3">
      <c r="A41" s="274" t="s">
        <v>416</v>
      </c>
      <c r="B41" s="176"/>
      <c r="C41" s="553">
        <f>+L11</f>
        <v>0.77037999999999995</v>
      </c>
      <c r="D41" s="176"/>
      <c r="E41" s="291"/>
      <c r="F41" s="176"/>
      <c r="H41" s="176"/>
      <c r="I41" s="176"/>
      <c r="J41" s="291"/>
      <c r="K41" s="176"/>
      <c r="L41" s="176"/>
      <c r="M41" s="176"/>
      <c r="N41" s="176"/>
      <c r="O41" s="176"/>
    </row>
    <row r="42" spans="1:19" x14ac:dyDescent="0.3">
      <c r="A42" s="274" t="s">
        <v>415</v>
      </c>
      <c r="B42" s="176"/>
      <c r="C42" s="292">
        <f>+(C41-C43)/C43</f>
        <v>0.49084646050238029</v>
      </c>
      <c r="E42" s="176"/>
      <c r="H42" s="176"/>
      <c r="I42" s="176"/>
      <c r="J42" s="283"/>
      <c r="K42" s="176"/>
      <c r="L42" s="176"/>
      <c r="M42" s="176"/>
      <c r="N42" s="176"/>
      <c r="O42" s="176"/>
    </row>
    <row r="43" spans="1:19" x14ac:dyDescent="0.3">
      <c r="A43" s="274" t="s">
        <v>417</v>
      </c>
      <c r="B43" s="176"/>
      <c r="C43" s="553">
        <f>+S11</f>
        <v>0.51673999999999998</v>
      </c>
      <c r="D43" s="176"/>
      <c r="E43" s="291"/>
      <c r="F43" s="176"/>
      <c r="H43" s="176"/>
      <c r="I43" s="176"/>
      <c r="J43" s="283"/>
      <c r="K43" s="176"/>
      <c r="L43" s="176"/>
      <c r="M43" s="176"/>
      <c r="N43" s="176"/>
      <c r="O43" s="176"/>
    </row>
    <row r="44" spans="1:19" x14ac:dyDescent="0.3">
      <c r="A44" s="274" t="s">
        <v>418</v>
      </c>
      <c r="B44" s="176"/>
      <c r="C44" s="295">
        <f>+ROUND(N27,2)</f>
        <v>99.17</v>
      </c>
      <c r="D44" s="176"/>
      <c r="E44" s="176"/>
      <c r="H44" s="176"/>
      <c r="I44" s="176"/>
      <c r="J44" s="283"/>
      <c r="K44" s="176"/>
      <c r="L44" s="176"/>
      <c r="M44" s="176"/>
      <c r="N44" s="176"/>
      <c r="O44" s="176"/>
    </row>
    <row r="45" spans="1:19" x14ac:dyDescent="0.3">
      <c r="A45" s="274" t="s">
        <v>419</v>
      </c>
      <c r="B45" s="176"/>
      <c r="C45" s="295">
        <f>+ROUND(U27,2)</f>
        <v>85.64</v>
      </c>
      <c r="D45" s="176"/>
      <c r="E45" s="176"/>
      <c r="H45" s="176"/>
      <c r="I45" s="176"/>
      <c r="J45" s="283"/>
      <c r="K45" s="176"/>
      <c r="L45" s="176"/>
      <c r="M45" s="176"/>
      <c r="N45" s="176"/>
      <c r="O45" s="176"/>
    </row>
    <row r="46" spans="1:19" x14ac:dyDescent="0.3">
      <c r="A46" s="274" t="s">
        <v>415</v>
      </c>
      <c r="B46" s="176"/>
      <c r="C46" s="292">
        <f>+(C44-C45)/C45</f>
        <v>0.15798692199906586</v>
      </c>
      <c r="D46" s="176"/>
      <c r="E46" s="176"/>
      <c r="H46" s="176"/>
      <c r="I46" s="176"/>
      <c r="J46" s="283"/>
      <c r="K46" s="176"/>
      <c r="L46" s="176"/>
      <c r="M46" s="176"/>
      <c r="N46" s="176"/>
      <c r="O46" s="176"/>
    </row>
    <row r="47" spans="1:19" x14ac:dyDescent="0.3">
      <c r="B47" s="176"/>
      <c r="C47" s="291"/>
      <c r="D47" s="176"/>
      <c r="E47" s="176"/>
      <c r="H47" s="176"/>
      <c r="I47" s="176"/>
      <c r="J47" s="283"/>
      <c r="K47" s="176"/>
      <c r="L47" s="176"/>
      <c r="M47" s="176"/>
      <c r="N47" s="176"/>
      <c r="O47" s="176"/>
    </row>
    <row r="48" spans="1:19" s="176" customFormat="1" x14ac:dyDescent="0.3">
      <c r="A48" s="274"/>
      <c r="J48" s="283"/>
    </row>
    <row r="49" spans="2:15" x14ac:dyDescent="0.3">
      <c r="B49" s="176"/>
      <c r="C49" s="176"/>
      <c r="D49" s="176"/>
      <c r="E49" s="176"/>
      <c r="H49" s="176"/>
      <c r="I49" s="176"/>
      <c r="J49" s="283"/>
      <c r="K49" s="176"/>
      <c r="L49" s="176"/>
      <c r="M49" s="176"/>
      <c r="N49" s="176"/>
      <c r="O49" s="176"/>
    </row>
    <row r="50" spans="2:15" x14ac:dyDescent="0.3">
      <c r="B50" s="176"/>
      <c r="C50" s="289"/>
      <c r="D50" s="176"/>
      <c r="E50" s="176"/>
      <c r="H50" s="176"/>
      <c r="I50" s="176"/>
      <c r="J50" s="283"/>
      <c r="K50" s="176"/>
      <c r="L50" s="176"/>
      <c r="M50" s="176"/>
      <c r="N50" s="176"/>
      <c r="O50" s="176"/>
    </row>
    <row r="51" spans="2:15" x14ac:dyDescent="0.3">
      <c r="D51" s="176"/>
      <c r="E51" s="176"/>
      <c r="H51" s="176"/>
      <c r="I51" s="176"/>
      <c r="J51" s="283"/>
      <c r="K51" s="176"/>
      <c r="L51" s="176"/>
      <c r="M51" s="176"/>
      <c r="N51" s="176"/>
      <c r="O51" s="176"/>
    </row>
    <row r="52" spans="2:15" x14ac:dyDescent="0.3">
      <c r="D52" s="176"/>
      <c r="E52" s="176"/>
      <c r="H52" s="176"/>
      <c r="I52" s="176"/>
      <c r="J52" s="283"/>
      <c r="K52" s="176"/>
      <c r="L52" s="176"/>
      <c r="M52" s="176"/>
      <c r="N52" s="176"/>
      <c r="O52" s="176"/>
    </row>
    <row r="53" spans="2:15" x14ac:dyDescent="0.3">
      <c r="D53" s="176"/>
      <c r="E53" s="294"/>
      <c r="H53" s="176"/>
      <c r="I53" s="176"/>
      <c r="J53" s="283"/>
      <c r="K53" s="176"/>
      <c r="L53" s="176"/>
      <c r="M53" s="176"/>
      <c r="N53" s="176"/>
      <c r="O53" s="176"/>
    </row>
    <row r="54" spans="2:15" x14ac:dyDescent="0.3">
      <c r="D54" s="176"/>
      <c r="E54" s="176"/>
      <c r="H54" s="176"/>
      <c r="I54" s="176"/>
      <c r="J54" s="176"/>
      <c r="K54" s="176"/>
      <c r="L54" s="176"/>
      <c r="M54" s="176"/>
      <c r="N54" s="176"/>
      <c r="O54" s="176"/>
    </row>
    <row r="55" spans="2:15" x14ac:dyDescent="0.3">
      <c r="D55" s="176"/>
      <c r="E55" s="296"/>
      <c r="H55" s="176"/>
      <c r="I55" s="176"/>
      <c r="J55" s="176"/>
      <c r="K55" s="176"/>
      <c r="L55" s="176"/>
      <c r="M55" s="176"/>
      <c r="N55" s="176"/>
      <c r="O55" s="176"/>
    </row>
    <row r="56" spans="2:15" x14ac:dyDescent="0.3">
      <c r="H56" s="176"/>
      <c r="I56" s="176"/>
      <c r="J56" s="176"/>
      <c r="K56" s="176"/>
      <c r="L56" s="176"/>
      <c r="M56" s="176"/>
      <c r="N56" s="176"/>
      <c r="O56" s="176"/>
    </row>
    <row r="57" spans="2:15" x14ac:dyDescent="0.3">
      <c r="H57" s="176"/>
      <c r="I57" s="176"/>
      <c r="J57" s="176"/>
      <c r="K57" s="176"/>
      <c r="L57" s="176"/>
      <c r="M57" s="176"/>
      <c r="N57" s="176"/>
      <c r="O57" s="176"/>
    </row>
    <row r="58" spans="2:15" x14ac:dyDescent="0.3">
      <c r="H58" s="176"/>
      <c r="I58" s="176"/>
      <c r="J58" s="176"/>
      <c r="K58" s="176"/>
      <c r="L58" s="176"/>
      <c r="M58" s="176"/>
      <c r="N58" s="176"/>
      <c r="O58" s="176"/>
    </row>
    <row r="59" spans="2:15" x14ac:dyDescent="0.3">
      <c r="G59" s="176"/>
      <c r="H59" s="176"/>
      <c r="I59" s="176"/>
      <c r="J59" s="176"/>
      <c r="K59" s="176"/>
      <c r="L59" s="176"/>
      <c r="M59" s="176"/>
      <c r="N59" s="176"/>
      <c r="O59" s="176"/>
    </row>
    <row r="60" spans="2:15" x14ac:dyDescent="0.3">
      <c r="G60" s="176"/>
      <c r="H60" s="176"/>
      <c r="I60" s="176"/>
      <c r="J60" s="176"/>
      <c r="K60" s="176"/>
      <c r="L60" s="176"/>
      <c r="M60" s="176"/>
      <c r="N60" s="176"/>
      <c r="O60" s="176"/>
    </row>
    <row r="61" spans="2:15" x14ac:dyDescent="0.3">
      <c r="G61" s="176"/>
      <c r="H61" s="176"/>
      <c r="I61" s="176"/>
      <c r="J61" s="176"/>
      <c r="K61" s="176"/>
      <c r="L61" s="176"/>
      <c r="M61" s="176"/>
      <c r="N61" s="176"/>
      <c r="O61" s="176"/>
    </row>
    <row r="62" spans="2:15" x14ac:dyDescent="0.3">
      <c r="B62" s="176"/>
      <c r="C62" s="176"/>
      <c r="H62" s="176"/>
      <c r="I62" s="176"/>
      <c r="J62" s="288"/>
      <c r="K62" s="176"/>
      <c r="L62" s="176"/>
      <c r="M62" s="176"/>
      <c r="N62" s="176"/>
      <c r="O62" s="176"/>
    </row>
    <row r="63" spans="2:15" x14ac:dyDescent="0.3">
      <c r="B63" s="176"/>
      <c r="C63" s="176"/>
      <c r="F63" s="176"/>
      <c r="H63" s="176"/>
      <c r="I63" s="176"/>
      <c r="J63" s="176"/>
      <c r="K63" s="176"/>
      <c r="L63" s="176"/>
      <c r="M63" s="176"/>
      <c r="N63" s="176"/>
      <c r="O63" s="176"/>
    </row>
    <row r="64" spans="2:15" x14ac:dyDescent="0.3">
      <c r="B64" s="176"/>
      <c r="C64" s="176"/>
      <c r="F64" s="176"/>
      <c r="H64" s="176"/>
      <c r="I64" s="176"/>
      <c r="J64" s="176"/>
      <c r="K64" s="176"/>
      <c r="L64" s="176"/>
      <c r="M64" s="176"/>
      <c r="N64" s="176"/>
      <c r="O64" s="176"/>
    </row>
    <row r="65" spans="4:15" x14ac:dyDescent="0.3">
      <c r="F65" s="176"/>
      <c r="H65" s="176"/>
      <c r="I65" s="176"/>
      <c r="J65" s="176"/>
      <c r="K65" s="176"/>
      <c r="L65" s="176"/>
      <c r="M65" s="176"/>
      <c r="N65" s="176"/>
      <c r="O65" s="176"/>
    </row>
    <row r="66" spans="4:15" x14ac:dyDescent="0.3">
      <c r="H66" s="176"/>
      <c r="I66" s="176"/>
      <c r="J66" s="176"/>
      <c r="K66" s="176"/>
      <c r="L66" s="289"/>
      <c r="M66" s="176"/>
      <c r="N66" s="176"/>
      <c r="O66" s="176"/>
    </row>
    <row r="67" spans="4:15" x14ac:dyDescent="0.3">
      <c r="D67" s="176"/>
      <c r="E67" s="176"/>
      <c r="H67" s="176"/>
      <c r="I67" s="176"/>
      <c r="J67" s="176"/>
      <c r="K67" s="176"/>
      <c r="L67" s="176"/>
      <c r="M67" s="176"/>
      <c r="N67" s="176"/>
      <c r="O67" s="176"/>
    </row>
    <row r="68" spans="4:15" x14ac:dyDescent="0.3">
      <c r="D68" s="176"/>
      <c r="E68" s="176"/>
      <c r="H68" s="176"/>
      <c r="I68" s="176"/>
      <c r="J68" s="176"/>
      <c r="K68" s="176"/>
      <c r="L68" s="176"/>
      <c r="M68" s="176"/>
      <c r="N68" s="176"/>
      <c r="O68" s="176"/>
    </row>
    <row r="69" spans="4:15" x14ac:dyDescent="0.3">
      <c r="D69" s="176"/>
      <c r="E69" s="176"/>
      <c r="H69" s="176"/>
      <c r="I69" s="176"/>
      <c r="J69" s="176"/>
      <c r="K69" s="176"/>
      <c r="L69" s="176"/>
      <c r="M69" s="176"/>
      <c r="N69" s="176"/>
      <c r="O69" s="176"/>
    </row>
    <row r="70" spans="4:15" x14ac:dyDescent="0.3">
      <c r="H70" s="176"/>
      <c r="I70" s="176"/>
      <c r="J70" s="176"/>
      <c r="K70" s="176"/>
      <c r="L70" s="176"/>
      <c r="M70" s="176"/>
      <c r="N70" s="176"/>
      <c r="O70" s="176"/>
    </row>
    <row r="71" spans="4:15" x14ac:dyDescent="0.3">
      <c r="H71" s="176"/>
      <c r="I71" s="176"/>
      <c r="J71" s="176"/>
      <c r="K71" s="176"/>
      <c r="L71" s="176"/>
      <c r="M71" s="176"/>
      <c r="N71" s="176"/>
      <c r="O71" s="176"/>
    </row>
    <row r="72" spans="4:15" x14ac:dyDescent="0.3">
      <c r="H72" s="176"/>
      <c r="I72" s="176"/>
      <c r="J72" s="176"/>
      <c r="K72" s="176"/>
      <c r="L72" s="176"/>
      <c r="M72" s="176"/>
      <c r="N72" s="176"/>
      <c r="O72" s="176"/>
    </row>
    <row r="73" spans="4:15" x14ac:dyDescent="0.3">
      <c r="H73" s="176"/>
      <c r="I73" s="176"/>
      <c r="J73" s="176"/>
      <c r="K73" s="176"/>
      <c r="L73" s="176"/>
      <c r="M73" s="176"/>
      <c r="N73" s="176"/>
      <c r="O73" s="176"/>
    </row>
    <row r="74" spans="4:15" x14ac:dyDescent="0.3">
      <c r="H74" s="176"/>
      <c r="I74" s="176"/>
      <c r="J74" s="297"/>
      <c r="K74" s="176"/>
      <c r="L74" s="176"/>
      <c r="M74" s="176"/>
      <c r="N74" s="176"/>
      <c r="O74" s="176"/>
    </row>
    <row r="75" spans="4:15" x14ac:dyDescent="0.3">
      <c r="H75" s="176"/>
      <c r="I75" s="176"/>
      <c r="J75" s="283"/>
      <c r="K75" s="176"/>
      <c r="L75" s="176"/>
      <c r="M75" s="176"/>
      <c r="N75" s="176"/>
      <c r="O75" s="176"/>
    </row>
    <row r="76" spans="4:15" x14ac:dyDescent="0.3">
      <c r="H76" s="176"/>
      <c r="I76" s="176"/>
      <c r="J76" s="283"/>
      <c r="K76" s="176"/>
      <c r="L76" s="176"/>
      <c r="M76" s="176"/>
      <c r="N76" s="176"/>
      <c r="O76" s="176"/>
    </row>
    <row r="77" spans="4:15" x14ac:dyDescent="0.3">
      <c r="H77" s="176"/>
      <c r="I77" s="176"/>
      <c r="J77" s="283"/>
      <c r="K77" s="176"/>
      <c r="L77" s="176"/>
      <c r="M77" s="176"/>
      <c r="N77" s="176"/>
      <c r="O77" s="176"/>
    </row>
    <row r="78" spans="4:15" x14ac:dyDescent="0.3">
      <c r="H78" s="176"/>
      <c r="I78" s="176"/>
      <c r="J78" s="176"/>
      <c r="K78" s="176"/>
      <c r="L78" s="176"/>
      <c r="M78" s="176"/>
      <c r="N78" s="176"/>
      <c r="O78" s="176"/>
    </row>
    <row r="79" spans="4:15" x14ac:dyDescent="0.3">
      <c r="H79" s="176"/>
      <c r="I79" s="176"/>
      <c r="J79" s="176"/>
      <c r="K79" s="176"/>
      <c r="L79" s="176"/>
      <c r="M79" s="176"/>
      <c r="N79" s="176"/>
      <c r="O79" s="176"/>
    </row>
    <row r="80" spans="4:15" x14ac:dyDescent="0.3">
      <c r="H80" s="176"/>
      <c r="I80" s="176"/>
      <c r="J80" s="176"/>
      <c r="K80" s="176"/>
      <c r="L80" s="176"/>
      <c r="M80" s="176"/>
      <c r="N80" s="176"/>
      <c r="O80" s="176"/>
    </row>
    <row r="81" spans="2:17" x14ac:dyDescent="0.3">
      <c r="G81" s="176"/>
      <c r="H81" s="176"/>
      <c r="I81" s="176"/>
      <c r="J81" s="176"/>
      <c r="K81" s="176"/>
      <c r="L81" s="176"/>
      <c r="M81" s="176"/>
      <c r="N81" s="176"/>
      <c r="O81" s="176"/>
    </row>
    <row r="82" spans="2:17" x14ac:dyDescent="0.3">
      <c r="G82" s="176"/>
      <c r="H82" s="176"/>
      <c r="I82" s="176"/>
      <c r="J82" s="176"/>
      <c r="K82" s="176"/>
      <c r="L82" s="176"/>
      <c r="M82" s="176"/>
      <c r="N82" s="176"/>
      <c r="O82" s="176"/>
      <c r="P82" s="176"/>
      <c r="Q82" s="176"/>
    </row>
    <row r="83" spans="2:17" x14ac:dyDescent="0.3">
      <c r="G83" s="176"/>
      <c r="H83" s="176"/>
      <c r="I83" s="176"/>
      <c r="J83" s="176"/>
      <c r="K83" s="176"/>
      <c r="L83" s="176"/>
      <c r="M83" s="176"/>
      <c r="N83" s="176"/>
      <c r="O83" s="176"/>
      <c r="P83" s="176"/>
      <c r="Q83" s="176"/>
    </row>
    <row r="84" spans="2:17" x14ac:dyDescent="0.3">
      <c r="B84" s="176"/>
      <c r="C84" s="176"/>
      <c r="G84" s="176"/>
      <c r="H84" s="176"/>
      <c r="I84" s="176"/>
      <c r="J84" s="176"/>
      <c r="K84" s="176"/>
      <c r="L84" s="176"/>
      <c r="M84" s="176"/>
      <c r="N84" s="176"/>
      <c r="O84" s="176"/>
      <c r="P84" s="176"/>
      <c r="Q84" s="176"/>
    </row>
    <row r="85" spans="2:17" x14ac:dyDescent="0.3">
      <c r="B85" s="176"/>
      <c r="C85" s="176"/>
      <c r="F85" s="176"/>
      <c r="Q85" s="176"/>
    </row>
    <row r="86" spans="2:17" x14ac:dyDescent="0.3">
      <c r="B86" s="176"/>
      <c r="C86" s="176"/>
      <c r="F86" s="176"/>
      <c r="Q86" s="176"/>
    </row>
    <row r="87" spans="2:17" x14ac:dyDescent="0.3">
      <c r="B87" s="176"/>
      <c r="C87" s="176"/>
      <c r="F87" s="176"/>
      <c r="Q87" s="176"/>
    </row>
    <row r="88" spans="2:17" x14ac:dyDescent="0.3">
      <c r="F88" s="176"/>
      <c r="Q88" s="176"/>
    </row>
    <row r="89" spans="2:17" x14ac:dyDescent="0.3">
      <c r="D89" s="176"/>
      <c r="E89" s="176"/>
      <c r="Q89" s="176"/>
    </row>
    <row r="90" spans="2:17" x14ac:dyDescent="0.3">
      <c r="D90" s="176"/>
      <c r="E90" s="176"/>
      <c r="Q90" s="176"/>
    </row>
    <row r="91" spans="2:17" x14ac:dyDescent="0.3">
      <c r="D91" s="176"/>
      <c r="E91" s="176"/>
      <c r="Q91" s="176"/>
    </row>
    <row r="92" spans="2:17" x14ac:dyDescent="0.3">
      <c r="D92" s="176"/>
      <c r="E92" s="176"/>
      <c r="G92" s="176"/>
      <c r="H92" s="176"/>
      <c r="I92" s="176"/>
      <c r="J92" s="176"/>
      <c r="K92" s="176"/>
      <c r="L92" s="176"/>
      <c r="M92" s="176"/>
      <c r="N92" s="176"/>
      <c r="O92" s="176"/>
    </row>
    <row r="93" spans="2:17" x14ac:dyDescent="0.3">
      <c r="G93" s="176"/>
      <c r="H93" s="176"/>
      <c r="I93" s="176"/>
      <c r="J93" s="176"/>
      <c r="K93" s="176"/>
      <c r="L93" s="176"/>
      <c r="M93" s="176"/>
      <c r="N93" s="176"/>
      <c r="O93" s="176"/>
    </row>
    <row r="94" spans="2:17" x14ac:dyDescent="0.3">
      <c r="G94" s="176"/>
      <c r="H94" s="176"/>
      <c r="I94" s="176"/>
      <c r="J94" s="176"/>
      <c r="K94" s="176"/>
      <c r="L94" s="176"/>
      <c r="M94" s="176"/>
      <c r="N94" s="176"/>
      <c r="O94" s="176"/>
    </row>
    <row r="95" spans="2:17" x14ac:dyDescent="0.3">
      <c r="B95" s="176"/>
      <c r="C95" s="176"/>
      <c r="G95" s="176"/>
      <c r="H95" s="176"/>
      <c r="I95" s="176"/>
      <c r="J95" s="176"/>
      <c r="K95" s="176"/>
      <c r="L95" s="176"/>
      <c r="M95" s="176"/>
      <c r="N95" s="176"/>
      <c r="O95" s="176"/>
    </row>
    <row r="96" spans="2:17" x14ac:dyDescent="0.3">
      <c r="B96" s="176"/>
      <c r="C96" s="176"/>
      <c r="F96" s="176"/>
      <c r="G96" s="176"/>
      <c r="H96" s="176"/>
      <c r="I96" s="176"/>
      <c r="J96" s="176"/>
      <c r="K96" s="176"/>
      <c r="L96" s="176"/>
      <c r="M96" s="176"/>
      <c r="N96" s="176"/>
      <c r="O96" s="176"/>
    </row>
    <row r="97" spans="2:15" x14ac:dyDescent="0.3">
      <c r="B97" s="176"/>
      <c r="C97" s="176"/>
      <c r="F97" s="176"/>
      <c r="G97" s="176"/>
      <c r="H97" s="176"/>
      <c r="I97" s="176"/>
      <c r="J97" s="176"/>
      <c r="K97" s="176"/>
      <c r="L97" s="176"/>
      <c r="M97" s="176"/>
      <c r="N97" s="176"/>
      <c r="O97" s="176"/>
    </row>
    <row r="98" spans="2:15" x14ac:dyDescent="0.3">
      <c r="B98" s="176"/>
      <c r="C98" s="176"/>
      <c r="F98" s="176"/>
    </row>
    <row r="99" spans="2:15" x14ac:dyDescent="0.3">
      <c r="B99" s="176"/>
      <c r="C99" s="176"/>
      <c r="F99" s="176"/>
    </row>
    <row r="100" spans="2:15" x14ac:dyDescent="0.3">
      <c r="B100" s="176"/>
      <c r="C100" s="176"/>
      <c r="D100" s="176"/>
      <c r="E100" s="176"/>
      <c r="F100" s="176"/>
    </row>
    <row r="101" spans="2:15" x14ac:dyDescent="0.3">
      <c r="D101" s="176"/>
      <c r="E101" s="176"/>
      <c r="F101" s="176"/>
    </row>
    <row r="102" spans="2:15" x14ac:dyDescent="0.3">
      <c r="D102" s="176"/>
      <c r="E102" s="176"/>
    </row>
    <row r="103" spans="2:15" x14ac:dyDescent="0.3">
      <c r="D103" s="176"/>
      <c r="E103" s="176"/>
    </row>
    <row r="104" spans="2:15" x14ac:dyDescent="0.3">
      <c r="D104" s="176"/>
      <c r="E104" s="176"/>
    </row>
    <row r="105" spans="2:15" x14ac:dyDescent="0.3">
      <c r="D105" s="176"/>
      <c r="E105" s="176"/>
    </row>
  </sheetData>
  <pageMargins left="0.7" right="0.7" top="0.75" bottom="0.75" header="0.3" footer="0.3"/>
  <pageSetup scale="51" orientation="landscape" r:id="rId1"/>
  <headerFooter>
    <oddFooter>&amp;L&amp;1#&amp;"Calibri"&amp;14&amp;K000000Confidential</oddFooter>
  </headerFooter>
  <customProperties>
    <customPr name="_pios_id" r:id="rId2"/>
  </customPropertie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9">
    <tabColor theme="3" tint="0.59999389629810485"/>
  </sheetPr>
  <dimension ref="A1:T64"/>
  <sheetViews>
    <sheetView zoomScale="80" zoomScaleNormal="80" workbookViewId="0"/>
  </sheetViews>
  <sheetFormatPr defaultColWidth="6.109375" defaultRowHeight="15.75" x14ac:dyDescent="0.25"/>
  <cols>
    <col min="1" max="1" width="6.109375" style="4"/>
    <col min="2" max="2" width="16.33203125" style="4" customWidth="1"/>
    <col min="3" max="3" width="2.44140625" style="4" customWidth="1"/>
    <col min="4" max="4" width="18.77734375" style="4" customWidth="1"/>
    <col min="5" max="5" width="11.21875" style="4" customWidth="1"/>
    <col min="6" max="6" width="10.33203125" style="4" customWidth="1"/>
    <col min="7" max="7" width="12.21875" style="4" customWidth="1"/>
    <col min="8" max="8" width="11" style="4" customWidth="1"/>
    <col min="9" max="9" width="12" style="4" customWidth="1"/>
    <col min="10" max="10" width="11.44140625" style="4" customWidth="1"/>
    <col min="11" max="11" width="12.5546875" style="4" bestFit="1" customWidth="1"/>
    <col min="12" max="12" width="13.109375" style="4" customWidth="1"/>
    <col min="13" max="13" width="15.88671875" style="4" bestFit="1" customWidth="1"/>
    <col min="14" max="14" width="22" style="4" customWidth="1"/>
    <col min="15" max="16384" width="6.109375" style="4"/>
  </cols>
  <sheetData>
    <row r="1" spans="1:15" ht="18.75" x14ac:dyDescent="0.3">
      <c r="B1" s="794" t="s">
        <v>5</v>
      </c>
      <c r="C1" s="794"/>
      <c r="D1" s="794"/>
      <c r="E1" s="794"/>
      <c r="F1" s="794"/>
      <c r="G1" s="794"/>
      <c r="H1" s="794"/>
      <c r="I1" s="794"/>
      <c r="J1" s="794"/>
      <c r="K1" s="794"/>
      <c r="L1" s="794"/>
      <c r="M1" s="794"/>
      <c r="N1" s="794"/>
    </row>
    <row r="2" spans="1:15" ht="18.75" x14ac:dyDescent="0.3">
      <c r="B2" s="795" t="s">
        <v>297</v>
      </c>
      <c r="C2" s="795"/>
      <c r="D2" s="795"/>
      <c r="E2" s="795"/>
      <c r="F2" s="795"/>
      <c r="G2" s="795"/>
      <c r="H2" s="795"/>
      <c r="I2" s="795"/>
      <c r="J2" s="795"/>
      <c r="K2" s="795"/>
      <c r="L2" s="795"/>
      <c r="M2" s="795"/>
      <c r="N2" s="795"/>
    </row>
    <row r="3" spans="1:15" ht="18.75" x14ac:dyDescent="0.3">
      <c r="B3" s="795" t="s">
        <v>298</v>
      </c>
      <c r="C3" s="795"/>
      <c r="D3" s="795"/>
      <c r="E3" s="795"/>
      <c r="F3" s="795"/>
      <c r="G3" s="795"/>
      <c r="H3" s="795"/>
      <c r="I3" s="795"/>
      <c r="J3" s="795"/>
      <c r="K3" s="795"/>
      <c r="L3" s="795"/>
      <c r="M3" s="795"/>
      <c r="N3" s="795"/>
    </row>
    <row r="4" spans="1:15" ht="18.75" x14ac:dyDescent="0.3">
      <c r="B4" s="795" t="str">
        <f>CONCATENATE("For Service Rendered On and After ",'Input Data'!$D$4)</f>
        <v>For Service Rendered On and After February 1, 2023</v>
      </c>
      <c r="C4" s="795"/>
      <c r="D4" s="795"/>
      <c r="E4" s="795"/>
      <c r="F4" s="795"/>
      <c r="G4" s="795"/>
      <c r="H4" s="795"/>
      <c r="I4" s="795"/>
      <c r="J4" s="795"/>
      <c r="K4" s="795"/>
      <c r="L4" s="795"/>
      <c r="M4" s="795"/>
      <c r="N4" s="795"/>
      <c r="O4" s="256"/>
    </row>
    <row r="5" spans="1:15" x14ac:dyDescent="0.25">
      <c r="B5" s="321"/>
      <c r="C5" s="321"/>
      <c r="D5" s="321"/>
      <c r="E5" s="321"/>
      <c r="F5" s="321"/>
      <c r="G5" s="321"/>
      <c r="H5" s="321"/>
      <c r="I5" s="321"/>
      <c r="J5" s="321"/>
      <c r="K5" s="321"/>
      <c r="L5" s="321"/>
      <c r="M5" s="321"/>
      <c r="N5" s="321"/>
    </row>
    <row r="6" spans="1:15" x14ac:dyDescent="0.25">
      <c r="B6" s="321"/>
      <c r="C6" s="321"/>
      <c r="D6" s="321"/>
      <c r="E6" s="321"/>
      <c r="F6" s="321"/>
      <c r="G6" s="321"/>
      <c r="H6" s="321"/>
      <c r="I6" s="321"/>
      <c r="J6" s="321"/>
      <c r="K6" s="321"/>
      <c r="L6" s="321"/>
      <c r="M6" s="321"/>
      <c r="N6" s="321"/>
    </row>
    <row r="7" spans="1:15" x14ac:dyDescent="0.25">
      <c r="B7" s="321"/>
      <c r="C7" s="321"/>
      <c r="D7" s="321"/>
      <c r="E7" s="321"/>
      <c r="F7" s="321"/>
      <c r="G7" s="321"/>
      <c r="H7" s="321"/>
      <c r="I7" s="321"/>
      <c r="J7" s="321"/>
      <c r="K7" s="321"/>
      <c r="L7" s="321"/>
      <c r="M7" s="321"/>
      <c r="N7" s="321"/>
    </row>
    <row r="10" spans="1:15" x14ac:dyDescent="0.25">
      <c r="E10" s="320" t="s">
        <v>69</v>
      </c>
      <c r="N10" s="320" t="s">
        <v>68</v>
      </c>
    </row>
    <row r="11" spans="1:15" x14ac:dyDescent="0.25">
      <c r="A11" s="320" t="s">
        <v>321</v>
      </c>
      <c r="B11" s="320" t="s">
        <v>372</v>
      </c>
      <c r="C11" s="320"/>
      <c r="D11" s="320" t="s">
        <v>72</v>
      </c>
      <c r="E11" s="320" t="s">
        <v>73</v>
      </c>
      <c r="F11" s="320" t="s">
        <v>74</v>
      </c>
      <c r="G11" s="320" t="s">
        <v>74</v>
      </c>
      <c r="H11" s="320" t="s">
        <v>75</v>
      </c>
      <c r="I11" s="320" t="s">
        <v>75</v>
      </c>
      <c r="J11" s="320" t="s">
        <v>69</v>
      </c>
      <c r="K11" s="320" t="s">
        <v>76</v>
      </c>
      <c r="M11" s="320" t="s">
        <v>435</v>
      </c>
      <c r="N11" s="320" t="s">
        <v>70</v>
      </c>
    </row>
    <row r="12" spans="1:15" x14ac:dyDescent="0.25">
      <c r="A12" s="160" t="s">
        <v>322</v>
      </c>
      <c r="B12" s="160" t="s">
        <v>263</v>
      </c>
      <c r="C12" s="160"/>
      <c r="D12" s="160" t="s">
        <v>79</v>
      </c>
      <c r="E12" s="160" t="s">
        <v>80</v>
      </c>
      <c r="F12" s="160" t="s">
        <v>81</v>
      </c>
      <c r="G12" s="160" t="s">
        <v>82</v>
      </c>
      <c r="H12" s="160" t="s">
        <v>83</v>
      </c>
      <c r="I12" s="160" t="s">
        <v>84</v>
      </c>
      <c r="J12" s="160" t="s">
        <v>11</v>
      </c>
      <c r="K12" s="160" t="s">
        <v>483</v>
      </c>
      <c r="L12" s="160" t="s">
        <v>77</v>
      </c>
      <c r="M12" s="142" t="s">
        <v>436</v>
      </c>
      <c r="N12" s="309" t="s">
        <v>458</v>
      </c>
    </row>
    <row r="13" spans="1:15" x14ac:dyDescent="0.25">
      <c r="B13" s="320" t="s">
        <v>60</v>
      </c>
      <c r="C13" s="320"/>
      <c r="D13" s="320" t="s">
        <v>61</v>
      </c>
      <c r="E13" s="320" t="s">
        <v>62</v>
      </c>
      <c r="F13" s="416">
        <v>-4</v>
      </c>
      <c r="G13" s="416">
        <v>-5</v>
      </c>
      <c r="H13" s="416">
        <v>-6</v>
      </c>
      <c r="I13" s="416">
        <v>-7</v>
      </c>
      <c r="J13" s="416">
        <v>-8</v>
      </c>
      <c r="K13" s="417" t="s">
        <v>112</v>
      </c>
      <c r="L13" s="416">
        <v>-10</v>
      </c>
      <c r="M13" s="393" t="s">
        <v>375</v>
      </c>
      <c r="N13" s="416">
        <v>-12</v>
      </c>
    </row>
    <row r="14" spans="1:15" x14ac:dyDescent="0.25">
      <c r="B14" s="320"/>
      <c r="C14" s="320"/>
      <c r="D14" s="320"/>
      <c r="E14" s="320"/>
      <c r="F14" s="416"/>
      <c r="G14" s="416"/>
      <c r="H14" s="416"/>
      <c r="I14" s="416"/>
      <c r="J14" s="416"/>
      <c r="K14" s="417"/>
      <c r="L14" s="416"/>
      <c r="M14" s="393"/>
      <c r="N14" s="416"/>
    </row>
    <row r="15" spans="1:15" ht="18.75" customHeight="1" x14ac:dyDescent="0.25">
      <c r="A15" s="320">
        <v>1</v>
      </c>
      <c r="B15" s="272">
        <f>'Input Data'!C7</f>
        <v>44774</v>
      </c>
      <c r="C15" s="272"/>
      <c r="D15" s="320" t="str">
        <f>'Ex B-1 1 of 7'!C12</f>
        <v>2022-00180</v>
      </c>
      <c r="E15" s="438">
        <f>VLOOKUP(D15,'Case Database'!C3:K200,9)</f>
        <v>0.16980000000000001</v>
      </c>
      <c r="F15" s="435">
        <f>'FT Data'!L5</f>
        <v>76</v>
      </c>
      <c r="G15" s="423">
        <f>'FT Data'!M5</f>
        <v>715.4</v>
      </c>
      <c r="H15" s="435">
        <f>'FT Data'!U5</f>
        <v>3052</v>
      </c>
      <c r="I15" s="423">
        <f>'FT Data'!V5</f>
        <v>26118.9</v>
      </c>
      <c r="J15" s="424">
        <f>'FT Data'!AK5</f>
        <v>23867</v>
      </c>
      <c r="K15" s="423">
        <f>ROUND(E15*J15,2)</f>
        <v>4052.62</v>
      </c>
      <c r="L15" s="423">
        <f>'FT Data'!Z5</f>
        <v>0</v>
      </c>
      <c r="M15" s="423">
        <f>'FT Data'!X5</f>
        <v>1145.1400000000001</v>
      </c>
      <c r="N15" s="250">
        <f>ROUND((G15+I15+K15+L15+M15),0)</f>
        <v>32032</v>
      </c>
    </row>
    <row r="16" spans="1:15" ht="18.75" customHeight="1" x14ac:dyDescent="0.25">
      <c r="A16" s="320">
        <v>2</v>
      </c>
      <c r="B16" s="272">
        <f>EDATE(B15,1)</f>
        <v>44805</v>
      </c>
      <c r="C16" s="272"/>
      <c r="D16" s="320" t="str">
        <f>D15</f>
        <v>2022-00180</v>
      </c>
      <c r="E16" s="438">
        <f>E15</f>
        <v>0.16980000000000001</v>
      </c>
      <c r="F16" s="435">
        <f>'FT Data'!L6</f>
        <v>6717</v>
      </c>
      <c r="G16" s="423">
        <f>'FT Data'!M6</f>
        <v>59664.23</v>
      </c>
      <c r="H16" s="435">
        <f>'FT Data'!U6</f>
        <v>0</v>
      </c>
      <c r="I16" s="423">
        <f>'FT Data'!V6</f>
        <v>0</v>
      </c>
      <c r="J16" s="424">
        <f>'FT Data'!AK6</f>
        <v>49036</v>
      </c>
      <c r="K16" s="423">
        <f>ROUND(E16*J16,2)</f>
        <v>8326.31</v>
      </c>
      <c r="L16" s="423">
        <f>'FT Data'!Z6</f>
        <v>0</v>
      </c>
      <c r="M16" s="423">
        <f>'FT Data'!X6</f>
        <v>0</v>
      </c>
      <c r="N16" s="250">
        <f>ROUND((G16+I16+K16+L16+M16),0)</f>
        <v>67991</v>
      </c>
    </row>
    <row r="17" spans="1:20" ht="18.75" customHeight="1" x14ac:dyDescent="0.25">
      <c r="A17" s="320">
        <v>3</v>
      </c>
      <c r="B17" s="358">
        <f>EDATE(B16,1)</f>
        <v>44835</v>
      </c>
      <c r="C17" s="358"/>
      <c r="D17" s="311" t="str">
        <f>D15</f>
        <v>2022-00180</v>
      </c>
      <c r="E17" s="439">
        <f>E15</f>
        <v>0.16980000000000001</v>
      </c>
      <c r="F17" s="440">
        <f>'FT Data'!L7</f>
        <v>15647</v>
      </c>
      <c r="G17" s="431">
        <f>'FT Data'!M7</f>
        <v>99610.66</v>
      </c>
      <c r="H17" s="440">
        <f>'FT Data'!U7</f>
        <v>1176</v>
      </c>
      <c r="I17" s="431">
        <f>'FT Data'!V7</f>
        <v>7535.33</v>
      </c>
      <c r="J17" s="432">
        <f>'FT Data'!AK7</f>
        <v>46153</v>
      </c>
      <c r="K17" s="431">
        <f>ROUND(E17*J17,2)</f>
        <v>7836.78</v>
      </c>
      <c r="L17" s="431">
        <f>'FT Data'!Z7</f>
        <v>0</v>
      </c>
      <c r="M17" s="431">
        <f>'FT Data'!X7</f>
        <v>0</v>
      </c>
      <c r="N17" s="434">
        <f>ROUND((G17+I17+K17+L17+M17),0)</f>
        <v>114983</v>
      </c>
    </row>
    <row r="18" spans="1:20" ht="16.5" customHeight="1" x14ac:dyDescent="0.25">
      <c r="B18" s="352"/>
      <c r="C18" s="352"/>
      <c r="D18" s="320"/>
      <c r="E18" s="320"/>
      <c r="F18" s="435"/>
      <c r="G18" s="436"/>
      <c r="H18" s="435"/>
      <c r="I18" s="437"/>
      <c r="J18" s="435"/>
      <c r="K18" s="436"/>
      <c r="L18" s="101"/>
      <c r="M18" s="310"/>
      <c r="N18" s="250"/>
    </row>
    <row r="19" spans="1:20" x14ac:dyDescent="0.25">
      <c r="A19" s="320">
        <v>4</v>
      </c>
      <c r="B19" s="320"/>
      <c r="C19" s="320"/>
      <c r="D19" s="320"/>
      <c r="E19" s="320"/>
      <c r="F19" s="435"/>
      <c r="G19" s="436"/>
      <c r="H19" s="435"/>
      <c r="I19" s="437"/>
      <c r="J19" s="435"/>
      <c r="K19" s="436"/>
      <c r="L19" s="162" t="s">
        <v>380</v>
      </c>
      <c r="M19" s="156"/>
      <c r="N19" s="250">
        <f>SUM(N15:N17)</f>
        <v>215006</v>
      </c>
    </row>
    <row r="20" spans="1:20" x14ac:dyDescent="0.25">
      <c r="A20" s="320"/>
      <c r="B20" s="320"/>
      <c r="C20" s="320"/>
      <c r="D20" s="320"/>
      <c r="E20" s="320"/>
      <c r="F20" s="435"/>
      <c r="G20" s="436"/>
      <c r="H20" s="435"/>
      <c r="I20" s="437"/>
      <c r="J20" s="435"/>
      <c r="K20" s="436"/>
      <c r="L20" s="162"/>
      <c r="M20" s="156"/>
      <c r="N20" s="250"/>
    </row>
    <row r="21" spans="1:20" x14ac:dyDescent="0.25">
      <c r="A21" s="320"/>
      <c r="B21" s="320"/>
      <c r="C21" s="320"/>
      <c r="D21" s="320"/>
      <c r="E21" s="320"/>
      <c r="F21" s="435"/>
      <c r="G21" s="436"/>
      <c r="H21" s="435"/>
      <c r="I21" s="437"/>
      <c r="J21" s="435"/>
      <c r="K21" s="436"/>
      <c r="L21" s="162"/>
      <c r="M21" s="156"/>
      <c r="N21" s="250"/>
    </row>
    <row r="22" spans="1:20" x14ac:dyDescent="0.25">
      <c r="A22" s="669"/>
      <c r="B22" s="668"/>
      <c r="C22" s="167"/>
      <c r="E22" s="163"/>
      <c r="F22" s="164"/>
      <c r="G22" s="165"/>
      <c r="H22" s="164"/>
      <c r="I22" s="166"/>
      <c r="J22" s="164"/>
      <c r="K22" s="165"/>
      <c r="L22" s="39"/>
      <c r="M22" s="39"/>
      <c r="N22" s="20"/>
    </row>
    <row r="23" spans="1:20" x14ac:dyDescent="0.25">
      <c r="B23" s="167"/>
      <c r="C23" s="167"/>
      <c r="E23" s="163"/>
      <c r="F23" s="164"/>
      <c r="G23" s="165"/>
      <c r="H23" s="164"/>
      <c r="I23" s="166"/>
      <c r="K23" s="119"/>
      <c r="L23" s="119"/>
      <c r="M23" s="119"/>
      <c r="N23" s="119"/>
      <c r="O23" s="119"/>
      <c r="P23" s="119"/>
      <c r="Q23" s="119"/>
      <c r="R23" s="119"/>
      <c r="S23" s="119"/>
      <c r="T23" s="119"/>
    </row>
    <row r="24" spans="1:20" x14ac:dyDescent="0.25">
      <c r="B24" s="167"/>
      <c r="C24" s="167"/>
      <c r="E24" s="163"/>
      <c r="F24" s="164"/>
      <c r="G24" s="165"/>
      <c r="H24" s="164"/>
      <c r="I24" s="166"/>
      <c r="K24" s="119"/>
      <c r="L24" s="119"/>
      <c r="M24" s="119"/>
      <c r="N24" s="666"/>
      <c r="O24" s="119"/>
      <c r="P24" s="119"/>
      <c r="Q24" s="119"/>
      <c r="R24" s="119"/>
      <c r="S24" s="119"/>
      <c r="T24" s="119"/>
    </row>
    <row r="25" spans="1:20" x14ac:dyDescent="0.25">
      <c r="B25" s="168" t="s">
        <v>86</v>
      </c>
      <c r="C25" s="168"/>
    </row>
    <row r="26" spans="1:20" x14ac:dyDescent="0.25">
      <c r="D26" s="168" t="s">
        <v>87</v>
      </c>
      <c r="J26" s="169"/>
      <c r="K26" s="19"/>
      <c r="L26" s="664"/>
      <c r="N26" s="667"/>
    </row>
    <row r="27" spans="1:20" x14ac:dyDescent="0.25">
      <c r="J27" s="169"/>
      <c r="K27" s="19"/>
      <c r="N27" s="18"/>
    </row>
    <row r="28" spans="1:20" x14ac:dyDescent="0.25">
      <c r="B28" s="168" t="s">
        <v>88</v>
      </c>
      <c r="C28" s="168"/>
      <c r="J28" s="169"/>
      <c r="K28" s="19"/>
      <c r="L28" s="665"/>
      <c r="N28" s="18"/>
    </row>
    <row r="29" spans="1:20" x14ac:dyDescent="0.25">
      <c r="D29" s="168" t="s">
        <v>89</v>
      </c>
      <c r="J29" s="169"/>
      <c r="K29" s="19"/>
      <c r="N29" s="20"/>
    </row>
    <row r="30" spans="1:20" x14ac:dyDescent="0.25">
      <c r="B30" s="168"/>
      <c r="C30" s="168"/>
      <c r="J30" s="169"/>
      <c r="K30" s="19"/>
      <c r="M30" s="665"/>
      <c r="N30" s="20"/>
    </row>
    <row r="31" spans="1:20" x14ac:dyDescent="0.25">
      <c r="B31" s="168"/>
      <c r="C31" s="168"/>
      <c r="J31" s="169"/>
      <c r="K31" s="19"/>
      <c r="M31" s="665"/>
      <c r="N31" s="20"/>
    </row>
    <row r="32" spans="1:20" x14ac:dyDescent="0.25">
      <c r="B32" s="168"/>
      <c r="C32" s="168"/>
      <c r="J32" s="169"/>
      <c r="K32" s="19"/>
      <c r="N32" s="20"/>
    </row>
    <row r="33" spans="2:14" x14ac:dyDescent="0.25">
      <c r="B33" s="168"/>
      <c r="C33" s="168"/>
      <c r="J33" s="169"/>
      <c r="K33" s="19"/>
      <c r="N33" s="20"/>
    </row>
    <row r="34" spans="2:14" x14ac:dyDescent="0.25">
      <c r="B34" s="168"/>
      <c r="C34" s="168"/>
      <c r="J34" s="169"/>
      <c r="K34" s="19"/>
    </row>
    <row r="35" spans="2:14" x14ac:dyDescent="0.25">
      <c r="B35" s="8"/>
      <c r="C35" s="8"/>
      <c r="D35" s="8"/>
      <c r="E35" s="8"/>
      <c r="F35" s="8"/>
      <c r="G35" s="8"/>
      <c r="H35" s="8"/>
      <c r="I35" s="8"/>
      <c r="J35" s="21"/>
      <c r="K35" s="22"/>
      <c r="L35" s="8"/>
      <c r="M35" s="8"/>
      <c r="N35" s="8"/>
    </row>
    <row r="36" spans="2:14" ht="18.75" x14ac:dyDescent="0.3">
      <c r="E36" s="8"/>
      <c r="J36" s="21"/>
      <c r="K36" s="22"/>
      <c r="L36" s="8"/>
      <c r="M36" s="8"/>
      <c r="N36" s="17"/>
    </row>
    <row r="37" spans="2:14" ht="18.75" x14ac:dyDescent="0.3">
      <c r="B37" s="8"/>
      <c r="C37" s="8"/>
      <c r="D37" s="8"/>
      <c r="E37" s="8"/>
      <c r="F37" s="8"/>
      <c r="G37" s="8"/>
      <c r="H37" s="8"/>
      <c r="I37" s="8"/>
      <c r="J37" s="21"/>
      <c r="K37" s="22"/>
      <c r="L37" s="8"/>
      <c r="M37" s="8"/>
      <c r="N37" s="17"/>
    </row>
    <row r="38" spans="2:14" x14ac:dyDescent="0.25">
      <c r="B38" s="8"/>
      <c r="C38" s="8"/>
      <c r="D38" s="8"/>
      <c r="E38" s="8"/>
      <c r="F38" s="8"/>
      <c r="G38" s="8"/>
      <c r="H38" s="8"/>
      <c r="I38" s="8"/>
      <c r="J38" s="8"/>
      <c r="K38" s="22"/>
      <c r="L38" s="8"/>
      <c r="M38" s="8"/>
    </row>
    <row r="39" spans="2:14" x14ac:dyDescent="0.25">
      <c r="I39" s="8"/>
    </row>
    <row r="50" spans="2:14" x14ac:dyDescent="0.25">
      <c r="B50" s="8"/>
      <c r="C50" s="8"/>
      <c r="D50" s="8"/>
      <c r="E50" s="8"/>
      <c r="F50" s="8"/>
      <c r="G50" s="8"/>
      <c r="H50" s="8"/>
      <c r="I50" s="8"/>
    </row>
    <row r="56" spans="2:14" ht="18.75" x14ac:dyDescent="0.3">
      <c r="L56" s="9"/>
      <c r="M56" s="9"/>
      <c r="N56" s="9"/>
    </row>
    <row r="57" spans="2:14" ht="23.25" x14ac:dyDescent="0.35">
      <c r="L57" s="9"/>
      <c r="M57" s="9"/>
      <c r="N57" s="10"/>
    </row>
    <row r="58" spans="2:14" ht="23.25" x14ac:dyDescent="0.35">
      <c r="L58" s="9"/>
      <c r="M58" s="9"/>
      <c r="N58" s="10"/>
    </row>
    <row r="59" spans="2:14" ht="23.25" x14ac:dyDescent="0.35">
      <c r="L59" s="9"/>
      <c r="M59" s="9"/>
      <c r="N59" s="10"/>
    </row>
    <row r="60" spans="2:14" ht="23.25" x14ac:dyDescent="0.35">
      <c r="L60" s="9"/>
      <c r="M60" s="9"/>
      <c r="N60" s="10"/>
    </row>
    <row r="61" spans="2:14" ht="23.25" x14ac:dyDescent="0.35">
      <c r="L61" s="9"/>
      <c r="M61" s="9"/>
      <c r="N61" s="10"/>
    </row>
    <row r="62" spans="2:14" ht="23.25" x14ac:dyDescent="0.35">
      <c r="L62" s="9"/>
      <c r="M62" s="9"/>
      <c r="N62" s="10"/>
    </row>
    <row r="63" spans="2:14" ht="23.25" x14ac:dyDescent="0.35">
      <c r="L63" s="9"/>
      <c r="M63" s="9"/>
      <c r="N63" s="10"/>
    </row>
    <row r="64" spans="2:14" ht="23.25" x14ac:dyDescent="0.35">
      <c r="L64" s="9"/>
      <c r="M64" s="9"/>
      <c r="N64" s="10"/>
    </row>
  </sheetData>
  <mergeCells count="4">
    <mergeCell ref="B1:N1"/>
    <mergeCell ref="B2:N2"/>
    <mergeCell ref="B3:N3"/>
    <mergeCell ref="B4:N4"/>
  </mergeCells>
  <phoneticPr fontId="7" type="noConversion"/>
  <printOptions horizontalCentered="1"/>
  <pageMargins left="0.76" right="0.57999999999999996" top="0.81" bottom="0.69" header="0.54" footer="0.38"/>
  <pageSetup scale="57" orientation="landscape" r:id="rId1"/>
  <headerFooter alignWithMargins="0">
    <oddFooter>&amp;R&amp;"Times New Roman,Bold"Exhibit B-1
Page 4 of 7&amp;L&amp;1#&amp;"Calibri"&amp;14&amp;K000000Confidential</oddFooter>
  </headerFooter>
  <rowBreaks count="1" manualBreakCount="1">
    <brk id="40" max="16383" man="1"/>
  </rowBreaks>
  <customProperties>
    <customPr name="_pios_id" r:id="rId2"/>
  </customPropertie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ransitionEvaluation="1" codeName="Sheet10">
    <tabColor theme="3" tint="0.59999389629810485"/>
    <pageSetUpPr fitToPage="1"/>
  </sheetPr>
  <dimension ref="A1:S37"/>
  <sheetViews>
    <sheetView zoomScale="80" zoomScaleNormal="80" workbookViewId="0"/>
  </sheetViews>
  <sheetFormatPr defaultColWidth="9.77734375" defaultRowHeight="15.75" x14ac:dyDescent="0.25"/>
  <cols>
    <col min="1" max="1" width="5.44140625" style="5" customWidth="1"/>
    <col min="2" max="2" width="11.44140625" style="5" customWidth="1"/>
    <col min="3" max="3" width="13.33203125" style="5" customWidth="1"/>
    <col min="4" max="4" width="9.44140625" style="5" customWidth="1"/>
    <col min="5" max="5" width="12.88671875" style="5" customWidth="1"/>
    <col min="6" max="6" width="12.44140625" style="5" customWidth="1"/>
    <col min="7" max="7" width="11.5546875" style="5" customWidth="1"/>
    <col min="8" max="8" width="13.33203125" style="5" customWidth="1"/>
    <col min="9" max="9" width="17.33203125" style="5" customWidth="1"/>
    <col min="10" max="10" width="5.33203125" style="5" customWidth="1"/>
    <col min="11" max="11" width="12.88671875" style="5" customWidth="1"/>
    <col min="12" max="12" width="11.88671875" style="5" customWidth="1"/>
    <col min="13" max="13" width="15.88671875" style="5" customWidth="1"/>
    <col min="14" max="14" width="12.6640625" style="5" customWidth="1"/>
    <col min="15" max="15" width="11.6640625" style="5" customWidth="1"/>
    <col min="16" max="16" width="11.5546875" style="5" customWidth="1"/>
    <col min="17" max="17" width="13.77734375" style="5" customWidth="1"/>
    <col min="18" max="18" width="12.88671875" style="5" bestFit="1" customWidth="1"/>
    <col min="19" max="16384" width="9.77734375" style="5"/>
  </cols>
  <sheetData>
    <row r="1" spans="1:19" ht="18.75" x14ac:dyDescent="0.3">
      <c r="B1" s="797" t="s">
        <v>5</v>
      </c>
      <c r="C1" s="797"/>
      <c r="D1" s="797"/>
      <c r="E1" s="797"/>
      <c r="F1" s="797"/>
      <c r="G1" s="797"/>
      <c r="H1" s="797"/>
      <c r="I1" s="797"/>
      <c r="J1" s="24"/>
      <c r="K1" s="24"/>
      <c r="L1" s="24"/>
      <c r="M1" s="24"/>
      <c r="N1" s="24"/>
      <c r="O1" s="24"/>
      <c r="P1" s="24"/>
      <c r="Q1" s="24"/>
      <c r="R1" s="24"/>
    </row>
    <row r="2" spans="1:19" ht="18.75" x14ac:dyDescent="0.3">
      <c r="B2" s="798" t="s">
        <v>311</v>
      </c>
      <c r="C2" s="798"/>
      <c r="D2" s="798"/>
      <c r="E2" s="798"/>
      <c r="F2" s="798"/>
      <c r="G2" s="798"/>
      <c r="H2" s="798"/>
      <c r="I2" s="798"/>
    </row>
    <row r="3" spans="1:19" ht="18.75" x14ac:dyDescent="0.3">
      <c r="B3" s="798" t="str">
        <f>CONCATENATE("For Service Rendered On and After ",'Input Data'!$D$4)</f>
        <v>For Service Rendered On and After February 1, 2023</v>
      </c>
      <c r="C3" s="798"/>
      <c r="D3" s="798"/>
      <c r="E3" s="798"/>
      <c r="F3" s="798"/>
      <c r="G3" s="798"/>
      <c r="H3" s="798"/>
      <c r="I3" s="798"/>
    </row>
    <row r="4" spans="1:19" x14ac:dyDescent="0.25">
      <c r="B4" s="322"/>
      <c r="C4" s="322"/>
      <c r="D4" s="322"/>
      <c r="E4" s="322"/>
      <c r="F4" s="322"/>
      <c r="G4" s="322"/>
      <c r="H4" s="322"/>
      <c r="I4" s="322"/>
      <c r="J4" s="322"/>
      <c r="N4" s="170"/>
      <c r="O4" s="170"/>
      <c r="P4" s="170"/>
      <c r="R4" s="24"/>
    </row>
    <row r="5" spans="1:19" x14ac:dyDescent="0.25">
      <c r="B5" s="322"/>
      <c r="C5" s="322"/>
      <c r="D5" s="322"/>
      <c r="E5" s="322"/>
      <c r="F5" s="322"/>
      <c r="G5" s="322"/>
      <c r="H5" s="322"/>
      <c r="I5" s="322"/>
      <c r="J5" s="322"/>
      <c r="N5" s="170"/>
      <c r="O5" s="170"/>
      <c r="P5" s="170"/>
      <c r="R5" s="24"/>
    </row>
    <row r="6" spans="1:19" x14ac:dyDescent="0.25">
      <c r="D6" s="170"/>
      <c r="E6" s="170"/>
      <c r="F6" s="170"/>
      <c r="I6" s="24"/>
      <c r="J6" s="24"/>
      <c r="N6" s="170"/>
      <c r="O6" s="170"/>
      <c r="P6" s="170"/>
      <c r="R6" s="24"/>
    </row>
    <row r="7" spans="1:19" x14ac:dyDescent="0.25">
      <c r="B7" s="170"/>
      <c r="C7" s="170"/>
      <c r="D7" s="170"/>
      <c r="E7" s="170"/>
      <c r="F7" s="170"/>
      <c r="G7" s="170"/>
      <c r="H7" s="170"/>
      <c r="I7" s="170"/>
      <c r="J7" s="170"/>
      <c r="K7" s="170"/>
      <c r="L7" s="170"/>
      <c r="M7" s="171"/>
      <c r="N7" s="170"/>
      <c r="O7" s="170"/>
      <c r="P7" s="170"/>
    </row>
    <row r="8" spans="1:19" x14ac:dyDescent="0.25">
      <c r="B8" s="170"/>
      <c r="C8" s="170"/>
      <c r="D8" s="170"/>
      <c r="E8" s="170"/>
      <c r="F8" s="170"/>
      <c r="G8" s="170"/>
      <c r="H8" s="170"/>
      <c r="I8" s="170"/>
      <c r="J8" s="3"/>
      <c r="K8" s="170"/>
      <c r="L8" s="170"/>
      <c r="M8" s="170"/>
      <c r="N8" s="170"/>
      <c r="O8" s="170"/>
      <c r="P8" s="170"/>
      <c r="Q8" s="170"/>
    </row>
    <row r="9" spans="1:19" ht="16.5" thickBot="1" x14ac:dyDescent="0.3">
      <c r="B9" s="796" t="s">
        <v>90</v>
      </c>
      <c r="C9" s="796"/>
      <c r="D9" s="796"/>
      <c r="E9" s="796"/>
      <c r="F9" s="796"/>
      <c r="G9" s="796"/>
      <c r="H9" s="796"/>
      <c r="I9" s="796"/>
      <c r="J9" s="3"/>
    </row>
    <row r="10" spans="1:19" x14ac:dyDescent="0.25">
      <c r="B10" s="170"/>
      <c r="C10" s="170"/>
      <c r="D10" s="170"/>
      <c r="E10" s="172" t="s">
        <v>92</v>
      </c>
      <c r="F10" s="172" t="s">
        <v>92</v>
      </c>
      <c r="G10" s="172" t="s">
        <v>93</v>
      </c>
      <c r="H10" s="170"/>
      <c r="I10" s="170"/>
      <c r="J10" s="3"/>
    </row>
    <row r="11" spans="1:19" x14ac:dyDescent="0.25">
      <c r="B11" s="170"/>
      <c r="C11" s="170"/>
      <c r="D11" s="170"/>
      <c r="E11" s="172" t="s">
        <v>94</v>
      </c>
      <c r="F11" s="172" t="s">
        <v>94</v>
      </c>
      <c r="G11" s="172" t="s">
        <v>11</v>
      </c>
      <c r="H11" s="170"/>
      <c r="I11" s="170"/>
      <c r="J11" s="3"/>
    </row>
    <row r="12" spans="1:19" x14ac:dyDescent="0.25">
      <c r="B12" s="170"/>
      <c r="C12" s="170"/>
      <c r="D12" s="170"/>
      <c r="E12" s="172" t="s">
        <v>96</v>
      </c>
      <c r="F12" s="172" t="s">
        <v>97</v>
      </c>
      <c r="G12" s="172" t="s">
        <v>98</v>
      </c>
      <c r="H12" s="172" t="s">
        <v>93</v>
      </c>
      <c r="I12" s="172" t="s">
        <v>11</v>
      </c>
      <c r="J12" s="172"/>
      <c r="K12" s="119"/>
      <c r="L12" s="119"/>
      <c r="M12" s="119"/>
      <c r="N12" s="119"/>
      <c r="O12" s="119"/>
      <c r="P12" s="119"/>
      <c r="Q12" s="119"/>
      <c r="R12" s="119"/>
      <c r="S12" s="119"/>
    </row>
    <row r="13" spans="1:19" x14ac:dyDescent="0.25">
      <c r="A13" s="320" t="s">
        <v>321</v>
      </c>
      <c r="B13" s="172" t="s">
        <v>372</v>
      </c>
      <c r="C13" s="172" t="s">
        <v>11</v>
      </c>
      <c r="D13" s="172" t="s">
        <v>94</v>
      </c>
      <c r="E13" s="172" t="s">
        <v>100</v>
      </c>
      <c r="F13" s="172" t="s">
        <v>101</v>
      </c>
      <c r="G13" s="172" t="s">
        <v>102</v>
      </c>
      <c r="H13" s="172" t="s">
        <v>103</v>
      </c>
      <c r="I13" s="172" t="s">
        <v>104</v>
      </c>
      <c r="J13" s="172"/>
      <c r="K13" s="119"/>
      <c r="L13" s="119"/>
      <c r="M13" s="119"/>
      <c r="N13" s="119"/>
      <c r="O13" s="119"/>
      <c r="P13" s="119"/>
      <c r="Q13" s="119"/>
      <c r="R13" s="119"/>
      <c r="S13" s="119"/>
    </row>
    <row r="14" spans="1:19" ht="15" customHeight="1" x14ac:dyDescent="0.25">
      <c r="A14" s="160" t="s">
        <v>322</v>
      </c>
      <c r="B14" s="441" t="s">
        <v>263</v>
      </c>
      <c r="C14" s="442" t="s">
        <v>94</v>
      </c>
      <c r="D14" s="441" t="s">
        <v>107</v>
      </c>
      <c r="E14" s="442" t="s">
        <v>108</v>
      </c>
      <c r="F14" s="442" t="s">
        <v>103</v>
      </c>
      <c r="G14" s="442" t="s">
        <v>103</v>
      </c>
      <c r="H14" s="441" t="s">
        <v>109</v>
      </c>
      <c r="I14" s="442" t="s">
        <v>479</v>
      </c>
      <c r="J14" s="173"/>
      <c r="K14" s="119"/>
      <c r="L14" s="119"/>
      <c r="M14" s="119"/>
      <c r="N14" s="119"/>
      <c r="O14" s="119"/>
      <c r="P14" s="119"/>
      <c r="Q14" s="119"/>
      <c r="R14" s="119"/>
      <c r="S14" s="119"/>
    </row>
    <row r="15" spans="1:19" ht="30" x14ac:dyDescent="0.25">
      <c r="A15" s="174"/>
      <c r="B15" s="443" t="s">
        <v>60</v>
      </c>
      <c r="C15" s="443" t="s">
        <v>61</v>
      </c>
      <c r="D15" s="443" t="s">
        <v>62</v>
      </c>
      <c r="E15" s="443" t="s">
        <v>63</v>
      </c>
      <c r="F15" s="443" t="s">
        <v>64</v>
      </c>
      <c r="G15" s="443" t="s">
        <v>65</v>
      </c>
      <c r="H15" s="443" t="s">
        <v>66</v>
      </c>
      <c r="I15" s="444" t="s">
        <v>438</v>
      </c>
      <c r="J15" s="173"/>
      <c r="K15" s="119"/>
      <c r="L15" s="119"/>
      <c r="M15" s="119"/>
      <c r="N15" s="119"/>
      <c r="O15" s="119"/>
      <c r="P15" s="119"/>
      <c r="Q15" s="119"/>
      <c r="R15" s="119"/>
      <c r="S15" s="119"/>
    </row>
    <row r="16" spans="1:19" ht="18.75" customHeight="1" x14ac:dyDescent="0.25">
      <c r="A16" s="4"/>
      <c r="B16" s="24"/>
      <c r="K16" s="119"/>
      <c r="L16" s="119"/>
      <c r="M16" s="119"/>
      <c r="N16" s="119"/>
      <c r="O16" s="119"/>
      <c r="P16" s="119"/>
      <c r="Q16" s="119"/>
      <c r="R16" s="119"/>
      <c r="S16" s="119"/>
    </row>
    <row r="17" spans="1:19" ht="18.75" customHeight="1" x14ac:dyDescent="0.25">
      <c r="A17" s="320">
        <v>1</v>
      </c>
      <c r="B17" s="445">
        <f>'Input Data'!C7</f>
        <v>44774</v>
      </c>
      <c r="C17" s="5">
        <f>'Input Data'!C100</f>
        <v>2776438</v>
      </c>
      <c r="D17" s="5">
        <f>'Input Data'!C101</f>
        <v>0</v>
      </c>
      <c r="E17" s="5">
        <f>'Input Data'!C107</f>
        <v>-2869.56</v>
      </c>
      <c r="F17" s="5">
        <f>'Input Data'!C108</f>
        <v>-2151374</v>
      </c>
      <c r="G17" s="5">
        <f>'Input Data'!C109</f>
        <v>291</v>
      </c>
      <c r="H17" s="5">
        <f>'Input Data'!C110</f>
        <v>50837</v>
      </c>
      <c r="I17" s="175">
        <f>SUM(C17:H17)</f>
        <v>673322.44</v>
      </c>
      <c r="J17" s="175"/>
      <c r="K17" s="119"/>
      <c r="L17" s="119"/>
      <c r="M17" s="119"/>
      <c r="N17" s="119"/>
      <c r="O17" s="119"/>
      <c r="P17" s="119"/>
      <c r="Q17" s="119"/>
      <c r="R17" s="119"/>
      <c r="S17" s="119"/>
    </row>
    <row r="18" spans="1:19" ht="18.75" customHeight="1" x14ac:dyDescent="0.25">
      <c r="A18" s="320">
        <v>2</v>
      </c>
      <c r="B18" s="445">
        <f>EDATE(B17,1)</f>
        <v>44805</v>
      </c>
      <c r="C18" s="5">
        <f>'Input Data'!D100</f>
        <v>3023750</v>
      </c>
      <c r="D18" s="5">
        <f>'Input Data'!D101</f>
        <v>0</v>
      </c>
      <c r="E18" s="5">
        <f>'Input Data'!D107</f>
        <v>-1144</v>
      </c>
      <c r="F18" s="5">
        <f>'Input Data'!D108</f>
        <v>-2276251</v>
      </c>
      <c r="G18" s="5">
        <f>'Input Data'!D109</f>
        <v>389</v>
      </c>
      <c r="H18" s="5">
        <f>'Input Data'!D110</f>
        <v>50846</v>
      </c>
      <c r="I18" s="175">
        <f>SUM(C18:H18)</f>
        <v>797590</v>
      </c>
      <c r="J18" s="175"/>
      <c r="K18" s="119"/>
      <c r="L18" s="119"/>
      <c r="M18" s="119"/>
      <c r="N18" s="119"/>
      <c r="O18" s="119"/>
      <c r="P18" s="119"/>
      <c r="Q18" s="119"/>
      <c r="R18" s="119"/>
      <c r="S18" s="119"/>
    </row>
    <row r="19" spans="1:19" ht="18.75" customHeight="1" x14ac:dyDescent="0.25">
      <c r="A19" s="320">
        <v>3</v>
      </c>
      <c r="B19" s="445">
        <f>EDATE(B18,1)</f>
        <v>44835</v>
      </c>
      <c r="C19" s="5">
        <f>'Input Data'!E100</f>
        <v>3232659</v>
      </c>
      <c r="D19" s="5">
        <f>'Input Data'!E101</f>
        <v>0</v>
      </c>
      <c r="E19" s="5">
        <f>'Input Data'!E107</f>
        <v>-2890</v>
      </c>
      <c r="F19" s="5">
        <f>'Input Data'!E108</f>
        <v>-1651657</v>
      </c>
      <c r="G19" s="5">
        <f>'Input Data'!E109</f>
        <v>1014</v>
      </c>
      <c r="H19" s="5">
        <f>'Input Data'!E110</f>
        <v>50828</v>
      </c>
      <c r="I19" s="446">
        <f>SUM(C19:H19)</f>
        <v>1629954</v>
      </c>
      <c r="J19" s="175"/>
      <c r="K19" s="119"/>
      <c r="L19" s="119"/>
      <c r="M19" s="119"/>
      <c r="N19" s="119"/>
      <c r="O19" s="119"/>
      <c r="P19" s="119"/>
      <c r="Q19" s="119"/>
      <c r="R19" s="119"/>
      <c r="S19" s="119"/>
    </row>
    <row r="20" spans="1:19" ht="18.75" customHeight="1" x14ac:dyDescent="0.25">
      <c r="A20" s="4"/>
      <c r="B20" s="24"/>
      <c r="K20" s="119"/>
      <c r="L20" s="119"/>
      <c r="M20" s="119"/>
      <c r="N20" s="119"/>
      <c r="O20" s="119"/>
      <c r="P20" s="119"/>
      <c r="Q20" s="119"/>
      <c r="R20" s="119"/>
      <c r="S20" s="119"/>
    </row>
    <row r="21" spans="1:19" ht="18.75" customHeight="1" x14ac:dyDescent="0.25">
      <c r="A21" s="320">
        <v>4</v>
      </c>
      <c r="B21" s="24"/>
      <c r="I21" s="175">
        <f>SUM(I17:I20)</f>
        <v>3100866.44</v>
      </c>
      <c r="K21" s="119"/>
      <c r="L21" s="119"/>
      <c r="M21" s="119"/>
      <c r="N21" s="119"/>
      <c r="O21" s="119"/>
      <c r="P21" s="119"/>
      <c r="Q21" s="119"/>
      <c r="R21" s="119"/>
      <c r="S21" s="119"/>
    </row>
    <row r="22" spans="1:19" ht="18.75" customHeight="1" x14ac:dyDescent="0.25">
      <c r="B22" s="24"/>
      <c r="I22" s="24"/>
      <c r="J22" s="24"/>
      <c r="K22" s="119"/>
      <c r="L22" s="119"/>
      <c r="M22" s="119"/>
      <c r="N22" s="119"/>
      <c r="O22" s="119"/>
      <c r="P22" s="119"/>
      <c r="Q22" s="119"/>
      <c r="R22" s="119"/>
      <c r="S22" s="119"/>
    </row>
    <row r="23" spans="1:19" ht="18.75" customHeight="1" thickBot="1" x14ac:dyDescent="0.3">
      <c r="B23" s="796" t="s">
        <v>91</v>
      </c>
      <c r="C23" s="796"/>
      <c r="D23" s="796"/>
      <c r="E23" s="796"/>
      <c r="F23" s="796"/>
      <c r="G23" s="796"/>
      <c r="H23" s="796"/>
      <c r="I23" s="796"/>
      <c r="K23" s="119"/>
      <c r="L23" s="119"/>
      <c r="M23" s="119"/>
      <c r="N23" s="119"/>
      <c r="O23" s="119"/>
      <c r="P23" s="119"/>
      <c r="Q23" s="119"/>
      <c r="R23" s="119"/>
      <c r="S23" s="119"/>
    </row>
    <row r="24" spans="1:19" x14ac:dyDescent="0.25">
      <c r="B24" s="170"/>
      <c r="C24" s="170"/>
      <c r="D24" s="173"/>
      <c r="E24" s="172" t="s">
        <v>92</v>
      </c>
      <c r="F24" s="172" t="s">
        <v>93</v>
      </c>
      <c r="G24" s="173"/>
      <c r="H24" s="172"/>
      <c r="I24" s="172"/>
      <c r="K24" s="119"/>
      <c r="L24" s="119"/>
      <c r="M24" s="119"/>
      <c r="N24" s="119"/>
      <c r="O24" s="119"/>
      <c r="P24" s="119"/>
      <c r="Q24" s="119"/>
      <c r="R24" s="119"/>
      <c r="S24" s="119"/>
    </row>
    <row r="25" spans="1:19" x14ac:dyDescent="0.25">
      <c r="B25" s="170"/>
      <c r="C25" s="173"/>
      <c r="D25" s="172" t="s">
        <v>92</v>
      </c>
      <c r="E25" s="172" t="s">
        <v>94</v>
      </c>
      <c r="F25" s="172" t="s">
        <v>95</v>
      </c>
      <c r="G25" s="172"/>
      <c r="H25" s="172" t="s">
        <v>93</v>
      </c>
      <c r="I25" s="172"/>
      <c r="K25" s="119"/>
      <c r="L25" s="119"/>
      <c r="M25" s="119"/>
      <c r="N25" s="119"/>
      <c r="O25" s="119"/>
      <c r="P25" s="119"/>
      <c r="Q25" s="119"/>
      <c r="R25" s="119"/>
      <c r="S25" s="119"/>
    </row>
    <row r="26" spans="1:19" x14ac:dyDescent="0.25">
      <c r="B26" s="172"/>
      <c r="C26" s="172" t="s">
        <v>99</v>
      </c>
      <c r="D26" s="172" t="s">
        <v>94</v>
      </c>
      <c r="E26" s="172" t="s">
        <v>97</v>
      </c>
      <c r="F26" s="172" t="s">
        <v>98</v>
      </c>
      <c r="G26" s="172" t="s">
        <v>93</v>
      </c>
      <c r="H26" s="172" t="s">
        <v>355</v>
      </c>
      <c r="I26" s="172" t="s">
        <v>30</v>
      </c>
      <c r="K26" s="119"/>
      <c r="L26" s="119"/>
      <c r="M26" s="119"/>
      <c r="N26" s="119"/>
      <c r="O26" s="119"/>
      <c r="P26" s="119"/>
      <c r="Q26" s="119"/>
      <c r="R26" s="119"/>
      <c r="S26" s="119"/>
    </row>
    <row r="27" spans="1:19" x14ac:dyDescent="0.25">
      <c r="B27" s="172" t="s">
        <v>99</v>
      </c>
      <c r="C27" s="173" t="s">
        <v>105</v>
      </c>
      <c r="D27" s="172" t="s">
        <v>106</v>
      </c>
      <c r="E27" s="172" t="s">
        <v>101</v>
      </c>
      <c r="F27" s="172" t="s">
        <v>102</v>
      </c>
      <c r="G27" s="172" t="s">
        <v>103</v>
      </c>
      <c r="H27" s="172" t="s">
        <v>356</v>
      </c>
      <c r="I27" s="172" t="s">
        <v>67</v>
      </c>
      <c r="K27" s="119"/>
      <c r="L27" s="119"/>
      <c r="M27" s="119"/>
      <c r="N27" s="119"/>
      <c r="O27" s="119"/>
      <c r="P27" s="119"/>
      <c r="Q27" s="119"/>
      <c r="R27" s="119"/>
      <c r="S27" s="119"/>
    </row>
    <row r="28" spans="1:19" ht="18.75" x14ac:dyDescent="0.25">
      <c r="B28" s="442" t="s">
        <v>105</v>
      </c>
      <c r="C28" s="442" t="s">
        <v>107</v>
      </c>
      <c r="D28" s="142" t="s">
        <v>843</v>
      </c>
      <c r="E28" s="442" t="s">
        <v>103</v>
      </c>
      <c r="F28" s="442" t="s">
        <v>103</v>
      </c>
      <c r="G28" s="441" t="s">
        <v>109</v>
      </c>
      <c r="H28" s="441" t="s">
        <v>357</v>
      </c>
      <c r="I28" s="442" t="s">
        <v>110</v>
      </c>
      <c r="K28" s="119"/>
      <c r="L28" s="119"/>
      <c r="M28" s="119"/>
      <c r="N28" s="119"/>
      <c r="O28" s="119"/>
      <c r="P28" s="119"/>
      <c r="Q28" s="119"/>
      <c r="R28" s="119"/>
      <c r="S28" s="119"/>
    </row>
    <row r="29" spans="1:19" ht="38.25" customHeight="1" x14ac:dyDescent="0.25">
      <c r="B29" s="443" t="s">
        <v>112</v>
      </c>
      <c r="C29" s="443" t="s">
        <v>113</v>
      </c>
      <c r="D29" s="443" t="s">
        <v>375</v>
      </c>
      <c r="E29" s="443" t="s">
        <v>365</v>
      </c>
      <c r="F29" s="443" t="s">
        <v>370</v>
      </c>
      <c r="G29" s="443" t="s">
        <v>376</v>
      </c>
      <c r="H29" s="443" t="s">
        <v>377</v>
      </c>
      <c r="I29" s="444" t="s">
        <v>439</v>
      </c>
      <c r="K29" s="119"/>
      <c r="L29" s="119"/>
      <c r="M29" s="119"/>
      <c r="N29" s="119"/>
      <c r="O29" s="119"/>
      <c r="P29" s="119"/>
      <c r="Q29" s="119"/>
      <c r="R29" s="119"/>
      <c r="S29" s="119"/>
    </row>
    <row r="30" spans="1:19" x14ac:dyDescent="0.25">
      <c r="K30" s="119"/>
      <c r="L30" s="119"/>
      <c r="M30" s="119"/>
      <c r="N30" s="119"/>
      <c r="O30" s="119"/>
      <c r="P30" s="119"/>
      <c r="Q30" s="119"/>
      <c r="R30" s="119"/>
      <c r="S30" s="119"/>
    </row>
    <row r="31" spans="1:19" x14ac:dyDescent="0.25">
      <c r="A31" s="5">
        <v>5</v>
      </c>
      <c r="B31" s="622">
        <f>'Input Data'!C113</f>
        <v>26217759.079999998</v>
      </c>
      <c r="C31" s="622">
        <f>'Input Data'!C114</f>
        <v>0</v>
      </c>
      <c r="D31" s="622">
        <f>'Input Data'!C115</f>
        <v>-12454.88</v>
      </c>
      <c r="E31" s="622">
        <f>'Input Data'!C116</f>
        <v>-20315209.539999999</v>
      </c>
      <c r="F31" s="622">
        <f>'Input Data'!C117</f>
        <v>2060.48</v>
      </c>
      <c r="G31" s="622">
        <f>'Input Data'!C118</f>
        <v>359961.55</v>
      </c>
      <c r="H31" s="622">
        <f>'Input Data'!C119</f>
        <v>31902.14</v>
      </c>
      <c r="I31" s="447">
        <f>ROUND(SUM(B31:H31),0)</f>
        <v>6284019</v>
      </c>
      <c r="K31" s="119"/>
      <c r="L31" s="119"/>
      <c r="M31" s="119"/>
      <c r="N31" s="119"/>
      <c r="O31" s="119"/>
      <c r="P31" s="119"/>
      <c r="Q31" s="119"/>
      <c r="R31" s="119"/>
      <c r="S31" s="119"/>
    </row>
    <row r="32" spans="1:19" x14ac:dyDescent="0.25">
      <c r="A32" s="5">
        <v>6</v>
      </c>
      <c r="B32" s="622">
        <f>'Input Data'!D113</f>
        <v>25240475.390000001</v>
      </c>
      <c r="C32" s="622">
        <f>'Input Data'!D114</f>
        <v>0</v>
      </c>
      <c r="D32" s="622">
        <f>'Input Data'!D115</f>
        <v>5303.57</v>
      </c>
      <c r="E32" s="622">
        <f>'Input Data'!D116</f>
        <v>-19000777.600000001</v>
      </c>
      <c r="F32" s="622">
        <f>'Input Data'!D117</f>
        <v>2869.46</v>
      </c>
      <c r="G32" s="622">
        <f>'Input Data'!D118</f>
        <v>375065.52</v>
      </c>
      <c r="H32" s="622">
        <f>'Input Data'!D119</f>
        <v>17946.22</v>
      </c>
      <c r="I32" s="447">
        <f>ROUND(SUM(B32:H32),0)</f>
        <v>6640883</v>
      </c>
      <c r="K32" s="119"/>
      <c r="L32" s="119"/>
      <c r="M32" s="119"/>
      <c r="N32" s="119"/>
      <c r="O32" s="119"/>
      <c r="P32" s="119"/>
      <c r="Q32" s="119"/>
      <c r="R32" s="119"/>
      <c r="S32" s="119"/>
    </row>
    <row r="33" spans="1:19" x14ac:dyDescent="0.25">
      <c r="A33" s="5">
        <v>7</v>
      </c>
      <c r="B33" s="622">
        <f>'Input Data'!E113</f>
        <v>19477238.210000001</v>
      </c>
      <c r="C33" s="622">
        <f>'Input Data'!E114</f>
        <v>0</v>
      </c>
      <c r="D33" s="622">
        <f>'Input Data'!E115</f>
        <v>-7756.69</v>
      </c>
      <c r="E33" s="622">
        <f>'Input Data'!E116</f>
        <v>-9951398.5899999999</v>
      </c>
      <c r="F33" s="622">
        <f>'Input Data'!E117</f>
        <v>7264.68</v>
      </c>
      <c r="G33" s="622">
        <f>'Input Data'!E118</f>
        <v>364933.11</v>
      </c>
      <c r="H33" s="622">
        <f>'Input Data'!E119</f>
        <v>33115.81</v>
      </c>
      <c r="I33" s="448">
        <f>ROUND(SUM(B33:H33),0)</f>
        <v>9923397</v>
      </c>
      <c r="K33" s="119"/>
      <c r="L33" s="119"/>
      <c r="M33" s="119"/>
      <c r="N33" s="119"/>
      <c r="O33" s="119"/>
      <c r="P33" s="119"/>
      <c r="Q33" s="119"/>
      <c r="R33" s="119"/>
      <c r="S33" s="119"/>
    </row>
    <row r="34" spans="1:19" x14ac:dyDescent="0.25">
      <c r="B34" s="74"/>
      <c r="C34" s="74"/>
      <c r="D34" s="74"/>
      <c r="E34" s="74"/>
      <c r="F34" s="74"/>
      <c r="G34" s="74"/>
      <c r="H34" s="74"/>
      <c r="I34" s="74"/>
      <c r="K34" s="119"/>
      <c r="L34" s="119"/>
      <c r="M34" s="119"/>
      <c r="N34" s="119"/>
      <c r="O34" s="119"/>
      <c r="P34" s="119"/>
      <c r="Q34" s="119"/>
      <c r="R34" s="119"/>
      <c r="S34" s="119"/>
    </row>
    <row r="35" spans="1:19" x14ac:dyDescent="0.25">
      <c r="A35" s="5">
        <v>8</v>
      </c>
      <c r="B35" s="74"/>
      <c r="C35" s="74"/>
      <c r="D35" s="74"/>
      <c r="E35" s="74"/>
      <c r="F35" s="74"/>
      <c r="G35" s="74"/>
      <c r="H35" s="449"/>
      <c r="I35" s="74">
        <f>I31+I32+I33</f>
        <v>22848299</v>
      </c>
      <c r="J35" s="74"/>
      <c r="K35" s="119"/>
      <c r="L35" s="119"/>
      <c r="M35" s="119"/>
      <c r="N35" s="119"/>
      <c r="O35" s="119"/>
      <c r="P35" s="119"/>
      <c r="Q35" s="119"/>
      <c r="R35" s="119"/>
      <c r="S35" s="119"/>
    </row>
    <row r="36" spans="1:19" x14ac:dyDescent="0.25">
      <c r="K36" s="119"/>
      <c r="L36" s="119"/>
      <c r="M36" s="119"/>
      <c r="N36" s="119"/>
      <c r="O36" s="119"/>
      <c r="P36" s="119"/>
      <c r="Q36" s="119"/>
      <c r="R36" s="119"/>
      <c r="S36" s="119"/>
    </row>
    <row r="37" spans="1:19" ht="18.75" x14ac:dyDescent="0.25">
      <c r="A37" s="415">
        <v>1</v>
      </c>
      <c r="B37" s="5" t="s">
        <v>842</v>
      </c>
      <c r="K37" s="119"/>
      <c r="L37" s="119"/>
      <c r="M37" s="119"/>
      <c r="N37" s="119"/>
      <c r="O37" s="119"/>
      <c r="P37" s="119"/>
      <c r="Q37" s="119"/>
      <c r="R37" s="119"/>
      <c r="S37" s="119"/>
    </row>
  </sheetData>
  <mergeCells count="5">
    <mergeCell ref="B23:I23"/>
    <mergeCell ref="B1:I1"/>
    <mergeCell ref="B2:I2"/>
    <mergeCell ref="B3:I3"/>
    <mergeCell ref="B9:I9"/>
  </mergeCells>
  <phoneticPr fontId="3" type="noConversion"/>
  <pageMargins left="0.72" right="0.78" top="1.47" bottom="1.25" header="0.64" footer="0.5"/>
  <pageSetup scale="70" orientation="portrait" r:id="rId1"/>
  <headerFooter alignWithMargins="0">
    <oddHeader>&amp;R&amp;"Times New Roman,Bold"Exhibit B-1
Page 5 of 7</oddHeader>
    <oddFooter>&amp;L&amp;1#&amp;"Calibri"&amp;14&amp;K000000Confidential</oddFooter>
  </headerFooter>
  <customProperties>
    <customPr name="_pios_id" r:id="rId2"/>
  </customPropertie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31">
    <tabColor theme="3" tint="0.59999389629810485"/>
  </sheetPr>
  <dimension ref="A4:O23"/>
  <sheetViews>
    <sheetView zoomScaleNormal="100" workbookViewId="0"/>
  </sheetViews>
  <sheetFormatPr defaultRowHeight="15.75" x14ac:dyDescent="0.25"/>
  <cols>
    <col min="15" max="15" width="8.88671875" style="90"/>
  </cols>
  <sheetData>
    <row r="4" spans="1:1" x14ac:dyDescent="0.25">
      <c r="A4" s="455" t="s">
        <v>761</v>
      </c>
    </row>
    <row r="23" spans="7:7" x14ac:dyDescent="0.25">
      <c r="G23" s="90"/>
    </row>
  </sheetData>
  <pageMargins left="0.7" right="0.7" top="0.75" bottom="0.75" header="0.3" footer="0.3"/>
  <pageSetup orientation="portrait" r:id="rId1"/>
  <headerFooter>
    <oddFooter>&amp;L&amp;1#&amp;"Calibri"&amp;14&amp;K000000Confidential</oddFooter>
  </headerFooter>
  <customProperties>
    <customPr name="_pios_id" r:id="rId2"/>
  </customPropertie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32">
    <tabColor theme="3" tint="0.59999389629810485"/>
  </sheetPr>
  <dimension ref="A4:O23"/>
  <sheetViews>
    <sheetView zoomScaleNormal="100" workbookViewId="0"/>
  </sheetViews>
  <sheetFormatPr defaultRowHeight="15.75" x14ac:dyDescent="0.25"/>
  <cols>
    <col min="15" max="15" width="8.88671875" style="90"/>
  </cols>
  <sheetData>
    <row r="4" spans="1:1" x14ac:dyDescent="0.25">
      <c r="A4" s="455" t="s">
        <v>760</v>
      </c>
    </row>
    <row r="23" spans="7:7" x14ac:dyDescent="0.25">
      <c r="G23" s="90"/>
    </row>
  </sheetData>
  <pageMargins left="0.7" right="0.7" top="0.75" bottom="0.75" header="0.3" footer="0.3"/>
  <pageSetup orientation="portrait" r:id="rId1"/>
  <headerFooter>
    <oddFooter>&amp;L&amp;1#&amp;"Calibri"&amp;14&amp;K000000Confidential</oddFooter>
  </headerFooter>
  <customProperties>
    <customPr name="_pios_id" r:id="rId2"/>
  </customPropertie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E74964-AAA7-4DBD-AB7B-6E5CD73D097C}">
  <sheetPr codeName="Sheet35">
    <tabColor theme="3" tint="0.59999389629810485"/>
  </sheetPr>
  <dimension ref="A10:H10"/>
  <sheetViews>
    <sheetView zoomScaleNormal="100" workbookViewId="0"/>
  </sheetViews>
  <sheetFormatPr defaultRowHeight="15.75" x14ac:dyDescent="0.25"/>
  <sheetData>
    <row r="10" spans="1:8" ht="220.5" customHeight="1" x14ac:dyDescent="0.25">
      <c r="A10" s="799" t="s">
        <v>775</v>
      </c>
      <c r="B10" s="799"/>
      <c r="C10" s="799"/>
      <c r="D10" s="799"/>
      <c r="E10" s="799"/>
      <c r="F10" s="799"/>
      <c r="G10" s="799"/>
      <c r="H10" s="799"/>
    </row>
  </sheetData>
  <mergeCells count="1">
    <mergeCell ref="A10:H10"/>
  </mergeCells>
  <pageMargins left="0.7" right="0.7" top="0.75" bottom="0.75" header="0.3" footer="0.3"/>
  <pageSetup orientation="portrait" r:id="rId1"/>
  <headerFooter>
    <oddHeader>&amp;R&amp;"Times New Roman,Bold"Exhibit B-2
Page 1 of 1</oddHeader>
    <oddFooter>&amp;L&amp;1#&amp;"Calibri"&amp;14&amp;K000000Confidential</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AC90F1-5DB1-4651-AB6F-7B6B17B29350}">
  <sheetPr codeName="Sheet36">
    <tabColor rgb="FF00B050"/>
  </sheetPr>
  <dimension ref="B1:L18"/>
  <sheetViews>
    <sheetView zoomScaleNormal="100" workbookViewId="0"/>
  </sheetViews>
  <sheetFormatPr defaultColWidth="8.77734375" defaultRowHeight="15.75" x14ac:dyDescent="0.25"/>
  <cols>
    <col min="1" max="1" width="1.109375" style="6" customWidth="1"/>
    <col min="2" max="4" width="8.77734375" style="6"/>
    <col min="5" max="5" width="10.77734375" style="6" bestFit="1" customWidth="1"/>
    <col min="6" max="8" width="8.77734375" style="6"/>
    <col min="9" max="9" width="9.77734375" style="6" customWidth="1"/>
    <col min="10" max="10" width="1.109375" style="6" customWidth="1"/>
    <col min="11" max="16384" width="8.77734375" style="6"/>
  </cols>
  <sheetData>
    <row r="1" spans="2:9" x14ac:dyDescent="0.25">
      <c r="B1" s="766" t="s">
        <v>5</v>
      </c>
      <c r="C1" s="766"/>
      <c r="D1" s="766"/>
      <c r="E1" s="766"/>
      <c r="F1" s="766"/>
      <c r="G1" s="766"/>
      <c r="H1" s="766"/>
      <c r="I1" s="766"/>
    </row>
    <row r="2" spans="2:9" x14ac:dyDescent="0.25">
      <c r="B2" s="569"/>
      <c r="C2" s="569"/>
      <c r="D2" s="569"/>
      <c r="E2" s="569"/>
      <c r="F2" s="569"/>
      <c r="G2" s="569"/>
      <c r="H2" s="569"/>
      <c r="I2" s="569"/>
    </row>
    <row r="3" spans="2:9" x14ac:dyDescent="0.25">
      <c r="B3" s="766" t="str">
        <f>'Exhibit F Write-Up'!B3:N3</f>
        <v>Gas Supply Clause: 2022-00421</v>
      </c>
      <c r="C3" s="766"/>
      <c r="D3" s="766"/>
      <c r="E3" s="766"/>
      <c r="F3" s="766"/>
      <c r="G3" s="766"/>
      <c r="H3" s="766"/>
      <c r="I3" s="766"/>
    </row>
    <row r="4" spans="2:9" x14ac:dyDescent="0.25">
      <c r="B4" s="569"/>
      <c r="C4" s="569"/>
      <c r="D4" s="569"/>
      <c r="E4" s="569"/>
      <c r="F4" s="569"/>
      <c r="G4" s="569"/>
      <c r="H4" s="569"/>
      <c r="I4" s="569"/>
    </row>
    <row r="5" spans="2:9" x14ac:dyDescent="0.25">
      <c r="B5" s="766" t="s">
        <v>639</v>
      </c>
      <c r="C5" s="766"/>
      <c r="D5" s="766"/>
      <c r="E5" s="766"/>
      <c r="F5" s="766"/>
      <c r="G5" s="766"/>
      <c r="H5" s="766"/>
      <c r="I5" s="766"/>
    </row>
    <row r="8" spans="2:9" ht="31.5" customHeight="1" x14ac:dyDescent="0.25">
      <c r="B8" s="790" t="s">
        <v>640</v>
      </c>
      <c r="C8" s="790"/>
      <c r="D8" s="790"/>
      <c r="E8" s="790"/>
      <c r="F8" s="790"/>
      <c r="G8" s="790"/>
      <c r="H8" s="790"/>
      <c r="I8" s="790"/>
    </row>
    <row r="9" spans="2:9" ht="15.6" customHeight="1" x14ac:dyDescent="0.25">
      <c r="B9" s="656"/>
      <c r="C9" s="656"/>
      <c r="D9" s="656"/>
      <c r="E9" s="656"/>
      <c r="F9" s="656"/>
      <c r="G9" s="656"/>
      <c r="H9" s="656"/>
      <c r="I9" s="656"/>
    </row>
    <row r="10" spans="2:9" ht="31.5" customHeight="1" x14ac:dyDescent="0.25">
      <c r="B10" s="790" t="str">
        <f>CONCATENATE("The over- or under-recoveries will be distributed via the Gas Cost Balance Adjustment (GCBA) during the period of ", 'Input Data'!D4, " through ", 'Input Data'!D5, " set forth on Page 1 of Exhibit C-1:")</f>
        <v>The over- or under-recoveries will be distributed via the Gas Cost Balance Adjustment (GCBA) during the period of February 1, 2023 through April 30, 2023 set forth on Page 1 of Exhibit C-1:</v>
      </c>
      <c r="C10" s="790"/>
      <c r="D10" s="790"/>
      <c r="E10" s="790"/>
      <c r="F10" s="790"/>
      <c r="G10" s="790"/>
      <c r="H10" s="790"/>
      <c r="I10" s="790"/>
    </row>
    <row r="11" spans="2:9" ht="15.6" customHeight="1" x14ac:dyDescent="0.25">
      <c r="B11" s="656"/>
      <c r="C11" s="656"/>
      <c r="D11" s="656"/>
      <c r="E11" s="656"/>
      <c r="F11" s="656"/>
      <c r="G11" s="656"/>
      <c r="H11" s="656"/>
      <c r="I11" s="656"/>
    </row>
    <row r="12" spans="2:9" ht="15.6" customHeight="1" x14ac:dyDescent="0.25">
      <c r="B12" s="801" t="s">
        <v>641</v>
      </c>
      <c r="C12" s="801"/>
      <c r="D12" s="801"/>
      <c r="E12" s="577">
        <f>'Ex C-1 1 of 3'!D13</f>
        <v>156836</v>
      </c>
      <c r="F12" s="656"/>
      <c r="G12" s="656"/>
      <c r="H12" s="656"/>
      <c r="I12" s="656"/>
    </row>
    <row r="13" spans="2:9" ht="15.6" customHeight="1" x14ac:dyDescent="0.25">
      <c r="B13" s="656"/>
      <c r="C13" s="656"/>
      <c r="D13" s="656"/>
      <c r="E13" s="656"/>
      <c r="F13" s="656"/>
      <c r="G13" s="656"/>
      <c r="H13" s="656"/>
      <c r="I13" s="656"/>
    </row>
    <row r="14" spans="2:9" ht="31.5" customHeight="1" x14ac:dyDescent="0.25">
      <c r="B14" s="790" t="str">
        <f>CONCATENATE("The GCBA factor required to collect the recovery balance will be in effect ", 'Input Data'!B151, " with service rendered on and after ", 'Input Data'!D4, " and continue for three months:")</f>
        <v>The GCBA factor required to collect the recovery balance will be in effect as a debit with service rendered on and after February 1, 2023 and continue for three months:</v>
      </c>
      <c r="C14" s="790"/>
      <c r="D14" s="790"/>
      <c r="E14" s="790"/>
      <c r="F14" s="790"/>
      <c r="G14" s="790"/>
      <c r="H14" s="790"/>
      <c r="I14" s="790"/>
    </row>
    <row r="15" spans="2:9" ht="15.6" customHeight="1" x14ac:dyDescent="0.25">
      <c r="B15" s="656"/>
      <c r="C15" s="656"/>
      <c r="D15" s="656"/>
      <c r="E15" s="656"/>
      <c r="F15" s="656"/>
      <c r="G15" s="656"/>
      <c r="H15" s="656"/>
      <c r="I15" s="656"/>
    </row>
    <row r="16" spans="2:9" ht="15.6" customHeight="1" x14ac:dyDescent="0.25">
      <c r="B16" s="802" t="s">
        <v>642</v>
      </c>
      <c r="C16" s="802"/>
      <c r="D16" s="802"/>
      <c r="E16" s="578">
        <f>'Ex C-1 1 of 3'!D19</f>
        <v>1.3500000000000001E-3</v>
      </c>
      <c r="F16" s="656"/>
      <c r="G16" s="656"/>
      <c r="H16" s="656"/>
      <c r="I16" s="656"/>
    </row>
    <row r="17" spans="2:12" ht="15.6" customHeight="1" x14ac:dyDescent="0.25">
      <c r="B17" s="656"/>
      <c r="C17" s="656"/>
      <c r="D17" s="656"/>
      <c r="E17" s="656"/>
      <c r="F17" s="656"/>
      <c r="G17" s="656"/>
      <c r="H17" s="656"/>
      <c r="I17" s="656"/>
    </row>
    <row r="18" spans="2:12" ht="63" customHeight="1" x14ac:dyDescent="0.25">
      <c r="B18" s="800" t="str">
        <f>CONCATENATE("In this filing, LG&amp;E will eliminate the GCBA from Case No. ", 'Input Data'!C13, " as it will have been in effect for three months.  Any over- or under-recovery of the amount originally established will be transferred to the GCBA which will be implemented in LG&amp;E's next Gas Supply Clause filing with service rendered on and after ", 'Input Data'!B150)</f>
        <v>In this filing, LG&amp;E will eliminate the GCBA from Case No. 2022-00310 as it will have been in effect for three months.  Any over- or under-recovery of the amount originally established will be transferred to the GCBA which will be implemented in LG&amp;E's next Gas Supply Clause filing with service rendered on and after May 1, 2023.</v>
      </c>
      <c r="C18" s="800"/>
      <c r="D18" s="800"/>
      <c r="E18" s="800"/>
      <c r="F18" s="800"/>
      <c r="G18" s="800"/>
      <c r="H18" s="800"/>
      <c r="I18" s="800"/>
      <c r="L18" s="3"/>
    </row>
  </sheetData>
  <mergeCells count="9">
    <mergeCell ref="B1:I1"/>
    <mergeCell ref="B3:I3"/>
    <mergeCell ref="B5:I5"/>
    <mergeCell ref="B8:I8"/>
    <mergeCell ref="B18:I18"/>
    <mergeCell ref="B10:I10"/>
    <mergeCell ref="B14:I14"/>
    <mergeCell ref="B12:D12"/>
    <mergeCell ref="B16:D16"/>
  </mergeCells>
  <pageMargins left="0.7" right="0.7" top="0.75" bottom="0.75" header="0.3" footer="0.3"/>
  <pageSetup orientation="portrait" r:id="rId1"/>
  <headerFooter>
    <oddHeader xml:space="preserve">&amp;R&amp;"Times New Roman,Bold"Exhibit C
</oddHeader>
    <oddFooter>&amp;L&amp;1#&amp;"Calibri"&amp;14&amp;K000000Confidential</oddFooter>
  </headerFooter>
  <customProperties>
    <customPr name="_pios_id" r:id="rId2"/>
  </customPropertie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ransitionEvaluation="1" codeName="Sheet11">
    <tabColor theme="3" tint="0.59999389629810485"/>
    <pageSetUpPr fitToPage="1"/>
  </sheetPr>
  <dimension ref="A1:O39"/>
  <sheetViews>
    <sheetView zoomScale="80" zoomScaleNormal="80" workbookViewId="0"/>
  </sheetViews>
  <sheetFormatPr defaultColWidth="9.77734375" defaultRowHeight="18.75" x14ac:dyDescent="0.3"/>
  <cols>
    <col min="1" max="1" width="9.77734375" style="176"/>
    <col min="2" max="2" width="25.6640625" style="176" customWidth="1"/>
    <col min="3" max="3" width="27" style="176" customWidth="1"/>
    <col min="4" max="4" width="15.33203125" style="176" customWidth="1"/>
    <col min="5" max="11" width="22.33203125" style="176" customWidth="1"/>
    <col min="12" max="12" width="8.109375" style="176" customWidth="1"/>
    <col min="13" max="16384" width="9.77734375" style="176"/>
  </cols>
  <sheetData>
    <row r="1" spans="1:12" x14ac:dyDescent="0.3">
      <c r="B1" s="762" t="s">
        <v>5</v>
      </c>
      <c r="C1" s="762"/>
      <c r="D1" s="762"/>
      <c r="E1" s="177"/>
      <c r="F1" s="177"/>
      <c r="G1" s="177"/>
      <c r="H1" s="177"/>
      <c r="I1" s="177"/>
      <c r="J1" s="177"/>
      <c r="K1" s="177"/>
      <c r="L1" s="178"/>
    </row>
    <row r="2" spans="1:12" x14ac:dyDescent="0.3">
      <c r="B2" s="749" t="s">
        <v>305</v>
      </c>
      <c r="C2" s="749"/>
      <c r="D2" s="749"/>
      <c r="E2" s="177"/>
      <c r="F2" s="177"/>
      <c r="G2" s="177"/>
      <c r="H2" s="177"/>
      <c r="I2" s="177"/>
      <c r="J2" s="177"/>
      <c r="K2" s="177"/>
      <c r="L2" s="88"/>
    </row>
    <row r="3" spans="1:12" x14ac:dyDescent="0.3">
      <c r="B3" s="749" t="str">
        <f>CONCATENATE("For Service Rendered On and After ",'Input Data'!$D$4)</f>
        <v>For Service Rendered On and After February 1, 2023</v>
      </c>
      <c r="C3" s="749"/>
      <c r="D3" s="749"/>
      <c r="E3" s="177"/>
      <c r="F3" s="177"/>
      <c r="G3" s="177"/>
      <c r="H3" s="177"/>
      <c r="I3" s="177"/>
      <c r="J3" s="177"/>
      <c r="K3" s="177"/>
      <c r="L3" s="88"/>
    </row>
    <row r="4" spans="1:12" x14ac:dyDescent="0.3">
      <c r="B4" s="693"/>
      <c r="C4" s="693"/>
      <c r="D4" s="693"/>
      <c r="E4" s="177"/>
      <c r="F4" s="177"/>
      <c r="G4" s="177"/>
      <c r="H4" s="177"/>
      <c r="I4" s="177"/>
      <c r="J4" s="177"/>
      <c r="K4" s="177"/>
      <c r="L4" s="88"/>
    </row>
    <row r="5" spans="1:12" x14ac:dyDescent="0.3">
      <c r="B5" s="693"/>
      <c r="C5" s="693"/>
      <c r="D5" s="693"/>
      <c r="E5" s="177"/>
      <c r="F5" s="177"/>
      <c r="G5" s="177"/>
      <c r="H5" s="177"/>
      <c r="I5" s="177"/>
      <c r="J5" s="177"/>
      <c r="K5" s="177"/>
      <c r="L5" s="88"/>
    </row>
    <row r="6" spans="1:12" x14ac:dyDescent="0.3">
      <c r="L6" s="88"/>
    </row>
    <row r="7" spans="1:12" x14ac:dyDescent="0.3">
      <c r="A7" s="692" t="s">
        <v>321</v>
      </c>
      <c r="B7" s="3"/>
      <c r="C7" s="3"/>
      <c r="D7" s="692" t="s">
        <v>421</v>
      </c>
      <c r="L7" s="88"/>
    </row>
    <row r="8" spans="1:12" x14ac:dyDescent="0.3">
      <c r="A8" s="694" t="s">
        <v>322</v>
      </c>
      <c r="B8" s="803" t="s">
        <v>323</v>
      </c>
      <c r="C8" s="803"/>
      <c r="D8" s="694" t="s">
        <v>302</v>
      </c>
      <c r="L8" s="88"/>
    </row>
    <row r="9" spans="1:12" ht="21.95" customHeight="1" x14ac:dyDescent="0.3">
      <c r="A9" s="692">
        <v>1</v>
      </c>
      <c r="B9" s="3" t="s">
        <v>425</v>
      </c>
      <c r="C9" s="3"/>
      <c r="D9" s="267">
        <f>'Ex C-1 2 of 3'!G29</f>
        <v>156326</v>
      </c>
      <c r="L9" s="88"/>
    </row>
    <row r="10" spans="1:12" ht="21.95" customHeight="1" x14ac:dyDescent="0.3">
      <c r="A10" s="692">
        <v>2</v>
      </c>
      <c r="B10" s="3" t="s">
        <v>426</v>
      </c>
      <c r="C10" s="3"/>
      <c r="D10" s="267">
        <f>'Ex C-1 3 of 3'!G27</f>
        <v>510</v>
      </c>
      <c r="L10" s="88"/>
    </row>
    <row r="11" spans="1:12" ht="21.95" customHeight="1" x14ac:dyDescent="0.3">
      <c r="A11" s="692">
        <v>3</v>
      </c>
      <c r="B11" s="3" t="s">
        <v>427</v>
      </c>
      <c r="C11" s="3"/>
      <c r="D11" s="267">
        <f>'Ex D-1 2 of 2'!G31</f>
        <v>0</v>
      </c>
      <c r="L11" s="88"/>
    </row>
    <row r="12" spans="1:12" ht="21.95" customHeight="1" x14ac:dyDescent="0.3">
      <c r="A12" s="692">
        <v>4</v>
      </c>
      <c r="B12" s="3" t="s">
        <v>428</v>
      </c>
      <c r="C12" s="3"/>
      <c r="D12" s="623">
        <f>'Input Data'!D135</f>
        <v>0</v>
      </c>
      <c r="L12" s="88"/>
    </row>
    <row r="13" spans="1:12" ht="21.95" customHeight="1" x14ac:dyDescent="0.3">
      <c r="A13" s="692">
        <v>5</v>
      </c>
      <c r="B13" s="3" t="s">
        <v>306</v>
      </c>
      <c r="C13" s="3"/>
      <c r="D13" s="312">
        <f>SUM(D9:D12)</f>
        <v>156836</v>
      </c>
      <c r="L13" s="88"/>
    </row>
    <row r="14" spans="1:12" ht="21.95" customHeight="1" x14ac:dyDescent="0.3">
      <c r="A14" s="692"/>
      <c r="B14" s="3"/>
      <c r="C14" s="3"/>
      <c r="D14" s="3"/>
    </row>
    <row r="15" spans="1:12" ht="21.95" customHeight="1" x14ac:dyDescent="0.3">
      <c r="A15" s="692">
        <v>6</v>
      </c>
      <c r="B15" s="3" t="s">
        <v>429</v>
      </c>
      <c r="C15" s="3"/>
      <c r="D15" s="323">
        <f>'Ex A 1 of 2'!F77</f>
        <v>11601864.1916</v>
      </c>
    </row>
    <row r="16" spans="1:12" ht="21.95" customHeight="1" x14ac:dyDescent="0.3">
      <c r="A16" s="692"/>
      <c r="B16" s="3"/>
      <c r="C16" s="3"/>
      <c r="D16" s="3"/>
    </row>
    <row r="17" spans="1:15" ht="21.95" customHeight="1" x14ac:dyDescent="0.3">
      <c r="A17" s="692">
        <v>7</v>
      </c>
      <c r="B17" s="3" t="s">
        <v>307</v>
      </c>
      <c r="C17" s="3"/>
      <c r="D17" s="190">
        <f>ROUND(D13/D15,4)</f>
        <v>1.35E-2</v>
      </c>
    </row>
    <row r="18" spans="1:15" ht="21.95" customHeight="1" x14ac:dyDescent="0.3">
      <c r="A18" s="692"/>
      <c r="B18" s="3"/>
      <c r="C18" s="3"/>
      <c r="D18" s="3"/>
    </row>
    <row r="19" spans="1:15" ht="21.95" customHeight="1" x14ac:dyDescent="0.3">
      <c r="A19" s="692">
        <v>8</v>
      </c>
      <c r="B19" s="3" t="s">
        <v>308</v>
      </c>
      <c r="C19" s="3"/>
      <c r="D19" s="268">
        <f>ROUND(D17/10,5)</f>
        <v>1.3500000000000001E-3</v>
      </c>
    </row>
    <row r="20" spans="1:15" ht="21.95" customHeight="1" x14ac:dyDescent="0.3">
      <c r="A20" s="3"/>
      <c r="B20" s="3"/>
      <c r="C20" s="3"/>
      <c r="D20" s="3"/>
    </row>
    <row r="21" spans="1:15" x14ac:dyDescent="0.3">
      <c r="A21" s="3"/>
      <c r="B21" s="3"/>
      <c r="C21" s="3"/>
      <c r="D21" s="3"/>
    </row>
    <row r="22" spans="1:15" x14ac:dyDescent="0.3">
      <c r="A22" s="3"/>
      <c r="B22" s="3"/>
      <c r="C22" s="3"/>
      <c r="D22" s="3"/>
    </row>
    <row r="23" spans="1:15" x14ac:dyDescent="0.3">
      <c r="A23" s="3"/>
      <c r="B23" s="269"/>
      <c r="C23" s="55"/>
      <c r="D23" s="55"/>
      <c r="E23" s="179"/>
    </row>
    <row r="24" spans="1:15" x14ac:dyDescent="0.3">
      <c r="A24" s="3"/>
      <c r="B24" s="269"/>
      <c r="C24" s="55"/>
      <c r="D24" s="55"/>
      <c r="F24" s="49"/>
    </row>
    <row r="25" spans="1:15" ht="19.5" x14ac:dyDescent="0.3">
      <c r="A25" s="270">
        <v>1</v>
      </c>
      <c r="B25" s="13" t="s">
        <v>115</v>
      </c>
      <c r="C25" s="3"/>
      <c r="D25" s="3"/>
    </row>
    <row r="26" spans="1:15" ht="19.5" x14ac:dyDescent="0.3">
      <c r="A26" s="270">
        <v>2</v>
      </c>
      <c r="B26" s="13" t="s">
        <v>304</v>
      </c>
      <c r="C26" s="3"/>
      <c r="D26" s="3"/>
    </row>
    <row r="27" spans="1:15" ht="19.5" x14ac:dyDescent="0.3">
      <c r="A27" s="270">
        <v>3</v>
      </c>
      <c r="B27" s="13" t="s">
        <v>599</v>
      </c>
      <c r="C27" s="3"/>
      <c r="D27" s="3"/>
    </row>
    <row r="28" spans="1:15" ht="19.5" x14ac:dyDescent="0.3">
      <c r="A28" s="270">
        <v>4</v>
      </c>
      <c r="B28" s="13" t="s">
        <v>611</v>
      </c>
      <c r="C28" s="3"/>
      <c r="D28" s="3"/>
    </row>
    <row r="29" spans="1:15" ht="19.5" x14ac:dyDescent="0.3">
      <c r="A29" s="270">
        <v>5</v>
      </c>
      <c r="B29" s="13" t="s">
        <v>424</v>
      </c>
      <c r="C29" s="3"/>
      <c r="D29" s="3"/>
      <c r="G29" s="49"/>
      <c r="H29" s="49"/>
      <c r="J29" s="179"/>
      <c r="N29" s="624"/>
      <c r="O29" s="180"/>
    </row>
    <row r="30" spans="1:15" x14ac:dyDescent="0.3">
      <c r="A30" s="3"/>
      <c r="B30" s="3"/>
      <c r="C30" s="3"/>
      <c r="D30" s="3"/>
      <c r="N30" s="624"/>
      <c r="O30" s="180"/>
    </row>
    <row r="31" spans="1:15" hidden="1" x14ac:dyDescent="0.3">
      <c r="A31" s="3"/>
      <c r="B31" s="3"/>
      <c r="C31" s="3"/>
      <c r="D31" s="3"/>
      <c r="K31" s="181"/>
    </row>
    <row r="32" spans="1:15" hidden="1" x14ac:dyDescent="0.3">
      <c r="A32" s="3"/>
      <c r="B32" s="3"/>
      <c r="C32" s="3"/>
      <c r="D32" s="3"/>
    </row>
    <row r="33" spans="1:11" ht="19.5" hidden="1" x14ac:dyDescent="0.3">
      <c r="A33" s="270"/>
      <c r="B33" s="3"/>
      <c r="C33" s="3"/>
      <c r="D33" s="3"/>
    </row>
    <row r="34" spans="1:11" x14ac:dyDescent="0.3">
      <c r="K34" s="182"/>
    </row>
    <row r="38" spans="1:11" ht="14.25" customHeight="1" x14ac:dyDescent="0.3"/>
    <row r="39" spans="1:11" ht="14.25" customHeight="1" x14ac:dyDescent="0.3"/>
  </sheetData>
  <mergeCells count="4">
    <mergeCell ref="B1:D1"/>
    <mergeCell ref="B2:D2"/>
    <mergeCell ref="B8:C8"/>
    <mergeCell ref="B3:D3"/>
  </mergeCells>
  <phoneticPr fontId="3" type="noConversion"/>
  <printOptions horizontalCentered="1"/>
  <pageMargins left="0.73" right="0.67" top="1.72" bottom="1.25" header="0.5" footer="0.5"/>
  <pageSetup scale="97" orientation="portrait" r:id="rId1"/>
  <headerFooter alignWithMargins="0">
    <oddHeader>&amp;R&amp;"Times New Roman,Bold"Exhibit C-1
Page 1 of 3</oddHeader>
    <oddFooter>&amp;L&amp;1#&amp;"Calibri"&amp;14&amp;K000000Confidential</oddFooter>
  </headerFooter>
  <customProperties>
    <customPr name="_pios_id" r:id="rId2"/>
  </customPropertie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2">
    <tabColor theme="3" tint="0.59999389629810485"/>
    <pageSetUpPr fitToPage="1"/>
  </sheetPr>
  <dimension ref="A1:P40"/>
  <sheetViews>
    <sheetView zoomScale="80" zoomScaleNormal="80" workbookViewId="0"/>
  </sheetViews>
  <sheetFormatPr defaultColWidth="9.77734375" defaultRowHeight="15.75" x14ac:dyDescent="0.25"/>
  <cols>
    <col min="1" max="1" width="5.88671875" style="3" customWidth="1"/>
    <col min="2" max="2" width="12.6640625" style="3" customWidth="1"/>
    <col min="3" max="3" width="15.44140625" style="3" customWidth="1"/>
    <col min="4" max="4" width="14.44140625" style="3" customWidth="1"/>
    <col min="5" max="5" width="13.5546875" style="3" customWidth="1"/>
    <col min="6" max="6" width="14" style="3" customWidth="1"/>
    <col min="7" max="7" width="14.5546875" style="3" customWidth="1"/>
    <col min="8" max="8" width="18.109375" style="3" customWidth="1"/>
    <col min="9" max="12" width="11.109375" style="3" customWidth="1"/>
    <col min="13" max="13" width="10.21875" style="3" customWidth="1"/>
    <col min="14" max="14" width="17.6640625" style="79" customWidth="1"/>
    <col min="15" max="15" width="13.6640625" style="3" customWidth="1"/>
    <col min="16" max="16" width="16.88671875" style="3" customWidth="1"/>
    <col min="17" max="16384" width="9.77734375" style="3"/>
  </cols>
  <sheetData>
    <row r="1" spans="1:16" ht="18.75" x14ac:dyDescent="0.3">
      <c r="B1" s="762" t="s">
        <v>5</v>
      </c>
      <c r="C1" s="762"/>
      <c r="D1" s="762"/>
      <c r="E1" s="762"/>
      <c r="F1" s="762"/>
      <c r="G1" s="762"/>
      <c r="H1" s="762"/>
    </row>
    <row r="2" spans="1:16" ht="18.75" x14ac:dyDescent="0.3">
      <c r="B2" s="749" t="s">
        <v>422</v>
      </c>
      <c r="C2" s="749"/>
      <c r="D2" s="749"/>
      <c r="E2" s="749"/>
      <c r="F2" s="749"/>
      <c r="G2" s="749"/>
      <c r="H2" s="749"/>
    </row>
    <row r="3" spans="1:16" ht="18.75" x14ac:dyDescent="0.3">
      <c r="B3" s="749" t="str">
        <f>CONCATENATE("For Service Rendered On and After ",'Input Data'!$D$4)</f>
        <v>For Service Rendered On and After February 1, 2023</v>
      </c>
      <c r="C3" s="749"/>
      <c r="D3" s="749"/>
      <c r="E3" s="749"/>
      <c r="F3" s="749"/>
      <c r="G3" s="749"/>
      <c r="H3" s="749"/>
      <c r="I3" s="104"/>
      <c r="J3" s="104"/>
      <c r="K3" s="104"/>
      <c r="L3" s="104"/>
      <c r="M3" s="104"/>
    </row>
    <row r="4" spans="1:16" ht="18.75" x14ac:dyDescent="0.3">
      <c r="A4" s="691"/>
      <c r="B4" s="691"/>
      <c r="C4" s="691"/>
      <c r="D4" s="691"/>
      <c r="E4" s="691"/>
      <c r="F4" s="691"/>
      <c r="G4" s="691"/>
      <c r="H4" s="691"/>
    </row>
    <row r="5" spans="1:16" x14ac:dyDescent="0.25">
      <c r="B5" s="13" t="s">
        <v>352</v>
      </c>
      <c r="C5" s="13" t="str">
        <f>VLOOKUP($B$13,'Case Database'!$A$2:$G$200,6,FALSE)</f>
        <v>2021-00130</v>
      </c>
    </row>
    <row r="7" spans="1:16" x14ac:dyDescent="0.25">
      <c r="I7" s="185"/>
      <c r="J7" s="185"/>
      <c r="K7" s="185"/>
      <c r="L7" s="185"/>
      <c r="M7" s="185"/>
      <c r="N7" s="186"/>
    </row>
    <row r="8" spans="1:16" ht="47.25" x14ac:dyDescent="0.25">
      <c r="A8" s="695" t="s">
        <v>247</v>
      </c>
      <c r="B8" s="450" t="s">
        <v>348</v>
      </c>
      <c r="C8" s="183" t="s">
        <v>310</v>
      </c>
      <c r="D8" s="695" t="s">
        <v>369</v>
      </c>
      <c r="E8" s="110" t="s">
        <v>273</v>
      </c>
      <c r="F8" s="184" t="s">
        <v>272</v>
      </c>
      <c r="G8" s="184" t="s">
        <v>353</v>
      </c>
      <c r="H8" s="184" t="s">
        <v>271</v>
      </c>
      <c r="I8" s="185"/>
      <c r="J8" s="254"/>
      <c r="K8" s="254"/>
      <c r="L8" s="254"/>
      <c r="M8" s="254"/>
      <c r="N8" s="254"/>
      <c r="O8" s="254"/>
      <c r="P8" s="254"/>
    </row>
    <row r="9" spans="1:16" ht="18" customHeight="1" x14ac:dyDescent="0.25">
      <c r="A9" s="692"/>
      <c r="B9" s="187" t="s">
        <v>60</v>
      </c>
      <c r="C9" s="187" t="s">
        <v>61</v>
      </c>
      <c r="D9" s="187" t="s">
        <v>62</v>
      </c>
      <c r="E9" s="187" t="s">
        <v>63</v>
      </c>
      <c r="F9" s="187" t="s">
        <v>64</v>
      </c>
      <c r="G9" s="187" t="s">
        <v>484</v>
      </c>
      <c r="H9" s="187" t="s">
        <v>328</v>
      </c>
      <c r="I9" s="185"/>
      <c r="J9" s="254"/>
      <c r="K9" s="254"/>
      <c r="L9" s="254"/>
      <c r="M9" s="254"/>
      <c r="N9" s="254"/>
      <c r="O9" s="254"/>
      <c r="P9" s="254"/>
    </row>
    <row r="10" spans="1:16" x14ac:dyDescent="0.25">
      <c r="A10" s="692"/>
      <c r="B10" s="118"/>
      <c r="C10" s="118"/>
      <c r="D10" s="118"/>
      <c r="E10" s="102"/>
      <c r="G10" s="188"/>
      <c r="H10" s="188"/>
      <c r="I10" s="185"/>
      <c r="J10" s="254"/>
      <c r="K10" s="254"/>
      <c r="L10" s="254"/>
      <c r="M10" s="254"/>
      <c r="N10" s="254"/>
      <c r="O10" s="254"/>
      <c r="P10" s="254"/>
    </row>
    <row r="11" spans="1:16" ht="18" customHeight="1" x14ac:dyDescent="0.25">
      <c r="A11" s="692">
        <v>1</v>
      </c>
      <c r="E11" s="102"/>
      <c r="G11" s="156" t="s">
        <v>270</v>
      </c>
      <c r="H11" s="84">
        <f>'Input Data'!D141</f>
        <v>2330660</v>
      </c>
      <c r="I11" s="185"/>
      <c r="J11" s="254"/>
      <c r="K11" s="254"/>
      <c r="L11" s="254"/>
      <c r="M11" s="254"/>
      <c r="N11" s="254"/>
      <c r="O11" s="254"/>
      <c r="P11" s="254"/>
    </row>
    <row r="12" spans="1:16" x14ac:dyDescent="0.25">
      <c r="A12" s="692"/>
      <c r="E12" s="102"/>
      <c r="G12" s="84"/>
      <c r="H12" s="84"/>
      <c r="I12" s="185"/>
      <c r="J12" s="254"/>
      <c r="K12" s="254"/>
      <c r="L12" s="254"/>
      <c r="M12" s="254"/>
      <c r="N12" s="254"/>
      <c r="O12" s="254"/>
      <c r="P12" s="254"/>
    </row>
    <row r="13" spans="1:16" x14ac:dyDescent="0.25">
      <c r="A13" s="692">
        <v>2</v>
      </c>
      <c r="B13" s="118">
        <f>'Input Data'!C6</f>
        <v>44501</v>
      </c>
      <c r="C13" s="189" t="s">
        <v>364</v>
      </c>
      <c r="D13" s="351">
        <f>VLOOKUP(B13,'Sales Volumes'!$A$1:$H$200,2,FALSE)</f>
        <v>2112663.9</v>
      </c>
      <c r="E13" s="351">
        <f>VLOOKUP(B13,'Sales Volumes'!$A$1:$H$100,4,FALSE)</f>
        <v>1086455.3</v>
      </c>
      <c r="F13" s="190">
        <f>VLOOKUP($B$13,'Case Database'!$A$2:$G$200,7,FALSE)</f>
        <v>7.3999999999999996E-2</v>
      </c>
      <c r="G13" s="84">
        <f t="shared" ref="G13:G25" si="0">ROUND(E13*F13,0)</f>
        <v>80398</v>
      </c>
      <c r="H13" s="84">
        <f>+H11-G13</f>
        <v>2250262</v>
      </c>
      <c r="I13" s="185"/>
      <c r="J13" s="254"/>
      <c r="K13" s="254"/>
      <c r="L13" s="254"/>
      <c r="M13" s="254"/>
      <c r="N13" s="254"/>
      <c r="O13" s="254"/>
      <c r="P13" s="254"/>
    </row>
    <row r="14" spans="1:16" x14ac:dyDescent="0.25">
      <c r="A14" s="692">
        <v>3</v>
      </c>
      <c r="B14" s="118">
        <f>EDATE(B13,1)</f>
        <v>44531</v>
      </c>
      <c r="C14" s="189"/>
      <c r="D14" s="351">
        <f>VLOOKUP(B14,'Sales Volumes'!$A$1:$H$200,2,FALSE)</f>
        <v>3990717.4</v>
      </c>
      <c r="E14" s="351">
        <f>D14</f>
        <v>3990717.4</v>
      </c>
      <c r="F14" s="190">
        <f t="shared" ref="F14:F25" si="1">$F$13</f>
        <v>7.3999999999999996E-2</v>
      </c>
      <c r="G14" s="84">
        <f t="shared" si="0"/>
        <v>295313</v>
      </c>
      <c r="H14" s="84">
        <f t="shared" ref="H14:H25" si="2">+H13-G14</f>
        <v>1954949</v>
      </c>
      <c r="I14" s="185"/>
      <c r="J14" s="254"/>
      <c r="K14" s="254"/>
      <c r="L14" s="254"/>
      <c r="M14" s="254"/>
      <c r="N14" s="254"/>
      <c r="O14" s="254"/>
      <c r="P14" s="254"/>
    </row>
    <row r="15" spans="1:16" x14ac:dyDescent="0.25">
      <c r="A15" s="692">
        <v>4</v>
      </c>
      <c r="B15" s="118">
        <f t="shared" ref="B15:B25" si="3">EDATE(B14,1)</f>
        <v>44562</v>
      </c>
      <c r="C15" s="189"/>
      <c r="D15" s="351">
        <f>VLOOKUP(B15,'Sales Volumes'!$A$1:$H$200,2,FALSE)</f>
        <v>5236357</v>
      </c>
      <c r="E15" s="351">
        <f t="shared" ref="E15:E24" si="4">D15</f>
        <v>5236357</v>
      </c>
      <c r="F15" s="190">
        <f t="shared" si="1"/>
        <v>7.3999999999999996E-2</v>
      </c>
      <c r="G15" s="84">
        <f t="shared" si="0"/>
        <v>387490</v>
      </c>
      <c r="H15" s="84">
        <f t="shared" si="2"/>
        <v>1567459</v>
      </c>
      <c r="I15" s="185"/>
      <c r="J15" s="254"/>
      <c r="K15" s="254"/>
      <c r="L15" s="254"/>
      <c r="M15" s="254"/>
      <c r="N15" s="254"/>
      <c r="O15" s="254"/>
      <c r="P15" s="254"/>
    </row>
    <row r="16" spans="1:16" x14ac:dyDescent="0.25">
      <c r="A16" s="692">
        <v>5</v>
      </c>
      <c r="B16" s="118">
        <f t="shared" si="3"/>
        <v>44593</v>
      </c>
      <c r="C16" s="189"/>
      <c r="D16" s="351">
        <f>VLOOKUP(B16,'Sales Volumes'!$A$1:$H$200,2,FALSE)</f>
        <v>5840316.2000000002</v>
      </c>
      <c r="E16" s="351">
        <f t="shared" si="4"/>
        <v>5840316.2000000002</v>
      </c>
      <c r="F16" s="190">
        <f t="shared" si="1"/>
        <v>7.3999999999999996E-2</v>
      </c>
      <c r="G16" s="84">
        <f t="shared" si="0"/>
        <v>432183</v>
      </c>
      <c r="H16" s="84">
        <f t="shared" si="2"/>
        <v>1135276</v>
      </c>
      <c r="I16" s="185"/>
      <c r="J16" s="254"/>
      <c r="K16" s="254"/>
      <c r="L16" s="254"/>
      <c r="M16" s="254"/>
      <c r="N16" s="254"/>
      <c r="O16" s="254"/>
      <c r="P16" s="254"/>
    </row>
    <row r="17" spans="1:16" x14ac:dyDescent="0.25">
      <c r="A17" s="692">
        <v>6</v>
      </c>
      <c r="B17" s="118">
        <f t="shared" si="3"/>
        <v>44621</v>
      </c>
      <c r="C17" s="189"/>
      <c r="D17" s="351">
        <f>VLOOKUP(B17,'Sales Volumes'!$A$1:$H$200,2,FALSE)</f>
        <v>4334416.8</v>
      </c>
      <c r="E17" s="351">
        <f t="shared" si="4"/>
        <v>4334416.8</v>
      </c>
      <c r="F17" s="190">
        <f t="shared" si="1"/>
        <v>7.3999999999999996E-2</v>
      </c>
      <c r="G17" s="84">
        <f t="shared" si="0"/>
        <v>320747</v>
      </c>
      <c r="H17" s="84">
        <f t="shared" si="2"/>
        <v>814529</v>
      </c>
      <c r="I17" s="185"/>
      <c r="J17" s="254"/>
      <c r="K17" s="254"/>
      <c r="L17" s="254"/>
      <c r="M17" s="254"/>
      <c r="N17" s="254"/>
      <c r="O17" s="254"/>
      <c r="P17" s="254"/>
    </row>
    <row r="18" spans="1:16" x14ac:dyDescent="0.25">
      <c r="A18" s="692">
        <v>7</v>
      </c>
      <c r="B18" s="118">
        <f t="shared" si="3"/>
        <v>44652</v>
      </c>
      <c r="C18" s="189"/>
      <c r="D18" s="351">
        <f>VLOOKUP(B18,'Sales Volumes'!$A$1:$H$200,2,FALSE)</f>
        <v>2797541.7</v>
      </c>
      <c r="E18" s="351">
        <f t="shared" si="4"/>
        <v>2797541.7</v>
      </c>
      <c r="F18" s="190">
        <f t="shared" si="1"/>
        <v>7.3999999999999996E-2</v>
      </c>
      <c r="G18" s="84">
        <f t="shared" si="0"/>
        <v>207018</v>
      </c>
      <c r="H18" s="84">
        <f t="shared" si="2"/>
        <v>607511</v>
      </c>
      <c r="I18" s="185"/>
      <c r="J18" s="254"/>
      <c r="K18" s="254"/>
      <c r="L18" s="254"/>
      <c r="M18" s="254"/>
      <c r="N18" s="254"/>
      <c r="O18" s="254"/>
      <c r="P18" s="254"/>
    </row>
    <row r="19" spans="1:16" x14ac:dyDescent="0.25">
      <c r="A19" s="692">
        <v>8</v>
      </c>
      <c r="B19" s="118">
        <f t="shared" si="3"/>
        <v>44682</v>
      </c>
      <c r="C19" s="189"/>
      <c r="D19" s="351">
        <f>VLOOKUP(B19,'Sales Volumes'!$A$1:$H$200,2,FALSE)</f>
        <v>1353023.2</v>
      </c>
      <c r="E19" s="351">
        <f t="shared" si="4"/>
        <v>1353023.2</v>
      </c>
      <c r="F19" s="190">
        <f t="shared" si="1"/>
        <v>7.3999999999999996E-2</v>
      </c>
      <c r="G19" s="84">
        <f t="shared" si="0"/>
        <v>100124</v>
      </c>
      <c r="H19" s="84">
        <f t="shared" si="2"/>
        <v>507387</v>
      </c>
      <c r="I19" s="185"/>
      <c r="J19" s="254"/>
      <c r="K19" s="254"/>
      <c r="L19" s="254"/>
      <c r="M19" s="254"/>
      <c r="N19" s="254"/>
      <c r="O19" s="254"/>
      <c r="P19" s="254"/>
    </row>
    <row r="20" spans="1:16" x14ac:dyDescent="0.25">
      <c r="A20" s="692">
        <v>9</v>
      </c>
      <c r="B20" s="118">
        <f t="shared" si="3"/>
        <v>44713</v>
      </c>
      <c r="C20" s="189"/>
      <c r="D20" s="351">
        <f>VLOOKUP(B20,'Sales Volumes'!$A$1:$H$200,2,FALSE)</f>
        <v>781082.6</v>
      </c>
      <c r="E20" s="351">
        <f t="shared" si="4"/>
        <v>781082.6</v>
      </c>
      <c r="F20" s="190">
        <f t="shared" si="1"/>
        <v>7.3999999999999996E-2</v>
      </c>
      <c r="G20" s="84">
        <f t="shared" si="0"/>
        <v>57800</v>
      </c>
      <c r="H20" s="84">
        <f t="shared" si="2"/>
        <v>449587</v>
      </c>
      <c r="I20" s="185"/>
      <c r="J20" s="254"/>
      <c r="K20" s="254"/>
      <c r="L20" s="254"/>
      <c r="M20" s="254"/>
      <c r="N20" s="254"/>
    </row>
    <row r="21" spans="1:16" x14ac:dyDescent="0.25">
      <c r="A21" s="692">
        <v>10</v>
      </c>
      <c r="B21" s="118">
        <f t="shared" si="3"/>
        <v>44743</v>
      </c>
      <c r="C21" s="189"/>
      <c r="D21" s="351">
        <f>VLOOKUP(B21,'Sales Volumes'!$A$1:$H$200,2,FALSE)</f>
        <v>650186.6</v>
      </c>
      <c r="E21" s="351">
        <f t="shared" si="4"/>
        <v>650186.6</v>
      </c>
      <c r="F21" s="190">
        <f t="shared" si="1"/>
        <v>7.3999999999999996E-2</v>
      </c>
      <c r="G21" s="84">
        <f>ROUND(E21*F21,0)</f>
        <v>48114</v>
      </c>
      <c r="H21" s="84">
        <f t="shared" si="2"/>
        <v>401473</v>
      </c>
      <c r="I21" s="185"/>
      <c r="J21" s="254"/>
      <c r="K21" s="254"/>
      <c r="L21" s="254"/>
      <c r="M21" s="254"/>
      <c r="N21" s="254"/>
    </row>
    <row r="22" spans="1:16" x14ac:dyDescent="0.25">
      <c r="A22" s="692">
        <v>11</v>
      </c>
      <c r="B22" s="118">
        <f t="shared" si="3"/>
        <v>44774</v>
      </c>
      <c r="C22" s="189"/>
      <c r="D22" s="351">
        <f>VLOOKUP(B22,'Sales Volumes'!$A$1:$H$200,2,FALSE)</f>
        <v>633620</v>
      </c>
      <c r="E22" s="351">
        <f t="shared" si="4"/>
        <v>633620</v>
      </c>
      <c r="F22" s="190">
        <f t="shared" si="1"/>
        <v>7.3999999999999996E-2</v>
      </c>
      <c r="G22" s="84">
        <f t="shared" si="0"/>
        <v>46888</v>
      </c>
      <c r="H22" s="84">
        <f t="shared" si="2"/>
        <v>354585</v>
      </c>
      <c r="I22" s="185"/>
      <c r="J22" s="254"/>
      <c r="K22" s="254"/>
      <c r="L22" s="254"/>
      <c r="M22" s="254"/>
      <c r="N22" s="254"/>
    </row>
    <row r="23" spans="1:16" x14ac:dyDescent="0.25">
      <c r="A23" s="692">
        <v>12</v>
      </c>
      <c r="B23" s="118">
        <f t="shared" si="3"/>
        <v>44805</v>
      </c>
      <c r="C23" s="189"/>
      <c r="D23" s="351">
        <f>VLOOKUP(B23,'Sales Volumes'!$A$1:$H$200,2,FALSE)</f>
        <v>649768.6</v>
      </c>
      <c r="E23" s="351">
        <f t="shared" si="4"/>
        <v>649768.6</v>
      </c>
      <c r="F23" s="190">
        <f t="shared" si="1"/>
        <v>7.3999999999999996E-2</v>
      </c>
      <c r="G23" s="84">
        <f t="shared" si="0"/>
        <v>48083</v>
      </c>
      <c r="H23" s="84">
        <f t="shared" si="2"/>
        <v>306502</v>
      </c>
      <c r="I23" s="185"/>
      <c r="J23" s="254"/>
      <c r="K23" s="254"/>
      <c r="L23" s="254"/>
      <c r="M23" s="254"/>
      <c r="N23" s="254"/>
    </row>
    <row r="24" spans="1:16" x14ac:dyDescent="0.25">
      <c r="A24" s="692">
        <v>13</v>
      </c>
      <c r="B24" s="118">
        <f t="shared" si="3"/>
        <v>44835</v>
      </c>
      <c r="C24" s="189"/>
      <c r="D24" s="351">
        <f>VLOOKUP(B24,'Sales Volumes'!$A$1:$H$200,2,FALSE)</f>
        <v>1035494.7</v>
      </c>
      <c r="E24" s="351">
        <f t="shared" si="4"/>
        <v>1035494.7</v>
      </c>
      <c r="F24" s="190">
        <f t="shared" si="1"/>
        <v>7.3999999999999996E-2</v>
      </c>
      <c r="G24" s="84">
        <f t="shared" si="0"/>
        <v>76627</v>
      </c>
      <c r="H24" s="84">
        <f t="shared" si="2"/>
        <v>229875</v>
      </c>
      <c r="I24" s="185"/>
      <c r="J24" s="254"/>
      <c r="K24" s="254"/>
      <c r="L24" s="254"/>
      <c r="M24" s="254"/>
      <c r="N24" s="254"/>
    </row>
    <row r="25" spans="1:16" x14ac:dyDescent="0.25">
      <c r="A25" s="692">
        <v>14</v>
      </c>
      <c r="B25" s="118">
        <f t="shared" si="3"/>
        <v>44866</v>
      </c>
      <c r="C25" s="189" t="str">
        <f>$C$13</f>
        <v>Prorated</v>
      </c>
      <c r="D25" s="351">
        <f>VLOOKUP(B25,'Sales Volumes'!$A$1:$H$1000,2,FALSE)</f>
        <v>2117518.5</v>
      </c>
      <c r="E25" s="351">
        <f>VLOOKUP(B25,'Sales Volumes'!$A$1:$H$1000,3,FALSE)</f>
        <v>993908.5</v>
      </c>
      <c r="F25" s="190">
        <f t="shared" si="1"/>
        <v>7.3999999999999996E-2</v>
      </c>
      <c r="G25" s="147">
        <f t="shared" si="0"/>
        <v>73549</v>
      </c>
      <c r="H25" s="84">
        <f t="shared" si="2"/>
        <v>156326</v>
      </c>
      <c r="I25" s="185"/>
      <c r="J25" s="254"/>
      <c r="K25" s="254"/>
      <c r="L25" s="254"/>
      <c r="M25" s="254"/>
      <c r="N25" s="254"/>
    </row>
    <row r="26" spans="1:16" x14ac:dyDescent="0.25">
      <c r="A26" s="692"/>
      <c r="B26" s="118"/>
      <c r="C26" s="189"/>
      <c r="E26" s="102"/>
      <c r="F26" s="102"/>
      <c r="H26" s="188"/>
      <c r="I26" s="185"/>
      <c r="J26" s="254"/>
      <c r="K26" s="254"/>
      <c r="L26" s="254"/>
      <c r="M26" s="254"/>
      <c r="N26" s="254"/>
    </row>
    <row r="27" spans="1:16" ht="20.25" customHeight="1" x14ac:dyDescent="0.25">
      <c r="A27" s="692">
        <v>15</v>
      </c>
      <c r="E27" s="102"/>
      <c r="F27" s="191" t="s">
        <v>542</v>
      </c>
      <c r="G27" s="84">
        <f>SUM(G13:G25)</f>
        <v>2174334</v>
      </c>
      <c r="H27" s="188"/>
      <c r="I27" s="185"/>
      <c r="J27" s="254"/>
      <c r="K27" s="254"/>
      <c r="L27" s="254"/>
      <c r="M27" s="254"/>
      <c r="N27" s="254"/>
    </row>
    <row r="28" spans="1:16" ht="20.25" customHeight="1" x14ac:dyDescent="0.25">
      <c r="E28" s="102"/>
      <c r="F28" s="102"/>
      <c r="G28" s="84"/>
      <c r="I28" s="185"/>
      <c r="J28" s="254"/>
      <c r="K28" s="254"/>
      <c r="L28" s="254"/>
      <c r="M28" s="254"/>
      <c r="N28" s="254"/>
    </row>
    <row r="29" spans="1:16" x14ac:dyDescent="0.25">
      <c r="A29" s="692">
        <v>16</v>
      </c>
      <c r="F29" s="54" t="s">
        <v>303</v>
      </c>
      <c r="G29" s="84">
        <f>ROUND(H25,0)</f>
        <v>156326</v>
      </c>
      <c r="J29" s="254"/>
      <c r="K29" s="254"/>
      <c r="L29" s="254"/>
      <c r="M29" s="254"/>
      <c r="N29" s="254"/>
    </row>
    <row r="30" spans="1:16" x14ac:dyDescent="0.25">
      <c r="J30" s="254"/>
      <c r="K30" s="254"/>
      <c r="L30" s="254"/>
      <c r="M30" s="254"/>
      <c r="N30" s="254"/>
    </row>
    <row r="31" spans="1:16" x14ac:dyDescent="0.25">
      <c r="A31" s="692"/>
      <c r="J31" s="254"/>
      <c r="K31" s="254"/>
      <c r="L31" s="254"/>
      <c r="M31" s="254"/>
      <c r="N31" s="254"/>
    </row>
    <row r="32" spans="1:16" x14ac:dyDescent="0.25">
      <c r="J32" s="254"/>
      <c r="K32" s="254"/>
      <c r="L32" s="254"/>
      <c r="M32" s="254"/>
      <c r="N32" s="254"/>
    </row>
    <row r="33" spans="2:14" x14ac:dyDescent="0.25">
      <c r="J33" s="254"/>
      <c r="K33" s="254"/>
      <c r="L33" s="254"/>
      <c r="M33" s="254"/>
      <c r="N33" s="254"/>
    </row>
    <row r="34" spans="2:14" x14ac:dyDescent="0.25">
      <c r="D34" s="54"/>
      <c r="E34" s="13"/>
      <c r="J34" s="254"/>
      <c r="K34" s="254"/>
      <c r="L34" s="254"/>
      <c r="M34" s="254"/>
      <c r="N34" s="254"/>
    </row>
    <row r="35" spans="2:14" x14ac:dyDescent="0.25">
      <c r="B35" s="54"/>
      <c r="C35" s="54"/>
      <c r="D35" s="54"/>
      <c r="E35" s="193"/>
    </row>
    <row r="36" spans="2:14" x14ac:dyDescent="0.25">
      <c r="B36" s="54"/>
      <c r="C36" s="54"/>
      <c r="D36" s="54"/>
      <c r="E36" s="13"/>
    </row>
    <row r="37" spans="2:14" x14ac:dyDescent="0.25">
      <c r="B37" s="54"/>
      <c r="C37" s="54"/>
      <c r="D37" s="194"/>
      <c r="E37" s="13"/>
      <c r="H37" s="16"/>
      <c r="I37" s="16"/>
      <c r="J37" s="16"/>
      <c r="K37" s="16"/>
      <c r="L37" s="16"/>
      <c r="M37" s="16"/>
    </row>
    <row r="38" spans="2:14" x14ac:dyDescent="0.25">
      <c r="B38" s="194"/>
      <c r="C38" s="194"/>
    </row>
    <row r="39" spans="2:14" x14ac:dyDescent="0.25">
      <c r="D39" s="13"/>
    </row>
    <row r="40" spans="2:14" x14ac:dyDescent="0.25">
      <c r="B40" s="13"/>
      <c r="C40" s="13"/>
      <c r="E40" s="13"/>
    </row>
  </sheetData>
  <mergeCells count="3">
    <mergeCell ref="B1:H1"/>
    <mergeCell ref="B2:H2"/>
    <mergeCell ref="B3:H3"/>
  </mergeCells>
  <phoneticPr fontId="3" type="noConversion"/>
  <pageMargins left="0.75" right="1.02" top="1" bottom="1" header="0.5" footer="0.5"/>
  <pageSetup scale="90" orientation="landscape" r:id="rId1"/>
  <headerFooter alignWithMargins="0">
    <oddFooter>&amp;R&amp;"Times New Roman,Bold"Exhibit C-1
Page 2 of 3&amp;L&amp;1#&amp;"Calibri"&amp;14&amp;K000000Confidential</oddFooter>
  </headerFooter>
  <customProperties>
    <customPr name="_pios_id" r:id="rId2"/>
  </customProperties>
  <ignoredErrors>
    <ignoredError sqref="B9:H9" numberStoredAsText="1"/>
  </ignoredError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1">
    <tabColor theme="3" tint="0.59999389629810485"/>
  </sheetPr>
  <dimension ref="A6:M30"/>
  <sheetViews>
    <sheetView zoomScale="80" zoomScaleNormal="80" workbookViewId="0"/>
  </sheetViews>
  <sheetFormatPr defaultColWidth="8.88671875" defaultRowHeight="15.75" x14ac:dyDescent="0.25"/>
  <cols>
    <col min="1" max="1" width="8.88671875" style="3"/>
    <col min="2" max="2" width="11.109375" style="3" customWidth="1"/>
    <col min="3" max="4" width="13.5546875" style="3" customWidth="1"/>
    <col min="5" max="5" width="13.88671875" style="3" customWidth="1"/>
    <col min="6" max="6" width="11.88671875" style="3" customWidth="1"/>
    <col min="7" max="7" width="15.77734375" style="3" bestFit="1" customWidth="1"/>
    <col min="8" max="8" width="14.77734375" style="3" bestFit="1" customWidth="1"/>
    <col min="9" max="9" width="13.5546875" style="3" bestFit="1" customWidth="1"/>
    <col min="10" max="10" width="13.6640625" style="3" customWidth="1"/>
    <col min="11" max="11" width="16.109375" style="3" customWidth="1"/>
    <col min="12" max="12" width="14.33203125" style="3" customWidth="1"/>
    <col min="13" max="16384" width="8.88671875" style="3"/>
  </cols>
  <sheetData>
    <row r="6" spans="1:13" ht="18.75" x14ac:dyDescent="0.3">
      <c r="B6" s="762" t="s">
        <v>5</v>
      </c>
      <c r="C6" s="762"/>
      <c r="D6" s="762"/>
      <c r="E6" s="762"/>
      <c r="F6" s="762"/>
      <c r="G6" s="762"/>
      <c r="H6" s="762"/>
    </row>
    <row r="7" spans="1:13" ht="18.75" x14ac:dyDescent="0.3">
      <c r="B7" s="749" t="s">
        <v>312</v>
      </c>
      <c r="C7" s="749"/>
      <c r="D7" s="749"/>
      <c r="E7" s="749"/>
      <c r="F7" s="749"/>
      <c r="G7" s="749"/>
      <c r="H7" s="749"/>
    </row>
    <row r="8" spans="1:13" ht="18.75" x14ac:dyDescent="0.3">
      <c r="B8" s="749" t="str">
        <f>CONCATENATE("For Service Rendered On and After ",'Input Data'!$D$4)</f>
        <v>For Service Rendered On and After February 1, 2023</v>
      </c>
      <c r="C8" s="749"/>
      <c r="D8" s="749"/>
      <c r="E8" s="749"/>
      <c r="F8" s="749"/>
      <c r="G8" s="749"/>
      <c r="H8" s="749"/>
    </row>
    <row r="9" spans="1:13" x14ac:dyDescent="0.25">
      <c r="A9" s="157"/>
      <c r="B9" s="195"/>
      <c r="C9" s="696"/>
      <c r="D9" s="696"/>
      <c r="E9" s="696"/>
      <c r="F9" s="696"/>
      <c r="G9" s="696"/>
      <c r="H9" s="696"/>
    </row>
    <row r="10" spans="1:13" x14ac:dyDescent="0.25">
      <c r="A10" s="157"/>
      <c r="B10" s="195"/>
      <c r="C10" s="696"/>
      <c r="D10" s="696"/>
      <c r="E10" s="696"/>
      <c r="F10" s="696"/>
      <c r="G10" s="696"/>
      <c r="H10" s="696"/>
    </row>
    <row r="11" spans="1:13" x14ac:dyDescent="0.25">
      <c r="A11" s="157"/>
      <c r="B11" s="195"/>
      <c r="C11" s="696"/>
      <c r="D11" s="696"/>
      <c r="E11" s="696"/>
      <c r="F11" s="696"/>
      <c r="G11" s="696"/>
      <c r="H11" s="696"/>
    </row>
    <row r="12" spans="1:13" x14ac:dyDescent="0.25">
      <c r="A12" s="157"/>
      <c r="B12" s="195"/>
      <c r="C12" s="696"/>
      <c r="D12" s="696"/>
      <c r="E12" s="696"/>
      <c r="F12" s="696"/>
      <c r="G12" s="696"/>
      <c r="H12" s="696"/>
    </row>
    <row r="13" spans="1:13" x14ac:dyDescent="0.25">
      <c r="A13" s="16" t="s">
        <v>116</v>
      </c>
      <c r="B13" s="692" t="str">
        <f>VLOOKUP(B20,'Case Database'!$A$2:$F$200,3,FALSE)</f>
        <v>2022-00180</v>
      </c>
      <c r="C13" s="696"/>
      <c r="D13" s="696"/>
      <c r="E13" s="696"/>
      <c r="F13" s="696"/>
      <c r="G13" s="696"/>
      <c r="H13" s="696"/>
    </row>
    <row r="14" spans="1:13" x14ac:dyDescent="0.25">
      <c r="J14" s="254"/>
      <c r="K14" s="254"/>
      <c r="L14" s="254"/>
      <c r="M14" s="254"/>
    </row>
    <row r="15" spans="1:13" ht="47.25" x14ac:dyDescent="0.25">
      <c r="A15" s="184" t="s">
        <v>247</v>
      </c>
      <c r="B15" s="184" t="s">
        <v>348</v>
      </c>
      <c r="C15" s="184" t="s">
        <v>310</v>
      </c>
      <c r="D15" s="695" t="s">
        <v>369</v>
      </c>
      <c r="E15" s="184" t="s">
        <v>299</v>
      </c>
      <c r="F15" s="184" t="s">
        <v>300</v>
      </c>
      <c r="G15" s="184" t="s">
        <v>353</v>
      </c>
      <c r="H15" s="184" t="s">
        <v>271</v>
      </c>
      <c r="J15" s="254"/>
      <c r="K15" s="254"/>
      <c r="L15" s="254"/>
      <c r="M15" s="254"/>
    </row>
    <row r="16" spans="1:13" x14ac:dyDescent="0.25">
      <c r="A16" s="692"/>
      <c r="B16" s="189" t="s">
        <v>60</v>
      </c>
      <c r="C16" s="189" t="s">
        <v>61</v>
      </c>
      <c r="D16" s="189" t="s">
        <v>62</v>
      </c>
      <c r="E16" s="189" t="s">
        <v>63</v>
      </c>
      <c r="F16" s="196" t="s">
        <v>64</v>
      </c>
      <c r="G16" s="189" t="s">
        <v>484</v>
      </c>
      <c r="H16" s="187" t="s">
        <v>328</v>
      </c>
      <c r="J16" s="254"/>
      <c r="K16" s="254"/>
      <c r="L16" s="254"/>
      <c r="M16" s="254"/>
    </row>
    <row r="17" spans="1:13" x14ac:dyDescent="0.25">
      <c r="A17" s="692"/>
      <c r="B17" s="118"/>
      <c r="C17" s="118"/>
      <c r="D17" s="118"/>
      <c r="E17" s="197"/>
      <c r="J17" s="254"/>
      <c r="K17" s="254"/>
      <c r="L17" s="254"/>
      <c r="M17" s="254"/>
    </row>
    <row r="18" spans="1:13" x14ac:dyDescent="0.25">
      <c r="A18" s="692">
        <v>1</v>
      </c>
      <c r="E18" s="197"/>
      <c r="G18" s="198" t="s">
        <v>270</v>
      </c>
      <c r="H18" s="159">
        <f>'Input Data'!D147</f>
        <v>4101.5799999996379</v>
      </c>
      <c r="J18" s="254"/>
      <c r="K18" s="254"/>
      <c r="L18" s="254"/>
      <c r="M18" s="254"/>
    </row>
    <row r="19" spans="1:13" x14ac:dyDescent="0.25">
      <c r="A19" s="692"/>
      <c r="E19" s="197"/>
      <c r="G19" s="118"/>
      <c r="H19" s="188"/>
      <c r="J19" s="254"/>
      <c r="K19" s="254"/>
      <c r="L19" s="254"/>
      <c r="M19" s="254"/>
    </row>
    <row r="20" spans="1:13" x14ac:dyDescent="0.25">
      <c r="A20" s="692">
        <v>2</v>
      </c>
      <c r="B20" s="146">
        <f>'Input Data'!C7</f>
        <v>44774</v>
      </c>
      <c r="C20" s="189" t="s">
        <v>364</v>
      </c>
      <c r="D20" s="407">
        <f>VLOOKUP($B20,'Sales Volumes'!$A$1:$H$200,2,FALSE)</f>
        <v>633620</v>
      </c>
      <c r="E20" s="407">
        <f>VLOOKUP($B20,'Sales Volumes'!$A$1:$H$200,4,FALSE)</f>
        <v>313736</v>
      </c>
      <c r="F20" s="158">
        <f>VLOOKUP(B13,'Case Database'!C3:M200,10)</f>
        <v>1.1999999999999999E-3</v>
      </c>
      <c r="G20" s="156">
        <f>ROUND(E20*F20,0)</f>
        <v>376</v>
      </c>
      <c r="H20" s="159">
        <f>+H18-G20</f>
        <v>3725.5799999996379</v>
      </c>
      <c r="J20" s="254"/>
      <c r="K20" s="254"/>
      <c r="L20" s="254"/>
      <c r="M20" s="254"/>
    </row>
    <row r="21" spans="1:13" x14ac:dyDescent="0.25">
      <c r="A21" s="692">
        <v>3</v>
      </c>
      <c r="B21" s="146">
        <f>EDATE(B20,1)</f>
        <v>44805</v>
      </c>
      <c r="C21" s="189"/>
      <c r="D21" s="407">
        <f>VLOOKUP($B21,'Sales Volumes'!$A$1:$H$200,2,FALSE)</f>
        <v>649768.6</v>
      </c>
      <c r="E21" s="407">
        <f>D21</f>
        <v>649768.6</v>
      </c>
      <c r="F21" s="158">
        <f>F20</f>
        <v>1.1999999999999999E-3</v>
      </c>
      <c r="G21" s="156">
        <f>ROUND(E21*F21,0)</f>
        <v>780</v>
      </c>
      <c r="H21" s="159">
        <f>+H20-G21</f>
        <v>2945.5799999996379</v>
      </c>
      <c r="J21" s="254"/>
      <c r="K21" s="254"/>
      <c r="L21" s="254"/>
      <c r="M21" s="254"/>
    </row>
    <row r="22" spans="1:13" x14ac:dyDescent="0.25">
      <c r="A22" s="692">
        <v>4</v>
      </c>
      <c r="B22" s="146">
        <f>EDATE(B21,1)</f>
        <v>44835</v>
      </c>
      <c r="C22" s="189"/>
      <c r="D22" s="407">
        <f>VLOOKUP($B22,'Sales Volumes'!$A$1:$H$200,2,FALSE)</f>
        <v>1035494.7</v>
      </c>
      <c r="E22" s="407">
        <f>D22</f>
        <v>1035494.7</v>
      </c>
      <c r="F22" s="158">
        <f>F20</f>
        <v>1.1999999999999999E-3</v>
      </c>
      <c r="G22" s="156">
        <f>ROUND(E22*F22,0)</f>
        <v>1243</v>
      </c>
      <c r="H22" s="159">
        <f>+H21-G22</f>
        <v>1702.5799999996379</v>
      </c>
      <c r="J22" s="254"/>
      <c r="K22" s="254"/>
      <c r="L22" s="254"/>
      <c r="M22" s="254"/>
    </row>
    <row r="23" spans="1:13" x14ac:dyDescent="0.25">
      <c r="A23" s="692">
        <v>5</v>
      </c>
      <c r="B23" s="146">
        <f>EDATE(B22,1)</f>
        <v>44866</v>
      </c>
      <c r="C23" s="189" t="s">
        <v>364</v>
      </c>
      <c r="D23" s="407">
        <f>VLOOKUP($B23,'Sales Volumes'!$A$1:$H$1000,2,FALSE)</f>
        <v>2117518.5</v>
      </c>
      <c r="E23" s="407">
        <f>VLOOKUP($B23,'Sales Volumes'!$A$1:$H$1000,3,FALSE)</f>
        <v>993908.5</v>
      </c>
      <c r="F23" s="158">
        <f>F20</f>
        <v>1.1999999999999999E-3</v>
      </c>
      <c r="G23" s="156">
        <f>ROUND(E23*F23,0)</f>
        <v>1193</v>
      </c>
      <c r="H23" s="159">
        <f>+H22-G23</f>
        <v>509.57999999963795</v>
      </c>
      <c r="J23" s="254"/>
      <c r="K23" s="254"/>
      <c r="L23" s="254"/>
      <c r="M23" s="254"/>
    </row>
    <row r="24" spans="1:13" x14ac:dyDescent="0.25">
      <c r="A24" s="692"/>
      <c r="E24" s="188"/>
      <c r="F24" s="195"/>
      <c r="H24" s="195"/>
      <c r="J24" s="254"/>
      <c r="K24" s="254"/>
      <c r="L24" s="254"/>
      <c r="M24" s="254"/>
    </row>
    <row r="25" spans="1:13" x14ac:dyDescent="0.25">
      <c r="A25" s="692">
        <v>6</v>
      </c>
      <c r="E25" s="197"/>
      <c r="F25" s="191" t="s">
        <v>542</v>
      </c>
      <c r="G25" s="159">
        <f>SUM(G20:G23)</f>
        <v>3592</v>
      </c>
      <c r="H25" s="188"/>
      <c r="J25" s="254"/>
      <c r="K25" s="254"/>
      <c r="L25" s="254"/>
      <c r="M25" s="254"/>
    </row>
    <row r="26" spans="1:13" x14ac:dyDescent="0.25">
      <c r="A26" s="692"/>
      <c r="E26" s="197"/>
      <c r="F26" s="197"/>
      <c r="J26" s="254"/>
      <c r="K26" s="254"/>
      <c r="L26" s="254"/>
      <c r="M26" s="254"/>
    </row>
    <row r="27" spans="1:13" ht="18" customHeight="1" x14ac:dyDescent="0.35">
      <c r="A27" s="692">
        <v>7</v>
      </c>
      <c r="F27" s="54" t="s">
        <v>303</v>
      </c>
      <c r="G27" s="159">
        <f>ROUND(H23,0)</f>
        <v>510</v>
      </c>
      <c r="H27" s="75"/>
      <c r="J27" s="254"/>
      <c r="K27" s="254"/>
      <c r="L27" s="254"/>
      <c r="M27" s="254"/>
    </row>
    <row r="28" spans="1:13" x14ac:dyDescent="0.25">
      <c r="J28" s="254"/>
      <c r="K28" s="254"/>
      <c r="L28" s="254"/>
      <c r="M28" s="254"/>
    </row>
    <row r="29" spans="1:13" x14ac:dyDescent="0.25">
      <c r="J29" s="254"/>
      <c r="K29" s="254"/>
      <c r="L29" s="254"/>
      <c r="M29" s="254"/>
    </row>
    <row r="30" spans="1:13" x14ac:dyDescent="0.25">
      <c r="J30" s="254"/>
      <c r="K30" s="254"/>
      <c r="L30" s="254"/>
      <c r="M30" s="254"/>
    </row>
  </sheetData>
  <mergeCells count="3">
    <mergeCell ref="B8:H8"/>
    <mergeCell ref="B6:H6"/>
    <mergeCell ref="B7:H7"/>
  </mergeCells>
  <pageMargins left="0.7" right="0.7" top="1" bottom="0.75" header="0.3" footer="0.3"/>
  <pageSetup scale="73" orientation="portrait" r:id="rId1"/>
  <headerFooter>
    <oddHeader>&amp;R&amp;"Times New Roman,Bold"Exhibit C-1
Page 3 of 3</oddHeader>
    <oddFooter>&amp;L&amp;1#&amp;"Calibri"&amp;14&amp;K000000Confidential</oddFooter>
  </headerFooter>
  <customProperties>
    <customPr name="_pios_id" r:id="rId2"/>
  </customPropertie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AD43E8-0D3D-41D7-A65B-37EB74756092}">
  <sheetPr codeName="Sheet37">
    <tabColor rgb="FF00B050"/>
  </sheetPr>
  <dimension ref="B1:N9"/>
  <sheetViews>
    <sheetView zoomScaleNormal="100" workbookViewId="0"/>
  </sheetViews>
  <sheetFormatPr defaultColWidth="8.77734375" defaultRowHeight="15.75" x14ac:dyDescent="0.25"/>
  <cols>
    <col min="1" max="1" width="1.109375" style="6" customWidth="1"/>
    <col min="2" max="9" width="8.77734375" style="6"/>
    <col min="10" max="10" width="1.109375" style="6" customWidth="1"/>
    <col min="11" max="16384" width="8.77734375" style="6"/>
  </cols>
  <sheetData>
    <row r="1" spans="2:14" x14ac:dyDescent="0.25">
      <c r="B1" s="766" t="s">
        <v>5</v>
      </c>
      <c r="C1" s="766"/>
      <c r="D1" s="766"/>
      <c r="E1" s="766"/>
      <c r="F1" s="766"/>
      <c r="G1" s="766"/>
      <c r="H1" s="766"/>
      <c r="I1" s="766"/>
      <c r="K1" s="573"/>
      <c r="L1" s="573"/>
      <c r="M1" s="573"/>
      <c r="N1" s="573"/>
    </row>
    <row r="2" spans="2:14" x14ac:dyDescent="0.25">
      <c r="B2" s="569"/>
      <c r="C2" s="569"/>
      <c r="D2" s="569"/>
      <c r="E2" s="569"/>
      <c r="F2" s="569"/>
      <c r="G2" s="569"/>
      <c r="H2" s="569"/>
      <c r="I2" s="569"/>
    </row>
    <row r="3" spans="2:14" x14ac:dyDescent="0.25">
      <c r="B3" s="766" t="str">
        <f>'Exhibit F Write-Up'!B3:N3</f>
        <v>Gas Supply Clause: 2022-00421</v>
      </c>
      <c r="C3" s="766"/>
      <c r="D3" s="766"/>
      <c r="E3" s="766"/>
      <c r="F3" s="766"/>
      <c r="G3" s="766"/>
      <c r="H3" s="766"/>
      <c r="I3" s="766"/>
    </row>
    <row r="5" spans="2:14" ht="30.6" customHeight="1" x14ac:dyDescent="0.25">
      <c r="B5" s="790" t="s">
        <v>636</v>
      </c>
      <c r="C5" s="790"/>
      <c r="D5" s="790"/>
      <c r="E5" s="790"/>
      <c r="F5" s="790"/>
      <c r="G5" s="790"/>
      <c r="H5" s="790"/>
      <c r="I5" s="790"/>
    </row>
    <row r="7" spans="2:14" x14ac:dyDescent="0.25">
      <c r="B7" s="804" t="s">
        <v>637</v>
      </c>
      <c r="C7" s="804"/>
      <c r="D7" s="804"/>
      <c r="E7" s="804"/>
      <c r="F7" s="804"/>
      <c r="G7" s="804"/>
      <c r="H7" s="804"/>
      <c r="I7" s="804"/>
    </row>
    <row r="9" spans="2:14" x14ac:dyDescent="0.25">
      <c r="C9" s="6" t="s">
        <v>638</v>
      </c>
    </row>
  </sheetData>
  <mergeCells count="4">
    <mergeCell ref="B1:I1"/>
    <mergeCell ref="B3:I3"/>
    <mergeCell ref="B5:I5"/>
    <mergeCell ref="B7:I7"/>
  </mergeCells>
  <pageMargins left="0.7" right="0.7" top="0.75" bottom="0.75" header="0.3" footer="0.3"/>
  <pageSetup orientation="portrait" r:id="rId1"/>
  <headerFooter>
    <oddHeader xml:space="preserve">&amp;R&amp;"Times New Roman,Bold"Exhibit D
</oddHeader>
    <oddFooter>&amp;L&amp;1#&amp;"Calibri"&amp;14&amp;K000000Confidential</oddFooter>
  </headerFooter>
  <customProperties>
    <customPr name="_pios_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6">
    <tabColor theme="3" tint="0.59999389629810485"/>
  </sheetPr>
  <dimension ref="A1"/>
  <sheetViews>
    <sheetView workbookViewId="0"/>
  </sheetViews>
  <sheetFormatPr defaultRowHeight="15.75" x14ac:dyDescent="0.25"/>
  <sheetData/>
  <pageMargins left="0.7" right="0.7" top="0.75" bottom="0.75" header="0.3" footer="0.3"/>
  <pageSetup orientation="portrait" r:id="rId1"/>
  <headerFooter>
    <oddFooter>&amp;L&amp;1#&amp;"Calibri"&amp;14&amp;K000000Confidential</oddFooter>
  </headerFooter>
  <customProperties>
    <customPr name="_pios_id" r:id="rId2"/>
  </customPropertie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13">
    <tabColor theme="3" tint="0.59999389629810485"/>
    <pageSetUpPr fitToPage="1"/>
  </sheetPr>
  <dimension ref="A2:CG164"/>
  <sheetViews>
    <sheetView zoomScale="80" zoomScaleNormal="80" workbookViewId="0"/>
  </sheetViews>
  <sheetFormatPr defaultColWidth="8.88671875" defaultRowHeight="15.75" x14ac:dyDescent="0.25"/>
  <cols>
    <col min="1" max="1" width="8.88671875" style="3"/>
    <col min="2" max="2" width="10.77734375" style="3" customWidth="1"/>
    <col min="3" max="3" width="20.5546875" style="3" customWidth="1"/>
    <col min="4" max="4" width="16.77734375" style="3" customWidth="1"/>
    <col min="5" max="5" width="15.33203125" style="3" customWidth="1"/>
    <col min="6" max="6" width="13.33203125" style="3" customWidth="1"/>
    <col min="7" max="7" width="12.44140625" style="102" customWidth="1"/>
    <col min="8" max="8" width="13.77734375" style="3" customWidth="1"/>
    <col min="9" max="9" width="12.5546875" style="3" customWidth="1"/>
    <col min="10" max="10" width="1.6640625" style="3" hidden="1" customWidth="1"/>
    <col min="11" max="11" width="10.21875" style="3" hidden="1" customWidth="1"/>
    <col min="12" max="12" width="15.44140625" style="3" hidden="1" customWidth="1"/>
    <col min="13" max="13" width="14.109375" style="3" hidden="1" customWidth="1"/>
    <col min="14" max="14" width="14.77734375" style="3" hidden="1" customWidth="1"/>
    <col min="15" max="15" width="20.88671875" style="3" hidden="1" customWidth="1"/>
    <col min="16" max="16" width="12.44140625" style="3" hidden="1" customWidth="1"/>
    <col min="17" max="17" width="14.21875" style="3" hidden="1" customWidth="1"/>
    <col min="18" max="18" width="10.21875" style="3" customWidth="1"/>
    <col min="19" max="19" width="6.88671875" style="3" customWidth="1"/>
    <col min="20" max="20" width="8.88671875" style="3"/>
    <col min="21" max="21" width="7.77734375" style="3" customWidth="1"/>
    <col min="22" max="16384" width="8.88671875" style="3"/>
  </cols>
  <sheetData>
    <row r="2" spans="1:22" ht="18.75" customHeight="1" x14ac:dyDescent="0.3">
      <c r="B2" s="809" t="s">
        <v>5</v>
      </c>
      <c r="C2" s="809"/>
      <c r="D2" s="809"/>
      <c r="E2" s="809"/>
      <c r="F2" s="809"/>
      <c r="G2" s="809"/>
      <c r="H2" s="809"/>
      <c r="I2" s="809"/>
      <c r="J2" s="809"/>
    </row>
    <row r="3" spans="1:22" ht="18.75" customHeight="1" x14ac:dyDescent="0.3">
      <c r="B3" s="809" t="s">
        <v>117</v>
      </c>
      <c r="C3" s="809"/>
      <c r="D3" s="809"/>
      <c r="E3" s="809"/>
      <c r="F3" s="809"/>
      <c r="G3" s="809"/>
      <c r="H3" s="809"/>
      <c r="I3" s="809"/>
      <c r="J3" s="809"/>
    </row>
    <row r="4" spans="1:22" ht="18.75" x14ac:dyDescent="0.3">
      <c r="B4" s="749" t="str">
        <f>CONCATENATE("For Service Rendered On and After ",'Input Data'!$D$4)</f>
        <v>For Service Rendered On and After February 1, 2023</v>
      </c>
      <c r="C4" s="749"/>
      <c r="D4" s="749"/>
      <c r="E4" s="749"/>
      <c r="F4" s="749"/>
      <c r="G4" s="749"/>
      <c r="H4" s="749"/>
      <c r="I4" s="749"/>
      <c r="J4" s="255"/>
    </row>
    <row r="5" spans="1:22" ht="18.75" x14ac:dyDescent="0.3">
      <c r="B5" s="88"/>
      <c r="D5" s="88"/>
      <c r="E5" s="88"/>
      <c r="F5" s="88"/>
      <c r="G5" s="103"/>
      <c r="H5" s="88"/>
      <c r="I5" s="88"/>
      <c r="J5" s="88"/>
      <c r="L5" s="260" t="s">
        <v>275</v>
      </c>
      <c r="M5" s="34"/>
      <c r="N5" s="34"/>
      <c r="O5" s="34"/>
      <c r="P5" s="34"/>
    </row>
    <row r="6" spans="1:22" ht="18.75" x14ac:dyDescent="0.3">
      <c r="C6" s="104"/>
      <c r="D6" s="104"/>
      <c r="E6" s="104"/>
      <c r="F6" s="104"/>
      <c r="G6" s="105"/>
      <c r="H6" s="104"/>
      <c r="I6" s="104"/>
      <c r="J6" s="104"/>
      <c r="L6" s="260" t="s">
        <v>230</v>
      </c>
      <c r="M6" s="32"/>
      <c r="N6" s="32"/>
      <c r="O6" s="32"/>
      <c r="P6" s="32"/>
      <c r="Q6" s="34"/>
      <c r="R6" s="34"/>
    </row>
    <row r="7" spans="1:22" ht="25.5" x14ac:dyDescent="0.35">
      <c r="C7" s="3" t="s">
        <v>541</v>
      </c>
      <c r="F7" s="106"/>
      <c r="G7" s="106"/>
      <c r="H7" s="106"/>
      <c r="I7" s="106"/>
      <c r="J7" s="107"/>
      <c r="L7" s="806" t="s">
        <v>211</v>
      </c>
      <c r="M7" s="807"/>
      <c r="N7" s="807"/>
      <c r="O7" s="807"/>
      <c r="P7" s="808"/>
    </row>
    <row r="8" spans="1:22" x14ac:dyDescent="0.25">
      <c r="B8" s="108"/>
      <c r="C8" s="108"/>
      <c r="D8" s="108"/>
      <c r="E8" s="108"/>
      <c r="F8" s="108"/>
      <c r="G8" s="109"/>
      <c r="H8" s="108"/>
      <c r="I8" s="108"/>
      <c r="J8" s="107"/>
      <c r="L8" s="810" t="s">
        <v>245</v>
      </c>
      <c r="M8" s="811"/>
      <c r="N8" s="811"/>
      <c r="O8" s="811"/>
      <c r="P8" s="812"/>
    </row>
    <row r="9" spans="1:22" ht="63" x14ac:dyDescent="0.25">
      <c r="A9" s="695" t="s">
        <v>247</v>
      </c>
      <c r="B9" s="695" t="s">
        <v>371</v>
      </c>
      <c r="C9" s="695" t="s">
        <v>0</v>
      </c>
      <c r="D9" s="695" t="s">
        <v>217</v>
      </c>
      <c r="E9" s="695" t="s">
        <v>218</v>
      </c>
      <c r="F9" s="695" t="s">
        <v>219</v>
      </c>
      <c r="G9" s="110" t="s">
        <v>220</v>
      </c>
      <c r="H9" s="695" t="s">
        <v>232</v>
      </c>
      <c r="I9" s="805" t="s">
        <v>584</v>
      </c>
      <c r="J9" s="805"/>
      <c r="L9" s="83"/>
      <c r="M9" s="314" t="s">
        <v>210</v>
      </c>
      <c r="N9" s="315" t="s">
        <v>610</v>
      </c>
      <c r="O9" s="314" t="s">
        <v>212</v>
      </c>
      <c r="P9" s="261" t="s">
        <v>30</v>
      </c>
    </row>
    <row r="10" spans="1:22" ht="21.75" customHeight="1" x14ac:dyDescent="0.3">
      <c r="A10" s="200"/>
      <c r="B10" s="108" t="s">
        <v>60</v>
      </c>
      <c r="C10" s="106" t="s">
        <v>61</v>
      </c>
      <c r="D10" s="106" t="s">
        <v>62</v>
      </c>
      <c r="E10" s="106" t="s">
        <v>63</v>
      </c>
      <c r="F10" s="106" t="s">
        <v>489</v>
      </c>
      <c r="G10" s="111" t="s">
        <v>65</v>
      </c>
      <c r="H10" s="106" t="s">
        <v>485</v>
      </c>
      <c r="I10" s="106" t="s">
        <v>111</v>
      </c>
      <c r="L10" s="300">
        <f>'Input Data'!C4</f>
        <v>44958</v>
      </c>
      <c r="M10" s="81">
        <f>VLOOKUP(L10,Forecast!A$1:K$200,9)</f>
        <v>5151024</v>
      </c>
      <c r="N10" s="81">
        <f>VLOOKUP(L10,Forecast!A$19:$K$200,10)</f>
        <v>17443</v>
      </c>
      <c r="O10" s="81">
        <f>VLOOKUP(L10,Forecast!A$1:K$200,3)</f>
        <v>41439</v>
      </c>
      <c r="P10" s="301">
        <f>SUM(M10:O10)</f>
        <v>5209906</v>
      </c>
      <c r="R10" s="47"/>
      <c r="T10" s="47"/>
      <c r="V10" s="47"/>
    </row>
    <row r="11" spans="1:22" ht="18.75" x14ac:dyDescent="0.3">
      <c r="A11" s="691"/>
      <c r="B11" s="108"/>
      <c r="C11" s="108"/>
      <c r="D11" s="108"/>
      <c r="E11" s="108"/>
      <c r="F11" s="108"/>
      <c r="G11" s="109"/>
      <c r="H11" s="108"/>
      <c r="I11" s="108"/>
      <c r="L11" s="117">
        <f>EDATE(L10,1)</f>
        <v>44986</v>
      </c>
      <c r="M11" s="81">
        <f>VLOOKUP(L11,Forecast!A$1:K$200,9)</f>
        <v>3881113</v>
      </c>
      <c r="N11" s="81">
        <f>VLOOKUP(L11,Forecast!A$19:$K$200,10)</f>
        <v>18632</v>
      </c>
      <c r="O11" s="81">
        <f>VLOOKUP(L11,Forecast!A$1:K$200,3)</f>
        <v>61564</v>
      </c>
      <c r="P11" s="302">
        <f t="shared" ref="P11:P21" si="0">SUM(M11:O11)</f>
        <v>3961309</v>
      </c>
      <c r="R11" s="47"/>
      <c r="T11" s="47"/>
      <c r="V11" s="47"/>
    </row>
    <row r="12" spans="1:22" x14ac:dyDescent="0.25">
      <c r="A12" s="692">
        <v>1</v>
      </c>
      <c r="B12" s="112">
        <f>'Input Data'!C4</f>
        <v>44958</v>
      </c>
      <c r="C12" s="324" t="str">
        <f>VLOOKUP(B12,'Case Database'!$A$2:$H$200,3,FALSE)</f>
        <v>2022-00421</v>
      </c>
      <c r="D12" s="19">
        <f>'Input Data'!D156</f>
        <v>0</v>
      </c>
      <c r="E12" s="19">
        <f>'Input Data'!D157</f>
        <v>0</v>
      </c>
      <c r="F12" s="19">
        <f>+D12+E12</f>
        <v>0</v>
      </c>
      <c r="G12" s="102">
        <f>P23</f>
        <v>31555017</v>
      </c>
      <c r="H12" s="113">
        <f>+ROUND(F12/G12,4)</f>
        <v>0</v>
      </c>
      <c r="I12" s="550">
        <f>H12/10</f>
        <v>0</v>
      </c>
      <c r="J12" s="13" t="s">
        <v>216</v>
      </c>
      <c r="L12" s="117">
        <f t="shared" ref="L12:L20" si="1">EDATE(L11,1)</f>
        <v>45017</v>
      </c>
      <c r="M12" s="81">
        <f>VLOOKUP(L12,Forecast!A$1:K$200,9)</f>
        <v>1985223</v>
      </c>
      <c r="N12" s="81">
        <f>VLOOKUP(L12,Forecast!A$19:$K$200,10)</f>
        <v>17292</v>
      </c>
      <c r="O12" s="81">
        <f>VLOOKUP(L12,Forecast!A$1:K$200,3)</f>
        <v>70312</v>
      </c>
      <c r="P12" s="302">
        <f t="shared" si="0"/>
        <v>2072827</v>
      </c>
      <c r="R12" s="47"/>
      <c r="T12" s="47"/>
      <c r="V12" s="47"/>
    </row>
    <row r="13" spans="1:22" ht="14.25" customHeight="1" x14ac:dyDescent="0.25">
      <c r="A13" s="692">
        <v>2</v>
      </c>
      <c r="B13" s="112">
        <f>EDATE(B12,-3)</f>
        <v>44866</v>
      </c>
      <c r="C13" s="324" t="str">
        <f>VLOOKUP(B13,'Case Database'!$A$2:$H$200,3,FALSE)</f>
        <v>2022-00310</v>
      </c>
      <c r="D13" s="19">
        <f>VLOOKUP($C13,'Case Database'!$C$3:$O$200,12)</f>
        <v>0</v>
      </c>
      <c r="E13" s="19">
        <f>VLOOKUP($C13,'Case Database'!$C$3:$O$200,13)</f>
        <v>0</v>
      </c>
      <c r="F13" s="19">
        <f>+D13+E13</f>
        <v>0</v>
      </c>
      <c r="G13" s="655">
        <f>VLOOKUP($B13,Forecast!$A$8:$J$5000,9)+VLOOKUP((EDATE($B13,1)),Forecast!$A$8:$J$5000,9)+VLOOKUP((EDATE($B13,2)),Forecast!$A$8:$J$5000,9)+VLOOKUP((EDATE($B13,3)),Forecast!$A$8:$J$5000,9)+VLOOKUP((EDATE($B13,4)),Forecast!$A$8:$J$5000,9)+VLOOKUP((EDATE($B13,5)),Forecast!$A$8:$J$5000,9)+VLOOKUP((EDATE($B13,6)),Forecast!$A$8:$J$5000,9)+VLOOKUP((EDATE($B13,7)),Forecast!$A$8:$J$5000,9)+VLOOKUP((EDATE($B13,8)),Forecast!$A$8:$J$5000,9)+VLOOKUP((EDATE($B13,9)),Forecast!$A$8:$J$5000,9)+VLOOKUP((EDATE($B13,10)),Forecast!$A$8:$J$5000,9)+VLOOKUP((EDATE($B13,11)),Forecast!$A$8:$J$5000,9)+VLOOKUP($B13,Forecast!$A$8:$J$5000,3)+VLOOKUP((EDATE($B13,1)),Forecast!$A$8:$J$5000,3)+VLOOKUP((EDATE($B13,2)),Forecast!$A$8:$J$5000,3)+VLOOKUP((EDATE($B13,3)),Forecast!$A$8:$J$5000,3)+VLOOKUP((EDATE($B13,4)),Forecast!$A$8:$J$5000,3)+VLOOKUP((EDATE($B13,5)),Forecast!$A$8:$J$5000,3)+VLOOKUP((EDATE($B13,6)),Forecast!$A$8:$J$5000,3)+VLOOKUP((EDATE($B13,7)),Forecast!$A$8:$J$5000,3)+VLOOKUP((EDATE($B13,8)),Forecast!$A$8:$J$5000,3)+VLOOKUP((EDATE($B13,9)),Forecast!$A$8:$J$5000,3)+VLOOKUP((EDATE($B13,10)),Forecast!$A$8:$J$5000,3)+VLOOKUP((EDATE($B13,11)),Forecast!$A$8:$J$5000,3)+VLOOKUP($B13,Forecast!$A$8:$J$5000,10)+VLOOKUP((EDATE($B13,1)),Forecast!$A$8:$J$5000,10)+VLOOKUP((EDATE($B13,2)),Forecast!$A$8:$J$5000,10)+VLOOKUP((EDATE($B13,3)),Forecast!$A$8:$J$5000,10)+VLOOKUP((EDATE($B13,4)),Forecast!$A$8:$J$5000,10)+VLOOKUP((EDATE($B13,5)),Forecast!$A$8:$J$5000,10)+VLOOKUP((EDATE($B13,6)),Forecast!$A$8:$J$5000,10)+VLOOKUP((EDATE($B13,7)),Forecast!$A$8:$J$5000,10)+VLOOKUP((EDATE($B13,8)),Forecast!$A$8:$J$5000,10)+VLOOKUP((EDATE($B13,9)),Forecast!$A$8:$J$5000,10)+VLOOKUP((EDATE($B13,10)),Forecast!$A$8:$J$5000,10)+VLOOKUP((EDATE($B13,11)),Forecast!$A$8:$J$5000,10)</f>
        <v>31986075</v>
      </c>
      <c r="H13" s="113">
        <f>+ROUND(F13/G13,4)</f>
        <v>0</v>
      </c>
      <c r="I13" s="550">
        <f>H13/10</f>
        <v>0</v>
      </c>
      <c r="J13" s="13" t="s">
        <v>216</v>
      </c>
      <c r="L13" s="117">
        <f>EDATE(L12,1)</f>
        <v>45047</v>
      </c>
      <c r="M13" s="81">
        <f>VLOOKUP(L13,Forecast!A$1:K$200,9)</f>
        <v>1099875</v>
      </c>
      <c r="N13" s="81">
        <f>VLOOKUP(L13,Forecast!A$19:$K$200,10)</f>
        <v>19259</v>
      </c>
      <c r="O13" s="81">
        <f>VLOOKUP(L13,Forecast!A$1:K$200,3)</f>
        <v>64367</v>
      </c>
      <c r="P13" s="302">
        <f t="shared" si="0"/>
        <v>1183501</v>
      </c>
      <c r="R13" s="47"/>
      <c r="T13" s="47"/>
      <c r="V13" s="47"/>
    </row>
    <row r="14" spans="1:22" x14ac:dyDescent="0.25">
      <c r="A14" s="692">
        <v>3</v>
      </c>
      <c r="B14" s="112">
        <f>EDATE(B13,-3)</f>
        <v>44774</v>
      </c>
      <c r="C14" s="324" t="str">
        <f>VLOOKUP(B14,'Case Database'!$A$2:$H$200,3,FALSE)</f>
        <v>2022-00180</v>
      </c>
      <c r="D14" s="19">
        <f>VLOOKUP($C14,'Case Database'!$C$3:$O$200,12)</f>
        <v>0</v>
      </c>
      <c r="E14" s="19">
        <f>VLOOKUP($C14,'Case Database'!$C$3:$O$200,13)</f>
        <v>0</v>
      </c>
      <c r="F14" s="19">
        <f>+D14+E14</f>
        <v>0</v>
      </c>
      <c r="G14" s="655">
        <f>VLOOKUP($B14,Forecast!$A$8:$J$5000,9)+VLOOKUP((EDATE($B14,1)),Forecast!$A$8:$J$5000,9)+VLOOKUP((EDATE($B14,2)),Forecast!$A$8:$J$5000,9)+VLOOKUP((EDATE($B14,3)),Forecast!$A$8:$J$5000,9)+VLOOKUP((EDATE($B14,4)),Forecast!$A$8:$J$5000,9)+VLOOKUP((EDATE($B14,5)),Forecast!$A$8:$J$5000,9)+VLOOKUP((EDATE($B14,6)),Forecast!$A$8:$J$5000,9)+VLOOKUP((EDATE($B14,7)),Forecast!$A$8:$J$5000,9)+VLOOKUP((EDATE($B14,8)),Forecast!$A$8:$J$5000,9)+VLOOKUP((EDATE($B14,9)),Forecast!$A$8:$J$5000,9)+VLOOKUP((EDATE($B14,10)),Forecast!$A$8:$J$5000,9)+VLOOKUP((EDATE($B14,11)),Forecast!$A$8:$J$5000,9)+VLOOKUP($B14,Forecast!$A$8:$J$5000,3)+VLOOKUP((EDATE($B14,1)),Forecast!$A$8:$J$5000,3)+VLOOKUP((EDATE($B14,2)),Forecast!$A$8:$J$5000,3)+VLOOKUP((EDATE($B14,3)),Forecast!$A$8:$J$5000,3)+VLOOKUP((EDATE($B14,4)),Forecast!$A$8:$J$5000,3)+VLOOKUP((EDATE($B14,5)),Forecast!$A$8:$J$5000,3)+VLOOKUP((EDATE($B14,6)),Forecast!$A$8:$J$5000,3)+VLOOKUP((EDATE($B14,7)),Forecast!$A$8:$J$5000,3)+VLOOKUP((EDATE($B14,8)),Forecast!$A$8:$J$5000,3)+VLOOKUP((EDATE($B14,9)),Forecast!$A$8:$J$5000,3)+VLOOKUP((EDATE($B14,10)),Forecast!$A$8:$J$5000,3)+VLOOKUP((EDATE($B14,11)),Forecast!$A$8:$J$5000,3)+VLOOKUP($B14,Forecast!$A$8:$J$5000,10)+VLOOKUP((EDATE($B14,1)),Forecast!$A$8:$J$5000,10)+VLOOKUP((EDATE($B14,2)),Forecast!$A$8:$J$5000,10)+VLOOKUP((EDATE($B14,3)),Forecast!$A$8:$J$5000,10)+VLOOKUP((EDATE($B14,4)),Forecast!$A$8:$J$5000,10)+VLOOKUP((EDATE($B14,5)),Forecast!$A$8:$J$5000,10)+VLOOKUP((EDATE($B14,6)),Forecast!$A$8:$J$5000,10)+VLOOKUP((EDATE($B14,7)),Forecast!$A$8:$J$5000,10)+VLOOKUP((EDATE($B14,8)),Forecast!$A$8:$J$5000,10)+VLOOKUP((EDATE($B14,9)),Forecast!$A$8:$J$5000,10)+VLOOKUP((EDATE($B14,10)),Forecast!$A$8:$J$5000,10)+VLOOKUP((EDATE($B14,11)),Forecast!$A$8:$J$5000,10)</f>
        <v>32103581</v>
      </c>
      <c r="H14" s="113">
        <f>+ROUND(F14/G14,4)</f>
        <v>0</v>
      </c>
      <c r="I14" s="550">
        <f>H14/10</f>
        <v>0</v>
      </c>
      <c r="J14" s="13" t="s">
        <v>216</v>
      </c>
      <c r="L14" s="117">
        <f t="shared" si="1"/>
        <v>45078</v>
      </c>
      <c r="M14" s="81">
        <f>VLOOKUP(L14,Forecast!A$1:K$200,9)</f>
        <v>725702</v>
      </c>
      <c r="N14" s="81">
        <f>VLOOKUP(L14,Forecast!A$19:$K$200,10)</f>
        <v>22537</v>
      </c>
      <c r="O14" s="81">
        <f>VLOOKUP(L14,Forecast!A$1:K$200,3)</f>
        <v>59256</v>
      </c>
      <c r="P14" s="302">
        <f t="shared" si="0"/>
        <v>807495</v>
      </c>
      <c r="R14" s="47"/>
      <c r="T14" s="47"/>
      <c r="V14" s="47"/>
    </row>
    <row r="15" spans="1:22" ht="15" customHeight="1" x14ac:dyDescent="0.25">
      <c r="A15" s="692">
        <v>4</v>
      </c>
      <c r="B15" s="112">
        <f>EDATE(B14,-3)</f>
        <v>44682</v>
      </c>
      <c r="C15" s="324" t="str">
        <f>VLOOKUP(B15,'Case Database'!$A$2:$H$200,3,FALSE)</f>
        <v>2022-00083</v>
      </c>
      <c r="D15" s="19">
        <f>VLOOKUP($C15,'Case Database'!$C$3:$O$200,12)</f>
        <v>0</v>
      </c>
      <c r="E15" s="19">
        <f>VLOOKUP($C15,'Case Database'!$C$3:$O$200,13)</f>
        <v>0</v>
      </c>
      <c r="F15" s="19">
        <f>+D15+E15</f>
        <v>0</v>
      </c>
      <c r="G15" s="655">
        <f>VLOOKUP($B15,Forecast!$A$8:$J$5000,9)+VLOOKUP((EDATE($B15,1)),Forecast!$A$8:$J$5000,9)+VLOOKUP((EDATE($B15,2)),Forecast!$A$8:$J$5000,9)+VLOOKUP((EDATE($B15,3)),Forecast!$A$8:$J$5000,9)+VLOOKUP((EDATE($B15,4)),Forecast!$A$8:$J$5000,9)+VLOOKUP((EDATE($B15,5)),Forecast!$A$8:$J$5000,9)+VLOOKUP((EDATE($B15,6)),Forecast!$A$8:$J$5000,9)+VLOOKUP((EDATE($B15,7)),Forecast!$A$8:$J$5000,9)+VLOOKUP((EDATE($B15,8)),Forecast!$A$8:$J$5000,9)+VLOOKUP((EDATE($B15,9)),Forecast!$A$8:$J$5000,9)+VLOOKUP((EDATE($B15,10)),Forecast!$A$8:$J$5000,9)+VLOOKUP((EDATE($B15,11)),Forecast!$A$8:$J$5000,9)+VLOOKUP($B15,Forecast!$A$8:$J$5000,3)+VLOOKUP((EDATE($B15,1)),Forecast!$A$8:$J$5000,3)+VLOOKUP((EDATE($B15,2)),Forecast!$A$8:$J$5000,3)+VLOOKUP((EDATE($B15,3)),Forecast!$A$8:$J$5000,3)+VLOOKUP((EDATE($B15,4)),Forecast!$A$8:$J$5000,3)+VLOOKUP((EDATE($B15,5)),Forecast!$A$8:$J$5000,3)+VLOOKUP((EDATE($B15,6)),Forecast!$A$8:$J$5000,3)+VLOOKUP((EDATE($B15,7)),Forecast!$A$8:$J$5000,3)+VLOOKUP((EDATE($B15,8)),Forecast!$A$8:$J$5000,3)+VLOOKUP((EDATE($B15,9)),Forecast!$A$8:$J$5000,3)+VLOOKUP((EDATE($B15,10)),Forecast!$A$8:$J$5000,3)+VLOOKUP((EDATE($B15,11)),Forecast!$A$8:$J$5000,3)+VLOOKUP($B15,Forecast!$A$8:$J$5000,10)+VLOOKUP((EDATE($B15,1)),Forecast!$A$8:$J$5000,10)+VLOOKUP((EDATE($B15,2)),Forecast!$A$8:$J$5000,10)+VLOOKUP((EDATE($B15,3)),Forecast!$A$8:$J$5000,10)+VLOOKUP((EDATE($B15,4)),Forecast!$A$8:$J$5000,10)+VLOOKUP((EDATE($B15,5)),Forecast!$A$8:$J$5000,10)+VLOOKUP((EDATE($B15,6)),Forecast!$A$8:$J$5000,10)+VLOOKUP((EDATE($B15,7)),Forecast!$A$8:$J$5000,10)+VLOOKUP((EDATE($B15,8)),Forecast!$A$8:$J$5000,10)+VLOOKUP((EDATE($B15,9)),Forecast!$A$8:$J$5000,10)+VLOOKUP((EDATE($B15,10)),Forecast!$A$8:$J$5000,10)+VLOOKUP((EDATE($B15,11)),Forecast!$A$8:$J$5000,10)</f>
        <v>32164112</v>
      </c>
      <c r="H15" s="114">
        <f>+ROUND(F15/G15,4)</f>
        <v>0</v>
      </c>
      <c r="I15" s="550">
        <f>H15/10</f>
        <v>0</v>
      </c>
      <c r="J15" s="13" t="s">
        <v>216</v>
      </c>
      <c r="L15" s="117">
        <f t="shared" si="1"/>
        <v>45108</v>
      </c>
      <c r="M15" s="81">
        <f>VLOOKUP(L15,Forecast!A$1:K$200,9)</f>
        <v>715511</v>
      </c>
      <c r="N15" s="81">
        <f>VLOOKUP(L15,Forecast!A$19:$K$200,10)</f>
        <v>16358</v>
      </c>
      <c r="O15" s="81">
        <f>VLOOKUP(L15,Forecast!A$1:K$200,3)</f>
        <v>54515</v>
      </c>
      <c r="P15" s="302">
        <f t="shared" si="0"/>
        <v>786384</v>
      </c>
      <c r="R15" s="47"/>
      <c r="T15" s="47"/>
      <c r="V15" s="47"/>
    </row>
    <row r="16" spans="1:22" ht="15" customHeight="1" x14ac:dyDescent="0.25">
      <c r="A16" s="692"/>
      <c r="L16" s="117">
        <f t="shared" si="1"/>
        <v>45139</v>
      </c>
      <c r="M16" s="81">
        <f>VLOOKUP(L16,Forecast!A$1:K$200,9)</f>
        <v>675736</v>
      </c>
      <c r="N16" s="81">
        <f>VLOOKUP(L16,Forecast!A$19:$K$200,10)</f>
        <v>13169</v>
      </c>
      <c r="O16" s="81">
        <f>VLOOKUP(L16,Forecast!A$1:K$200,3)</f>
        <v>55430</v>
      </c>
      <c r="P16" s="302">
        <f t="shared" si="0"/>
        <v>744335</v>
      </c>
      <c r="R16" s="47"/>
      <c r="T16" s="47"/>
      <c r="V16" s="47"/>
    </row>
    <row r="17" spans="1:85" x14ac:dyDescent="0.25">
      <c r="A17" s="692">
        <v>5</v>
      </c>
      <c r="G17" s="54" t="s">
        <v>314</v>
      </c>
      <c r="H17" s="551">
        <f>SUM(H12:H15)</f>
        <v>0</v>
      </c>
      <c r="L17" s="117">
        <f t="shared" si="1"/>
        <v>45170</v>
      </c>
      <c r="M17" s="81">
        <f>VLOOKUP(L17,Forecast!A$1:K$200,9)</f>
        <v>744945</v>
      </c>
      <c r="N17" s="81">
        <f>VLOOKUP(L17,Forecast!A$19:$K$200,10)</f>
        <v>17952</v>
      </c>
      <c r="O17" s="81">
        <f>VLOOKUP(L17,Forecast!A$1:K$200,3)</f>
        <v>61481</v>
      </c>
      <c r="P17" s="302">
        <f t="shared" si="0"/>
        <v>824378</v>
      </c>
      <c r="R17" s="47"/>
      <c r="T17" s="47"/>
      <c r="V17" s="47"/>
    </row>
    <row r="18" spans="1:85" ht="18.75" x14ac:dyDescent="0.3">
      <c r="A18" s="691"/>
      <c r="L18" s="117">
        <f t="shared" si="1"/>
        <v>45200</v>
      </c>
      <c r="M18" s="81">
        <f>VLOOKUP(L18,Forecast!A$1:K$200,9)</f>
        <v>1542762</v>
      </c>
      <c r="N18" s="81">
        <f>VLOOKUP(L18,Forecast!A$19:$K$200,10)</f>
        <v>9981</v>
      </c>
      <c r="O18" s="81">
        <f>VLOOKUP(L18,Forecast!A$1:K$200,3)</f>
        <v>73931</v>
      </c>
      <c r="P18" s="302">
        <f t="shared" si="0"/>
        <v>1626674</v>
      </c>
      <c r="R18" s="47"/>
      <c r="T18" s="47"/>
      <c r="V18" s="47"/>
    </row>
    <row r="19" spans="1:85" ht="18.75" x14ac:dyDescent="0.3">
      <c r="A19" s="691"/>
      <c r="L19" s="117">
        <f t="shared" si="1"/>
        <v>45231</v>
      </c>
      <c r="M19" s="81">
        <f>VLOOKUP(L19,Forecast!A$1:K$200,9)</f>
        <v>3331210</v>
      </c>
      <c r="N19" s="81">
        <f>VLOOKUP(L19,Forecast!A$19:$K$200,10)</f>
        <v>22843</v>
      </c>
      <c r="O19" s="81">
        <f>VLOOKUP(L19,Forecast!A$1:K$200,3)</f>
        <v>61407</v>
      </c>
      <c r="P19" s="302">
        <f t="shared" si="0"/>
        <v>3415460</v>
      </c>
      <c r="R19" s="47"/>
      <c r="T19" s="47"/>
      <c r="V19" s="47"/>
    </row>
    <row r="20" spans="1:85" ht="18.75" x14ac:dyDescent="0.3">
      <c r="A20" s="691"/>
      <c r="L20" s="117">
        <f t="shared" si="1"/>
        <v>45261</v>
      </c>
      <c r="M20" s="81">
        <f>VLOOKUP(L20,Forecast!A$1:K$200,9)</f>
        <v>4974617</v>
      </c>
      <c r="N20" s="81">
        <f>VLOOKUP(L20,Forecast!A$19:$K$200,10)</f>
        <v>17414</v>
      </c>
      <c r="O20" s="81">
        <f>VLOOKUP(L20,Forecast!A$1:K$200,3)</f>
        <v>51604</v>
      </c>
      <c r="P20" s="302">
        <f t="shared" si="0"/>
        <v>5043635</v>
      </c>
      <c r="R20" s="47"/>
      <c r="T20" s="47"/>
      <c r="V20" s="47"/>
    </row>
    <row r="21" spans="1:85" ht="18.75" x14ac:dyDescent="0.3">
      <c r="A21" s="691"/>
      <c r="F21" s="115"/>
      <c r="H21" s="115"/>
      <c r="L21" s="117">
        <f>EDATE(L20,1)</f>
        <v>45292</v>
      </c>
      <c r="M21" s="81">
        <f>VLOOKUP(L21,Forecast!A$1:K$200,9)</f>
        <v>5812249</v>
      </c>
      <c r="N21" s="81">
        <f>VLOOKUP(L21,Forecast!A$19:$K$200,10)</f>
        <v>18632</v>
      </c>
      <c r="O21" s="81">
        <f>VLOOKUP(L21,Forecast!A$1:K$200,3)</f>
        <v>48232</v>
      </c>
      <c r="P21" s="302">
        <f t="shared" si="0"/>
        <v>5879113</v>
      </c>
      <c r="R21" s="47"/>
      <c r="T21" s="47"/>
      <c r="V21" s="47"/>
    </row>
    <row r="22" spans="1:85" ht="19.5" thickBot="1" x14ac:dyDescent="0.35">
      <c r="A22" s="691"/>
      <c r="B22" s="112"/>
      <c r="D22" s="19"/>
      <c r="E22" s="19"/>
      <c r="F22" s="19"/>
      <c r="K22" s="29"/>
      <c r="L22" s="303"/>
      <c r="M22" s="304"/>
      <c r="N22" s="304"/>
      <c r="O22" s="304"/>
      <c r="P22" s="305"/>
      <c r="T22" s="47"/>
      <c r="V22" s="47"/>
    </row>
    <row r="23" spans="1:85" ht="16.5" thickBot="1" x14ac:dyDescent="0.3">
      <c r="B23" s="112"/>
      <c r="D23" s="19"/>
      <c r="E23" s="19"/>
      <c r="F23" s="19"/>
      <c r="L23" s="306"/>
      <c r="M23" s="307"/>
      <c r="N23" s="307"/>
      <c r="O23" s="704"/>
      <c r="P23" s="308">
        <f>SUM(P10:P22)</f>
        <v>31555017</v>
      </c>
      <c r="R23" s="47"/>
      <c r="T23" s="47"/>
      <c r="V23" s="47"/>
      <c r="W23" s="47"/>
    </row>
    <row r="24" spans="1:85" x14ac:dyDescent="0.25">
      <c r="B24" s="112"/>
      <c r="D24" s="19"/>
      <c r="E24" s="19"/>
      <c r="F24" s="19"/>
      <c r="L24" s="35"/>
      <c r="M24" s="35"/>
      <c r="N24" s="35"/>
      <c r="O24" s="35"/>
      <c r="P24" s="35"/>
      <c r="Q24" s="35"/>
      <c r="R24" s="35"/>
    </row>
    <row r="25" spans="1:85" x14ac:dyDescent="0.25">
      <c r="D25" s="597"/>
      <c r="E25" s="597"/>
      <c r="F25" s="597"/>
      <c r="M25" s="35"/>
      <c r="N25" s="35"/>
      <c r="O25" s="35"/>
      <c r="P25" s="35"/>
      <c r="Q25" s="35"/>
      <c r="R25" s="35"/>
    </row>
    <row r="26" spans="1:85" x14ac:dyDescent="0.25">
      <c r="D26" s="597"/>
      <c r="E26" s="597"/>
      <c r="F26" s="597"/>
    </row>
    <row r="27" spans="1:85" x14ac:dyDescent="0.25">
      <c r="D27" s="597"/>
      <c r="E27" s="597"/>
      <c r="F27" s="597"/>
    </row>
    <row r="28" spans="1:85" x14ac:dyDescent="0.25">
      <c r="D28" s="19"/>
      <c r="E28" s="19"/>
      <c r="F28" s="19"/>
    </row>
    <row r="29" spans="1:85" x14ac:dyDescent="0.25">
      <c r="D29" s="19"/>
      <c r="E29" s="19"/>
      <c r="F29" s="19"/>
      <c r="CG29" s="3" t="s">
        <v>271</v>
      </c>
    </row>
    <row r="30" spans="1:85" x14ac:dyDescent="0.25">
      <c r="D30" s="19"/>
      <c r="E30" s="19"/>
      <c r="F30" s="19"/>
      <c r="CG30" s="3" t="s">
        <v>274</v>
      </c>
    </row>
    <row r="31" spans="1:85" x14ac:dyDescent="0.25">
      <c r="D31" s="19"/>
      <c r="E31" s="19"/>
      <c r="F31" s="19"/>
    </row>
    <row r="32" spans="1:85" x14ac:dyDescent="0.25">
      <c r="D32" s="19"/>
      <c r="E32" s="19"/>
      <c r="F32" s="19"/>
      <c r="CG32" s="3">
        <v>-411623</v>
      </c>
    </row>
    <row r="33" spans="7:85" x14ac:dyDescent="0.25">
      <c r="G33" s="3"/>
    </row>
    <row r="34" spans="7:85" x14ac:dyDescent="0.25">
      <c r="G34" s="3"/>
      <c r="CA34" s="3" t="e">
        <v>#REF!</v>
      </c>
      <c r="CB34" s="3" t="s">
        <v>61</v>
      </c>
      <c r="CC34" s="3" t="e">
        <v>#REF!</v>
      </c>
      <c r="CD34" s="3" t="s">
        <v>60</v>
      </c>
      <c r="CE34" s="3" t="e">
        <v>#REF!</v>
      </c>
      <c r="CF34" s="3" t="s">
        <v>60</v>
      </c>
      <c r="CG34" s="3">
        <v>-402587.94319999998</v>
      </c>
    </row>
    <row r="35" spans="7:85" x14ac:dyDescent="0.25">
      <c r="G35" s="3"/>
      <c r="CC35" s="3" t="e">
        <v>#REF!</v>
      </c>
      <c r="CD35" s="3" t="s">
        <v>60</v>
      </c>
      <c r="CE35" s="3" t="e">
        <v>#REF!</v>
      </c>
      <c r="CF35" s="3" t="s">
        <v>60</v>
      </c>
      <c r="CG35" s="3">
        <v>-389209.51574</v>
      </c>
    </row>
    <row r="36" spans="7:85" x14ac:dyDescent="0.25">
      <c r="G36" s="3"/>
      <c r="CC36" s="3" t="e">
        <v>#REF!</v>
      </c>
      <c r="CD36" s="3" t="s">
        <v>60</v>
      </c>
      <c r="CE36" s="3" t="e">
        <v>#REF!</v>
      </c>
      <c r="CF36" s="3" t="s">
        <v>60</v>
      </c>
      <c r="CG36" s="3">
        <v>-379257.88942999998</v>
      </c>
    </row>
    <row r="37" spans="7:85" x14ac:dyDescent="0.25">
      <c r="G37" s="3"/>
      <c r="CC37" s="3" t="e">
        <v>#REF!</v>
      </c>
      <c r="CD37" s="3" t="s">
        <v>61</v>
      </c>
      <c r="CE37" s="3" t="e">
        <v>#REF!</v>
      </c>
      <c r="CF37" s="3" t="s">
        <v>60</v>
      </c>
      <c r="CG37" s="3">
        <v>-369315.90457999997</v>
      </c>
    </row>
    <row r="38" spans="7:85" x14ac:dyDescent="0.25">
      <c r="G38" s="3"/>
      <c r="CE38" s="3" t="e">
        <v>#REF!</v>
      </c>
      <c r="CF38" s="3" t="s">
        <v>60</v>
      </c>
      <c r="CG38" s="3">
        <v>-359018.76595999999</v>
      </c>
    </row>
    <row r="39" spans="7:85" x14ac:dyDescent="0.25">
      <c r="G39" s="3"/>
      <c r="CE39" s="3" t="e">
        <v>#REF!</v>
      </c>
      <c r="CF39" s="3" t="s">
        <v>60</v>
      </c>
      <c r="CG39" s="3">
        <v>-345075.15596</v>
      </c>
    </row>
    <row r="40" spans="7:85" x14ac:dyDescent="0.25">
      <c r="G40" s="3"/>
      <c r="CE40" s="3" t="e">
        <v>#REF!</v>
      </c>
      <c r="CF40" s="3" t="s">
        <v>61</v>
      </c>
      <c r="CG40" s="3">
        <v>-318552.39218000002</v>
      </c>
    </row>
    <row r="41" spans="7:85" x14ac:dyDescent="0.25">
      <c r="G41" s="3"/>
      <c r="CG41" s="3">
        <v>-272826.39557000005</v>
      </c>
    </row>
    <row r="42" spans="7:85" x14ac:dyDescent="0.25">
      <c r="G42" s="3"/>
      <c r="CG42" s="3">
        <v>-205104.66959000006</v>
      </c>
    </row>
    <row r="43" spans="7:85" x14ac:dyDescent="0.25">
      <c r="G43" s="3"/>
      <c r="CG43" s="3">
        <v>-140806.26692000008</v>
      </c>
    </row>
    <row r="44" spans="7:85" x14ac:dyDescent="0.25">
      <c r="G44" s="3"/>
      <c r="CG44" s="3">
        <v>-95338.527020000081</v>
      </c>
    </row>
    <row r="45" spans="7:85" x14ac:dyDescent="0.25">
      <c r="G45" s="3"/>
      <c r="CG45" s="3">
        <v>-76782.608450000087</v>
      </c>
    </row>
    <row r="46" spans="7:85" x14ac:dyDescent="0.25">
      <c r="G46" s="3"/>
      <c r="CG46" s="3">
        <v>-68418.687050000095</v>
      </c>
    </row>
    <row r="47" spans="7:85" x14ac:dyDescent="0.25">
      <c r="G47" s="3"/>
    </row>
    <row r="48" spans="7:85" x14ac:dyDescent="0.25">
      <c r="G48" s="3"/>
    </row>
    <row r="49" spans="7:85" x14ac:dyDescent="0.25">
      <c r="G49" s="3"/>
    </row>
    <row r="50" spans="7:85" x14ac:dyDescent="0.25">
      <c r="G50" s="3"/>
      <c r="CG50" s="3">
        <v>-68418.687050000095</v>
      </c>
    </row>
    <row r="51" spans="7:85" x14ac:dyDescent="0.25">
      <c r="G51" s="3"/>
    </row>
    <row r="52" spans="7:85" x14ac:dyDescent="0.25">
      <c r="G52" s="3"/>
    </row>
    <row r="53" spans="7:85" x14ac:dyDescent="0.25">
      <c r="G53" s="3"/>
    </row>
    <row r="54" spans="7:85" x14ac:dyDescent="0.25">
      <c r="G54" s="3"/>
    </row>
    <row r="55" spans="7:85" x14ac:dyDescent="0.25">
      <c r="G55" s="3"/>
    </row>
    <row r="56" spans="7:85" x14ac:dyDescent="0.25">
      <c r="G56" s="3"/>
    </row>
    <row r="57" spans="7:85" x14ac:dyDescent="0.25">
      <c r="G57" s="3"/>
    </row>
    <row r="58" spans="7:85" x14ac:dyDescent="0.25">
      <c r="G58" s="3"/>
      <c r="L58" s="35"/>
      <c r="M58" s="35"/>
      <c r="N58" s="29"/>
      <c r="O58" s="29"/>
      <c r="P58" s="29"/>
      <c r="Q58" s="29"/>
      <c r="R58" s="29"/>
      <c r="S58" s="29"/>
      <c r="T58" s="29"/>
      <c r="U58" s="29"/>
      <c r="V58" s="29"/>
      <c r="W58" s="29"/>
    </row>
    <row r="59" spans="7:85" x14ac:dyDescent="0.25">
      <c r="G59" s="3"/>
      <c r="L59" s="262"/>
      <c r="M59" s="262"/>
      <c r="N59" s="29"/>
      <c r="O59" s="29"/>
      <c r="P59" s="29"/>
      <c r="Q59" s="29"/>
      <c r="R59" s="29"/>
      <c r="S59" s="29"/>
      <c r="T59" s="29"/>
      <c r="U59" s="29"/>
      <c r="V59" s="29"/>
      <c r="W59" s="29"/>
    </row>
    <row r="60" spans="7:85" ht="15.75" customHeight="1" x14ac:dyDescent="0.25">
      <c r="G60" s="3"/>
      <c r="L60" s="29"/>
      <c r="M60" s="262"/>
      <c r="N60" s="29"/>
      <c r="O60" s="29"/>
      <c r="P60" s="29"/>
      <c r="Q60" s="29"/>
      <c r="R60" s="29"/>
      <c r="S60" s="29"/>
      <c r="T60" s="29"/>
      <c r="U60" s="29"/>
      <c r="V60" s="29"/>
      <c r="W60" s="29"/>
    </row>
    <row r="61" spans="7:85" x14ac:dyDescent="0.25">
      <c r="G61" s="3"/>
      <c r="L61" s="263"/>
      <c r="M61" s="35"/>
      <c r="N61" s="29"/>
      <c r="O61" s="29"/>
      <c r="P61" s="29"/>
      <c r="Q61" s="29"/>
      <c r="R61" s="29"/>
      <c r="S61" s="29"/>
      <c r="T61" s="29"/>
      <c r="U61" s="29"/>
      <c r="V61" s="29"/>
      <c r="W61" s="29"/>
    </row>
    <row r="62" spans="7:85" x14ac:dyDescent="0.25">
      <c r="G62" s="3"/>
      <c r="L62" s="263"/>
      <c r="M62" s="35"/>
      <c r="N62" s="29"/>
      <c r="O62" s="29"/>
      <c r="P62" s="29"/>
      <c r="Q62" s="29"/>
      <c r="R62" s="29"/>
      <c r="S62" s="29"/>
      <c r="T62" s="29"/>
      <c r="U62" s="29"/>
      <c r="V62" s="29"/>
      <c r="W62" s="29"/>
    </row>
    <row r="63" spans="7:85" x14ac:dyDescent="0.25">
      <c r="G63" s="3"/>
      <c r="L63" s="263"/>
      <c r="M63" s="35"/>
      <c r="N63" s="29"/>
      <c r="O63" s="29"/>
      <c r="P63" s="29"/>
      <c r="Q63" s="29"/>
      <c r="R63" s="29"/>
      <c r="S63" s="29"/>
      <c r="T63" s="29"/>
      <c r="U63" s="29"/>
      <c r="V63" s="29"/>
      <c r="W63" s="29"/>
    </row>
    <row r="64" spans="7:85" x14ac:dyDescent="0.25">
      <c r="G64" s="3"/>
      <c r="L64" s="263"/>
      <c r="M64" s="35"/>
      <c r="N64" s="29"/>
      <c r="O64" s="29"/>
      <c r="P64" s="29"/>
      <c r="Q64" s="29"/>
      <c r="R64" s="29"/>
      <c r="S64" s="29"/>
      <c r="T64" s="29"/>
      <c r="U64" s="29"/>
      <c r="V64" s="29"/>
      <c r="W64" s="29"/>
    </row>
    <row r="65" spans="7:23" x14ac:dyDescent="0.25">
      <c r="G65" s="3"/>
      <c r="L65" s="263"/>
      <c r="M65" s="35"/>
      <c r="N65" s="29"/>
      <c r="O65" s="29"/>
      <c r="P65" s="29"/>
      <c r="Q65" s="29"/>
      <c r="R65" s="29"/>
      <c r="S65" s="29"/>
      <c r="T65" s="29"/>
      <c r="U65" s="29"/>
      <c r="V65" s="29"/>
      <c r="W65" s="29"/>
    </row>
    <row r="66" spans="7:23" x14ac:dyDescent="0.25">
      <c r="G66" s="3"/>
      <c r="L66" s="263"/>
      <c r="M66" s="35"/>
      <c r="N66" s="29"/>
      <c r="O66" s="29"/>
      <c r="P66" s="29"/>
      <c r="Q66" s="29"/>
      <c r="R66" s="29"/>
      <c r="S66" s="29"/>
      <c r="T66" s="29"/>
      <c r="U66" s="29"/>
      <c r="V66" s="29"/>
      <c r="W66" s="29"/>
    </row>
    <row r="67" spans="7:23" x14ac:dyDescent="0.25">
      <c r="G67" s="3"/>
      <c r="L67" s="263"/>
      <c r="M67" s="35"/>
      <c r="N67" s="29"/>
      <c r="O67" s="29"/>
      <c r="P67" s="29"/>
      <c r="Q67" s="29"/>
      <c r="R67" s="29"/>
      <c r="S67" s="29"/>
      <c r="T67" s="29"/>
      <c r="U67" s="29"/>
      <c r="V67" s="29"/>
      <c r="W67" s="29"/>
    </row>
    <row r="68" spans="7:23" x14ac:dyDescent="0.25">
      <c r="G68" s="3"/>
      <c r="L68" s="263"/>
      <c r="M68" s="35"/>
      <c r="N68" s="29"/>
      <c r="O68" s="29"/>
      <c r="P68" s="29"/>
      <c r="Q68" s="29"/>
      <c r="R68" s="29"/>
      <c r="S68" s="29"/>
      <c r="T68" s="29"/>
      <c r="U68" s="29"/>
      <c r="V68" s="29"/>
      <c r="W68" s="29"/>
    </row>
    <row r="69" spans="7:23" x14ac:dyDescent="0.25">
      <c r="G69" s="3"/>
      <c r="L69" s="263"/>
      <c r="M69" s="35"/>
      <c r="N69" s="29"/>
      <c r="O69" s="29"/>
      <c r="P69" s="29"/>
      <c r="Q69" s="29"/>
      <c r="R69" s="29"/>
      <c r="S69" s="29"/>
      <c r="T69" s="29"/>
      <c r="U69" s="29"/>
      <c r="V69" s="29"/>
      <c r="W69" s="29"/>
    </row>
    <row r="70" spans="7:23" x14ac:dyDescent="0.25">
      <c r="G70" s="3"/>
      <c r="L70" s="263"/>
      <c r="M70" s="35"/>
      <c r="N70" s="29"/>
      <c r="O70" s="29"/>
      <c r="P70" s="29"/>
      <c r="Q70" s="29"/>
      <c r="R70" s="29"/>
      <c r="S70" s="29"/>
      <c r="T70" s="29"/>
      <c r="U70" s="29"/>
      <c r="V70" s="29"/>
      <c r="W70" s="29"/>
    </row>
    <row r="71" spans="7:23" x14ac:dyDescent="0.25">
      <c r="G71" s="3"/>
      <c r="L71" s="263"/>
      <c r="M71" s="35"/>
      <c r="N71" s="29"/>
      <c r="O71" s="29"/>
      <c r="P71" s="29"/>
      <c r="Q71" s="29"/>
      <c r="R71" s="29"/>
      <c r="S71" s="29"/>
      <c r="T71" s="29"/>
      <c r="U71" s="29"/>
      <c r="V71" s="29"/>
      <c r="W71" s="29"/>
    </row>
    <row r="72" spans="7:23" x14ac:dyDescent="0.25">
      <c r="G72" s="3"/>
      <c r="L72" s="263"/>
      <c r="M72" s="264"/>
      <c r="N72" s="35"/>
      <c r="O72" s="29"/>
      <c r="P72" s="29"/>
      <c r="Q72" s="29"/>
      <c r="R72" s="29"/>
      <c r="S72" s="29"/>
      <c r="T72" s="29"/>
      <c r="U72" s="29"/>
      <c r="V72" s="29"/>
      <c r="W72" s="29"/>
    </row>
    <row r="73" spans="7:23" x14ac:dyDescent="0.25">
      <c r="G73" s="3"/>
      <c r="L73" s="263"/>
      <c r="M73" s="264"/>
      <c r="N73" s="35"/>
      <c r="O73" s="29"/>
      <c r="P73" s="29"/>
      <c r="Q73" s="29"/>
      <c r="R73" s="29"/>
      <c r="S73" s="29"/>
      <c r="T73" s="29"/>
      <c r="U73" s="29"/>
      <c r="V73" s="29"/>
      <c r="W73" s="29"/>
    </row>
    <row r="74" spans="7:23" x14ac:dyDescent="0.25">
      <c r="G74" s="3"/>
      <c r="L74" s="263"/>
      <c r="M74" s="264"/>
      <c r="N74" s="35"/>
      <c r="O74" s="29"/>
      <c r="P74" s="29"/>
      <c r="Q74" s="29"/>
      <c r="R74" s="29"/>
      <c r="S74" s="29"/>
      <c r="T74" s="29"/>
      <c r="U74" s="29"/>
      <c r="V74" s="29"/>
      <c r="W74" s="29"/>
    </row>
    <row r="75" spans="7:23" x14ac:dyDescent="0.25">
      <c r="G75" s="3"/>
      <c r="L75" s="263"/>
      <c r="M75" s="264"/>
      <c r="N75" s="35"/>
      <c r="O75" s="29"/>
      <c r="P75" s="29"/>
      <c r="Q75" s="29"/>
      <c r="R75" s="29"/>
      <c r="S75" s="29"/>
      <c r="T75" s="29"/>
      <c r="U75" s="29"/>
      <c r="V75" s="29"/>
      <c r="W75" s="29"/>
    </row>
    <row r="76" spans="7:23" x14ac:dyDescent="0.25">
      <c r="G76" s="3"/>
      <c r="L76" s="263"/>
      <c r="M76" s="264"/>
      <c r="N76" s="35"/>
      <c r="O76" s="29"/>
      <c r="P76" s="29"/>
      <c r="Q76" s="29"/>
      <c r="R76" s="29"/>
      <c r="S76" s="29"/>
      <c r="T76" s="29"/>
      <c r="U76" s="29"/>
      <c r="V76" s="29"/>
      <c r="W76" s="29"/>
    </row>
    <row r="77" spans="7:23" x14ac:dyDescent="0.25">
      <c r="G77" s="3"/>
      <c r="L77" s="263"/>
      <c r="M77" s="264"/>
      <c r="N77" s="35"/>
      <c r="O77" s="29"/>
      <c r="P77" s="29"/>
      <c r="Q77" s="29"/>
      <c r="R77" s="29"/>
      <c r="S77" s="29"/>
      <c r="T77" s="29"/>
      <c r="U77" s="29"/>
      <c r="V77" s="29"/>
      <c r="W77" s="29"/>
    </row>
    <row r="78" spans="7:23" x14ac:dyDescent="0.25">
      <c r="G78" s="3"/>
      <c r="L78" s="263"/>
      <c r="M78" s="264"/>
      <c r="N78" s="35"/>
      <c r="O78" s="29"/>
      <c r="P78" s="29"/>
      <c r="Q78" s="29"/>
      <c r="R78" s="29"/>
      <c r="S78" s="29"/>
      <c r="T78" s="29"/>
      <c r="U78" s="29"/>
      <c r="V78" s="29"/>
      <c r="W78" s="29"/>
    </row>
    <row r="79" spans="7:23" x14ac:dyDescent="0.25">
      <c r="G79" s="3"/>
      <c r="L79" s="263"/>
      <c r="M79" s="264"/>
      <c r="N79" s="35"/>
      <c r="O79" s="29"/>
      <c r="P79" s="29"/>
      <c r="Q79" s="29"/>
      <c r="R79" s="29"/>
      <c r="S79" s="29"/>
      <c r="T79" s="29"/>
      <c r="U79" s="29"/>
      <c r="V79" s="29"/>
      <c r="W79" s="29"/>
    </row>
    <row r="80" spans="7:23" x14ac:dyDescent="0.25">
      <c r="G80" s="3"/>
      <c r="L80" s="263"/>
      <c r="M80" s="264"/>
      <c r="N80" s="35"/>
      <c r="O80" s="29"/>
      <c r="P80" s="29"/>
      <c r="Q80" s="29"/>
      <c r="R80" s="29"/>
      <c r="S80" s="29"/>
      <c r="T80" s="29"/>
      <c r="U80" s="29"/>
      <c r="V80" s="29"/>
      <c r="W80" s="29"/>
    </row>
    <row r="81" spans="7:23" x14ac:dyDescent="0.25">
      <c r="G81" s="3"/>
      <c r="L81" s="263"/>
      <c r="M81" s="264"/>
      <c r="N81" s="35"/>
      <c r="O81" s="29"/>
      <c r="P81" s="29"/>
      <c r="Q81" s="29"/>
      <c r="R81" s="29"/>
      <c r="S81" s="29"/>
      <c r="T81" s="29"/>
      <c r="U81" s="29"/>
      <c r="V81" s="29"/>
      <c r="W81" s="29"/>
    </row>
    <row r="82" spans="7:23" x14ac:dyDescent="0.25">
      <c r="G82" s="3"/>
      <c r="L82" s="263"/>
      <c r="M82" s="264"/>
      <c r="N82" s="35"/>
      <c r="O82" s="29"/>
      <c r="P82" s="29"/>
      <c r="Q82" s="29"/>
      <c r="R82" s="29"/>
      <c r="S82" s="29"/>
      <c r="T82" s="29"/>
      <c r="U82" s="29"/>
      <c r="V82" s="29"/>
      <c r="W82" s="29"/>
    </row>
    <row r="83" spans="7:23" x14ac:dyDescent="0.25">
      <c r="G83" s="3"/>
      <c r="L83" s="35"/>
      <c r="M83" s="35"/>
      <c r="N83" s="29"/>
      <c r="O83" s="29"/>
      <c r="P83" s="29"/>
      <c r="Q83" s="29"/>
      <c r="R83" s="29"/>
      <c r="S83" s="29"/>
      <c r="T83" s="29"/>
      <c r="U83" s="29"/>
      <c r="V83" s="29"/>
      <c r="W83" s="29"/>
    </row>
    <row r="84" spans="7:23" x14ac:dyDescent="0.25">
      <c r="G84" s="3"/>
      <c r="L84" s="29"/>
      <c r="M84" s="35"/>
      <c r="N84" s="29"/>
      <c r="O84" s="29"/>
      <c r="P84" s="29"/>
      <c r="Q84" s="29"/>
      <c r="R84" s="29"/>
      <c r="S84" s="29"/>
      <c r="T84" s="29"/>
      <c r="U84" s="29"/>
      <c r="V84" s="29"/>
      <c r="W84" s="29"/>
    </row>
    <row r="85" spans="7:23" x14ac:dyDescent="0.25">
      <c r="G85" s="3"/>
      <c r="L85" s="35"/>
      <c r="M85" s="35"/>
      <c r="N85" s="29"/>
      <c r="O85" s="29"/>
      <c r="P85" s="29"/>
      <c r="Q85" s="29"/>
      <c r="R85" s="29"/>
      <c r="S85" s="29"/>
      <c r="T85" s="29"/>
      <c r="U85" s="29"/>
      <c r="V85" s="29"/>
      <c r="W85" s="29"/>
    </row>
    <row r="86" spans="7:23" x14ac:dyDescent="0.25">
      <c r="G86" s="3"/>
      <c r="L86" s="29"/>
      <c r="M86" s="29"/>
      <c r="N86" s="29"/>
      <c r="O86" s="29"/>
      <c r="P86" s="29"/>
      <c r="Q86" s="29"/>
      <c r="R86" s="29"/>
      <c r="S86" s="29"/>
      <c r="T86" s="29"/>
      <c r="U86" s="29"/>
      <c r="V86" s="29"/>
      <c r="W86" s="29"/>
    </row>
    <row r="87" spans="7:23" x14ac:dyDescent="0.25">
      <c r="G87" s="3"/>
      <c r="L87" s="29"/>
      <c r="M87" s="29"/>
      <c r="N87" s="29"/>
      <c r="O87" s="29"/>
      <c r="P87" s="29"/>
      <c r="Q87" s="29"/>
      <c r="R87" s="29"/>
      <c r="S87" s="29"/>
      <c r="T87" s="29"/>
      <c r="U87" s="29"/>
      <c r="V87" s="29"/>
      <c r="W87" s="29"/>
    </row>
    <row r="88" spans="7:23" x14ac:dyDescent="0.25">
      <c r="G88" s="3"/>
      <c r="L88" s="29"/>
      <c r="M88" s="29"/>
      <c r="N88" s="29"/>
      <c r="O88" s="29"/>
      <c r="P88" s="29"/>
      <c r="Q88" s="29"/>
      <c r="R88" s="29"/>
      <c r="S88" s="29"/>
      <c r="T88" s="29"/>
      <c r="U88" s="29"/>
      <c r="V88" s="29"/>
      <c r="W88" s="29"/>
    </row>
    <row r="89" spans="7:23" x14ac:dyDescent="0.25">
      <c r="G89" s="3"/>
      <c r="L89" s="29"/>
      <c r="M89" s="29"/>
      <c r="N89" s="29"/>
      <c r="O89" s="29"/>
      <c r="P89" s="29"/>
      <c r="Q89" s="29"/>
      <c r="R89" s="29"/>
      <c r="S89" s="29"/>
      <c r="T89" s="29"/>
      <c r="U89" s="29"/>
      <c r="V89" s="29"/>
      <c r="W89" s="29"/>
    </row>
    <row r="90" spans="7:23" x14ac:dyDescent="0.25">
      <c r="G90" s="3"/>
      <c r="L90" s="29"/>
      <c r="M90" s="29"/>
      <c r="N90" s="29"/>
      <c r="O90" s="29"/>
      <c r="P90" s="29"/>
      <c r="Q90" s="29"/>
      <c r="R90" s="29"/>
      <c r="S90" s="29"/>
      <c r="T90" s="29"/>
      <c r="U90" s="29"/>
      <c r="V90" s="29"/>
      <c r="W90" s="29"/>
    </row>
    <row r="91" spans="7:23" x14ac:dyDescent="0.25">
      <c r="G91" s="3"/>
    </row>
    <row r="92" spans="7:23" x14ac:dyDescent="0.25">
      <c r="G92" s="3"/>
    </row>
    <row r="93" spans="7:23" x14ac:dyDescent="0.25">
      <c r="G93" s="3"/>
    </row>
    <row r="94" spans="7:23" x14ac:dyDescent="0.25">
      <c r="G94" s="3"/>
    </row>
    <row r="95" spans="7:23" x14ac:dyDescent="0.25">
      <c r="G95" s="3"/>
    </row>
    <row r="96" spans="7:23" x14ac:dyDescent="0.25">
      <c r="G96" s="3"/>
    </row>
    <row r="97" spans="7:7" x14ac:dyDescent="0.25">
      <c r="G97" s="3"/>
    </row>
    <row r="98" spans="7:7" x14ac:dyDescent="0.25">
      <c r="G98" s="3"/>
    </row>
    <row r="99" spans="7:7" x14ac:dyDescent="0.25">
      <c r="G99" s="3"/>
    </row>
    <row r="100" spans="7:7" x14ac:dyDescent="0.25">
      <c r="G100" s="3"/>
    </row>
    <row r="101" spans="7:7" x14ac:dyDescent="0.25">
      <c r="G101" s="3"/>
    </row>
    <row r="102" spans="7:7" x14ac:dyDescent="0.25">
      <c r="G102" s="3"/>
    </row>
    <row r="103" spans="7:7" x14ac:dyDescent="0.25">
      <c r="G103" s="3"/>
    </row>
    <row r="104" spans="7:7" x14ac:dyDescent="0.25">
      <c r="G104" s="3"/>
    </row>
    <row r="105" spans="7:7" x14ac:dyDescent="0.25">
      <c r="G105" s="3"/>
    </row>
    <row r="106" spans="7:7" x14ac:dyDescent="0.25">
      <c r="G106" s="3"/>
    </row>
    <row r="107" spans="7:7" x14ac:dyDescent="0.25">
      <c r="G107" s="3"/>
    </row>
    <row r="108" spans="7:7" x14ac:dyDescent="0.25">
      <c r="G108" s="3"/>
    </row>
    <row r="109" spans="7:7" x14ac:dyDescent="0.25">
      <c r="G109" s="3"/>
    </row>
    <row r="110" spans="7:7" x14ac:dyDescent="0.25">
      <c r="G110" s="3"/>
    </row>
    <row r="111" spans="7:7" x14ac:dyDescent="0.25">
      <c r="G111" s="3"/>
    </row>
    <row r="112" spans="7:7" x14ac:dyDescent="0.25">
      <c r="G112" s="3"/>
    </row>
    <row r="113" spans="7:7" x14ac:dyDescent="0.25">
      <c r="G113" s="3"/>
    </row>
    <row r="114" spans="7:7" x14ac:dyDescent="0.25">
      <c r="G114" s="3"/>
    </row>
    <row r="115" spans="7:7" x14ac:dyDescent="0.25">
      <c r="G115" s="3"/>
    </row>
    <row r="116" spans="7:7" x14ac:dyDescent="0.25">
      <c r="G116" s="3"/>
    </row>
    <row r="117" spans="7:7" x14ac:dyDescent="0.25">
      <c r="G117" s="3"/>
    </row>
    <row r="118" spans="7:7" x14ac:dyDescent="0.25">
      <c r="G118" s="3"/>
    </row>
    <row r="119" spans="7:7" x14ac:dyDescent="0.25">
      <c r="G119" s="3"/>
    </row>
    <row r="120" spans="7:7" x14ac:dyDescent="0.25">
      <c r="G120" s="3"/>
    </row>
    <row r="121" spans="7:7" x14ac:dyDescent="0.25">
      <c r="G121" s="3"/>
    </row>
    <row r="122" spans="7:7" x14ac:dyDescent="0.25">
      <c r="G122" s="3"/>
    </row>
    <row r="123" spans="7:7" x14ac:dyDescent="0.25">
      <c r="G123" s="3"/>
    </row>
    <row r="124" spans="7:7" x14ac:dyDescent="0.25">
      <c r="G124" s="3"/>
    </row>
    <row r="125" spans="7:7" x14ac:dyDescent="0.25">
      <c r="G125" s="3"/>
    </row>
    <row r="126" spans="7:7" x14ac:dyDescent="0.25">
      <c r="G126" s="3"/>
    </row>
    <row r="127" spans="7:7" x14ac:dyDescent="0.25">
      <c r="G127" s="3"/>
    </row>
    <row r="128" spans="7:7" x14ac:dyDescent="0.25">
      <c r="G128" s="3"/>
    </row>
    <row r="129" spans="7:7" x14ac:dyDescent="0.25">
      <c r="G129" s="3"/>
    </row>
    <row r="130" spans="7:7" x14ac:dyDescent="0.25">
      <c r="G130" s="3"/>
    </row>
    <row r="131" spans="7:7" x14ac:dyDescent="0.25">
      <c r="G131" s="3"/>
    </row>
    <row r="132" spans="7:7" x14ac:dyDescent="0.25">
      <c r="G132" s="3"/>
    </row>
    <row r="133" spans="7:7" x14ac:dyDescent="0.25">
      <c r="G133" s="3"/>
    </row>
    <row r="134" spans="7:7" x14ac:dyDescent="0.25">
      <c r="G134" s="3"/>
    </row>
    <row r="135" spans="7:7" x14ac:dyDescent="0.25">
      <c r="G135" s="3"/>
    </row>
    <row r="136" spans="7:7" x14ac:dyDescent="0.25">
      <c r="G136" s="3"/>
    </row>
    <row r="137" spans="7:7" x14ac:dyDescent="0.25">
      <c r="G137" s="3"/>
    </row>
    <row r="138" spans="7:7" x14ac:dyDescent="0.25">
      <c r="G138" s="3"/>
    </row>
    <row r="139" spans="7:7" x14ac:dyDescent="0.25">
      <c r="G139" s="3"/>
    </row>
    <row r="140" spans="7:7" x14ac:dyDescent="0.25">
      <c r="G140" s="3"/>
    </row>
    <row r="141" spans="7:7" x14ac:dyDescent="0.25">
      <c r="G141" s="3"/>
    </row>
    <row r="142" spans="7:7" x14ac:dyDescent="0.25">
      <c r="G142" s="3"/>
    </row>
    <row r="143" spans="7:7" x14ac:dyDescent="0.25">
      <c r="G143" s="3"/>
    </row>
    <row r="144" spans="7:7" x14ac:dyDescent="0.25">
      <c r="G144" s="3"/>
    </row>
    <row r="145" spans="7:7" x14ac:dyDescent="0.25">
      <c r="G145" s="3"/>
    </row>
    <row r="146" spans="7:7" x14ac:dyDescent="0.25">
      <c r="G146" s="3"/>
    </row>
    <row r="147" spans="7:7" x14ac:dyDescent="0.25">
      <c r="G147" s="3"/>
    </row>
    <row r="148" spans="7:7" x14ac:dyDescent="0.25">
      <c r="G148" s="3"/>
    </row>
    <row r="149" spans="7:7" x14ac:dyDescent="0.25">
      <c r="G149" s="3"/>
    </row>
    <row r="150" spans="7:7" x14ac:dyDescent="0.25">
      <c r="G150" s="3"/>
    </row>
    <row r="151" spans="7:7" x14ac:dyDescent="0.25">
      <c r="G151" s="3"/>
    </row>
    <row r="152" spans="7:7" x14ac:dyDescent="0.25">
      <c r="G152" s="3"/>
    </row>
    <row r="153" spans="7:7" x14ac:dyDescent="0.25">
      <c r="G153" s="3"/>
    </row>
    <row r="154" spans="7:7" x14ac:dyDescent="0.25">
      <c r="G154" s="3"/>
    </row>
    <row r="155" spans="7:7" x14ac:dyDescent="0.25">
      <c r="G155" s="3"/>
    </row>
    <row r="156" spans="7:7" x14ac:dyDescent="0.25">
      <c r="G156" s="3"/>
    </row>
    <row r="157" spans="7:7" x14ac:dyDescent="0.25">
      <c r="G157" s="3"/>
    </row>
    <row r="158" spans="7:7" x14ac:dyDescent="0.25">
      <c r="G158" s="3"/>
    </row>
    <row r="159" spans="7:7" x14ac:dyDescent="0.25">
      <c r="G159" s="3"/>
    </row>
    <row r="160" spans="7:7" x14ac:dyDescent="0.25">
      <c r="G160" s="3"/>
    </row>
    <row r="161" spans="7:7" x14ac:dyDescent="0.25">
      <c r="G161" s="3"/>
    </row>
    <row r="162" spans="7:7" x14ac:dyDescent="0.25">
      <c r="G162" s="3"/>
    </row>
    <row r="163" spans="7:7" x14ac:dyDescent="0.25">
      <c r="G163" s="3"/>
    </row>
    <row r="164" spans="7:7" x14ac:dyDescent="0.25">
      <c r="G164" s="3"/>
    </row>
  </sheetData>
  <mergeCells count="6">
    <mergeCell ref="I9:J9"/>
    <mergeCell ref="L7:P7"/>
    <mergeCell ref="B2:J2"/>
    <mergeCell ref="B3:J3"/>
    <mergeCell ref="L8:P8"/>
    <mergeCell ref="B4:I4"/>
  </mergeCells>
  <phoneticPr fontId="3" type="noConversion"/>
  <printOptions horizontalCentered="1"/>
  <pageMargins left="0.92" right="1" top="1" bottom="1" header="0.5" footer="0.5"/>
  <pageSetup scale="77" orientation="landscape" r:id="rId1"/>
  <headerFooter alignWithMargins="0">
    <oddFooter>&amp;L&amp;1#&amp;"Calibri,Regular"&amp;14&amp;K000000Confidential&amp;R&amp;"Times New Roman,Bold"Exhibit D-1
Page 1 of 2</oddFooter>
  </headerFooter>
  <customProperties>
    <customPr name="_pios_id" r:id="rId2"/>
  </customPropertie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2">
    <tabColor theme="3" tint="0.59999389629810485"/>
    <pageSetUpPr fitToPage="1"/>
  </sheetPr>
  <dimension ref="A1:BY43"/>
  <sheetViews>
    <sheetView zoomScale="80" zoomScaleNormal="80" workbookViewId="0"/>
  </sheetViews>
  <sheetFormatPr defaultColWidth="8.88671875" defaultRowHeight="23.25" x14ac:dyDescent="0.35"/>
  <cols>
    <col min="1" max="1" width="9.109375" style="3" bestFit="1" customWidth="1"/>
    <col min="2" max="2" width="12" style="3" customWidth="1"/>
    <col min="3" max="3" width="12.44140625" style="3" customWidth="1"/>
    <col min="4" max="4" width="14.33203125" style="3" customWidth="1"/>
    <col min="5" max="5" width="15.5546875" style="3" customWidth="1"/>
    <col min="6" max="6" width="14.44140625" style="3" customWidth="1"/>
    <col min="7" max="7" width="16.5546875" style="3" customWidth="1"/>
    <col min="8" max="8" width="16.109375" style="75" customWidth="1"/>
    <col min="9" max="70" width="8.88671875" style="3"/>
    <col min="71" max="71" width="9.109375" style="3" bestFit="1" customWidth="1"/>
    <col min="72" max="72" width="8.88671875" style="3"/>
    <col min="73" max="73" width="9.109375" style="3" bestFit="1" customWidth="1"/>
    <col min="74" max="74" width="8.88671875" style="3"/>
    <col min="75" max="75" width="9.109375" style="3" bestFit="1" customWidth="1"/>
    <col min="76" max="76" width="8.88671875" style="3"/>
    <col min="77" max="77" width="11.21875" style="3" bestFit="1" customWidth="1"/>
    <col min="78" max="16384" width="8.88671875" style="3"/>
  </cols>
  <sheetData>
    <row r="1" spans="1:77" ht="15.75" customHeight="1" x14ac:dyDescent="0.35"/>
    <row r="2" spans="1:77" ht="18.75" x14ac:dyDescent="0.3">
      <c r="B2" s="809" t="s">
        <v>5</v>
      </c>
      <c r="C2" s="809"/>
      <c r="D2" s="809"/>
      <c r="E2" s="809"/>
      <c r="F2" s="809"/>
      <c r="G2" s="809"/>
      <c r="H2" s="809"/>
      <c r="I2" s="201"/>
      <c r="J2" s="201"/>
      <c r="K2" s="201"/>
      <c r="L2" s="201"/>
      <c r="M2" s="201"/>
      <c r="N2" s="201"/>
      <c r="O2" s="201"/>
      <c r="P2" s="201"/>
      <c r="Q2" s="201"/>
      <c r="R2" s="201"/>
      <c r="S2" s="201"/>
      <c r="T2" s="201"/>
      <c r="U2" s="201"/>
      <c r="V2" s="201"/>
    </row>
    <row r="3" spans="1:77" ht="18.75" customHeight="1" x14ac:dyDescent="0.3">
      <c r="B3" s="813" t="s">
        <v>378</v>
      </c>
      <c r="C3" s="813"/>
      <c r="D3" s="813"/>
      <c r="E3" s="813"/>
      <c r="F3" s="813"/>
      <c r="G3" s="813"/>
      <c r="H3" s="813"/>
    </row>
    <row r="4" spans="1:77" ht="15.75" customHeight="1" x14ac:dyDescent="0.3">
      <c r="B4" s="749" t="str">
        <f>CONCATENATE("For Service Rendered On and After ",'Input Data'!$D$4)</f>
        <v>For Service Rendered On and After February 1, 2023</v>
      </c>
      <c r="C4" s="749"/>
      <c r="D4" s="749"/>
      <c r="E4" s="749"/>
      <c r="F4" s="749"/>
      <c r="G4" s="749"/>
      <c r="H4" s="749"/>
    </row>
    <row r="5" spans="1:77" ht="15.75" customHeight="1" x14ac:dyDescent="0.35"/>
    <row r="6" spans="1:77" ht="15.75" customHeight="1" x14ac:dyDescent="0.35">
      <c r="I6" s="625"/>
    </row>
    <row r="7" spans="1:77" x14ac:dyDescent="0.35">
      <c r="A7" s="16" t="s">
        <v>116</v>
      </c>
      <c r="B7" s="696" t="str">
        <f>VLOOKUP(B15,'Case Database'!$A$2:$F$200,3,FALSE)</f>
        <v>2021-00368</v>
      </c>
    </row>
    <row r="8" spans="1:77" ht="15.75" customHeight="1" x14ac:dyDescent="0.35"/>
    <row r="9" spans="1:77" ht="15.75" customHeight="1" x14ac:dyDescent="0.35"/>
    <row r="10" spans="1:77" ht="31.5" x14ac:dyDescent="0.25">
      <c r="A10" s="694" t="s">
        <v>247</v>
      </c>
      <c r="B10" s="184" t="s">
        <v>348</v>
      </c>
      <c r="C10" s="184" t="s">
        <v>310</v>
      </c>
      <c r="D10" s="184" t="s">
        <v>326</v>
      </c>
      <c r="E10" s="184" t="s">
        <v>327</v>
      </c>
      <c r="F10" s="184" t="s">
        <v>277</v>
      </c>
      <c r="G10" s="184" t="s">
        <v>301</v>
      </c>
      <c r="H10" s="184" t="s">
        <v>302</v>
      </c>
      <c r="I10" s="78"/>
      <c r="J10" s="202"/>
      <c r="K10" s="78"/>
      <c r="N10" s="203"/>
      <c r="Q10" s="203"/>
      <c r="R10" s="203"/>
      <c r="S10" s="185"/>
      <c r="T10" s="185"/>
      <c r="W10" s="203"/>
      <c r="X10" s="203"/>
      <c r="Y10" s="203"/>
      <c r="Z10" s="203"/>
      <c r="AA10" s="185"/>
      <c r="AB10" s="185"/>
      <c r="AC10" s="185"/>
      <c r="AY10" s="203"/>
      <c r="AZ10" s="203"/>
      <c r="BA10" s="203"/>
      <c r="BB10" s="203"/>
      <c r="BC10" s="203"/>
      <c r="BD10" s="203"/>
      <c r="BE10" s="203"/>
      <c r="BF10" s="203"/>
      <c r="BG10" s="203"/>
      <c r="BH10" s="203"/>
      <c r="BI10" s="203"/>
      <c r="BJ10" s="203"/>
      <c r="BK10" s="203"/>
      <c r="BL10" s="203"/>
      <c r="BM10" s="203"/>
      <c r="BN10" s="203"/>
      <c r="BO10" s="203"/>
      <c r="BP10" s="203"/>
      <c r="BQ10" s="203"/>
      <c r="BR10" s="185"/>
      <c r="BS10" s="203"/>
      <c r="BT10" s="185"/>
      <c r="BU10" s="203"/>
      <c r="BV10" s="185"/>
      <c r="BW10" s="203"/>
      <c r="BX10" s="185"/>
      <c r="BY10" s="188" t="s">
        <v>271</v>
      </c>
    </row>
    <row r="11" spans="1:77" ht="15.75" x14ac:dyDescent="0.25">
      <c r="A11" s="692"/>
      <c r="B11" s="189" t="s">
        <v>60</v>
      </c>
      <c r="C11" s="189" t="s">
        <v>61</v>
      </c>
      <c r="D11" s="189" t="s">
        <v>62</v>
      </c>
      <c r="E11" s="189" t="s">
        <v>63</v>
      </c>
      <c r="F11" s="196" t="s">
        <v>64</v>
      </c>
      <c r="G11" s="189" t="s">
        <v>486</v>
      </c>
      <c r="H11" s="187" t="s">
        <v>328</v>
      </c>
      <c r="I11" s="78"/>
      <c r="J11" s="202"/>
      <c r="K11" s="78"/>
      <c r="N11" s="203"/>
      <c r="Q11" s="203"/>
      <c r="R11" s="203"/>
      <c r="S11" s="185"/>
      <c r="T11" s="185"/>
      <c r="W11" s="203"/>
      <c r="X11" s="203"/>
      <c r="Y11" s="203"/>
      <c r="Z11" s="203"/>
      <c r="AA11" s="185"/>
      <c r="AB11" s="185"/>
      <c r="AC11" s="185"/>
      <c r="AY11" s="203"/>
      <c r="AZ11" s="203"/>
      <c r="BA11" s="203"/>
      <c r="BB11" s="203"/>
      <c r="BC11" s="203"/>
      <c r="BD11" s="203"/>
      <c r="BE11" s="203"/>
      <c r="BF11" s="203"/>
      <c r="BG11" s="203"/>
      <c r="BH11" s="203"/>
      <c r="BI11" s="203"/>
      <c r="BJ11" s="203"/>
      <c r="BK11" s="203"/>
      <c r="BL11" s="203"/>
      <c r="BM11" s="203"/>
      <c r="BN11" s="203"/>
      <c r="BO11" s="203"/>
      <c r="BP11" s="203"/>
      <c r="BQ11" s="203"/>
      <c r="BR11" s="185"/>
      <c r="BS11" s="203"/>
      <c r="BT11" s="185"/>
      <c r="BU11" s="203"/>
      <c r="BV11" s="185"/>
      <c r="BW11" s="203"/>
      <c r="BX11" s="185"/>
      <c r="BY11" s="118" t="s">
        <v>274</v>
      </c>
    </row>
    <row r="12" spans="1:77" x14ac:dyDescent="0.35">
      <c r="A12" s="692"/>
      <c r="B12" s="118"/>
      <c r="C12" s="118"/>
      <c r="D12" s="197"/>
      <c r="E12" s="197"/>
      <c r="G12" s="188"/>
      <c r="H12" s="247"/>
      <c r="I12" s="78"/>
      <c r="J12" s="202"/>
      <c r="K12" s="78"/>
      <c r="N12" s="203"/>
      <c r="Q12" s="203"/>
      <c r="R12" s="203"/>
      <c r="S12" s="185"/>
      <c r="T12" s="185"/>
      <c r="W12" s="203"/>
      <c r="X12" s="203"/>
      <c r="Y12" s="203"/>
      <c r="Z12" s="203"/>
      <c r="AA12" s="185"/>
      <c r="AB12" s="185"/>
      <c r="AC12" s="185"/>
      <c r="AY12" s="203"/>
      <c r="AZ12" s="203"/>
      <c r="BA12" s="203"/>
      <c r="BB12" s="203"/>
      <c r="BC12" s="203"/>
      <c r="BD12" s="203"/>
      <c r="BE12" s="203"/>
      <c r="BF12" s="203"/>
      <c r="BG12" s="203"/>
      <c r="BH12" s="203"/>
      <c r="BI12" s="203"/>
      <c r="BJ12" s="203"/>
      <c r="BK12" s="203"/>
      <c r="BL12" s="203"/>
      <c r="BM12" s="203"/>
      <c r="BN12" s="203"/>
      <c r="BO12" s="203"/>
      <c r="BP12" s="203"/>
      <c r="BQ12" s="203"/>
      <c r="BR12" s="185"/>
      <c r="BS12" s="203"/>
      <c r="BT12" s="185"/>
      <c r="BU12" s="203"/>
      <c r="BV12" s="185"/>
      <c r="BW12" s="203"/>
      <c r="BX12" s="185"/>
      <c r="BY12" s="188"/>
    </row>
    <row r="13" spans="1:77" ht="15.75" x14ac:dyDescent="0.25">
      <c r="A13" s="692">
        <v>1</v>
      </c>
      <c r="D13" s="197"/>
      <c r="E13" s="197"/>
      <c r="G13" s="198" t="s">
        <v>270</v>
      </c>
      <c r="H13" s="195">
        <f>'Input Data'!D163</f>
        <v>0</v>
      </c>
      <c r="I13" s="78"/>
      <c r="J13" s="202"/>
      <c r="K13" s="78"/>
      <c r="N13" s="203"/>
      <c r="Q13" s="203"/>
      <c r="R13" s="203"/>
      <c r="S13" s="185"/>
      <c r="T13" s="185"/>
      <c r="W13" s="203"/>
      <c r="X13" s="203"/>
      <c r="Y13" s="203"/>
      <c r="Z13" s="203"/>
      <c r="AA13" s="185"/>
      <c r="AB13" s="185"/>
      <c r="AC13" s="185"/>
      <c r="AY13" s="203"/>
      <c r="AZ13" s="203"/>
      <c r="BA13" s="203"/>
      <c r="BB13" s="203"/>
      <c r="BC13" s="203"/>
      <c r="BD13" s="203"/>
      <c r="BE13" s="203"/>
      <c r="BF13" s="203"/>
      <c r="BG13" s="203"/>
      <c r="BH13" s="203"/>
      <c r="BI13" s="203"/>
      <c r="BJ13" s="203"/>
      <c r="BK13" s="203"/>
      <c r="BL13" s="203"/>
      <c r="BM13" s="203"/>
      <c r="BN13" s="203"/>
      <c r="BO13" s="203"/>
      <c r="BP13" s="203"/>
      <c r="BQ13" s="203"/>
      <c r="BR13" s="185"/>
      <c r="BS13" s="203"/>
      <c r="BT13" s="185"/>
      <c r="BU13" s="203"/>
      <c r="BV13" s="185"/>
      <c r="BW13" s="203"/>
      <c r="BX13" s="185"/>
      <c r="BY13" s="188">
        <v>-411623</v>
      </c>
    </row>
    <row r="14" spans="1:77" ht="15.75" x14ac:dyDescent="0.25">
      <c r="A14" s="692"/>
      <c r="D14" s="197"/>
      <c r="E14" s="197"/>
      <c r="G14" s="118"/>
      <c r="H14" s="188"/>
      <c r="I14" s="78"/>
      <c r="J14" s="202"/>
      <c r="K14" s="78"/>
      <c r="N14" s="203"/>
      <c r="Q14" s="203"/>
      <c r="R14" s="203"/>
      <c r="S14" s="185"/>
      <c r="T14" s="185"/>
      <c r="W14" s="203"/>
      <c r="X14" s="203"/>
      <c r="Y14" s="203"/>
      <c r="Z14" s="203"/>
      <c r="AA14" s="185"/>
      <c r="AB14" s="185"/>
      <c r="AC14" s="185"/>
      <c r="AY14" s="203"/>
      <c r="AZ14" s="203"/>
      <c r="BA14" s="203"/>
      <c r="BB14" s="203"/>
      <c r="BC14" s="203"/>
      <c r="BD14" s="203"/>
      <c r="BE14" s="203"/>
      <c r="BF14" s="203"/>
      <c r="BG14" s="203"/>
      <c r="BH14" s="203"/>
      <c r="BI14" s="203"/>
      <c r="BJ14" s="203"/>
      <c r="BK14" s="203"/>
      <c r="BL14" s="203"/>
      <c r="BM14" s="203"/>
      <c r="BN14" s="203"/>
      <c r="BO14" s="203"/>
      <c r="BP14" s="203"/>
      <c r="BQ14" s="203"/>
      <c r="BR14" s="185"/>
      <c r="BS14" s="203"/>
      <c r="BT14" s="185"/>
      <c r="BU14" s="203"/>
      <c r="BV14" s="185"/>
      <c r="BW14" s="203"/>
      <c r="BX14" s="185"/>
      <c r="BY14" s="188"/>
    </row>
    <row r="15" spans="1:77" ht="15.75" x14ac:dyDescent="0.25">
      <c r="A15" s="692">
        <v>2</v>
      </c>
      <c r="B15" s="189">
        <f>'Input Data'!C8</f>
        <v>44501</v>
      </c>
      <c r="C15" s="189" t="s">
        <v>364</v>
      </c>
      <c r="D15" s="47">
        <f>VLOOKUP($B15,'Sales Volumes'!$A$1:$H$200,4,FALSE)</f>
        <v>1086455.3</v>
      </c>
      <c r="E15" s="47">
        <f>VLOOKUP($B15,'Sales Volumes'!$A$1:$H$200,5,FALSE)</f>
        <v>74117</v>
      </c>
      <c r="F15" s="158">
        <f>VLOOKUP($B$7,'Case Database'!$C$2:$P$200,14,FALSE)</f>
        <v>0</v>
      </c>
      <c r="G15" s="159">
        <f t="shared" ref="G15:G27" si="0">ROUND((D15+E15)*F15,2)</f>
        <v>0</v>
      </c>
      <c r="H15" s="159">
        <f>+H13-G15</f>
        <v>0</v>
      </c>
      <c r="I15" s="78"/>
      <c r="J15" s="202"/>
      <c r="K15" s="78"/>
      <c r="N15" s="203"/>
      <c r="Q15" s="203"/>
      <c r="R15" s="203"/>
      <c r="S15" s="185"/>
      <c r="T15" s="185"/>
      <c r="W15" s="203"/>
      <c r="X15" s="203"/>
      <c r="Y15" s="203"/>
      <c r="Z15" s="203"/>
      <c r="AA15" s="185"/>
      <c r="AB15" s="185"/>
      <c r="AC15" s="185"/>
      <c r="AY15" s="203"/>
      <c r="AZ15" s="203"/>
      <c r="BA15" s="203"/>
      <c r="BB15" s="203"/>
      <c r="BC15" s="203"/>
      <c r="BD15" s="203"/>
      <c r="BE15" s="203"/>
      <c r="BF15" s="203"/>
      <c r="BG15" s="203"/>
      <c r="BH15" s="203"/>
      <c r="BI15" s="203"/>
      <c r="BJ15" s="203"/>
      <c r="BK15" s="203"/>
      <c r="BL15" s="203"/>
      <c r="BM15" s="203"/>
      <c r="BN15" s="203"/>
      <c r="BO15" s="203"/>
      <c r="BP15" s="203"/>
      <c r="BQ15" s="203"/>
      <c r="BR15" s="185"/>
      <c r="BS15" s="203" t="e">
        <v>#REF!</v>
      </c>
      <c r="BT15" s="185" t="s">
        <v>61</v>
      </c>
      <c r="BU15" s="203" t="e">
        <v>#REF!</v>
      </c>
      <c r="BV15" s="185" t="s">
        <v>60</v>
      </c>
      <c r="BW15" s="203" t="e">
        <v>#REF!</v>
      </c>
      <c r="BX15" s="185" t="s">
        <v>60</v>
      </c>
      <c r="BY15" s="188">
        <v>-402587.94319999998</v>
      </c>
    </row>
    <row r="16" spans="1:77" ht="15.75" x14ac:dyDescent="0.25">
      <c r="A16" s="692">
        <v>3</v>
      </c>
      <c r="B16" s="189">
        <f>EDATE(B15,1)</f>
        <v>44531</v>
      </c>
      <c r="C16" s="189"/>
      <c r="D16" s="47">
        <f>VLOOKUP($B16,'Sales Volumes'!$A$1:$H$200,4,FALSE)</f>
        <v>3822191.1</v>
      </c>
      <c r="E16" s="47">
        <f>VLOOKUP($B16,'Sales Volumes'!$A$1:$H$200,5,FALSE)</f>
        <v>65082.8</v>
      </c>
      <c r="F16" s="158">
        <f>$F$15</f>
        <v>0</v>
      </c>
      <c r="G16" s="159">
        <f t="shared" si="0"/>
        <v>0</v>
      </c>
      <c r="H16" s="159">
        <f>H15-G16</f>
        <v>0</v>
      </c>
      <c r="I16" s="78"/>
      <c r="J16" s="202"/>
      <c r="K16" s="78"/>
      <c r="N16" s="203"/>
      <c r="Q16" s="203"/>
      <c r="R16" s="203"/>
      <c r="S16" s="185"/>
      <c r="T16" s="185"/>
      <c r="W16" s="203"/>
      <c r="X16" s="203"/>
      <c r="Y16" s="203"/>
      <c r="Z16" s="203"/>
      <c r="AA16" s="185"/>
      <c r="AB16" s="185"/>
      <c r="AC16" s="185"/>
      <c r="AY16" s="203"/>
      <c r="AZ16" s="203"/>
      <c r="BA16" s="203"/>
      <c r="BB16" s="203"/>
      <c r="BC16" s="203"/>
      <c r="BD16" s="203"/>
      <c r="BE16" s="203"/>
      <c r="BF16" s="203"/>
      <c r="BG16" s="203"/>
      <c r="BH16" s="203"/>
      <c r="BI16" s="203"/>
      <c r="BJ16" s="203"/>
      <c r="BK16" s="203"/>
      <c r="BL16" s="203"/>
      <c r="BM16" s="203"/>
      <c r="BN16" s="203"/>
      <c r="BO16" s="203"/>
      <c r="BP16" s="203"/>
      <c r="BQ16" s="203"/>
      <c r="BR16" s="185"/>
      <c r="BS16" s="203"/>
      <c r="BT16" s="203"/>
      <c r="BU16" s="203" t="e">
        <v>#REF!</v>
      </c>
      <c r="BV16" s="185" t="s">
        <v>60</v>
      </c>
      <c r="BW16" s="203" t="e">
        <v>#REF!</v>
      </c>
      <c r="BX16" s="185" t="s">
        <v>60</v>
      </c>
      <c r="BY16" s="188">
        <v>-389209.51574</v>
      </c>
    </row>
    <row r="17" spans="1:77" ht="15.75" x14ac:dyDescent="0.25">
      <c r="A17" s="692">
        <v>4</v>
      </c>
      <c r="B17" s="189">
        <f t="shared" ref="B17:B27" si="1">EDATE(B16,1)</f>
        <v>44562</v>
      </c>
      <c r="C17" s="189"/>
      <c r="D17" s="47">
        <f>VLOOKUP($B17,'Sales Volumes'!$A$1:$H$200,4,FALSE)</f>
        <v>4992587.2</v>
      </c>
      <c r="E17" s="47">
        <f>VLOOKUP($B17,'Sales Volumes'!$A$1:$H$200,5,FALSE)</f>
        <v>48783.3</v>
      </c>
      <c r="F17" s="158">
        <f t="shared" ref="F17:F27" si="2">$F$15</f>
        <v>0</v>
      </c>
      <c r="G17" s="159">
        <f t="shared" si="0"/>
        <v>0</v>
      </c>
      <c r="H17" s="159">
        <f t="shared" ref="H17:H27" si="3">H16-G17</f>
        <v>0</v>
      </c>
      <c r="I17" s="78"/>
      <c r="J17" s="202"/>
      <c r="K17" s="78"/>
      <c r="N17" s="203"/>
      <c r="Q17" s="203"/>
      <c r="R17" s="203"/>
      <c r="S17" s="185"/>
      <c r="T17" s="185"/>
      <c r="W17" s="203"/>
      <c r="X17" s="203"/>
      <c r="Y17" s="203"/>
      <c r="Z17" s="203"/>
      <c r="AA17" s="185"/>
      <c r="AB17" s="185"/>
      <c r="AC17" s="185"/>
      <c r="AY17" s="203"/>
      <c r="AZ17" s="203"/>
      <c r="BA17" s="203"/>
      <c r="BB17" s="203"/>
      <c r="BC17" s="203"/>
      <c r="BD17" s="203"/>
      <c r="BE17" s="203"/>
      <c r="BF17" s="203"/>
      <c r="BG17" s="203"/>
      <c r="BH17" s="203"/>
      <c r="BI17" s="203"/>
      <c r="BJ17" s="203"/>
      <c r="BK17" s="203"/>
      <c r="BL17" s="203"/>
      <c r="BM17" s="203"/>
      <c r="BN17" s="203"/>
      <c r="BO17" s="203"/>
      <c r="BP17" s="203"/>
      <c r="BQ17" s="203"/>
      <c r="BR17" s="185"/>
      <c r="BS17" s="203"/>
      <c r="BT17" s="203"/>
      <c r="BU17" s="203" t="e">
        <v>#REF!</v>
      </c>
      <c r="BV17" s="185" t="s">
        <v>60</v>
      </c>
      <c r="BW17" s="203" t="e">
        <v>#REF!</v>
      </c>
      <c r="BX17" s="185" t="s">
        <v>60</v>
      </c>
      <c r="BY17" s="188">
        <v>-379257.88942999998</v>
      </c>
    </row>
    <row r="18" spans="1:77" ht="15.75" x14ac:dyDescent="0.25">
      <c r="A18" s="692">
        <v>5</v>
      </c>
      <c r="B18" s="189">
        <f t="shared" si="1"/>
        <v>44593</v>
      </c>
      <c r="C18" s="189"/>
      <c r="D18" s="47">
        <f>VLOOKUP($B18,'Sales Volumes'!$A$1:$H$200,4,FALSE)</f>
        <v>2633655.2000000002</v>
      </c>
      <c r="E18" s="47">
        <f>VLOOKUP($B18,'Sales Volumes'!$A$1:$H$200,5,FALSE)</f>
        <v>54563.3</v>
      </c>
      <c r="F18" s="158">
        <f t="shared" si="2"/>
        <v>0</v>
      </c>
      <c r="G18" s="159">
        <f t="shared" si="0"/>
        <v>0</v>
      </c>
      <c r="H18" s="159">
        <f t="shared" si="3"/>
        <v>0</v>
      </c>
      <c r="I18" s="78"/>
      <c r="J18" s="202"/>
      <c r="K18" s="78"/>
      <c r="N18" s="203"/>
      <c r="Q18" s="203"/>
      <c r="R18" s="203"/>
      <c r="S18" s="185"/>
      <c r="T18" s="185"/>
      <c r="W18" s="203"/>
      <c r="X18" s="203"/>
      <c r="Y18" s="203"/>
      <c r="Z18" s="203"/>
      <c r="AA18" s="185"/>
      <c r="AB18" s="185"/>
      <c r="AC18" s="185"/>
      <c r="AY18" s="203"/>
      <c r="AZ18" s="203"/>
      <c r="BA18" s="203"/>
      <c r="BB18" s="203"/>
      <c r="BC18" s="203"/>
      <c r="BD18" s="203"/>
      <c r="BE18" s="203"/>
      <c r="BF18" s="203"/>
      <c r="BG18" s="203"/>
      <c r="BH18" s="203"/>
      <c r="BI18" s="203"/>
      <c r="BJ18" s="203"/>
      <c r="BK18" s="203"/>
      <c r="BL18" s="203"/>
      <c r="BM18" s="203"/>
      <c r="BN18" s="203"/>
      <c r="BO18" s="203"/>
      <c r="BP18" s="203"/>
      <c r="BQ18" s="203"/>
      <c r="BR18" s="185"/>
      <c r="BS18" s="203"/>
      <c r="BT18" s="203"/>
      <c r="BU18" s="203" t="e">
        <v>#REF!</v>
      </c>
      <c r="BV18" s="185" t="s">
        <v>61</v>
      </c>
      <c r="BW18" s="203" t="e">
        <v>#REF!</v>
      </c>
      <c r="BX18" s="185" t="s">
        <v>60</v>
      </c>
      <c r="BY18" s="188">
        <v>-369315.90457999997</v>
      </c>
    </row>
    <row r="19" spans="1:77" ht="15.75" x14ac:dyDescent="0.25">
      <c r="A19" s="692">
        <v>6</v>
      </c>
      <c r="B19" s="189">
        <f t="shared" si="1"/>
        <v>44621</v>
      </c>
      <c r="C19" s="189"/>
      <c r="D19" s="47">
        <f>VLOOKUP($B19,'Sales Volumes'!$A$1:$H$200,4,FALSE)</f>
        <v>4327109.8</v>
      </c>
      <c r="E19" s="47">
        <f>VLOOKUP($B19,'Sales Volumes'!$A$1:$H$200,5,FALSE)</f>
        <v>68708.7</v>
      </c>
      <c r="F19" s="158">
        <f t="shared" si="2"/>
        <v>0</v>
      </c>
      <c r="G19" s="159">
        <f t="shared" si="0"/>
        <v>0</v>
      </c>
      <c r="H19" s="159">
        <f t="shared" si="3"/>
        <v>0</v>
      </c>
      <c r="I19" s="78"/>
      <c r="J19" s="202"/>
      <c r="K19" s="78"/>
      <c r="N19" s="203"/>
      <c r="Q19" s="203"/>
      <c r="R19" s="203"/>
      <c r="S19" s="185"/>
      <c r="T19" s="185"/>
      <c r="W19" s="203"/>
      <c r="X19" s="203"/>
      <c r="Y19" s="203"/>
      <c r="Z19" s="203"/>
      <c r="AA19" s="185"/>
      <c r="AB19" s="185"/>
      <c r="AC19" s="185"/>
      <c r="AY19" s="203"/>
      <c r="AZ19" s="203"/>
      <c r="BA19" s="203"/>
      <c r="BB19" s="203"/>
      <c r="BC19" s="203"/>
      <c r="BD19" s="203"/>
      <c r="BE19" s="203"/>
      <c r="BF19" s="203"/>
      <c r="BG19" s="203"/>
      <c r="BH19" s="203"/>
      <c r="BI19" s="203"/>
      <c r="BJ19" s="203"/>
      <c r="BK19" s="203"/>
      <c r="BL19" s="203"/>
      <c r="BM19" s="203"/>
      <c r="BN19" s="203"/>
      <c r="BO19" s="203"/>
      <c r="BP19" s="203"/>
      <c r="BQ19" s="203"/>
      <c r="BR19" s="185"/>
      <c r="BS19" s="203"/>
      <c r="BT19" s="203"/>
      <c r="BU19" s="203"/>
      <c r="BV19" s="203"/>
      <c r="BW19" s="203" t="e">
        <v>#REF!</v>
      </c>
      <c r="BX19" s="185" t="s">
        <v>60</v>
      </c>
      <c r="BY19" s="188">
        <v>-359018.76595999999</v>
      </c>
    </row>
    <row r="20" spans="1:77" ht="15.75" x14ac:dyDescent="0.25">
      <c r="A20" s="692">
        <v>7</v>
      </c>
      <c r="B20" s="189">
        <f t="shared" si="1"/>
        <v>44652</v>
      </c>
      <c r="C20" s="189"/>
      <c r="D20" s="47">
        <f>VLOOKUP($B20,'Sales Volumes'!$A$1:$H$200,4,FALSE)</f>
        <v>2784306.4</v>
      </c>
      <c r="E20" s="47">
        <f>VLOOKUP($B20,'Sales Volumes'!$A$1:$H$200,5,FALSE)</f>
        <v>71265.7</v>
      </c>
      <c r="F20" s="158">
        <f t="shared" si="2"/>
        <v>0</v>
      </c>
      <c r="G20" s="159">
        <f t="shared" si="0"/>
        <v>0</v>
      </c>
      <c r="H20" s="159">
        <f t="shared" si="3"/>
        <v>0</v>
      </c>
      <c r="I20" s="78"/>
      <c r="J20" s="202"/>
      <c r="K20" s="78"/>
      <c r="N20" s="203"/>
      <c r="Q20" s="203"/>
      <c r="R20" s="203"/>
      <c r="S20" s="185"/>
      <c r="T20" s="185"/>
      <c r="W20" s="203"/>
      <c r="X20" s="203"/>
      <c r="Y20" s="203"/>
      <c r="Z20" s="203"/>
      <c r="AA20" s="185"/>
      <c r="AB20" s="185"/>
      <c r="AC20" s="185"/>
      <c r="AY20" s="203"/>
      <c r="AZ20" s="203"/>
      <c r="BA20" s="203"/>
      <c r="BB20" s="203"/>
      <c r="BC20" s="203"/>
      <c r="BD20" s="203"/>
      <c r="BE20" s="203"/>
      <c r="BF20" s="203"/>
      <c r="BG20" s="203"/>
      <c r="BH20" s="203"/>
      <c r="BI20" s="203"/>
      <c r="BJ20" s="203"/>
      <c r="BK20" s="203"/>
      <c r="BL20" s="203"/>
      <c r="BM20" s="203"/>
      <c r="BN20" s="203"/>
      <c r="BO20" s="203"/>
      <c r="BP20" s="203"/>
      <c r="BQ20" s="203"/>
      <c r="BR20" s="185"/>
      <c r="BS20" s="203"/>
      <c r="BT20" s="203"/>
      <c r="BU20" s="203"/>
      <c r="BV20" s="203"/>
      <c r="BW20" s="203" t="e">
        <v>#REF!</v>
      </c>
      <c r="BX20" s="185" t="s">
        <v>60</v>
      </c>
      <c r="BY20" s="188">
        <v>-345075.15596</v>
      </c>
    </row>
    <row r="21" spans="1:77" ht="15.75" x14ac:dyDescent="0.25">
      <c r="A21" s="692">
        <v>8</v>
      </c>
      <c r="B21" s="189">
        <f t="shared" si="1"/>
        <v>44682</v>
      </c>
      <c r="C21" s="189"/>
      <c r="D21" s="47">
        <f>VLOOKUP($B21,'Sales Volumes'!$A$1:$H$200,4,FALSE)</f>
        <v>561582.5</v>
      </c>
      <c r="E21" s="47">
        <f>VLOOKUP($B21,'Sales Volumes'!$A$1:$H$200,5,FALSE)</f>
        <v>35911.300000000003</v>
      </c>
      <c r="F21" s="158">
        <f t="shared" si="2"/>
        <v>0</v>
      </c>
      <c r="G21" s="159">
        <f t="shared" si="0"/>
        <v>0</v>
      </c>
      <c r="H21" s="159">
        <f t="shared" si="3"/>
        <v>0</v>
      </c>
      <c r="I21" s="78"/>
      <c r="J21" s="202"/>
      <c r="K21" s="78"/>
      <c r="N21" s="203"/>
      <c r="Q21" s="203"/>
      <c r="R21" s="203"/>
      <c r="S21" s="185"/>
      <c r="T21" s="185"/>
      <c r="W21" s="203"/>
      <c r="X21" s="203"/>
      <c r="Y21" s="203"/>
      <c r="Z21" s="203"/>
      <c r="AA21" s="185"/>
      <c r="AB21" s="185"/>
      <c r="AC21" s="185"/>
      <c r="AY21" s="203"/>
      <c r="AZ21" s="203"/>
      <c r="BA21" s="203"/>
      <c r="BB21" s="203"/>
      <c r="BC21" s="203"/>
      <c r="BD21" s="203"/>
      <c r="BE21" s="203"/>
      <c r="BF21" s="203"/>
      <c r="BG21" s="203"/>
      <c r="BH21" s="203"/>
      <c r="BI21" s="203"/>
      <c r="BJ21" s="203"/>
      <c r="BK21" s="203"/>
      <c r="BL21" s="203"/>
      <c r="BM21" s="203"/>
      <c r="BN21" s="203"/>
      <c r="BO21" s="203"/>
      <c r="BP21" s="203"/>
      <c r="BQ21" s="203"/>
      <c r="BR21" s="185"/>
      <c r="BS21" s="203"/>
      <c r="BT21" s="203"/>
      <c r="BU21" s="203"/>
      <c r="BV21" s="203"/>
      <c r="BW21" s="203" t="e">
        <v>#REF!</v>
      </c>
      <c r="BX21" s="185" t="s">
        <v>61</v>
      </c>
      <c r="BY21" s="188">
        <v>-318552.39218000002</v>
      </c>
    </row>
    <row r="22" spans="1:77" ht="15.75" x14ac:dyDescent="0.25">
      <c r="A22" s="692">
        <v>9</v>
      </c>
      <c r="B22" s="189">
        <f t="shared" si="1"/>
        <v>44713</v>
      </c>
      <c r="C22" s="189"/>
      <c r="D22" s="47">
        <f>VLOOKUP($B22,'Sales Volumes'!$A$1:$H$200,4,FALSE)</f>
        <v>785115</v>
      </c>
      <c r="E22" s="47">
        <f>VLOOKUP($B22,'Sales Volumes'!$A$1:$H$200,5,FALSE)</f>
        <v>111368.9</v>
      </c>
      <c r="F22" s="158">
        <f t="shared" si="2"/>
        <v>0</v>
      </c>
      <c r="G22" s="159">
        <f t="shared" si="0"/>
        <v>0</v>
      </c>
      <c r="H22" s="159">
        <f t="shared" si="3"/>
        <v>0</v>
      </c>
      <c r="I22" s="78"/>
      <c r="J22" s="202"/>
      <c r="K22" s="78"/>
      <c r="N22" s="203"/>
      <c r="Q22" s="203"/>
      <c r="R22" s="203"/>
      <c r="S22" s="185"/>
      <c r="T22" s="185"/>
      <c r="W22" s="203"/>
      <c r="X22" s="203"/>
      <c r="Y22" s="203"/>
      <c r="Z22" s="203"/>
      <c r="AA22" s="185"/>
      <c r="AB22" s="185"/>
      <c r="AC22" s="185"/>
      <c r="AY22" s="203"/>
      <c r="AZ22" s="203"/>
      <c r="BA22" s="203"/>
      <c r="BB22" s="203"/>
      <c r="BC22" s="203"/>
      <c r="BD22" s="203"/>
      <c r="BE22" s="203"/>
      <c r="BF22" s="203"/>
      <c r="BG22" s="203"/>
      <c r="BH22" s="203"/>
      <c r="BI22" s="203"/>
      <c r="BJ22" s="203"/>
      <c r="BK22" s="203"/>
      <c r="BL22" s="203"/>
      <c r="BM22" s="203"/>
      <c r="BN22" s="203"/>
      <c r="BO22" s="203"/>
      <c r="BP22" s="203"/>
      <c r="BQ22" s="203"/>
      <c r="BR22" s="185"/>
      <c r="BS22" s="203"/>
      <c r="BT22" s="203"/>
      <c r="BU22" s="203"/>
      <c r="BV22" s="203"/>
      <c r="BW22" s="203"/>
      <c r="BX22" s="185"/>
      <c r="BY22" s="188">
        <v>-272826.39557000005</v>
      </c>
    </row>
    <row r="23" spans="1:77" ht="15.75" x14ac:dyDescent="0.25">
      <c r="A23" s="692">
        <v>10</v>
      </c>
      <c r="B23" s="189">
        <f t="shared" si="1"/>
        <v>44743</v>
      </c>
      <c r="C23" s="189"/>
      <c r="D23" s="47">
        <f>VLOOKUP($B23,'Sales Volumes'!$A$1:$H$200,4,FALSE)</f>
        <v>633376.19999999995</v>
      </c>
      <c r="E23" s="47">
        <f>VLOOKUP($B23,'Sales Volumes'!$A$1:$H$200,5,FALSE)</f>
        <v>63811.4</v>
      </c>
      <c r="F23" s="158">
        <f t="shared" si="2"/>
        <v>0</v>
      </c>
      <c r="G23" s="159">
        <f t="shared" si="0"/>
        <v>0</v>
      </c>
      <c r="H23" s="159">
        <f t="shared" si="3"/>
        <v>0</v>
      </c>
      <c r="I23" s="78"/>
      <c r="J23" s="202"/>
      <c r="K23" s="78"/>
      <c r="N23" s="203"/>
      <c r="Q23" s="203"/>
      <c r="R23" s="203"/>
      <c r="S23" s="185"/>
      <c r="T23" s="185"/>
      <c r="W23" s="203"/>
      <c r="X23" s="203"/>
      <c r="Y23" s="203"/>
      <c r="Z23" s="203"/>
      <c r="AA23" s="185"/>
      <c r="AB23" s="185"/>
      <c r="AC23" s="185"/>
      <c r="AY23" s="203"/>
      <c r="AZ23" s="203"/>
      <c r="BA23" s="203"/>
      <c r="BB23" s="203"/>
      <c r="BC23" s="203"/>
      <c r="BD23" s="203"/>
      <c r="BE23" s="203"/>
      <c r="BF23" s="203"/>
      <c r="BG23" s="203"/>
      <c r="BH23" s="203"/>
      <c r="BI23" s="203"/>
      <c r="BJ23" s="203"/>
      <c r="BK23" s="203"/>
      <c r="BL23" s="203"/>
      <c r="BM23" s="203"/>
      <c r="BN23" s="203"/>
      <c r="BO23" s="203"/>
      <c r="BP23" s="203"/>
      <c r="BQ23" s="203"/>
      <c r="BR23" s="185"/>
      <c r="BS23" s="203"/>
      <c r="BT23" s="203"/>
      <c r="BU23" s="203"/>
      <c r="BV23" s="203"/>
      <c r="BW23" s="203"/>
      <c r="BX23" s="185"/>
      <c r="BY23" s="188">
        <v>-205104.66959000006</v>
      </c>
    </row>
    <row r="24" spans="1:77" ht="15.75" x14ac:dyDescent="0.25">
      <c r="A24" s="692">
        <v>11</v>
      </c>
      <c r="B24" s="189">
        <f t="shared" si="1"/>
        <v>44774</v>
      </c>
      <c r="C24" s="189"/>
      <c r="D24" s="47">
        <f>VLOOKUP($B24,'Sales Volumes'!$A$1:$H$200,4,FALSE)</f>
        <v>313736</v>
      </c>
      <c r="E24" s="47">
        <f>VLOOKUP($B24,'Sales Volumes'!$A$1:$H$200,5,FALSE)</f>
        <v>68067.100000000006</v>
      </c>
      <c r="F24" s="158">
        <f t="shared" si="2"/>
        <v>0</v>
      </c>
      <c r="G24" s="159">
        <f t="shared" si="0"/>
        <v>0</v>
      </c>
      <c r="H24" s="159">
        <f t="shared" si="3"/>
        <v>0</v>
      </c>
      <c r="I24" s="78"/>
      <c r="J24" s="202"/>
      <c r="K24" s="78"/>
      <c r="N24" s="203"/>
      <c r="Q24" s="203"/>
      <c r="R24" s="203"/>
      <c r="S24" s="185"/>
      <c r="T24" s="185"/>
      <c r="W24" s="203"/>
      <c r="X24" s="203"/>
      <c r="Y24" s="203"/>
      <c r="Z24" s="203"/>
      <c r="AA24" s="185"/>
      <c r="AB24" s="185"/>
      <c r="AC24" s="185"/>
      <c r="AY24" s="203"/>
      <c r="AZ24" s="203"/>
      <c r="BA24" s="203"/>
      <c r="BB24" s="203"/>
      <c r="BC24" s="203"/>
      <c r="BD24" s="203"/>
      <c r="BE24" s="203"/>
      <c r="BF24" s="203"/>
      <c r="BG24" s="203"/>
      <c r="BH24" s="203"/>
      <c r="BI24" s="203"/>
      <c r="BJ24" s="203"/>
      <c r="BK24" s="203"/>
      <c r="BL24" s="203"/>
      <c r="BM24" s="203"/>
      <c r="BN24" s="203"/>
      <c r="BO24" s="203"/>
      <c r="BP24" s="203"/>
      <c r="BQ24" s="203"/>
      <c r="BR24" s="185"/>
      <c r="BS24" s="203"/>
      <c r="BT24" s="203"/>
      <c r="BU24" s="203"/>
      <c r="BV24" s="203"/>
      <c r="BW24" s="203"/>
      <c r="BX24" s="185"/>
      <c r="BY24" s="188">
        <v>-140806.26692000008</v>
      </c>
    </row>
    <row r="25" spans="1:77" ht="15.75" x14ac:dyDescent="0.25">
      <c r="A25" s="692">
        <v>12</v>
      </c>
      <c r="B25" s="189">
        <f t="shared" si="1"/>
        <v>44805</v>
      </c>
      <c r="C25" s="189"/>
      <c r="D25" s="47">
        <f>VLOOKUP($B25,'Sales Volumes'!$A$1:$H$200,4,FALSE)</f>
        <v>648596.69999999995</v>
      </c>
      <c r="E25" s="47">
        <f>VLOOKUP($B25,'Sales Volumes'!$A$1:$H$200,5,FALSE)</f>
        <v>86338.7</v>
      </c>
      <c r="F25" s="158">
        <f t="shared" si="2"/>
        <v>0</v>
      </c>
      <c r="G25" s="159">
        <f t="shared" si="0"/>
        <v>0</v>
      </c>
      <c r="H25" s="159">
        <f t="shared" si="3"/>
        <v>0</v>
      </c>
      <c r="I25" s="78"/>
      <c r="J25" s="202"/>
      <c r="K25" s="78"/>
      <c r="N25" s="203"/>
      <c r="Q25" s="203"/>
      <c r="R25" s="203"/>
      <c r="S25" s="185"/>
      <c r="T25" s="185"/>
      <c r="W25" s="203"/>
      <c r="X25" s="203"/>
      <c r="Y25" s="203"/>
      <c r="Z25" s="203"/>
      <c r="AA25" s="185"/>
      <c r="AB25" s="185"/>
      <c r="AC25" s="185"/>
      <c r="AY25" s="203"/>
      <c r="AZ25" s="203"/>
      <c r="BA25" s="203"/>
      <c r="BB25" s="203"/>
      <c r="BC25" s="203"/>
      <c r="BD25" s="203"/>
      <c r="BE25" s="203"/>
      <c r="BF25" s="203"/>
      <c r="BG25" s="203"/>
      <c r="BH25" s="203"/>
      <c r="BI25" s="203"/>
      <c r="BJ25" s="203"/>
      <c r="BK25" s="203"/>
      <c r="BL25" s="203"/>
      <c r="BM25" s="203"/>
      <c r="BN25" s="203"/>
      <c r="BO25" s="203"/>
      <c r="BP25" s="203"/>
      <c r="BQ25" s="203"/>
      <c r="BR25" s="185"/>
      <c r="BS25" s="203"/>
      <c r="BT25" s="203"/>
      <c r="BU25" s="203"/>
      <c r="BV25" s="203"/>
      <c r="BW25" s="203"/>
      <c r="BX25" s="185"/>
      <c r="BY25" s="188">
        <v>-95338.527020000081</v>
      </c>
    </row>
    <row r="26" spans="1:77" ht="15.75" x14ac:dyDescent="0.25">
      <c r="A26" s="692">
        <v>13</v>
      </c>
      <c r="B26" s="189">
        <f t="shared" si="1"/>
        <v>44835</v>
      </c>
      <c r="C26" s="189"/>
      <c r="D26" s="47">
        <f>VLOOKUP($B26,'Sales Volumes'!$A$1:$H$200,4,FALSE)</f>
        <v>1036676.1</v>
      </c>
      <c r="E26" s="47">
        <f>VLOOKUP($B26,'Sales Volumes'!$A$1:$H$200,5,FALSE)</f>
        <v>80730.3</v>
      </c>
      <c r="F26" s="158">
        <f t="shared" si="2"/>
        <v>0</v>
      </c>
      <c r="G26" s="159">
        <f t="shared" si="0"/>
        <v>0</v>
      </c>
      <c r="H26" s="159">
        <f t="shared" si="3"/>
        <v>0</v>
      </c>
      <c r="I26" s="78"/>
      <c r="J26" s="202"/>
      <c r="K26" s="78"/>
      <c r="N26" s="203"/>
      <c r="Q26" s="203"/>
      <c r="R26" s="203"/>
      <c r="S26" s="185"/>
      <c r="T26" s="185"/>
      <c r="W26" s="203"/>
      <c r="X26" s="203"/>
      <c r="Y26" s="203"/>
      <c r="Z26" s="203"/>
      <c r="AA26" s="185"/>
      <c r="AB26" s="185"/>
      <c r="AC26" s="185"/>
      <c r="AY26" s="203"/>
      <c r="AZ26" s="203"/>
      <c r="BA26" s="203"/>
      <c r="BB26" s="203"/>
      <c r="BC26" s="203"/>
      <c r="BD26" s="203"/>
      <c r="BE26" s="203"/>
      <c r="BF26" s="203"/>
      <c r="BG26" s="203"/>
      <c r="BH26" s="203"/>
      <c r="BI26" s="203"/>
      <c r="BJ26" s="203"/>
      <c r="BK26" s="203"/>
      <c r="BL26" s="203"/>
      <c r="BM26" s="203"/>
      <c r="BN26" s="203"/>
      <c r="BO26" s="203"/>
      <c r="BP26" s="203"/>
      <c r="BQ26" s="203"/>
      <c r="BR26" s="185"/>
      <c r="BS26" s="203"/>
      <c r="BT26" s="203"/>
      <c r="BU26" s="203"/>
      <c r="BV26" s="203"/>
      <c r="BW26" s="203"/>
      <c r="BX26" s="185"/>
      <c r="BY26" s="188">
        <v>-76782.608450000087</v>
      </c>
    </row>
    <row r="27" spans="1:77" ht="16.149999999999999" customHeight="1" x14ac:dyDescent="0.25">
      <c r="A27" s="692">
        <v>14</v>
      </c>
      <c r="B27" s="189">
        <f t="shared" si="1"/>
        <v>44866</v>
      </c>
      <c r="C27" s="189" t="s">
        <v>364</v>
      </c>
      <c r="D27" s="47">
        <f>VLOOKUP($B27,'Sales Volumes'!$A$1:$H$1000,4,FALSE)</f>
        <v>1123610</v>
      </c>
      <c r="E27" s="47">
        <f>VLOOKUP($B27,'Sales Volumes'!$A$1:$H$1000,5,FALSE)</f>
        <v>0</v>
      </c>
      <c r="F27" s="158">
        <f t="shared" si="2"/>
        <v>0</v>
      </c>
      <c r="G27" s="159">
        <f t="shared" si="0"/>
        <v>0</v>
      </c>
      <c r="H27" s="159">
        <f t="shared" si="3"/>
        <v>0</v>
      </c>
      <c r="I27" s="78"/>
      <c r="J27" s="202"/>
      <c r="K27" s="78"/>
      <c r="N27" s="203"/>
      <c r="Q27" s="203"/>
      <c r="R27" s="203"/>
      <c r="S27" s="185"/>
      <c r="T27" s="185"/>
      <c r="W27" s="203"/>
      <c r="X27" s="203"/>
      <c r="Y27" s="203"/>
      <c r="Z27" s="203"/>
      <c r="AA27" s="185"/>
      <c r="AB27" s="185"/>
      <c r="AC27" s="185"/>
      <c r="AY27" s="203"/>
      <c r="AZ27" s="203"/>
      <c r="BA27" s="203"/>
      <c r="BB27" s="203"/>
      <c r="BC27" s="203"/>
      <c r="BD27" s="203"/>
      <c r="BE27" s="203"/>
      <c r="BF27" s="203"/>
      <c r="BG27" s="203"/>
      <c r="BH27" s="203"/>
      <c r="BI27" s="203"/>
      <c r="BJ27" s="203"/>
      <c r="BK27" s="203"/>
      <c r="BL27" s="203"/>
      <c r="BM27" s="203"/>
      <c r="BN27" s="203"/>
      <c r="BO27" s="203"/>
      <c r="BP27" s="203"/>
      <c r="BQ27" s="203"/>
      <c r="BR27" s="185"/>
      <c r="BS27" s="203"/>
      <c r="BT27" s="203"/>
      <c r="BU27" s="203"/>
      <c r="BV27" s="203"/>
      <c r="BW27" s="203"/>
      <c r="BX27" s="185"/>
      <c r="BY27" s="188">
        <v>-68418.687050000095</v>
      </c>
    </row>
    <row r="28" spans="1:77" ht="15.75" x14ac:dyDescent="0.25">
      <c r="A28" s="692"/>
      <c r="D28" s="188"/>
      <c r="E28" s="188"/>
      <c r="F28" s="195"/>
      <c r="H28" s="195"/>
      <c r="I28" s="78"/>
      <c r="J28" s="202"/>
      <c r="K28" s="78"/>
      <c r="N28" s="203"/>
      <c r="Q28" s="203"/>
      <c r="R28" s="203"/>
      <c r="S28" s="185"/>
      <c r="T28" s="185"/>
      <c r="W28" s="203"/>
      <c r="X28" s="203"/>
      <c r="Y28" s="203"/>
      <c r="Z28" s="203"/>
      <c r="AA28" s="185"/>
      <c r="AB28" s="185"/>
      <c r="AC28" s="185"/>
      <c r="AY28" s="203"/>
      <c r="AZ28" s="203"/>
      <c r="BA28" s="203"/>
      <c r="BB28" s="203"/>
      <c r="BC28" s="203"/>
      <c r="BD28" s="203"/>
      <c r="BE28" s="203"/>
      <c r="BF28" s="203"/>
      <c r="BG28" s="203"/>
      <c r="BH28" s="203"/>
      <c r="BI28" s="203"/>
      <c r="BJ28" s="203"/>
      <c r="BK28" s="203"/>
      <c r="BL28" s="203"/>
      <c r="BM28" s="203"/>
      <c r="BN28" s="203"/>
      <c r="BO28" s="203"/>
      <c r="BP28" s="203"/>
      <c r="BQ28" s="203"/>
      <c r="BR28" s="185"/>
      <c r="BS28" s="203"/>
      <c r="BT28" s="203"/>
      <c r="BU28" s="203"/>
      <c r="BV28" s="203"/>
      <c r="BW28" s="203"/>
      <c r="BX28" s="185"/>
      <c r="BY28" s="188"/>
    </row>
    <row r="29" spans="1:77" ht="15.75" x14ac:dyDescent="0.25">
      <c r="A29" s="692"/>
      <c r="D29" s="188"/>
      <c r="E29" s="188"/>
      <c r="F29" s="195" t="s">
        <v>362</v>
      </c>
      <c r="G29" s="159">
        <f>SUM(G15:G28)</f>
        <v>0</v>
      </c>
      <c r="H29" s="195"/>
      <c r="I29" s="78"/>
      <c r="J29" s="202"/>
      <c r="K29" s="78"/>
      <c r="N29" s="203"/>
      <c r="Q29" s="203"/>
      <c r="R29" s="203"/>
      <c r="S29" s="185"/>
      <c r="T29" s="185"/>
      <c r="W29" s="203"/>
      <c r="X29" s="203"/>
      <c r="Y29" s="203"/>
      <c r="Z29" s="203"/>
      <c r="AA29" s="185"/>
      <c r="AB29" s="185"/>
      <c r="AC29" s="185"/>
      <c r="AY29" s="203"/>
      <c r="AZ29" s="203"/>
      <c r="BA29" s="203"/>
      <c r="BB29" s="203"/>
      <c r="BC29" s="203"/>
      <c r="BD29" s="203"/>
      <c r="BE29" s="203"/>
      <c r="BF29" s="203"/>
      <c r="BG29" s="203"/>
      <c r="BH29" s="203"/>
      <c r="BI29" s="203"/>
      <c r="BJ29" s="203"/>
      <c r="BK29" s="203"/>
      <c r="BL29" s="203"/>
      <c r="BM29" s="203"/>
      <c r="BN29" s="203"/>
      <c r="BO29" s="203"/>
      <c r="BP29" s="203"/>
      <c r="BQ29" s="203"/>
      <c r="BR29" s="185"/>
      <c r="BS29" s="203"/>
      <c r="BT29" s="203"/>
      <c r="BU29" s="203"/>
      <c r="BV29" s="203"/>
      <c r="BW29" s="203"/>
      <c r="BX29" s="185"/>
      <c r="BY29" s="188"/>
    </row>
    <row r="30" spans="1:77" ht="15.75" x14ac:dyDescent="0.25">
      <c r="A30" s="692"/>
      <c r="D30" s="188"/>
      <c r="E30" s="188"/>
      <c r="F30" s="195"/>
      <c r="G30" s="84"/>
      <c r="H30" s="195"/>
      <c r="I30" s="78"/>
      <c r="J30" s="202"/>
      <c r="K30" s="78"/>
      <c r="N30" s="203"/>
      <c r="Q30" s="203"/>
      <c r="R30" s="203"/>
      <c r="S30" s="185"/>
      <c r="T30" s="185"/>
      <c r="W30" s="203"/>
      <c r="X30" s="203"/>
      <c r="Y30" s="203"/>
      <c r="Z30" s="203"/>
      <c r="AA30" s="185"/>
      <c r="AB30" s="185"/>
      <c r="AC30" s="185"/>
      <c r="AY30" s="203"/>
      <c r="AZ30" s="203"/>
      <c r="BA30" s="203"/>
      <c r="BB30" s="203"/>
      <c r="BC30" s="203"/>
      <c r="BD30" s="203"/>
      <c r="BE30" s="203"/>
      <c r="BF30" s="203"/>
      <c r="BG30" s="203"/>
      <c r="BH30" s="203"/>
      <c r="BI30" s="203"/>
      <c r="BJ30" s="203"/>
      <c r="BK30" s="203"/>
      <c r="BL30" s="203"/>
      <c r="BM30" s="203"/>
      <c r="BN30" s="203"/>
      <c r="BO30" s="203"/>
      <c r="BP30" s="203"/>
      <c r="BQ30" s="203"/>
      <c r="BR30" s="185"/>
      <c r="BS30" s="203"/>
      <c r="BT30" s="203"/>
      <c r="BU30" s="203"/>
      <c r="BV30" s="203"/>
      <c r="BW30" s="203"/>
      <c r="BX30" s="185"/>
      <c r="BY30" s="188"/>
    </row>
    <row r="31" spans="1:77" ht="15.75" x14ac:dyDescent="0.25">
      <c r="A31" s="692">
        <v>15</v>
      </c>
      <c r="D31" s="188"/>
      <c r="E31" s="188"/>
      <c r="F31" s="54" t="s">
        <v>303</v>
      </c>
      <c r="G31" s="159">
        <f>ROUND(H27,0)</f>
        <v>0</v>
      </c>
      <c r="H31" s="195"/>
      <c r="I31" s="78"/>
      <c r="J31" s="202"/>
      <c r="K31" s="78"/>
      <c r="N31" s="203"/>
      <c r="Q31" s="203"/>
      <c r="R31" s="203"/>
      <c r="S31" s="185"/>
      <c r="T31" s="185"/>
      <c r="W31" s="203"/>
      <c r="X31" s="203"/>
      <c r="Y31" s="203"/>
      <c r="Z31" s="203"/>
      <c r="AA31" s="185"/>
      <c r="AB31" s="185"/>
      <c r="AC31" s="185"/>
      <c r="AY31" s="203"/>
      <c r="AZ31" s="203"/>
      <c r="BA31" s="203"/>
      <c r="BB31" s="203"/>
      <c r="BC31" s="203"/>
      <c r="BD31" s="203"/>
      <c r="BE31" s="203"/>
      <c r="BF31" s="203"/>
      <c r="BG31" s="203"/>
      <c r="BH31" s="203"/>
      <c r="BI31" s="203"/>
      <c r="BJ31" s="203"/>
      <c r="BK31" s="203"/>
      <c r="BL31" s="203"/>
      <c r="BM31" s="203"/>
      <c r="BN31" s="203"/>
      <c r="BO31" s="203"/>
      <c r="BP31" s="203"/>
      <c r="BQ31" s="203"/>
      <c r="BR31" s="185"/>
      <c r="BS31" s="203"/>
      <c r="BT31" s="203"/>
      <c r="BU31" s="203"/>
      <c r="BV31" s="203"/>
      <c r="BW31" s="203"/>
      <c r="BX31" s="185"/>
      <c r="BY31" s="188"/>
    </row>
    <row r="32" spans="1:77" ht="15.75" x14ac:dyDescent="0.25">
      <c r="A32" s="692"/>
      <c r="D32" s="188"/>
      <c r="E32" s="188"/>
      <c r="F32" s="195"/>
      <c r="H32" s="195"/>
      <c r="I32" s="78"/>
      <c r="J32" s="202"/>
      <c r="K32" s="78"/>
      <c r="N32" s="203"/>
      <c r="Q32" s="203"/>
      <c r="R32" s="203"/>
      <c r="S32" s="185"/>
      <c r="T32" s="185"/>
      <c r="W32" s="203"/>
      <c r="X32" s="203"/>
      <c r="Y32" s="203"/>
      <c r="Z32" s="203"/>
      <c r="AA32" s="185"/>
      <c r="AB32" s="185"/>
      <c r="AC32" s="185"/>
      <c r="AY32" s="203"/>
      <c r="AZ32" s="203"/>
      <c r="BA32" s="203"/>
      <c r="BB32" s="203"/>
      <c r="BC32" s="203"/>
      <c r="BD32" s="203"/>
      <c r="BE32" s="203"/>
      <c r="BF32" s="203"/>
      <c r="BG32" s="203"/>
      <c r="BH32" s="203"/>
      <c r="BI32" s="203"/>
      <c r="BJ32" s="203"/>
      <c r="BK32" s="203"/>
      <c r="BL32" s="203"/>
      <c r="BM32" s="203"/>
      <c r="BN32" s="203"/>
      <c r="BO32" s="203"/>
      <c r="BP32" s="203"/>
      <c r="BQ32" s="203"/>
      <c r="BR32" s="185"/>
      <c r="BS32" s="203"/>
      <c r="BT32" s="203"/>
      <c r="BU32" s="203"/>
      <c r="BV32" s="203"/>
      <c r="BW32" s="203"/>
      <c r="BX32" s="185"/>
      <c r="BY32" s="188"/>
    </row>
    <row r="33" spans="1:77" ht="15.75" x14ac:dyDescent="0.25">
      <c r="A33" s="692"/>
      <c r="D33" s="197"/>
      <c r="E33" s="197"/>
      <c r="F33" s="199"/>
      <c r="G33" s="195"/>
      <c r="H33" s="188"/>
      <c r="I33" s="78"/>
      <c r="J33" s="202"/>
      <c r="K33" s="78"/>
      <c r="N33" s="203"/>
      <c r="Q33" s="203"/>
      <c r="R33" s="203"/>
      <c r="S33" s="185"/>
      <c r="T33" s="185"/>
      <c r="W33" s="203"/>
      <c r="X33" s="203"/>
      <c r="Y33" s="203"/>
      <c r="Z33" s="203"/>
      <c r="AA33" s="185"/>
      <c r="AB33" s="185"/>
      <c r="AC33" s="185"/>
      <c r="AY33" s="203"/>
      <c r="AZ33" s="203"/>
      <c r="BA33" s="203"/>
      <c r="BB33" s="203"/>
      <c r="BC33" s="203"/>
      <c r="BD33" s="203"/>
      <c r="BE33" s="203"/>
      <c r="BF33" s="203"/>
      <c r="BG33" s="203"/>
      <c r="BH33" s="203"/>
      <c r="BI33" s="203"/>
      <c r="BJ33" s="203"/>
      <c r="BK33" s="203"/>
      <c r="BL33" s="203"/>
      <c r="BM33" s="203"/>
      <c r="BN33" s="203"/>
      <c r="BO33" s="203"/>
      <c r="BP33" s="203"/>
      <c r="BQ33" s="203"/>
      <c r="BR33" s="185"/>
      <c r="BS33" s="203"/>
      <c r="BT33" s="203"/>
      <c r="BU33" s="203"/>
      <c r="BV33" s="203"/>
      <c r="BW33" s="203"/>
      <c r="BX33" s="185"/>
      <c r="BY33" s="188"/>
    </row>
    <row r="34" spans="1:77" ht="15.75" x14ac:dyDescent="0.25">
      <c r="D34" s="197"/>
      <c r="E34" s="197"/>
      <c r="H34" s="3"/>
      <c r="I34" s="78"/>
      <c r="J34" s="78"/>
      <c r="K34" s="78"/>
      <c r="L34" s="78"/>
      <c r="M34" s="78"/>
      <c r="N34" s="78"/>
      <c r="O34" s="78"/>
      <c r="BR34" s="79"/>
    </row>
    <row r="35" spans="1:77" ht="17.25" customHeight="1" x14ac:dyDescent="0.35">
      <c r="I35" s="78"/>
      <c r="J35" s="202"/>
      <c r="K35" s="78"/>
      <c r="N35" s="203"/>
      <c r="Q35" s="203"/>
      <c r="R35" s="203"/>
      <c r="S35" s="185"/>
      <c r="T35" s="185"/>
      <c r="W35" s="203"/>
      <c r="X35" s="203"/>
      <c r="Y35" s="203"/>
      <c r="Z35" s="203"/>
      <c r="AA35" s="185"/>
      <c r="AB35" s="185"/>
      <c r="AC35" s="185"/>
      <c r="AY35" s="203"/>
      <c r="AZ35" s="203"/>
      <c r="BA35" s="203"/>
      <c r="BB35" s="203"/>
      <c r="BC35" s="203"/>
      <c r="BD35" s="203"/>
      <c r="BE35" s="203"/>
      <c r="BF35" s="203"/>
      <c r="BG35" s="203"/>
      <c r="BH35" s="203"/>
      <c r="BI35" s="203"/>
      <c r="BJ35" s="203"/>
      <c r="BK35" s="203"/>
      <c r="BL35" s="203"/>
      <c r="BM35" s="203"/>
      <c r="BN35" s="203"/>
      <c r="BO35" s="203"/>
      <c r="BP35" s="203"/>
      <c r="BQ35" s="203"/>
      <c r="BR35" s="185"/>
      <c r="BS35" s="203"/>
      <c r="BT35" s="203"/>
      <c r="BU35" s="203"/>
      <c r="BV35" s="203"/>
      <c r="BW35" s="203"/>
      <c r="BX35" s="185"/>
      <c r="BY35" s="188">
        <v>-68418.687050000095</v>
      </c>
    </row>
    <row r="43" spans="1:77" ht="22.5" x14ac:dyDescent="0.3">
      <c r="H43" s="204"/>
    </row>
  </sheetData>
  <mergeCells count="3">
    <mergeCell ref="B2:H2"/>
    <mergeCell ref="B3:H3"/>
    <mergeCell ref="B4:H4"/>
  </mergeCells>
  <pageMargins left="0.7" right="0.7" top="0.75" bottom="1" header="0.3" footer="0.3"/>
  <pageSetup scale="68" orientation="portrait" r:id="rId1"/>
  <headerFooter>
    <oddHeader>&amp;R&amp;"Times New Roman,Bold"Exhibit D-1
Page 2 of 2</oddHeader>
    <oddFooter>&amp;L&amp;1#&amp;"Calibri,Regular"&amp;14&amp;K000000Confidential</oddFooter>
  </headerFooter>
  <customProperties>
    <customPr name="_pios_id" r:id="rId2"/>
  </customPropertie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E74092-517E-452D-A90A-41B801F0D4D4}">
  <sheetPr codeName="Sheet38">
    <tabColor rgb="FF00B050"/>
  </sheetPr>
  <dimension ref="B1:N17"/>
  <sheetViews>
    <sheetView zoomScaleNormal="100" workbookViewId="0"/>
  </sheetViews>
  <sheetFormatPr defaultColWidth="8.77734375" defaultRowHeight="15.75" x14ac:dyDescent="0.25"/>
  <cols>
    <col min="1" max="1" width="1.109375" style="6" customWidth="1"/>
    <col min="2" max="4" width="8.77734375" style="6"/>
    <col min="5" max="5" width="9.77734375" style="6" bestFit="1" customWidth="1"/>
    <col min="6" max="7" width="8.77734375" style="6"/>
    <col min="8" max="8" width="9.77734375" style="6" bestFit="1" customWidth="1"/>
    <col min="9" max="9" width="9.5546875" style="6" customWidth="1"/>
    <col min="10" max="10" width="1.109375" style="6" customWidth="1"/>
    <col min="11" max="16384" width="8.77734375" style="6"/>
  </cols>
  <sheetData>
    <row r="1" spans="2:14" x14ac:dyDescent="0.25">
      <c r="B1" s="766" t="s">
        <v>5</v>
      </c>
      <c r="C1" s="766"/>
      <c r="D1" s="766"/>
      <c r="E1" s="766"/>
      <c r="F1" s="766"/>
      <c r="G1" s="766"/>
      <c r="H1" s="766"/>
      <c r="I1" s="766"/>
      <c r="K1" s="573"/>
      <c r="L1" s="573"/>
      <c r="M1" s="573"/>
      <c r="N1" s="573"/>
    </row>
    <row r="2" spans="2:14" x14ac:dyDescent="0.25">
      <c r="B2" s="569"/>
      <c r="C2" s="569"/>
      <c r="D2" s="569"/>
      <c r="E2" s="569"/>
      <c r="F2" s="569"/>
      <c r="G2" s="569"/>
      <c r="H2" s="569"/>
      <c r="I2" s="569"/>
    </row>
    <row r="3" spans="2:14" x14ac:dyDescent="0.25">
      <c r="B3" s="766" t="str">
        <f>'Exhibit F Write-Up'!B3:N3</f>
        <v>Gas Supply Clause: 2022-00421</v>
      </c>
      <c r="C3" s="766"/>
      <c r="D3" s="766"/>
      <c r="E3" s="766"/>
      <c r="F3" s="766"/>
      <c r="G3" s="766"/>
      <c r="H3" s="766"/>
      <c r="I3" s="766"/>
    </row>
    <row r="4" spans="2:14" x14ac:dyDescent="0.25">
      <c r="B4" s="766" t="s">
        <v>628</v>
      </c>
      <c r="C4" s="766"/>
      <c r="D4" s="766"/>
      <c r="E4" s="766"/>
      <c r="F4" s="766"/>
      <c r="G4" s="766"/>
      <c r="H4" s="766"/>
      <c r="I4" s="766"/>
    </row>
    <row r="6" spans="2:14" ht="47.25" customHeight="1" x14ac:dyDescent="0.25">
      <c r="B6" s="814" t="s">
        <v>701</v>
      </c>
      <c r="C6" s="814"/>
      <c r="D6" s="814"/>
      <c r="E6" s="814"/>
      <c r="F6" s="814"/>
      <c r="G6" s="814"/>
      <c r="H6" s="814"/>
      <c r="I6" s="814"/>
    </row>
    <row r="7" spans="2:14" ht="15.6" customHeight="1" x14ac:dyDescent="0.25">
      <c r="B7" s="656"/>
      <c r="C7" s="656"/>
      <c r="D7" s="656"/>
      <c r="E7" s="656"/>
      <c r="F7" s="656"/>
      <c r="G7" s="656"/>
      <c r="H7" s="656"/>
      <c r="I7" s="656"/>
    </row>
    <row r="8" spans="2:14" ht="47.25" customHeight="1" x14ac:dyDescent="0.25">
      <c r="B8" s="814" t="str">
        <f>"As shown in the following table, the PBRRC amount which becomes effective with gas service rendered on and after " &amp;'Input Data'!B174 &amp;" and will remain in effect until " &amp;'Input Data'!B175 &amp;" is $" &amp;E14 &amp;" and $" &amp;H14 &amp;" per 100 cubic feet for sales and Rider TS-2 volumes, respectively:"</f>
        <v>As shown in the following table, the PBRRC amount which becomes effective with gas service rendered on and after February 1, 2023 and will remain in effect until January 31, 2024 is $0.01622 and $0.00245 per 100 cubic feet for sales and Rider TS-2 volumes, respectively:</v>
      </c>
      <c r="C8" s="814"/>
      <c r="D8" s="814"/>
      <c r="E8" s="814"/>
      <c r="F8" s="814"/>
      <c r="G8" s="814"/>
      <c r="H8" s="814"/>
      <c r="I8" s="814"/>
    </row>
    <row r="10" spans="2:14" x14ac:dyDescent="0.25">
      <c r="E10" s="816" t="s">
        <v>630</v>
      </c>
      <c r="F10" s="816"/>
      <c r="H10" s="815" t="s">
        <v>629</v>
      </c>
      <c r="I10" s="815"/>
    </row>
    <row r="12" spans="2:14" x14ac:dyDescent="0.25">
      <c r="B12" s="817" t="s">
        <v>631</v>
      </c>
      <c r="C12" s="817"/>
      <c r="D12" s="817"/>
      <c r="E12" s="575">
        <f>'Ex E-1 1 of 1'!C23</f>
        <v>1.3769999999999999E-2</v>
      </c>
      <c r="F12" s="574" t="s">
        <v>634</v>
      </c>
      <c r="H12" s="576">
        <v>0</v>
      </c>
      <c r="I12" s="574" t="s">
        <v>634</v>
      </c>
    </row>
    <row r="13" spans="2:14" x14ac:dyDescent="0.25">
      <c r="B13" s="817" t="s">
        <v>632</v>
      </c>
      <c r="C13" s="817"/>
      <c r="D13" s="817"/>
      <c r="E13" s="575">
        <f>'Ex E-1 1 of 1'!D23</f>
        <v>2.4500000000000004E-3</v>
      </c>
      <c r="F13" s="574" t="s">
        <v>634</v>
      </c>
      <c r="H13" s="575">
        <f>'Ex E-1 1 of 1'!D23</f>
        <v>2.4500000000000004E-3</v>
      </c>
      <c r="I13" s="574" t="s">
        <v>634</v>
      </c>
    </row>
    <row r="14" spans="2:14" x14ac:dyDescent="0.25">
      <c r="B14" s="817" t="s">
        <v>633</v>
      </c>
      <c r="C14" s="817"/>
      <c r="D14" s="817"/>
      <c r="E14" s="575">
        <f>E12+E13</f>
        <v>1.6219999999999998E-2</v>
      </c>
      <c r="F14" s="574" t="s">
        <v>634</v>
      </c>
      <c r="H14" s="575">
        <f>H12+H13</f>
        <v>2.4500000000000004E-3</v>
      </c>
      <c r="I14" s="574" t="s">
        <v>634</v>
      </c>
    </row>
    <row r="17" spans="2:9" ht="47.25" customHeight="1" x14ac:dyDescent="0.25">
      <c r="B17" s="814" t="s">
        <v>635</v>
      </c>
      <c r="C17" s="814"/>
      <c r="D17" s="814"/>
      <c r="E17" s="814"/>
      <c r="F17" s="814"/>
      <c r="G17" s="814"/>
      <c r="H17" s="814"/>
      <c r="I17" s="814"/>
    </row>
  </sheetData>
  <mergeCells count="11">
    <mergeCell ref="B17:I17"/>
    <mergeCell ref="B1:I1"/>
    <mergeCell ref="B3:I3"/>
    <mergeCell ref="B4:I4"/>
    <mergeCell ref="B6:I6"/>
    <mergeCell ref="B8:I8"/>
    <mergeCell ref="H10:I10"/>
    <mergeCell ref="E10:F10"/>
    <mergeCell ref="B12:D12"/>
    <mergeCell ref="B13:D13"/>
    <mergeCell ref="B14:D14"/>
  </mergeCells>
  <pageMargins left="0.7" right="0.7" top="0.75" bottom="0.75" header="0.3" footer="0.3"/>
  <pageSetup orientation="portrait" r:id="rId1"/>
  <headerFooter>
    <oddHeader xml:space="preserve">&amp;R&amp;"Times New Roman,Bold"Exhibit E
</oddHeader>
    <oddFooter>&amp;L&amp;1#&amp;"Calibri"&amp;14&amp;K000000Confidential</oddFooter>
  </headerFooter>
  <customProperties>
    <customPr name="_pios_id" r:id="rId2"/>
  </customPropertie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14">
    <tabColor theme="3" tint="0.59999389629810485"/>
    <pageSetUpPr fitToPage="1"/>
  </sheetPr>
  <dimension ref="A1:Z51"/>
  <sheetViews>
    <sheetView zoomScale="80" zoomScaleNormal="80" workbookViewId="0"/>
  </sheetViews>
  <sheetFormatPr defaultColWidth="7.109375" defaultRowHeight="12.75" x14ac:dyDescent="0.2"/>
  <cols>
    <col min="1" max="1" width="7.109375" style="34"/>
    <col min="2" max="2" width="26.33203125" style="34" customWidth="1"/>
    <col min="3" max="3" width="14.88671875" style="34" customWidth="1"/>
    <col min="4" max="4" width="16" style="34" customWidth="1"/>
    <col min="5" max="5" width="14.109375" style="34" customWidth="1"/>
    <col min="6" max="6" width="16.21875" style="34" customWidth="1"/>
    <col min="7" max="7" width="12.44140625" style="34" customWidth="1"/>
    <col min="8" max="8" width="17.6640625" style="34" customWidth="1"/>
    <col min="9" max="9" width="11.33203125" style="34" customWidth="1"/>
    <col min="10" max="10" width="13.109375" style="34" customWidth="1"/>
    <col min="11" max="11" width="12.88671875" style="34" customWidth="1"/>
    <col min="12" max="12" width="14.109375" style="34" customWidth="1"/>
    <col min="13" max="13" width="14.6640625" style="34" customWidth="1"/>
    <col min="14" max="14" width="12.33203125" style="34" customWidth="1"/>
    <col min="15" max="15" width="21.21875" style="34" customWidth="1"/>
    <col min="16" max="16" width="22.33203125" style="34" customWidth="1"/>
    <col min="17" max="17" width="13.33203125" style="34" customWidth="1"/>
    <col min="18" max="18" width="8.5546875" style="34" customWidth="1"/>
    <col min="19" max="19" width="13.77734375" style="34" customWidth="1"/>
    <col min="20" max="20" width="31.6640625" style="34" customWidth="1"/>
    <col min="21" max="21" width="7.109375" style="34" customWidth="1"/>
    <col min="22" max="22" width="14.5546875" style="34" customWidth="1"/>
    <col min="23" max="23" width="9.88671875" style="34" customWidth="1"/>
    <col min="24" max="16384" width="7.109375" style="34"/>
  </cols>
  <sheetData>
    <row r="1" spans="1:12" ht="15.75" x14ac:dyDescent="0.25">
      <c r="B1" s="32"/>
      <c r="C1" s="32"/>
      <c r="D1" s="32"/>
      <c r="E1" s="32"/>
      <c r="F1" s="32"/>
      <c r="G1" s="33"/>
      <c r="H1" s="33"/>
      <c r="I1" s="33"/>
      <c r="J1" s="33"/>
    </row>
    <row r="2" spans="1:12" ht="18.75" x14ac:dyDescent="0.3">
      <c r="B2" s="818" t="s">
        <v>5</v>
      </c>
      <c r="C2" s="818"/>
      <c r="D2" s="818"/>
      <c r="E2" s="818"/>
      <c r="F2" s="3"/>
      <c r="G2" s="3"/>
      <c r="H2" s="3"/>
      <c r="I2" s="3"/>
      <c r="J2" s="3"/>
      <c r="K2" s="3"/>
      <c r="L2" s="3"/>
    </row>
    <row r="3" spans="1:12" ht="15.75" x14ac:dyDescent="0.25">
      <c r="B3" s="3"/>
      <c r="C3" s="3"/>
      <c r="D3" s="3"/>
      <c r="E3" s="3"/>
      <c r="F3" s="3"/>
      <c r="G3" s="3"/>
      <c r="H3" s="3"/>
      <c r="I3" s="3"/>
      <c r="J3" s="3"/>
      <c r="K3" s="3"/>
      <c r="L3" s="3"/>
    </row>
    <row r="4" spans="1:12" ht="18.75" x14ac:dyDescent="0.3">
      <c r="B4" s="749" t="str">
        <f>CONCATENATE("Effective"," ", 'Input Data'!$D$10," ", "with Gas Supply Clause Case No."," ", 'Input Data'!C14)</f>
        <v>Effective February 1, 2023 with Gas Supply Clause Case No. 2022-00421</v>
      </c>
      <c r="C4" s="749"/>
      <c r="D4" s="749"/>
      <c r="E4" s="749"/>
      <c r="F4" s="3"/>
      <c r="G4" s="3"/>
      <c r="H4" s="3"/>
      <c r="I4" s="3"/>
      <c r="J4" s="3"/>
      <c r="K4" s="3"/>
      <c r="L4" s="3"/>
    </row>
    <row r="5" spans="1:12" ht="18.75" x14ac:dyDescent="0.3">
      <c r="B5" s="749" t="s">
        <v>123</v>
      </c>
      <c r="C5" s="749"/>
      <c r="D5" s="749"/>
      <c r="E5" s="749"/>
      <c r="F5" s="3"/>
      <c r="G5" s="3"/>
      <c r="H5" s="3"/>
      <c r="I5" s="3"/>
      <c r="J5" s="3"/>
      <c r="K5" s="3"/>
      <c r="L5" s="3"/>
    </row>
    <row r="6" spans="1:12" ht="15.75" customHeight="1" x14ac:dyDescent="0.3">
      <c r="B6" s="749" t="str">
        <f>CONCATENATE("PBR Year"," ", 'Input Data'!$C$9-1)</f>
        <v>PBR Year 25</v>
      </c>
      <c r="C6" s="749"/>
      <c r="D6" s="749"/>
      <c r="E6" s="749"/>
      <c r="F6" s="3"/>
      <c r="G6" s="625"/>
      <c r="H6" s="3"/>
      <c r="I6" s="3"/>
      <c r="J6" s="3"/>
      <c r="K6" s="3"/>
      <c r="L6" s="3"/>
    </row>
    <row r="7" spans="1:12" ht="18.75" x14ac:dyDescent="0.3">
      <c r="B7" s="749" t="s">
        <v>124</v>
      </c>
      <c r="C7" s="749"/>
      <c r="D7" s="749"/>
      <c r="E7" s="749"/>
      <c r="F7" s="3"/>
      <c r="G7" s="3"/>
      <c r="H7" s="3"/>
      <c r="I7" s="3"/>
      <c r="J7" s="3"/>
      <c r="K7" s="3"/>
      <c r="L7" s="3"/>
    </row>
    <row r="8" spans="1:12" ht="18.75" x14ac:dyDescent="0.3">
      <c r="B8" s="749" t="s">
        <v>557</v>
      </c>
      <c r="C8" s="749"/>
      <c r="D8" s="749"/>
      <c r="E8" s="749"/>
      <c r="F8" s="3"/>
      <c r="G8" s="3"/>
      <c r="H8" s="3"/>
      <c r="I8" s="3"/>
      <c r="J8" s="3"/>
      <c r="K8" s="3"/>
      <c r="L8" s="3"/>
    </row>
    <row r="9" spans="1:12" ht="15.75" x14ac:dyDescent="0.25">
      <c r="B9" s="3"/>
      <c r="C9" s="3"/>
      <c r="D9" s="3"/>
      <c r="E9" s="3"/>
      <c r="F9" s="3"/>
      <c r="G9" s="3"/>
      <c r="H9" s="3"/>
      <c r="I9" s="3"/>
      <c r="J9" s="3"/>
      <c r="K9" s="3"/>
      <c r="L9" s="3"/>
    </row>
    <row r="10" spans="1:12" ht="15.75" x14ac:dyDescent="0.25">
      <c r="B10" s="3"/>
      <c r="C10" s="3"/>
      <c r="D10" s="3"/>
      <c r="E10" s="3"/>
      <c r="F10" s="3"/>
      <c r="G10" s="3"/>
      <c r="H10" s="3"/>
      <c r="I10" s="3"/>
      <c r="J10" s="3"/>
      <c r="K10" s="3"/>
      <c r="L10" s="3"/>
    </row>
    <row r="11" spans="1:12" ht="15.75" x14ac:dyDescent="0.25">
      <c r="A11" s="86" t="s">
        <v>247</v>
      </c>
      <c r="B11" s="3"/>
      <c r="C11" s="116" t="s">
        <v>118</v>
      </c>
      <c r="D11" s="116" t="s">
        <v>73</v>
      </c>
      <c r="E11" s="116" t="s">
        <v>30</v>
      </c>
      <c r="G11" s="3"/>
      <c r="H11" s="3"/>
      <c r="I11" s="3"/>
      <c r="J11" s="3"/>
      <c r="K11" s="3"/>
      <c r="L11" s="3"/>
    </row>
    <row r="12" spans="1:12" ht="15.75" x14ac:dyDescent="0.25">
      <c r="B12" s="3"/>
      <c r="C12" s="3"/>
      <c r="D12" s="3"/>
      <c r="E12" s="3"/>
      <c r="G12" s="3"/>
      <c r="H12" s="3"/>
      <c r="I12" s="3"/>
      <c r="J12" s="3"/>
      <c r="K12" s="3"/>
      <c r="L12" s="3"/>
    </row>
    <row r="13" spans="1:12" ht="15.75" x14ac:dyDescent="0.25">
      <c r="A13" s="325">
        <v>1</v>
      </c>
      <c r="B13" s="54" t="s">
        <v>125</v>
      </c>
      <c r="C13" s="329">
        <f>'Input Data'!D170</f>
        <v>4248093</v>
      </c>
      <c r="D13" s="329">
        <f>'Input Data'!D171</f>
        <v>774481</v>
      </c>
      <c r="E13" s="329">
        <f>C13+D13</f>
        <v>5022574</v>
      </c>
      <c r="G13" s="3"/>
      <c r="H13" s="3"/>
      <c r="I13" s="3"/>
      <c r="J13" s="3"/>
      <c r="K13" s="3"/>
      <c r="L13" s="3"/>
    </row>
    <row r="14" spans="1:12" ht="15.75" x14ac:dyDescent="0.25">
      <c r="A14" s="325"/>
      <c r="B14" s="54" t="s">
        <v>259</v>
      </c>
      <c r="D14" s="3"/>
      <c r="E14" s="3"/>
      <c r="F14" s="3"/>
      <c r="G14" s="3"/>
      <c r="H14" s="3"/>
      <c r="I14" s="3"/>
      <c r="J14" s="3"/>
      <c r="K14" s="3"/>
      <c r="L14" s="3"/>
    </row>
    <row r="15" spans="1:12" ht="15.75" x14ac:dyDescent="0.25">
      <c r="A15" s="325"/>
      <c r="B15" s="54" t="s">
        <v>126</v>
      </c>
      <c r="D15" s="3"/>
      <c r="E15" s="3"/>
      <c r="F15" s="3"/>
      <c r="G15" s="3"/>
      <c r="H15" s="3"/>
      <c r="I15" s="3"/>
      <c r="J15" s="3"/>
      <c r="K15" s="3"/>
      <c r="L15" s="3"/>
    </row>
    <row r="16" spans="1:12" ht="15.75" x14ac:dyDescent="0.25">
      <c r="A16" s="325"/>
      <c r="B16" s="3"/>
      <c r="C16" s="54"/>
      <c r="D16" s="3"/>
      <c r="E16" s="3"/>
      <c r="F16" s="3"/>
      <c r="G16" s="3"/>
      <c r="H16" s="3"/>
      <c r="I16" s="3"/>
      <c r="J16" s="3"/>
      <c r="K16" s="3"/>
      <c r="L16" s="3"/>
    </row>
    <row r="17" spans="1:26" ht="15.75" customHeight="1" x14ac:dyDescent="0.3">
      <c r="A17" s="325">
        <v>2</v>
      </c>
      <c r="B17" s="33" t="s">
        <v>119</v>
      </c>
      <c r="C17" s="452">
        <f>'Input Data'!E191</f>
        <v>30851479</v>
      </c>
      <c r="D17" s="452">
        <f>'Input Data'!E191+'Input Data'!F191</f>
        <v>31555017</v>
      </c>
      <c r="E17" s="3"/>
      <c r="F17" s="3"/>
      <c r="G17" s="625"/>
      <c r="H17" s="3"/>
      <c r="I17" s="3"/>
      <c r="J17" s="3"/>
      <c r="K17" s="3"/>
      <c r="L17" s="3"/>
    </row>
    <row r="18" spans="1:26" ht="15.75" x14ac:dyDescent="0.25">
      <c r="A18" s="325"/>
      <c r="B18" s="68" t="s">
        <v>120</v>
      </c>
      <c r="E18" s="3"/>
      <c r="F18" s="3"/>
      <c r="G18" s="3"/>
      <c r="H18" s="3"/>
      <c r="I18" s="3"/>
      <c r="J18" s="3"/>
      <c r="K18" s="3"/>
      <c r="L18" s="3"/>
    </row>
    <row r="19" spans="1:26" ht="15.75" x14ac:dyDescent="0.25">
      <c r="A19" s="325"/>
      <c r="B19" s="69">
        <f>'Input Data'!C10</f>
        <v>44958</v>
      </c>
      <c r="C19" s="325"/>
      <c r="D19" s="325"/>
      <c r="E19" s="3"/>
      <c r="F19" s="3"/>
      <c r="G19" s="32"/>
      <c r="H19" s="32"/>
      <c r="I19" s="32"/>
      <c r="J19" s="32"/>
    </row>
    <row r="20" spans="1:26" ht="15.75" x14ac:dyDescent="0.25">
      <c r="A20" s="325"/>
      <c r="B20" s="33"/>
      <c r="C20" s="325"/>
      <c r="D20" s="325"/>
      <c r="E20" s="3"/>
      <c r="F20" s="3"/>
      <c r="G20" s="32"/>
      <c r="H20" s="32"/>
      <c r="I20" s="32"/>
      <c r="J20" s="32"/>
    </row>
    <row r="21" spans="1:26" ht="15.75" x14ac:dyDescent="0.25">
      <c r="A21" s="325">
        <v>3</v>
      </c>
      <c r="B21" s="33" t="s">
        <v>121</v>
      </c>
      <c r="C21" s="327">
        <f>ROUND(C13/C17,4)</f>
        <v>0.13769999999999999</v>
      </c>
      <c r="D21" s="327">
        <f>ROUND(D13/D17,4)</f>
        <v>2.4500000000000001E-2</v>
      </c>
      <c r="E21" s="327">
        <f>SUM(C21:D21)</f>
        <v>0.16219999999999998</v>
      </c>
      <c r="F21" s="3"/>
      <c r="G21" s="32"/>
      <c r="H21" s="32"/>
      <c r="I21" s="32"/>
      <c r="J21" s="32"/>
    </row>
    <row r="22" spans="1:26" ht="15.75" x14ac:dyDescent="0.25">
      <c r="A22" s="325"/>
      <c r="B22" s="3"/>
      <c r="C22" s="3"/>
      <c r="D22" s="3"/>
      <c r="E22" s="327"/>
      <c r="F22" s="3"/>
      <c r="G22" s="32"/>
      <c r="H22" s="32"/>
      <c r="I22" s="32"/>
      <c r="J22" s="32"/>
    </row>
    <row r="23" spans="1:26" ht="15.75" x14ac:dyDescent="0.25">
      <c r="A23" s="325">
        <v>4</v>
      </c>
      <c r="B23" s="33" t="s">
        <v>122</v>
      </c>
      <c r="C23" s="328">
        <f>C21*0.1</f>
        <v>1.3769999999999999E-2</v>
      </c>
      <c r="D23" s="328">
        <f>D21*0.1</f>
        <v>2.4500000000000004E-3</v>
      </c>
      <c r="E23" s="328">
        <f>SUM(C23:D23)</f>
        <v>1.6219999999999998E-2</v>
      </c>
      <c r="F23" s="3"/>
      <c r="G23" s="32"/>
      <c r="H23" s="32"/>
      <c r="I23" s="32"/>
      <c r="J23" s="32"/>
    </row>
    <row r="24" spans="1:26" ht="15.75" x14ac:dyDescent="0.25">
      <c r="A24" s="325"/>
      <c r="E24" s="3"/>
      <c r="F24" s="3"/>
      <c r="G24" s="32"/>
      <c r="H24" s="32"/>
      <c r="I24" s="32"/>
      <c r="J24" s="32"/>
    </row>
    <row r="25" spans="1:26" ht="15.75" x14ac:dyDescent="0.25">
      <c r="E25" s="3"/>
      <c r="F25" s="3"/>
      <c r="G25" s="32"/>
      <c r="H25" s="32"/>
      <c r="I25" s="32"/>
      <c r="J25" s="32"/>
    </row>
    <row r="26" spans="1:26" ht="15.75" x14ac:dyDescent="0.25">
      <c r="E26" s="3"/>
      <c r="F26" s="3"/>
      <c r="G26" s="32"/>
      <c r="H26" s="32"/>
      <c r="I26" s="32"/>
      <c r="J26" s="32"/>
    </row>
    <row r="27" spans="1:26" ht="15.75" x14ac:dyDescent="0.25">
      <c r="G27" s="32"/>
      <c r="H27" s="32"/>
      <c r="I27" s="32"/>
      <c r="J27" s="32"/>
    </row>
    <row r="28" spans="1:26" ht="15.75" x14ac:dyDescent="0.25">
      <c r="G28" s="32"/>
      <c r="H28" s="32"/>
      <c r="I28" s="32"/>
      <c r="J28" s="32"/>
      <c r="W28" s="35"/>
      <c r="X28" s="262"/>
      <c r="Y28" s="262"/>
      <c r="Z28" s="35"/>
    </row>
    <row r="29" spans="1:26" ht="84" customHeight="1" x14ac:dyDescent="0.25">
      <c r="B29" s="90"/>
      <c r="C29" s="90"/>
      <c r="D29" s="90"/>
      <c r="E29" s="90"/>
      <c r="F29" s="90"/>
      <c r="G29" s="90"/>
      <c r="H29" s="90"/>
      <c r="J29" s="32"/>
      <c r="W29" s="35"/>
      <c r="X29" s="626"/>
      <c r="Y29" s="262"/>
      <c r="Z29" s="35"/>
    </row>
    <row r="30" spans="1:26" ht="15.75" x14ac:dyDescent="0.25">
      <c r="B30" s="90"/>
      <c r="C30" s="90"/>
      <c r="D30" s="90"/>
      <c r="E30" s="90"/>
      <c r="F30" s="90"/>
      <c r="G30" s="90"/>
      <c r="H30" s="90"/>
      <c r="I30" s="3"/>
      <c r="J30" s="32"/>
      <c r="V30" s="36"/>
      <c r="W30" s="35"/>
      <c r="X30" s="627"/>
      <c r="Y30" s="263"/>
      <c r="Z30" s="35"/>
    </row>
    <row r="31" spans="1:26" ht="15.75" x14ac:dyDescent="0.25">
      <c r="B31" s="90"/>
      <c r="C31" s="90"/>
      <c r="D31" s="90"/>
      <c r="E31" s="90"/>
      <c r="F31" s="90"/>
      <c r="G31" s="90"/>
      <c r="H31" s="90"/>
      <c r="I31" s="3"/>
      <c r="J31" s="32"/>
      <c r="K31" s="32"/>
      <c r="V31" s="36"/>
      <c r="W31" s="35"/>
      <c r="X31" s="627"/>
      <c r="Y31" s="263"/>
      <c r="Z31" s="35"/>
    </row>
    <row r="32" spans="1:26" ht="15.75" x14ac:dyDescent="0.25">
      <c r="B32" s="90"/>
      <c r="C32" s="90"/>
      <c r="D32" s="90"/>
      <c r="E32" s="90"/>
      <c r="F32" s="90"/>
      <c r="G32" s="90"/>
      <c r="H32" s="90"/>
      <c r="I32" s="3"/>
      <c r="J32" s="32"/>
      <c r="K32" s="32"/>
      <c r="V32" s="36"/>
      <c r="W32" s="35"/>
      <c r="X32" s="627"/>
      <c r="Y32" s="263"/>
      <c r="Z32" s="35"/>
    </row>
    <row r="33" spans="2:24" ht="15.75" x14ac:dyDescent="0.25">
      <c r="B33" s="90"/>
      <c r="C33" s="90"/>
      <c r="D33" s="90"/>
      <c r="E33" s="90"/>
      <c r="F33" s="90"/>
      <c r="G33" s="90"/>
      <c r="H33" s="90"/>
      <c r="I33" s="325"/>
      <c r="J33" s="325"/>
      <c r="K33" s="325"/>
      <c r="L33" s="325"/>
      <c r="M33" s="325"/>
      <c r="N33" s="325"/>
      <c r="T33" s="36"/>
      <c r="U33" s="35"/>
      <c r="V33" s="627"/>
      <c r="W33" s="263"/>
      <c r="X33" s="35"/>
    </row>
    <row r="34" spans="2:24" ht="15.75" x14ac:dyDescent="0.25">
      <c r="B34" s="90"/>
      <c r="C34" s="90"/>
      <c r="D34" s="90"/>
      <c r="E34" s="90"/>
      <c r="F34" s="90"/>
      <c r="G34" s="90"/>
      <c r="H34" s="90"/>
      <c r="I34" s="129"/>
      <c r="J34" s="129"/>
      <c r="K34" s="129"/>
      <c r="L34" s="36"/>
      <c r="M34" s="129"/>
      <c r="N34" s="36"/>
      <c r="T34" s="36"/>
      <c r="U34" s="35"/>
      <c r="V34" s="627"/>
      <c r="W34" s="263"/>
      <c r="X34" s="35"/>
    </row>
    <row r="35" spans="2:24" ht="15.75" x14ac:dyDescent="0.25">
      <c r="B35" s="90"/>
      <c r="C35" s="90"/>
      <c r="D35" s="90"/>
      <c r="E35" s="90"/>
      <c r="F35" s="90"/>
      <c r="G35" s="90"/>
      <c r="H35" s="90"/>
      <c r="I35" s="129"/>
      <c r="J35" s="129"/>
      <c r="K35" s="129"/>
      <c r="L35" s="36"/>
      <c r="M35" s="129"/>
      <c r="N35" s="36"/>
      <c r="T35" s="36"/>
      <c r="U35" s="35"/>
      <c r="V35" s="627"/>
      <c r="W35" s="263"/>
      <c r="X35" s="35"/>
    </row>
    <row r="36" spans="2:24" ht="15.75" x14ac:dyDescent="0.25">
      <c r="B36" s="90"/>
      <c r="C36" s="90"/>
      <c r="D36" s="90"/>
      <c r="E36" s="90"/>
      <c r="F36" s="90"/>
      <c r="G36" s="90"/>
      <c r="H36" s="90"/>
      <c r="I36" s="129"/>
      <c r="J36" s="129"/>
      <c r="K36" s="129"/>
      <c r="L36" s="36"/>
      <c r="M36" s="129"/>
      <c r="N36" s="36"/>
      <c r="T36" s="36"/>
      <c r="U36" s="35"/>
      <c r="V36" s="627"/>
      <c r="W36" s="263"/>
      <c r="X36" s="35"/>
    </row>
    <row r="37" spans="2:24" ht="15.75" x14ac:dyDescent="0.25">
      <c r="B37" s="90"/>
      <c r="C37" s="90"/>
      <c r="D37" s="90"/>
      <c r="E37" s="90"/>
      <c r="F37" s="90"/>
      <c r="G37" s="90"/>
      <c r="H37" s="90"/>
      <c r="I37" s="129"/>
      <c r="J37" s="129"/>
      <c r="K37" s="129"/>
      <c r="L37" s="36"/>
      <c r="M37" s="129"/>
      <c r="N37" s="36"/>
      <c r="T37" s="36"/>
      <c r="U37" s="35"/>
      <c r="V37" s="627"/>
      <c r="W37" s="263"/>
      <c r="X37" s="35"/>
    </row>
    <row r="38" spans="2:24" ht="15.75" x14ac:dyDescent="0.25">
      <c r="B38" s="90"/>
      <c r="C38" s="90"/>
      <c r="D38" s="90"/>
      <c r="E38" s="90"/>
      <c r="F38" s="90"/>
      <c r="G38" s="90"/>
      <c r="H38" s="90"/>
      <c r="I38" s="129"/>
      <c r="J38" s="129"/>
      <c r="K38" s="129"/>
      <c r="L38" s="36"/>
      <c r="M38" s="129"/>
      <c r="N38" s="36"/>
      <c r="T38" s="36"/>
      <c r="U38" s="35"/>
      <c r="V38" s="627"/>
      <c r="W38" s="263"/>
      <c r="X38" s="35"/>
    </row>
    <row r="39" spans="2:24" ht="15.75" x14ac:dyDescent="0.25">
      <c r="B39" s="90"/>
      <c r="C39" s="90"/>
      <c r="D39" s="90"/>
      <c r="E39" s="90"/>
      <c r="F39" s="90"/>
      <c r="G39" s="90"/>
      <c r="H39" s="90"/>
      <c r="I39" s="129"/>
      <c r="J39" s="129"/>
      <c r="K39" s="129"/>
      <c r="L39" s="36"/>
      <c r="M39" s="129"/>
      <c r="N39" s="36"/>
      <c r="T39" s="36"/>
      <c r="U39" s="35"/>
      <c r="V39" s="627"/>
      <c r="W39" s="263"/>
      <c r="X39" s="35"/>
    </row>
    <row r="40" spans="2:24" ht="15.75" x14ac:dyDescent="0.25">
      <c r="B40" s="90"/>
      <c r="C40" s="90"/>
      <c r="D40" s="90"/>
      <c r="E40" s="90"/>
      <c r="F40" s="90"/>
      <c r="G40" s="90"/>
      <c r="H40" s="90"/>
      <c r="I40" s="129"/>
      <c r="J40" s="129"/>
      <c r="K40" s="129"/>
      <c r="L40" s="36"/>
      <c r="M40" s="129"/>
      <c r="N40" s="36"/>
      <c r="T40" s="36"/>
      <c r="U40" s="35"/>
      <c r="V40" s="627"/>
      <c r="W40" s="263"/>
      <c r="X40" s="35"/>
    </row>
    <row r="41" spans="2:24" ht="15.75" x14ac:dyDescent="0.25">
      <c r="B41" s="90"/>
      <c r="C41" s="90"/>
      <c r="D41" s="90"/>
      <c r="E41" s="90"/>
      <c r="F41" s="90"/>
      <c r="G41" s="90"/>
      <c r="H41" s="90"/>
      <c r="I41" s="129"/>
      <c r="J41" s="129"/>
      <c r="K41" s="129"/>
      <c r="L41" s="36"/>
      <c r="M41" s="129"/>
      <c r="N41" s="36"/>
      <c r="T41" s="36"/>
      <c r="U41" s="35"/>
      <c r="V41" s="627"/>
      <c r="W41" s="263"/>
      <c r="X41" s="35"/>
    </row>
    <row r="42" spans="2:24" ht="15.75" x14ac:dyDescent="0.25">
      <c r="B42" s="90"/>
      <c r="C42" s="90"/>
      <c r="D42" s="90"/>
      <c r="E42" s="90"/>
      <c r="F42" s="90"/>
      <c r="G42" s="90"/>
      <c r="H42" s="90"/>
      <c r="I42" s="129"/>
      <c r="J42" s="129"/>
      <c r="K42" s="129"/>
      <c r="L42" s="36"/>
      <c r="M42" s="129"/>
      <c r="N42" s="36"/>
      <c r="T42" s="36"/>
      <c r="U42" s="35"/>
      <c r="V42" s="627"/>
      <c r="W42" s="263"/>
      <c r="X42" s="35"/>
    </row>
    <row r="43" spans="2:24" ht="15.75" x14ac:dyDescent="0.25">
      <c r="B43" s="90"/>
      <c r="C43" s="90"/>
      <c r="D43" s="90"/>
      <c r="E43" s="90"/>
      <c r="F43" s="90"/>
      <c r="G43" s="90"/>
      <c r="H43" s="90"/>
      <c r="I43" s="129"/>
      <c r="J43" s="129"/>
      <c r="K43" s="129"/>
      <c r="L43" s="36"/>
      <c r="M43" s="129"/>
      <c r="N43" s="36"/>
      <c r="U43" s="35"/>
      <c r="V43" s="35"/>
      <c r="W43" s="35"/>
      <c r="X43" s="35"/>
    </row>
    <row r="44" spans="2:24" ht="15.75" x14ac:dyDescent="0.25">
      <c r="B44" s="90"/>
      <c r="C44" s="90"/>
      <c r="D44" s="90"/>
      <c r="E44" s="90"/>
      <c r="F44" s="90"/>
      <c r="G44" s="90"/>
      <c r="H44" s="90"/>
      <c r="I44" s="129"/>
      <c r="J44" s="129"/>
      <c r="K44" s="129"/>
      <c r="L44" s="36"/>
      <c r="M44" s="129"/>
      <c r="N44" s="36"/>
      <c r="U44" s="35"/>
      <c r="V44" s="35"/>
      <c r="W44" s="264"/>
      <c r="X44" s="35"/>
    </row>
    <row r="45" spans="2:24" ht="15.75" x14ac:dyDescent="0.25">
      <c r="B45" s="90"/>
      <c r="C45" s="90"/>
      <c r="D45" s="90"/>
      <c r="E45" s="90"/>
      <c r="F45" s="90"/>
      <c r="G45" s="90"/>
      <c r="H45" s="90"/>
      <c r="I45" s="129"/>
      <c r="J45" s="129"/>
      <c r="K45" s="129"/>
      <c r="L45" s="36"/>
      <c r="M45" s="129"/>
      <c r="N45" s="36"/>
      <c r="U45" s="35"/>
      <c r="V45" s="35"/>
      <c r="W45" s="35"/>
      <c r="X45" s="35"/>
    </row>
    <row r="46" spans="2:24" ht="15.75" x14ac:dyDescent="0.25">
      <c r="B46" s="90"/>
      <c r="C46" s="90"/>
      <c r="D46" s="90"/>
      <c r="E46" s="90"/>
      <c r="F46" s="90"/>
      <c r="G46" s="90"/>
      <c r="H46" s="90"/>
      <c r="I46" s="129"/>
      <c r="J46" s="129"/>
      <c r="M46" s="35"/>
    </row>
    <row r="47" spans="2:24" ht="15.75" x14ac:dyDescent="0.25">
      <c r="B47" s="90"/>
      <c r="C47" s="90"/>
      <c r="D47" s="90"/>
      <c r="E47" s="90"/>
      <c r="F47" s="90"/>
      <c r="G47" s="90"/>
      <c r="H47" s="90"/>
      <c r="I47" s="129"/>
      <c r="J47" s="129"/>
      <c r="K47" s="129"/>
      <c r="M47" s="129"/>
    </row>
    <row r="48" spans="2:24" ht="15.75" x14ac:dyDescent="0.25">
      <c r="B48" s="90"/>
      <c r="C48" s="90"/>
      <c r="D48" s="90"/>
      <c r="E48" s="90"/>
      <c r="F48" s="90"/>
      <c r="G48" s="90"/>
      <c r="H48" s="90"/>
    </row>
    <row r="49" spans="2:8" ht="15.75" x14ac:dyDescent="0.25">
      <c r="B49" s="90"/>
      <c r="C49" s="90"/>
      <c r="D49" s="90"/>
      <c r="E49" s="90"/>
      <c r="F49" s="90"/>
      <c r="G49" s="90"/>
      <c r="H49" s="90"/>
    </row>
    <row r="50" spans="2:8" ht="15.75" x14ac:dyDescent="0.25">
      <c r="B50" s="90"/>
      <c r="C50" s="90"/>
      <c r="D50" s="90"/>
      <c r="E50" s="90"/>
      <c r="F50" s="90"/>
      <c r="G50" s="90"/>
      <c r="H50" s="90"/>
    </row>
    <row r="51" spans="2:8" ht="15.75" x14ac:dyDescent="0.25">
      <c r="B51" s="90"/>
      <c r="C51" s="90"/>
      <c r="D51" s="90"/>
      <c r="E51" s="90"/>
      <c r="F51" s="90"/>
      <c r="G51" s="90"/>
      <c r="H51" s="90"/>
    </row>
  </sheetData>
  <mergeCells count="6">
    <mergeCell ref="B2:E2"/>
    <mergeCell ref="B8:E8"/>
    <mergeCell ref="B7:E7"/>
    <mergeCell ref="B6:E6"/>
    <mergeCell ref="B5:E5"/>
    <mergeCell ref="B4:E4"/>
  </mergeCells>
  <phoneticPr fontId="7" type="noConversion"/>
  <pageMargins left="0.75" right="0.75" top="1.8" bottom="1" header="0.5" footer="0.5"/>
  <pageSetup scale="95" orientation="portrait" r:id="rId1"/>
  <headerFooter alignWithMargins="0">
    <oddHeader>&amp;R&amp;"Times New Roman,Bold"Exhibit E-1
Page 1 of 1</oddHeader>
    <oddFooter>&amp;L&amp;1#&amp;"Calibri"&amp;14&amp;K000000Confidential</oddFooter>
  </headerFooter>
  <customProperties>
    <customPr name="_pios_id" r:id="rId2"/>
  </customProperties>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3">
    <tabColor theme="3" tint="0.59999389629810485"/>
    <pageSetUpPr fitToPage="1"/>
  </sheetPr>
  <dimension ref="A1:N41"/>
  <sheetViews>
    <sheetView zoomScale="80" zoomScaleNormal="80" workbookViewId="0">
      <selection activeCell="H13" sqref="H13"/>
    </sheetView>
  </sheetViews>
  <sheetFormatPr defaultColWidth="8.88671875" defaultRowHeight="15.75" x14ac:dyDescent="0.25"/>
  <cols>
    <col min="1" max="1" width="8.88671875" style="3"/>
    <col min="2" max="2" width="10.6640625" style="3" customWidth="1"/>
    <col min="3" max="3" width="9.109375" style="3" customWidth="1"/>
    <col min="4" max="4" width="17.44140625" style="3" customWidth="1"/>
    <col min="5" max="5" width="13.21875" style="3" customWidth="1"/>
    <col min="6" max="6" width="13.44140625" style="3" bestFit="1" customWidth="1"/>
    <col min="7" max="8" width="11.21875" style="3" customWidth="1"/>
    <col min="9" max="9" width="12.44140625" style="3" customWidth="1"/>
    <col min="10" max="10" width="13.109375" style="3" bestFit="1" customWidth="1"/>
    <col min="11" max="11" width="14.5546875" style="3" customWidth="1"/>
    <col min="12" max="12" width="12.88671875" style="3" bestFit="1" customWidth="1"/>
    <col min="13" max="16384" width="8.88671875" style="3"/>
  </cols>
  <sheetData>
    <row r="1" spans="1:14" ht="18.75" x14ac:dyDescent="0.3">
      <c r="B1" s="762" t="s">
        <v>5</v>
      </c>
      <c r="C1" s="762"/>
      <c r="D1" s="762"/>
      <c r="E1" s="762"/>
      <c r="F1" s="762"/>
      <c r="G1" s="762"/>
      <c r="H1" s="762"/>
      <c r="I1" s="762"/>
      <c r="J1" s="762"/>
      <c r="K1" s="762"/>
    </row>
    <row r="2" spans="1:14" ht="18.75" x14ac:dyDescent="0.3">
      <c r="B2" s="749" t="s">
        <v>313</v>
      </c>
      <c r="C2" s="749"/>
      <c r="D2" s="749"/>
      <c r="E2" s="749"/>
      <c r="F2" s="749"/>
      <c r="G2" s="749"/>
      <c r="H2" s="749"/>
      <c r="I2" s="749"/>
      <c r="J2" s="749"/>
      <c r="K2" s="749"/>
    </row>
    <row r="3" spans="1:14" ht="18.75" x14ac:dyDescent="0.3">
      <c r="B3" s="749" t="str">
        <f>CONCATENATE("For Service Rendered On and After ",'Input Data'!$D$4)</f>
        <v>For Service Rendered On and After February 1, 2023</v>
      </c>
      <c r="C3" s="749"/>
      <c r="D3" s="749"/>
      <c r="E3" s="749"/>
      <c r="F3" s="749"/>
      <c r="G3" s="749"/>
      <c r="H3" s="749"/>
      <c r="I3" s="749"/>
      <c r="J3" s="749"/>
      <c r="K3" s="749"/>
    </row>
    <row r="5" spans="1:14" x14ac:dyDescent="0.25">
      <c r="C5" s="254"/>
      <c r="D5" s="254"/>
      <c r="E5" s="254"/>
      <c r="F5" s="451"/>
      <c r="G5" s="451"/>
      <c r="H5" s="451"/>
      <c r="I5" s="451"/>
      <c r="J5" s="451"/>
      <c r="K5" s="451"/>
      <c r="L5" s="254"/>
      <c r="M5" s="254"/>
      <c r="N5" s="254"/>
    </row>
    <row r="6" spans="1:14" x14ac:dyDescent="0.25">
      <c r="A6" s="16" t="s">
        <v>116</v>
      </c>
      <c r="B6" s="614" t="str">
        <f>VLOOKUP(B16,'Case Database'!$A$2:$F$200,3,FALSE)</f>
        <v>2021-00458</v>
      </c>
    </row>
    <row r="7" spans="1:14" ht="15.75" customHeight="1" x14ac:dyDescent="0.3">
      <c r="G7" s="625"/>
      <c r="L7" s="625" t="s">
        <v>595</v>
      </c>
    </row>
    <row r="8" spans="1:14" x14ac:dyDescent="0.25">
      <c r="B8" s="205"/>
      <c r="C8" s="205"/>
      <c r="D8" s="205"/>
      <c r="E8" s="205"/>
      <c r="F8" s="203"/>
      <c r="G8" s="205"/>
      <c r="H8" s="205"/>
      <c r="I8" s="205"/>
      <c r="J8" s="205"/>
      <c r="K8" s="205"/>
    </row>
    <row r="9" spans="1:14" x14ac:dyDescent="0.25">
      <c r="B9" s="205"/>
      <c r="C9" s="205"/>
      <c r="D9" s="819" t="s">
        <v>288</v>
      </c>
      <c r="E9" s="819"/>
      <c r="F9" s="819"/>
      <c r="G9" s="819" t="s">
        <v>289</v>
      </c>
      <c r="H9" s="819"/>
      <c r="I9" s="819"/>
      <c r="J9" s="206" t="s">
        <v>30</v>
      </c>
      <c r="K9" s="206"/>
    </row>
    <row r="10" spans="1:14" ht="16.5" customHeight="1" x14ac:dyDescent="0.25">
      <c r="A10" s="612" t="s">
        <v>321</v>
      </c>
      <c r="B10" s="205"/>
      <c r="C10" s="205"/>
      <c r="D10" s="206" t="s">
        <v>373</v>
      </c>
      <c r="E10" s="207" t="s">
        <v>114</v>
      </c>
      <c r="F10" s="207" t="s">
        <v>287</v>
      </c>
      <c r="G10" s="206" t="s">
        <v>90</v>
      </c>
      <c r="H10" s="206" t="s">
        <v>278</v>
      </c>
      <c r="I10" s="207" t="s">
        <v>287</v>
      </c>
      <c r="J10" s="206" t="s">
        <v>343</v>
      </c>
      <c r="K10" s="206"/>
    </row>
    <row r="11" spans="1:14" x14ac:dyDescent="0.25">
      <c r="A11" s="613" t="s">
        <v>322</v>
      </c>
      <c r="B11" s="208"/>
      <c r="C11" s="208"/>
      <c r="D11" s="209" t="s">
        <v>374</v>
      </c>
      <c r="E11" s="210" t="s">
        <v>285</v>
      </c>
      <c r="F11" s="210" t="s">
        <v>286</v>
      </c>
      <c r="G11" s="209" t="s">
        <v>278</v>
      </c>
      <c r="H11" s="209" t="s">
        <v>285</v>
      </c>
      <c r="I11" s="210" t="s">
        <v>286</v>
      </c>
      <c r="J11" s="209" t="s">
        <v>279</v>
      </c>
      <c r="K11" s="209" t="s">
        <v>302</v>
      </c>
    </row>
    <row r="12" spans="1:14" x14ac:dyDescent="0.25">
      <c r="A12" s="612"/>
      <c r="B12" s="205"/>
      <c r="C12" s="205"/>
      <c r="D12" s="211" t="s">
        <v>60</v>
      </c>
      <c r="E12" s="211" t="s">
        <v>61</v>
      </c>
      <c r="F12" s="211" t="s">
        <v>487</v>
      </c>
      <c r="G12" s="211" t="s">
        <v>63</v>
      </c>
      <c r="H12" s="211" t="s">
        <v>64</v>
      </c>
      <c r="I12" s="211" t="s">
        <v>484</v>
      </c>
      <c r="J12" s="211" t="s">
        <v>315</v>
      </c>
      <c r="K12" s="211" t="s">
        <v>316</v>
      </c>
    </row>
    <row r="13" spans="1:14" x14ac:dyDescent="0.25">
      <c r="A13" s="612"/>
      <c r="B13" s="205"/>
      <c r="C13" s="205"/>
    </row>
    <row r="14" spans="1:14" x14ac:dyDescent="0.25">
      <c r="A14" s="612">
        <v>1</v>
      </c>
      <c r="D14" s="212"/>
      <c r="E14" s="212"/>
      <c r="F14" s="213"/>
      <c r="G14" s="212"/>
      <c r="H14" s="212"/>
      <c r="I14" s="212"/>
      <c r="J14" s="214" t="s">
        <v>270</v>
      </c>
      <c r="K14" s="251">
        <f>'Input Data'!D199</f>
        <v>2402345</v>
      </c>
      <c r="L14" s="93"/>
    </row>
    <row r="15" spans="1:14" x14ac:dyDescent="0.25">
      <c r="A15" s="612"/>
      <c r="C15" s="214"/>
      <c r="D15" s="212"/>
      <c r="E15" s="212"/>
      <c r="F15" s="213"/>
      <c r="G15" s="212"/>
      <c r="H15" s="212"/>
      <c r="I15" s="212"/>
      <c r="J15" s="212"/>
      <c r="K15" s="215"/>
    </row>
    <row r="16" spans="1:14" x14ac:dyDescent="0.25">
      <c r="A16" s="612">
        <v>2</v>
      </c>
      <c r="B16" s="216">
        <f>'Input Data'!C11</f>
        <v>44593</v>
      </c>
      <c r="C16" s="216" t="s">
        <v>364</v>
      </c>
      <c r="D16" s="55">
        <f>VLOOKUP($B16,'Sales Volumes'!$A$1:$H$500,4,FALSE)</f>
        <v>2633655.2000000002</v>
      </c>
      <c r="E16" s="628">
        <f>'Input Data'!D200</f>
        <v>7.6700000000000004E-2</v>
      </c>
      <c r="F16" s="251">
        <f t="shared" ref="F16:F28" si="0">ROUND(D16*E16,2)</f>
        <v>202001.35</v>
      </c>
      <c r="G16" s="217">
        <f>VLOOKUP($B16,'Sales Volumes'!$A$1:$H$500,5,FALSE)</f>
        <v>54563.3</v>
      </c>
      <c r="H16" s="218">
        <f>'Input Data'!D201</f>
        <v>2.7699999999999999E-2</v>
      </c>
      <c r="I16" s="215">
        <f t="shared" ref="I16:I28" si="1">ROUND(G16*H16,2)</f>
        <v>1511.4</v>
      </c>
      <c r="J16" s="251">
        <f>+F16+I16</f>
        <v>203512.75</v>
      </c>
      <c r="K16" s="251">
        <f>+K14-J16</f>
        <v>2198832.25</v>
      </c>
      <c r="L16" s="215"/>
    </row>
    <row r="17" spans="1:11" x14ac:dyDescent="0.25">
      <c r="A17" s="612">
        <v>3</v>
      </c>
      <c r="B17" s="216">
        <f>EDATE(B16,1)</f>
        <v>44621</v>
      </c>
      <c r="C17" s="216"/>
      <c r="D17" s="55">
        <f>VLOOKUP($B17,'Sales Volumes'!$A$1:$H$500,2,FALSE)</f>
        <v>4334416.8</v>
      </c>
      <c r="E17" s="218">
        <f>$E$16</f>
        <v>7.6700000000000004E-2</v>
      </c>
      <c r="F17" s="251">
        <f t="shared" si="0"/>
        <v>332449.77</v>
      </c>
      <c r="G17" s="217">
        <f>VLOOKUP($B17,'Sales Volumes'!$A$1:$H$500,5,FALSE)</f>
        <v>68708.7</v>
      </c>
      <c r="H17" s="218">
        <f>$H$16</f>
        <v>2.7699999999999999E-2</v>
      </c>
      <c r="I17" s="215">
        <f t="shared" si="1"/>
        <v>1903.23</v>
      </c>
      <c r="J17" s="251">
        <f>+F17+I17</f>
        <v>334353</v>
      </c>
      <c r="K17" s="251">
        <f>+K16-J17</f>
        <v>1864479.25</v>
      </c>
    </row>
    <row r="18" spans="1:11" x14ac:dyDescent="0.25">
      <c r="A18" s="612">
        <v>4</v>
      </c>
      <c r="B18" s="216">
        <f t="shared" ref="B18:B28" si="2">EDATE(B17,1)</f>
        <v>44652</v>
      </c>
      <c r="C18" s="216"/>
      <c r="D18" s="55">
        <f>VLOOKUP($B18,'Sales Volumes'!$A$1:$H$500,2,FALSE)</f>
        <v>2797541.7</v>
      </c>
      <c r="E18" s="218">
        <f t="shared" ref="E18:E28" si="3">$E$16</f>
        <v>7.6700000000000004E-2</v>
      </c>
      <c r="F18" s="251">
        <f t="shared" si="0"/>
        <v>214571.45</v>
      </c>
      <c r="G18" s="217">
        <f>VLOOKUP($B18,'Sales Volumes'!$A$1:$H$500,5,FALSE)</f>
        <v>71265.7</v>
      </c>
      <c r="H18" s="218">
        <f t="shared" ref="H18:H28" si="4">$H$16</f>
        <v>2.7699999999999999E-2</v>
      </c>
      <c r="I18" s="215">
        <f t="shared" si="1"/>
        <v>1974.06</v>
      </c>
      <c r="J18" s="251">
        <f t="shared" ref="J18:J28" si="5">+F18+I18</f>
        <v>216545.51</v>
      </c>
      <c r="K18" s="251">
        <f>+K17-J18</f>
        <v>1647933.74</v>
      </c>
    </row>
    <row r="19" spans="1:11" x14ac:dyDescent="0.25">
      <c r="A19" s="612">
        <v>5</v>
      </c>
      <c r="B19" s="216">
        <f t="shared" si="2"/>
        <v>44682</v>
      </c>
      <c r="C19" s="216"/>
      <c r="D19" s="55">
        <f>VLOOKUP($B19,'Sales Volumes'!$A$1:$H$500,2,FALSE)</f>
        <v>1353023.2</v>
      </c>
      <c r="E19" s="218">
        <f t="shared" si="3"/>
        <v>7.6700000000000004E-2</v>
      </c>
      <c r="F19" s="251">
        <f t="shared" si="0"/>
        <v>103776.88</v>
      </c>
      <c r="G19" s="217">
        <f>VLOOKUP($B19,'Sales Volumes'!$A$1:$H$500,5,FALSE)</f>
        <v>35911.300000000003</v>
      </c>
      <c r="H19" s="218">
        <f t="shared" si="4"/>
        <v>2.7699999999999999E-2</v>
      </c>
      <c r="I19" s="215">
        <f t="shared" si="1"/>
        <v>994.74</v>
      </c>
      <c r="J19" s="251">
        <f t="shared" si="5"/>
        <v>104771.62000000001</v>
      </c>
      <c r="K19" s="251">
        <f t="shared" ref="K19:K27" si="6">+K18-J19</f>
        <v>1543162.1199999999</v>
      </c>
    </row>
    <row r="20" spans="1:11" x14ac:dyDescent="0.25">
      <c r="A20" s="612">
        <v>6</v>
      </c>
      <c r="B20" s="216">
        <f t="shared" si="2"/>
        <v>44713</v>
      </c>
      <c r="C20" s="216"/>
      <c r="D20" s="55">
        <f>VLOOKUP($B20,'Sales Volumes'!$A$1:$H$500,2,FALSE)</f>
        <v>781082.6</v>
      </c>
      <c r="E20" s="218">
        <f t="shared" si="3"/>
        <v>7.6700000000000004E-2</v>
      </c>
      <c r="F20" s="251">
        <f t="shared" si="0"/>
        <v>59909.04</v>
      </c>
      <c r="G20" s="217">
        <f>VLOOKUP($B20,'Sales Volumes'!$A$1:$H$500,5,FALSE)</f>
        <v>111368.9</v>
      </c>
      <c r="H20" s="218">
        <f t="shared" si="4"/>
        <v>2.7699999999999999E-2</v>
      </c>
      <c r="I20" s="215">
        <f t="shared" si="1"/>
        <v>3084.92</v>
      </c>
      <c r="J20" s="251">
        <f t="shared" si="5"/>
        <v>62993.96</v>
      </c>
      <c r="K20" s="251">
        <f t="shared" si="6"/>
        <v>1480168.16</v>
      </c>
    </row>
    <row r="21" spans="1:11" x14ac:dyDescent="0.25">
      <c r="A21" s="612">
        <v>7</v>
      </c>
      <c r="B21" s="216">
        <f t="shared" si="2"/>
        <v>44743</v>
      </c>
      <c r="C21" s="216"/>
      <c r="D21" s="55">
        <f>VLOOKUP($B21,'Sales Volumes'!$A$1:$H$500,2,FALSE)</f>
        <v>650186.6</v>
      </c>
      <c r="E21" s="218">
        <f t="shared" si="3"/>
        <v>7.6700000000000004E-2</v>
      </c>
      <c r="F21" s="251">
        <f t="shared" si="0"/>
        <v>49869.31</v>
      </c>
      <c r="G21" s="217">
        <f>VLOOKUP($B21,'Sales Volumes'!$A$1:$H$500,5,FALSE)</f>
        <v>63811.4</v>
      </c>
      <c r="H21" s="218">
        <f t="shared" si="4"/>
        <v>2.7699999999999999E-2</v>
      </c>
      <c r="I21" s="215">
        <f t="shared" si="1"/>
        <v>1767.58</v>
      </c>
      <c r="J21" s="251">
        <f t="shared" si="5"/>
        <v>51636.89</v>
      </c>
      <c r="K21" s="251">
        <f t="shared" si="6"/>
        <v>1428531.27</v>
      </c>
    </row>
    <row r="22" spans="1:11" x14ac:dyDescent="0.25">
      <c r="A22" s="612">
        <v>8</v>
      </c>
      <c r="B22" s="216">
        <f t="shared" si="2"/>
        <v>44774</v>
      </c>
      <c r="C22" s="216"/>
      <c r="D22" s="55">
        <f>VLOOKUP($B22,'Sales Volumes'!$A$1:$H$500,2,FALSE)</f>
        <v>633620</v>
      </c>
      <c r="E22" s="218">
        <f t="shared" si="3"/>
        <v>7.6700000000000004E-2</v>
      </c>
      <c r="F22" s="251">
        <f t="shared" si="0"/>
        <v>48598.65</v>
      </c>
      <c r="G22" s="217">
        <f>VLOOKUP($B22,'Sales Volumes'!$A$1:$H$500,5,FALSE)</f>
        <v>68067.100000000006</v>
      </c>
      <c r="H22" s="218">
        <f t="shared" si="4"/>
        <v>2.7699999999999999E-2</v>
      </c>
      <c r="I22" s="215">
        <f t="shared" si="1"/>
        <v>1885.46</v>
      </c>
      <c r="J22" s="251">
        <f t="shared" si="5"/>
        <v>50484.11</v>
      </c>
      <c r="K22" s="251">
        <f t="shared" si="6"/>
        <v>1378047.16</v>
      </c>
    </row>
    <row r="23" spans="1:11" x14ac:dyDescent="0.25">
      <c r="A23" s="612">
        <v>9</v>
      </c>
      <c r="B23" s="216">
        <f t="shared" si="2"/>
        <v>44805</v>
      </c>
      <c r="C23" s="216"/>
      <c r="D23" s="55">
        <f>VLOOKUP($B23,'Sales Volumes'!$A$1:$H$500,2,FALSE)</f>
        <v>649768.6</v>
      </c>
      <c r="E23" s="218">
        <f t="shared" si="3"/>
        <v>7.6700000000000004E-2</v>
      </c>
      <c r="F23" s="251">
        <f t="shared" si="0"/>
        <v>49837.25</v>
      </c>
      <c r="G23" s="217">
        <f>VLOOKUP($B23,'Sales Volumes'!$A$1:$H$500,5,FALSE)</f>
        <v>86338.7</v>
      </c>
      <c r="H23" s="218">
        <f t="shared" si="4"/>
        <v>2.7699999999999999E-2</v>
      </c>
      <c r="I23" s="215">
        <f t="shared" si="1"/>
        <v>2391.58</v>
      </c>
      <c r="J23" s="251">
        <f t="shared" si="5"/>
        <v>52228.83</v>
      </c>
      <c r="K23" s="251">
        <f t="shared" si="6"/>
        <v>1325818.3299999998</v>
      </c>
    </row>
    <row r="24" spans="1:11" x14ac:dyDescent="0.25">
      <c r="A24" s="612">
        <v>10</v>
      </c>
      <c r="B24" s="216">
        <f t="shared" si="2"/>
        <v>44835</v>
      </c>
      <c r="C24" s="216"/>
      <c r="D24" s="55">
        <f>VLOOKUP($B24,'Sales Volumes'!$A$1:$H$500,2,FALSE)</f>
        <v>1035494.7</v>
      </c>
      <c r="E24" s="218">
        <f t="shared" si="3"/>
        <v>7.6700000000000004E-2</v>
      </c>
      <c r="F24" s="251">
        <f t="shared" si="0"/>
        <v>79422.44</v>
      </c>
      <c r="G24" s="217">
        <f>VLOOKUP($B24,'Sales Volumes'!$A$1:$H$500,5,FALSE)</f>
        <v>80730.3</v>
      </c>
      <c r="H24" s="218">
        <f t="shared" si="4"/>
        <v>2.7699999999999999E-2</v>
      </c>
      <c r="I24" s="215">
        <f t="shared" si="1"/>
        <v>2236.23</v>
      </c>
      <c r="J24" s="251">
        <f t="shared" si="5"/>
        <v>81658.67</v>
      </c>
      <c r="K24" s="251">
        <f t="shared" si="6"/>
        <v>1244159.6599999999</v>
      </c>
    </row>
    <row r="25" spans="1:11" x14ac:dyDescent="0.25">
      <c r="A25" s="612">
        <v>11</v>
      </c>
      <c r="B25" s="216">
        <f t="shared" si="2"/>
        <v>44866</v>
      </c>
      <c r="C25" s="216"/>
      <c r="D25" s="55">
        <f>VLOOKUP($B25,'Sales Volumes'!$A$1:$H$500,2,FALSE)</f>
        <v>2117518.5</v>
      </c>
      <c r="E25" s="218">
        <f t="shared" si="3"/>
        <v>7.6700000000000004E-2</v>
      </c>
      <c r="F25" s="251">
        <f t="shared" si="0"/>
        <v>162413.67000000001</v>
      </c>
      <c r="G25" s="217">
        <f>VLOOKUP($B25,'Sales Volumes'!$A$1:$H$500,5,FALSE)</f>
        <v>0</v>
      </c>
      <c r="H25" s="218">
        <f t="shared" si="4"/>
        <v>2.7699999999999999E-2</v>
      </c>
      <c r="I25" s="215">
        <f t="shared" si="1"/>
        <v>0</v>
      </c>
      <c r="J25" s="251">
        <f t="shared" si="5"/>
        <v>162413.67000000001</v>
      </c>
      <c r="K25" s="251">
        <f t="shared" si="6"/>
        <v>1081745.99</v>
      </c>
    </row>
    <row r="26" spans="1:11" x14ac:dyDescent="0.25">
      <c r="A26" s="612">
        <v>12</v>
      </c>
      <c r="B26" s="216">
        <f t="shared" si="2"/>
        <v>44896</v>
      </c>
      <c r="C26" s="216"/>
      <c r="D26" s="55" t="e">
        <f>VLOOKUP($B26,'Sales Volumes'!$A$1:$H$500,2,FALSE)</f>
        <v>#N/A</v>
      </c>
      <c r="E26" s="218">
        <f t="shared" si="3"/>
        <v>7.6700000000000004E-2</v>
      </c>
      <c r="F26" s="251" t="e">
        <f t="shared" si="0"/>
        <v>#N/A</v>
      </c>
      <c r="G26" s="217" t="e">
        <f>VLOOKUP($B26,'Sales Volumes'!$A$1:$H$500,5,FALSE)</f>
        <v>#N/A</v>
      </c>
      <c r="H26" s="218">
        <f t="shared" si="4"/>
        <v>2.7699999999999999E-2</v>
      </c>
      <c r="I26" s="215" t="e">
        <f t="shared" si="1"/>
        <v>#N/A</v>
      </c>
      <c r="J26" s="251" t="e">
        <f t="shared" si="5"/>
        <v>#N/A</v>
      </c>
      <c r="K26" s="251" t="e">
        <f t="shared" si="6"/>
        <v>#N/A</v>
      </c>
    </row>
    <row r="27" spans="1:11" x14ac:dyDescent="0.25">
      <c r="A27" s="612">
        <v>13</v>
      </c>
      <c r="B27" s="216">
        <f t="shared" si="2"/>
        <v>44927</v>
      </c>
      <c r="C27" s="216"/>
      <c r="D27" s="55" t="e">
        <f>VLOOKUP($B27,'Sales Volumes'!$A$1:$H$500,2,FALSE)</f>
        <v>#N/A</v>
      </c>
      <c r="E27" s="218">
        <f t="shared" si="3"/>
        <v>7.6700000000000004E-2</v>
      </c>
      <c r="F27" s="251" t="e">
        <f t="shared" si="0"/>
        <v>#N/A</v>
      </c>
      <c r="G27" s="217" t="e">
        <f>VLOOKUP($B27,'Sales Volumes'!$A$1:$H$500,5,FALSE)</f>
        <v>#N/A</v>
      </c>
      <c r="H27" s="218">
        <f t="shared" si="4"/>
        <v>2.7699999999999999E-2</v>
      </c>
      <c r="I27" s="215" t="e">
        <f t="shared" si="1"/>
        <v>#N/A</v>
      </c>
      <c r="J27" s="251" t="e">
        <f t="shared" si="5"/>
        <v>#N/A</v>
      </c>
      <c r="K27" s="156" t="e">
        <f t="shared" si="6"/>
        <v>#N/A</v>
      </c>
    </row>
    <row r="28" spans="1:11" x14ac:dyDescent="0.25">
      <c r="A28" s="612">
        <v>14</v>
      </c>
      <c r="B28" s="216">
        <f t="shared" si="2"/>
        <v>44958</v>
      </c>
      <c r="C28" s="216" t="s">
        <v>364</v>
      </c>
      <c r="D28" s="55" t="e">
        <f>VLOOKUP($B28,'Sales Volumes'!$A$1:$H$500,3,FALSE)</f>
        <v>#N/A</v>
      </c>
      <c r="E28" s="218">
        <f t="shared" si="3"/>
        <v>7.6700000000000004E-2</v>
      </c>
      <c r="F28" s="252" t="e">
        <f t="shared" si="0"/>
        <v>#N/A</v>
      </c>
      <c r="G28" s="217"/>
      <c r="H28" s="218">
        <f t="shared" si="4"/>
        <v>2.7699999999999999E-2</v>
      </c>
      <c r="I28" s="219">
        <f t="shared" si="1"/>
        <v>0</v>
      </c>
      <c r="J28" s="252" t="e">
        <f t="shared" si="5"/>
        <v>#N/A</v>
      </c>
      <c r="K28" s="156" t="e">
        <f>K27-J28</f>
        <v>#N/A</v>
      </c>
    </row>
    <row r="29" spans="1:11" ht="16.5" thickBot="1" x14ac:dyDescent="0.3">
      <c r="A29" s="612"/>
      <c r="B29" s="220"/>
      <c r="C29" s="220"/>
      <c r="D29" s="221" t="e">
        <f>SUM(D16:D28)</f>
        <v>#N/A</v>
      </c>
      <c r="E29" s="222"/>
      <c r="F29" s="253" t="e">
        <f>SUM(F16:F28)</f>
        <v>#N/A</v>
      </c>
      <c r="G29" s="221" t="e">
        <f>SUM(G16:G28)</f>
        <v>#N/A</v>
      </c>
      <c r="H29" s="223"/>
      <c r="I29" s="253" t="e">
        <f>SUM(I16:I28)</f>
        <v>#N/A</v>
      </c>
      <c r="J29" s="253" t="e">
        <f>SUM(J16:J28)</f>
        <v>#N/A</v>
      </c>
      <c r="K29" s="253"/>
    </row>
    <row r="30" spans="1:11" ht="16.5" thickTop="1" x14ac:dyDescent="0.25">
      <c r="A30" s="612"/>
      <c r="B30" s="220"/>
      <c r="C30" s="220"/>
      <c r="D30" s="220"/>
      <c r="E30" s="220"/>
      <c r="F30" s="220"/>
      <c r="G30" s="220"/>
      <c r="H30" s="220"/>
    </row>
    <row r="31" spans="1:11" x14ac:dyDescent="0.25">
      <c r="A31" s="612">
        <v>15</v>
      </c>
      <c r="B31" s="220"/>
      <c r="C31" s="220"/>
      <c r="D31" s="220"/>
      <c r="E31" s="220"/>
      <c r="F31" s="220"/>
      <c r="G31" s="220"/>
      <c r="H31" s="220"/>
      <c r="I31" s="214" t="s">
        <v>441</v>
      </c>
      <c r="J31" s="156" t="e">
        <f>K28</f>
        <v>#N/A</v>
      </c>
    </row>
    <row r="32" spans="1:11" x14ac:dyDescent="0.25">
      <c r="B32" s="220"/>
      <c r="C32" s="220"/>
      <c r="D32" s="220"/>
      <c r="E32" s="220"/>
      <c r="F32" s="220"/>
      <c r="G32" s="220"/>
      <c r="H32" s="220"/>
      <c r="I32" s="220"/>
      <c r="J32" s="265"/>
      <c r="K32" s="220"/>
    </row>
    <row r="33" spans="2:11" x14ac:dyDescent="0.25">
      <c r="B33" s="220"/>
      <c r="C33" s="220"/>
    </row>
    <row r="34" spans="2:11" x14ac:dyDescent="0.25">
      <c r="B34" s="220"/>
      <c r="C34" s="220"/>
      <c r="I34" s="220"/>
      <c r="J34" s="220"/>
      <c r="K34" s="220"/>
    </row>
    <row r="35" spans="2:11" x14ac:dyDescent="0.25">
      <c r="B35" s="220"/>
      <c r="C35" s="220"/>
      <c r="I35" s="220"/>
      <c r="J35" s="220"/>
      <c r="K35" s="220"/>
    </row>
    <row r="36" spans="2:11" x14ac:dyDescent="0.25">
      <c r="B36" s="220"/>
      <c r="C36" s="220"/>
      <c r="I36" s="220"/>
      <c r="J36" s="220"/>
      <c r="K36" s="220"/>
    </row>
    <row r="37" spans="2:11" x14ac:dyDescent="0.25">
      <c r="B37" s="220"/>
      <c r="C37" s="220"/>
      <c r="D37" s="205" t="s">
        <v>280</v>
      </c>
      <c r="E37" s="205"/>
      <c r="F37" s="220"/>
      <c r="G37" s="220"/>
      <c r="H37" s="220"/>
      <c r="I37" s="220"/>
      <c r="J37" s="220"/>
      <c r="K37" s="220"/>
    </row>
    <row r="38" spans="2:11" x14ac:dyDescent="0.25">
      <c r="D38" s="220" t="s">
        <v>281</v>
      </c>
      <c r="E38" s="220"/>
      <c r="F38" s="220"/>
      <c r="G38" s="220"/>
      <c r="H38" s="220"/>
    </row>
    <row r="39" spans="2:11" x14ac:dyDescent="0.25">
      <c r="D39" s="220" t="s">
        <v>282</v>
      </c>
      <c r="E39" s="220"/>
      <c r="F39" s="220"/>
      <c r="G39" s="220"/>
      <c r="H39" s="220"/>
    </row>
    <row r="40" spans="2:11" x14ac:dyDescent="0.25">
      <c r="D40" s="220" t="s">
        <v>283</v>
      </c>
      <c r="E40" s="220"/>
      <c r="F40" s="220"/>
      <c r="G40" s="220"/>
      <c r="H40" s="220"/>
    </row>
    <row r="41" spans="2:11" x14ac:dyDescent="0.25">
      <c r="D41" s="220" t="s">
        <v>284</v>
      </c>
      <c r="E41" s="220"/>
      <c r="F41" s="220"/>
      <c r="G41" s="220"/>
      <c r="H41" s="220"/>
    </row>
  </sheetData>
  <mergeCells count="5">
    <mergeCell ref="B1:K1"/>
    <mergeCell ref="B2:K2"/>
    <mergeCell ref="D9:F9"/>
    <mergeCell ref="G9:I9"/>
    <mergeCell ref="B3:K3"/>
  </mergeCells>
  <printOptions horizontalCentered="1"/>
  <pageMargins left="0.63" right="0.63" top="1.49" bottom="0.75" header="0.3" footer="0.3"/>
  <pageSetup scale="76" orientation="landscape" r:id="rId1"/>
  <headerFooter>
    <oddFooter>&amp;R&amp;"Times New Roman,Bold"Exhibit E-1
Page 2 of 2&amp;L&amp;1#&amp;"Calibri"&amp;14&amp;K000000Confidential</oddFooter>
  </headerFooter>
  <customProperties>
    <customPr name="_pios_id" r:id="rId2"/>
  </customProperties>
  <legacyDrawing r:id="rId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8B1E5A-6613-463C-BC67-492A96D18776}">
  <sheetPr codeName="Sheet39">
    <tabColor rgb="FF00B050"/>
  </sheetPr>
  <dimension ref="B1:N17"/>
  <sheetViews>
    <sheetView zoomScaleNormal="100" workbookViewId="0"/>
  </sheetViews>
  <sheetFormatPr defaultColWidth="8.77734375" defaultRowHeight="15.75" x14ac:dyDescent="0.25"/>
  <cols>
    <col min="1" max="1" width="1.109375" style="6" customWidth="1"/>
    <col min="2" max="2" width="16.77734375" style="6" customWidth="1"/>
    <col min="3" max="3" width="1.6640625" style="6" customWidth="1"/>
    <col min="4" max="4" width="12.21875" style="6" customWidth="1"/>
    <col min="5" max="5" width="5.5546875" style="6" customWidth="1"/>
    <col min="6" max="6" width="1.6640625" style="6" customWidth="1"/>
    <col min="7" max="7" width="12.88671875" style="6" customWidth="1"/>
    <col min="8" max="8" width="5.5546875" style="6" customWidth="1"/>
    <col min="9" max="9" width="1.6640625" style="6" customWidth="1"/>
    <col min="10" max="10" width="13.21875" style="6" customWidth="1"/>
    <col min="11" max="11" width="5.5546875" style="6" customWidth="1"/>
    <col min="12" max="12" width="1.6640625" style="6" customWidth="1"/>
    <col min="13" max="13" width="13.88671875" style="6" customWidth="1"/>
    <col min="14" max="14" width="9.6640625" style="6" customWidth="1"/>
    <col min="15" max="15" width="1.109375" style="6" customWidth="1"/>
    <col min="16" max="16384" width="8.77734375" style="6"/>
  </cols>
  <sheetData>
    <row r="1" spans="2:14" x14ac:dyDescent="0.25">
      <c r="B1" s="766" t="s">
        <v>5</v>
      </c>
      <c r="C1" s="766"/>
      <c r="D1" s="766"/>
      <c r="E1" s="766"/>
      <c r="F1" s="766"/>
      <c r="G1" s="766"/>
      <c r="H1" s="766"/>
      <c r="I1" s="766"/>
      <c r="J1" s="766"/>
      <c r="K1" s="766"/>
      <c r="L1" s="766"/>
      <c r="M1" s="766"/>
      <c r="N1" s="766"/>
    </row>
    <row r="2" spans="2:14" x14ac:dyDescent="0.25">
      <c r="B2" s="569"/>
      <c r="C2" s="569"/>
      <c r="D2" s="569"/>
      <c r="E2" s="569"/>
      <c r="F2" s="569"/>
      <c r="G2" s="569"/>
      <c r="H2" s="569"/>
      <c r="I2" s="569"/>
      <c r="J2" s="569"/>
      <c r="K2" s="569"/>
      <c r="L2" s="569"/>
      <c r="M2" s="569"/>
      <c r="N2" s="569"/>
    </row>
    <row r="3" spans="2:14" x14ac:dyDescent="0.25">
      <c r="B3" s="766" t="str">
        <f>"Gas Supply Clause: " &amp;'Input Data'!C12</f>
        <v>Gas Supply Clause: 2022-00421</v>
      </c>
      <c r="C3" s="766"/>
      <c r="D3" s="766"/>
      <c r="E3" s="766"/>
      <c r="F3" s="766"/>
      <c r="G3" s="766"/>
      <c r="H3" s="766"/>
      <c r="I3" s="766"/>
      <c r="J3" s="766"/>
      <c r="K3" s="766"/>
      <c r="L3" s="766"/>
      <c r="M3" s="766"/>
      <c r="N3" s="766"/>
    </row>
    <row r="4" spans="2:14" x14ac:dyDescent="0.25">
      <c r="B4" s="766" t="s">
        <v>622</v>
      </c>
      <c r="C4" s="766"/>
      <c r="D4" s="766"/>
      <c r="E4" s="766"/>
      <c r="F4" s="766"/>
      <c r="G4" s="766"/>
      <c r="H4" s="766"/>
      <c r="I4" s="766"/>
      <c r="J4" s="766"/>
      <c r="K4" s="766"/>
      <c r="L4" s="766"/>
      <c r="M4" s="766"/>
      <c r="N4" s="766"/>
    </row>
    <row r="5" spans="2:14" x14ac:dyDescent="0.25">
      <c r="B5" s="766" t="s">
        <v>623</v>
      </c>
      <c r="C5" s="766"/>
      <c r="D5" s="766"/>
      <c r="E5" s="766"/>
      <c r="F5" s="766"/>
      <c r="G5" s="766"/>
      <c r="H5" s="766"/>
      <c r="I5" s="766"/>
      <c r="J5" s="766"/>
      <c r="K5" s="766"/>
      <c r="L5" s="766"/>
      <c r="M5" s="766"/>
      <c r="N5" s="766"/>
    </row>
    <row r="7" spans="2:14" s="658" customFormat="1" ht="83.25" customHeight="1" x14ac:dyDescent="0.25">
      <c r="B7" s="814" t="s">
        <v>696</v>
      </c>
      <c r="C7" s="814"/>
      <c r="D7" s="814"/>
      <c r="E7" s="814"/>
      <c r="F7" s="814"/>
      <c r="G7" s="814"/>
      <c r="H7" s="814"/>
      <c r="I7" s="814"/>
      <c r="J7" s="814"/>
      <c r="K7" s="814"/>
      <c r="L7" s="814"/>
      <c r="M7" s="814"/>
      <c r="N7" s="814"/>
    </row>
    <row r="9" spans="2:14" ht="31.5" customHeight="1" x14ac:dyDescent="0.25">
      <c r="B9" s="790" t="str">
        <f>"As shown in the following table, the charge (or credit) which will be effective for any customers transferring from an LG&amp;E sales rate to one of its transportation rates effective " &amp;'Input Data'!B212</f>
        <v>As shown in the following table, the charge (or credit) which will be effective for any customers transferring from an LG&amp;E sales rate to one of its transportation rates effective November 1, 2021 and November 1, 2022 is:</v>
      </c>
      <c r="C9" s="790"/>
      <c r="D9" s="790"/>
      <c r="E9" s="790"/>
      <c r="F9" s="790"/>
      <c r="G9" s="790"/>
      <c r="H9" s="790"/>
      <c r="I9" s="790"/>
      <c r="J9" s="790"/>
      <c r="K9" s="790"/>
      <c r="L9" s="790"/>
      <c r="M9" s="790"/>
      <c r="N9" s="790"/>
    </row>
    <row r="10" spans="2:14" ht="15.6" customHeight="1" x14ac:dyDescent="0.25">
      <c r="B10" s="656"/>
      <c r="C10" s="656"/>
      <c r="D10" s="656"/>
      <c r="E10" s="656"/>
      <c r="F10" s="656"/>
      <c r="G10" s="656"/>
      <c r="H10" s="656"/>
      <c r="I10" s="656"/>
      <c r="J10" s="656"/>
      <c r="K10" s="656"/>
      <c r="L10" s="656"/>
      <c r="M10" s="656"/>
      <c r="N10" s="656"/>
    </row>
    <row r="11" spans="2:14" ht="15.6" customHeight="1" x14ac:dyDescent="0.25">
      <c r="B11" s="656"/>
      <c r="C11" s="656"/>
      <c r="D11" s="656"/>
      <c r="E11" s="656"/>
      <c r="F11" s="656"/>
      <c r="G11" s="656"/>
      <c r="H11" s="656"/>
      <c r="I11" s="656"/>
      <c r="J11" s="656"/>
      <c r="K11" s="656"/>
      <c r="L11" s="656"/>
      <c r="M11" s="656"/>
      <c r="N11" s="656"/>
    </row>
    <row r="12" spans="2:14" ht="15.6" customHeight="1" x14ac:dyDescent="0.25">
      <c r="B12" s="656"/>
      <c r="C12" s="656"/>
      <c r="D12" s="656"/>
      <c r="E12" s="656"/>
      <c r="F12" s="656"/>
      <c r="G12" s="656"/>
      <c r="H12" s="656"/>
      <c r="I12" s="656"/>
      <c r="J12" s="656"/>
      <c r="K12" s="656"/>
      <c r="L12" s="656"/>
      <c r="M12" s="656"/>
      <c r="N12" s="656"/>
    </row>
    <row r="13" spans="2:14" ht="36" customHeight="1" x14ac:dyDescent="0.25">
      <c r="B13" s="571" t="s">
        <v>331</v>
      </c>
      <c r="C13" s="319"/>
      <c r="D13" s="820" t="s">
        <v>624</v>
      </c>
      <c r="E13" s="820"/>
      <c r="F13" s="572"/>
      <c r="G13" s="820" t="s">
        <v>626</v>
      </c>
      <c r="H13" s="820"/>
      <c r="I13" s="572"/>
      <c r="J13" s="820" t="s">
        <v>627</v>
      </c>
      <c r="K13" s="820"/>
      <c r="L13" s="572"/>
      <c r="M13" s="821" t="s">
        <v>30</v>
      </c>
      <c r="N13" s="821"/>
    </row>
    <row r="15" spans="2:14" x14ac:dyDescent="0.25">
      <c r="B15" s="599">
        <f>'Ex F-1 1 of 1'!B15</f>
        <v>44501</v>
      </c>
      <c r="D15" s="616">
        <f>'Ex F-1 1 of 1'!C15</f>
        <v>0</v>
      </c>
      <c r="E15" s="615" t="s">
        <v>625</v>
      </c>
      <c r="F15" s="615"/>
      <c r="G15" s="616">
        <f>'Ex F-1 1 of 1'!D15</f>
        <v>1.35E-2</v>
      </c>
      <c r="H15" s="615" t="s">
        <v>625</v>
      </c>
      <c r="I15" s="615"/>
      <c r="J15" s="616">
        <f>'Ex F-1 1 of 1'!E15</f>
        <v>0</v>
      </c>
      <c r="K15" s="615" t="s">
        <v>625</v>
      </c>
      <c r="L15" s="615"/>
      <c r="M15" s="616">
        <f>'Ex F-1 1 of 1'!F15</f>
        <v>1.35E-2</v>
      </c>
      <c r="N15" s="615" t="s">
        <v>625</v>
      </c>
    </row>
    <row r="16" spans="2:14" x14ac:dyDescent="0.25">
      <c r="B16" s="599"/>
    </row>
    <row r="17" spans="2:14" x14ac:dyDescent="0.25">
      <c r="B17" s="599">
        <f>'Ex F-1 1 of 1'!B17</f>
        <v>44866</v>
      </c>
      <c r="D17" s="616">
        <f>'Ex F-1 1 of 1'!C17</f>
        <v>0.77439999999999998</v>
      </c>
      <c r="E17" s="615" t="s">
        <v>625</v>
      </c>
      <c r="F17" s="615"/>
      <c r="G17" s="616">
        <f>'Ex F-1 1 of 1'!D17</f>
        <v>1.35E-2</v>
      </c>
      <c r="H17" s="615" t="s">
        <v>625</v>
      </c>
      <c r="I17" s="615"/>
      <c r="J17" s="616">
        <f>'Ex F-1 1 of 1'!E17</f>
        <v>0.16220000000000001</v>
      </c>
      <c r="K17" s="615" t="s">
        <v>625</v>
      </c>
      <c r="L17" s="615"/>
      <c r="M17" s="616">
        <f>'Ex F-1 1 of 1'!F17</f>
        <v>0.95009999999999994</v>
      </c>
      <c r="N17" s="615" t="s">
        <v>625</v>
      </c>
    </row>
  </sheetData>
  <mergeCells count="10">
    <mergeCell ref="D13:E13"/>
    <mergeCell ref="G13:H13"/>
    <mergeCell ref="J13:K13"/>
    <mergeCell ref="M13:N13"/>
    <mergeCell ref="B7:N7"/>
    <mergeCell ref="B3:N3"/>
    <mergeCell ref="B4:N4"/>
    <mergeCell ref="B5:N5"/>
    <mergeCell ref="B1:N1"/>
    <mergeCell ref="B9:N9"/>
  </mergeCells>
  <pageMargins left="0.7" right="0.7" top="0.75" bottom="0.75" header="0.3" footer="0.3"/>
  <pageSetup scale="72" orientation="portrait" r:id="rId1"/>
  <headerFooter>
    <oddHeader xml:space="preserve">&amp;R&amp;"Times New Roman,Bold"Exhibit F&amp;"Helv,Bold"
</oddHeader>
    <oddFooter>&amp;L&amp;1#&amp;"Calibri"&amp;14&amp;K000000Confidential</oddFooter>
  </headerFooter>
  <customProperties>
    <customPr name="_pios_id" r:id="rId2"/>
  </customPropertie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4">
    <tabColor theme="3" tint="0.59999389629810485"/>
  </sheetPr>
  <dimension ref="A1:P21"/>
  <sheetViews>
    <sheetView zoomScale="80" zoomScaleNormal="80" workbookViewId="0"/>
  </sheetViews>
  <sheetFormatPr defaultColWidth="8.88671875" defaultRowHeight="15.75" x14ac:dyDescent="0.25"/>
  <cols>
    <col min="1" max="1" width="8.88671875" style="3"/>
    <col min="2" max="2" width="26.109375" style="3" customWidth="1"/>
    <col min="3" max="3" width="14.44140625" style="3" customWidth="1"/>
    <col min="4" max="4" width="12.21875" style="3" customWidth="1"/>
    <col min="5" max="5" width="13.44140625" style="3" customWidth="1"/>
    <col min="6" max="6" width="12.5546875" style="3" customWidth="1"/>
    <col min="7" max="11" width="8.88671875" style="3"/>
    <col min="12" max="12" width="10.33203125" style="3" customWidth="1"/>
    <col min="13" max="16384" width="8.88671875" style="3"/>
  </cols>
  <sheetData>
    <row r="1" spans="1:16" ht="18.75" x14ac:dyDescent="0.3">
      <c r="B1" s="822" t="s">
        <v>5</v>
      </c>
      <c r="C1" s="822"/>
      <c r="D1" s="822"/>
      <c r="E1" s="822"/>
      <c r="F1" s="822"/>
    </row>
    <row r="2" spans="1:16" ht="18.75" x14ac:dyDescent="0.3">
      <c r="B2" s="176"/>
      <c r="C2" s="176"/>
      <c r="D2" s="176"/>
      <c r="E2" s="176"/>
      <c r="F2" s="176"/>
    </row>
    <row r="3" spans="1:16" ht="18.75" x14ac:dyDescent="0.3">
      <c r="B3" s="749" t="str">
        <f>CONCATENATE("Gas Supply Clause ", 'Input Data'!C12)</f>
        <v>Gas Supply Clause 2022-00421</v>
      </c>
      <c r="C3" s="749"/>
      <c r="D3" s="749"/>
      <c r="E3" s="749"/>
      <c r="F3" s="749"/>
    </row>
    <row r="4" spans="1:16" ht="18.75" x14ac:dyDescent="0.3">
      <c r="B4" s="749" t="s">
        <v>329</v>
      </c>
      <c r="C4" s="749"/>
      <c r="D4" s="749"/>
      <c r="E4" s="749"/>
      <c r="F4" s="749"/>
    </row>
    <row r="5" spans="1:16" ht="18.75" x14ac:dyDescent="0.3">
      <c r="B5" s="749" t="s">
        <v>330</v>
      </c>
      <c r="C5" s="749"/>
      <c r="D5" s="749"/>
      <c r="E5" s="749"/>
      <c r="F5" s="749"/>
    </row>
    <row r="6" spans="1:16" ht="18.75" x14ac:dyDescent="0.3">
      <c r="B6" s="749" t="str">
        <f>CONCATENATE("For Service Rendered On and After ",'Input Data'!$D$4)</f>
        <v>For Service Rendered On and After February 1, 2023</v>
      </c>
      <c r="C6" s="749"/>
      <c r="D6" s="749"/>
      <c r="E6" s="749"/>
      <c r="F6" s="749"/>
    </row>
    <row r="7" spans="1:16" x14ac:dyDescent="0.25">
      <c r="B7" s="692"/>
      <c r="C7" s="692"/>
      <c r="D7" s="692"/>
      <c r="E7" s="692"/>
      <c r="F7" s="692"/>
    </row>
    <row r="8" spans="1:16" x14ac:dyDescent="0.25">
      <c r="B8" s="692"/>
      <c r="C8" s="692"/>
      <c r="D8" s="692"/>
      <c r="E8" s="692"/>
      <c r="F8" s="692"/>
    </row>
    <row r="9" spans="1:16" x14ac:dyDescent="0.25">
      <c r="B9" s="692"/>
      <c r="C9" s="692"/>
      <c r="D9" s="692"/>
      <c r="E9" s="692"/>
      <c r="F9" s="692"/>
    </row>
    <row r="11" spans="1:16" ht="31.5" x14ac:dyDescent="0.25">
      <c r="A11" s="692"/>
      <c r="C11" s="108" t="s">
        <v>469</v>
      </c>
      <c r="D11" s="108" t="s">
        <v>469</v>
      </c>
      <c r="E11" s="108" t="s">
        <v>469</v>
      </c>
      <c r="I11" s="254"/>
      <c r="J11" s="254"/>
      <c r="K11" s="254"/>
      <c r="L11" s="254"/>
      <c r="M11" s="254"/>
      <c r="N11" s="254"/>
      <c r="O11" s="254"/>
      <c r="P11" s="254"/>
    </row>
    <row r="12" spans="1:16" x14ac:dyDescent="0.25">
      <c r="A12" s="694" t="s">
        <v>247</v>
      </c>
      <c r="B12" s="694" t="s">
        <v>331</v>
      </c>
      <c r="C12" s="694" t="s">
        <v>467</v>
      </c>
      <c r="D12" s="694" t="s">
        <v>468</v>
      </c>
      <c r="E12" s="694" t="s">
        <v>332</v>
      </c>
      <c r="F12" s="694" t="s">
        <v>333</v>
      </c>
      <c r="H12" s="254"/>
      <c r="I12" s="254"/>
      <c r="J12" s="254"/>
      <c r="K12" s="254"/>
      <c r="L12" s="254"/>
      <c r="M12" s="254"/>
      <c r="N12" s="254"/>
      <c r="O12" s="254"/>
      <c r="P12" s="254"/>
    </row>
    <row r="13" spans="1:16" x14ac:dyDescent="0.25">
      <c r="A13" s="692"/>
      <c r="B13" s="692" t="s">
        <v>60</v>
      </c>
      <c r="C13" s="692" t="s">
        <v>61</v>
      </c>
      <c r="D13" s="692" t="s">
        <v>62</v>
      </c>
      <c r="E13" s="692" t="s">
        <v>63</v>
      </c>
      <c r="F13" s="692" t="s">
        <v>488</v>
      </c>
      <c r="H13" s="254"/>
      <c r="I13" s="254"/>
      <c r="J13" s="254"/>
      <c r="K13" s="254"/>
      <c r="L13" s="254"/>
      <c r="M13" s="254"/>
      <c r="N13" s="254"/>
      <c r="O13" s="254"/>
      <c r="P13" s="254"/>
    </row>
    <row r="14" spans="1:16" x14ac:dyDescent="0.25">
      <c r="A14" s="692"/>
      <c r="I14" s="254"/>
      <c r="J14" s="254"/>
      <c r="K14" s="254"/>
      <c r="L14" s="254"/>
      <c r="M14" s="254"/>
      <c r="N14" s="254"/>
      <c r="O14" s="254"/>
      <c r="P14" s="254"/>
    </row>
    <row r="15" spans="1:16" x14ac:dyDescent="0.25">
      <c r="A15" s="692">
        <v>1</v>
      </c>
      <c r="B15" s="629">
        <f>'Input Data'!B208</f>
        <v>44501</v>
      </c>
      <c r="C15" s="158">
        <f>'Input Data'!C208</f>
        <v>0</v>
      </c>
      <c r="D15" s="158">
        <f>'Input Data'!D208</f>
        <v>1.35E-2</v>
      </c>
      <c r="E15" s="158">
        <f>'Input Data'!E208</f>
        <v>0</v>
      </c>
      <c r="F15" s="158">
        <f>SUM(C15:E15)</f>
        <v>1.35E-2</v>
      </c>
      <c r="I15" s="254"/>
      <c r="J15" s="254"/>
      <c r="K15" s="254"/>
      <c r="L15" s="254"/>
      <c r="M15" s="254"/>
      <c r="N15" s="254"/>
      <c r="O15" s="254"/>
      <c r="P15" s="254"/>
    </row>
    <row r="16" spans="1:16" x14ac:dyDescent="0.25">
      <c r="A16" s="692"/>
      <c r="B16" s="692"/>
      <c r="C16" s="158"/>
      <c r="D16" s="158"/>
      <c r="E16" s="158"/>
      <c r="F16" s="158"/>
      <c r="I16" s="254"/>
      <c r="J16" s="254"/>
      <c r="K16" s="254"/>
      <c r="L16" s="254"/>
      <c r="M16" s="254"/>
      <c r="N16" s="254"/>
      <c r="O16" s="254"/>
      <c r="P16" s="254"/>
    </row>
    <row r="17" spans="1:16" x14ac:dyDescent="0.25">
      <c r="A17" s="692">
        <v>2</v>
      </c>
      <c r="B17" s="629">
        <f>'Input Data'!B209</f>
        <v>44866</v>
      </c>
      <c r="C17" s="158">
        <f>'Input Data'!C209</f>
        <v>0.77439999999999998</v>
      </c>
      <c r="D17" s="158">
        <f>'Input Data'!D209</f>
        <v>1.35E-2</v>
      </c>
      <c r="E17" s="158">
        <f>'Input Data'!E209</f>
        <v>0.16220000000000001</v>
      </c>
      <c r="F17" s="158">
        <f>SUM(C17:E17)</f>
        <v>0.95009999999999994</v>
      </c>
      <c r="I17" s="254"/>
      <c r="J17" s="254"/>
      <c r="K17" s="254"/>
      <c r="L17" s="254"/>
      <c r="M17" s="254"/>
      <c r="N17" s="254"/>
      <c r="O17" s="254"/>
      <c r="P17" s="254"/>
    </row>
    <row r="18" spans="1:16" x14ac:dyDescent="0.25">
      <c r="A18" s="692"/>
      <c r="C18" s="190"/>
      <c r="D18" s="190"/>
      <c r="E18" s="190"/>
      <c r="F18" s="190"/>
      <c r="I18" s="254"/>
      <c r="J18" s="254"/>
      <c r="K18" s="254"/>
      <c r="L18" s="254"/>
      <c r="M18" s="254"/>
      <c r="N18" s="254"/>
      <c r="O18" s="254"/>
      <c r="P18" s="254"/>
    </row>
    <row r="19" spans="1:16" x14ac:dyDescent="0.25">
      <c r="A19" s="692"/>
      <c r="I19" s="254"/>
      <c r="J19" s="254"/>
      <c r="K19" s="254"/>
      <c r="L19" s="254"/>
      <c r="M19" s="254"/>
      <c r="N19" s="254"/>
      <c r="O19" s="254"/>
      <c r="P19" s="254"/>
    </row>
    <row r="20" spans="1:16" x14ac:dyDescent="0.25">
      <c r="A20" s="692"/>
      <c r="I20" s="254"/>
      <c r="J20" s="254"/>
      <c r="K20" s="254"/>
      <c r="L20" s="254"/>
      <c r="M20" s="254"/>
      <c r="N20" s="254"/>
      <c r="O20" s="254"/>
      <c r="P20" s="254"/>
    </row>
    <row r="21" spans="1:16" x14ac:dyDescent="0.25">
      <c r="A21" s="692"/>
      <c r="B21" s="299"/>
      <c r="I21" s="254"/>
      <c r="J21" s="254"/>
      <c r="K21" s="254"/>
      <c r="L21" s="254"/>
      <c r="M21" s="254"/>
      <c r="N21" s="254"/>
      <c r="O21" s="254"/>
      <c r="P21" s="254"/>
    </row>
  </sheetData>
  <mergeCells count="5">
    <mergeCell ref="B3:F3"/>
    <mergeCell ref="B4:F4"/>
    <mergeCell ref="B5:F5"/>
    <mergeCell ref="B1:F1"/>
    <mergeCell ref="B6:F6"/>
  </mergeCells>
  <pageMargins left="0.7" right="0.7" top="0.75" bottom="0.75" header="0.3" footer="0.3"/>
  <pageSetup scale="86" orientation="portrait" r:id="rId1"/>
  <headerFooter>
    <oddHeader>&amp;R&amp;"Times New Roman,Bold"Exhibit F-1
Page 1 of 1</oddHeader>
    <oddFooter>&amp;L&amp;1#&amp;"Calibri"&amp;14&amp;K000000Confidential</oddFooter>
  </headerFooter>
  <customProperties>
    <customPr name="_pios_id" r:id="rId2"/>
  </customPropertie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ransitionEvaluation="1" codeName="Sheet16">
    <tabColor theme="3" tint="0.59999389629810485"/>
  </sheetPr>
  <dimension ref="A1:S167"/>
  <sheetViews>
    <sheetView zoomScale="80" zoomScaleNormal="80" zoomScaleSheetLayoutView="80" workbookViewId="0"/>
  </sheetViews>
  <sheetFormatPr defaultColWidth="9.77734375" defaultRowHeight="15.75" x14ac:dyDescent="0.25"/>
  <cols>
    <col min="1" max="1" width="6.77734375" style="3" customWidth="1"/>
    <col min="2" max="2" width="9.77734375" style="3"/>
    <col min="3" max="3" width="4.33203125" style="3" customWidth="1"/>
    <col min="4" max="4" width="25.6640625" style="3" customWidth="1"/>
    <col min="5" max="5" width="10.88671875" style="3" customWidth="1"/>
    <col min="6" max="6" width="3.77734375" style="3" customWidth="1"/>
    <col min="7" max="7" width="14.21875" style="3" customWidth="1"/>
    <col min="8" max="8" width="3.5546875" style="3" customWidth="1"/>
    <col min="9" max="9" width="12.21875" style="3" customWidth="1"/>
    <col min="10" max="10" width="3.5546875" style="3" customWidth="1"/>
    <col min="11" max="11" width="12.21875" style="3" customWidth="1"/>
    <col min="12" max="12" width="3.44140625" style="3" customWidth="1"/>
    <col min="13" max="13" width="14.77734375" style="3" customWidth="1"/>
    <col min="14" max="14" width="3.33203125" style="3" customWidth="1"/>
    <col min="15" max="15" width="11.77734375" style="3" customWidth="1"/>
    <col min="16" max="16" width="4" style="3" customWidth="1"/>
    <col min="17" max="17" width="13.33203125" style="3" customWidth="1"/>
    <col min="18" max="18" width="4" style="3" customWidth="1"/>
    <col min="19" max="19" width="9.77734375" style="3"/>
    <col min="20" max="20" width="3.77734375" style="3" customWidth="1"/>
    <col min="21" max="16384" width="9.77734375" style="3"/>
  </cols>
  <sheetData>
    <row r="1" spans="1:19" x14ac:dyDescent="0.25">
      <c r="A1" s="224" t="s">
        <v>5</v>
      </c>
      <c r="B1" s="225"/>
      <c r="C1" s="225"/>
      <c r="D1" s="225"/>
      <c r="E1" s="225"/>
      <c r="F1" s="225"/>
      <c r="G1" s="225"/>
      <c r="H1" s="225"/>
      <c r="I1" s="225"/>
      <c r="J1" s="225"/>
      <c r="K1" s="225"/>
      <c r="L1" s="225"/>
      <c r="M1" s="225"/>
      <c r="N1" s="225"/>
      <c r="O1" s="225"/>
      <c r="P1" s="225"/>
      <c r="Q1" s="225"/>
      <c r="R1" s="225"/>
      <c r="S1" s="225"/>
    </row>
    <row r="2" spans="1:19" x14ac:dyDescent="0.25">
      <c r="A2" s="51"/>
      <c r="B2" s="225"/>
      <c r="C2" s="225"/>
      <c r="D2" s="225"/>
      <c r="E2" s="225"/>
      <c r="F2" s="225"/>
      <c r="G2" s="225"/>
      <c r="H2" s="225"/>
      <c r="I2" s="225"/>
      <c r="J2" s="225"/>
      <c r="K2" s="225"/>
      <c r="L2" s="225"/>
      <c r="M2" s="225"/>
      <c r="N2" s="225"/>
      <c r="O2" s="225"/>
      <c r="P2" s="225"/>
      <c r="Q2" s="225"/>
      <c r="R2" s="225"/>
      <c r="S2" s="225"/>
    </row>
    <row r="3" spans="1:19" x14ac:dyDescent="0.25">
      <c r="A3" s="51" t="s">
        <v>730</v>
      </c>
      <c r="B3" s="51"/>
      <c r="C3" s="51"/>
      <c r="D3" s="51"/>
      <c r="E3" s="51"/>
      <c r="F3" s="51"/>
      <c r="G3" s="51"/>
      <c r="H3" s="51"/>
      <c r="I3" s="51"/>
      <c r="J3" s="51"/>
      <c r="K3" s="51"/>
      <c r="L3" s="51"/>
      <c r="M3" s="51"/>
      <c r="N3" s="51"/>
      <c r="O3" s="51"/>
      <c r="P3" s="51"/>
      <c r="Q3" s="51"/>
      <c r="R3" s="51"/>
      <c r="S3" s="51"/>
    </row>
    <row r="4" spans="1:19" x14ac:dyDescent="0.25">
      <c r="A4" s="51" t="s">
        <v>202</v>
      </c>
      <c r="B4" s="51"/>
      <c r="C4" s="51"/>
      <c r="D4" s="51"/>
      <c r="E4" s="51"/>
      <c r="F4" s="51"/>
      <c r="G4" s="51"/>
      <c r="H4" s="51"/>
      <c r="I4" s="51"/>
      <c r="J4" s="51"/>
      <c r="K4" s="51"/>
      <c r="L4" s="51"/>
      <c r="M4" s="51"/>
      <c r="N4" s="51"/>
      <c r="O4" s="51"/>
      <c r="P4" s="51"/>
      <c r="Q4" s="51"/>
      <c r="R4" s="51"/>
      <c r="S4" s="51"/>
    </row>
    <row r="5" spans="1:19" x14ac:dyDescent="0.25">
      <c r="A5" s="823" t="str">
        <f>CONCATENATE('Input Data'!D4," through ",'Input Data'!D5)</f>
        <v>February 1, 2023 through April 30, 2023</v>
      </c>
      <c r="B5" s="823"/>
      <c r="C5" s="823"/>
      <c r="D5" s="823"/>
      <c r="E5" s="823"/>
      <c r="F5" s="823"/>
      <c r="G5" s="823"/>
      <c r="H5" s="823"/>
      <c r="I5" s="823"/>
      <c r="J5" s="823"/>
      <c r="K5" s="823"/>
      <c r="L5" s="823"/>
      <c r="M5" s="823"/>
      <c r="N5" s="823"/>
      <c r="O5" s="823"/>
      <c r="P5" s="823"/>
      <c r="Q5" s="823"/>
      <c r="R5" s="823"/>
      <c r="S5" s="823"/>
    </row>
    <row r="6" spans="1:19" x14ac:dyDescent="0.25">
      <c r="A6" s="16"/>
    </row>
    <row r="7" spans="1:19" x14ac:dyDescent="0.25">
      <c r="A7" s="16"/>
    </row>
    <row r="8" spans="1:19" x14ac:dyDescent="0.25">
      <c r="A8" s="2"/>
      <c r="B8" s="2"/>
      <c r="C8" s="2"/>
      <c r="D8" s="2"/>
      <c r="E8" s="2"/>
      <c r="F8" s="2"/>
      <c r="G8" s="2"/>
      <c r="H8" s="2"/>
      <c r="I8" s="824" t="s">
        <v>128</v>
      </c>
      <c r="J8" s="824"/>
      <c r="K8" s="824"/>
      <c r="L8" s="824"/>
      <c r="M8" s="824"/>
      <c r="N8" s="824"/>
      <c r="O8" s="824"/>
      <c r="P8" s="824"/>
      <c r="Q8" s="824"/>
      <c r="R8" s="824"/>
      <c r="S8" s="824"/>
    </row>
    <row r="9" spans="1:19" x14ac:dyDescent="0.25">
      <c r="A9" s="2"/>
      <c r="B9" s="2"/>
      <c r="C9" s="2"/>
      <c r="D9" s="2"/>
      <c r="E9" s="2"/>
      <c r="F9" s="2"/>
      <c r="G9" s="2"/>
      <c r="H9" s="2"/>
      <c r="I9" s="2"/>
      <c r="J9" s="2"/>
      <c r="K9" s="2"/>
      <c r="L9" s="2"/>
      <c r="M9" s="2"/>
      <c r="N9" s="2"/>
      <c r="O9" s="2"/>
      <c r="P9" s="2"/>
      <c r="Q9" s="2"/>
      <c r="R9" s="2"/>
      <c r="S9" s="2"/>
    </row>
    <row r="10" spans="1:19" x14ac:dyDescent="0.25">
      <c r="A10" s="2"/>
      <c r="B10" s="2"/>
      <c r="C10" s="2"/>
      <c r="D10" s="2"/>
      <c r="E10" s="2"/>
      <c r="F10" s="2"/>
      <c r="G10" s="324" t="s">
        <v>449</v>
      </c>
      <c r="H10" s="2"/>
      <c r="I10" s="2"/>
      <c r="J10" s="2"/>
      <c r="K10" s="2"/>
      <c r="L10" s="2"/>
      <c r="M10" s="2"/>
      <c r="N10" s="2"/>
      <c r="O10" s="2"/>
      <c r="P10" s="2"/>
      <c r="Q10" s="324" t="s">
        <v>449</v>
      </c>
      <c r="R10" s="2"/>
      <c r="S10" s="2"/>
    </row>
    <row r="11" spans="1:19" x14ac:dyDescent="0.25">
      <c r="A11" s="2"/>
      <c r="B11" s="2"/>
      <c r="C11" s="2"/>
      <c r="D11" s="2"/>
      <c r="E11" s="324" t="s">
        <v>228</v>
      </c>
      <c r="F11" s="2"/>
      <c r="G11" s="699" t="s">
        <v>129</v>
      </c>
      <c r="H11" s="324"/>
      <c r="I11" s="324" t="s">
        <v>157</v>
      </c>
      <c r="J11" s="324"/>
      <c r="K11" s="136" t="s">
        <v>129</v>
      </c>
      <c r="L11" s="2"/>
      <c r="M11" s="324" t="s">
        <v>130</v>
      </c>
      <c r="N11" s="2"/>
      <c r="O11" s="324" t="s">
        <v>131</v>
      </c>
      <c r="P11" s="324"/>
      <c r="Q11" s="324" t="s">
        <v>565</v>
      </c>
      <c r="R11" s="324"/>
      <c r="S11" s="2"/>
    </row>
    <row r="12" spans="1:19" x14ac:dyDescent="0.25">
      <c r="A12" s="2"/>
      <c r="B12" s="2"/>
      <c r="C12" s="2"/>
      <c r="D12" s="2"/>
      <c r="E12" s="324" t="s">
        <v>132</v>
      </c>
      <c r="F12" s="2"/>
      <c r="G12" s="324" t="s">
        <v>132</v>
      </c>
      <c r="H12" s="324"/>
      <c r="I12" s="324" t="s">
        <v>132</v>
      </c>
      <c r="J12" s="324"/>
      <c r="K12" s="324" t="s">
        <v>133</v>
      </c>
      <c r="L12" s="2"/>
      <c r="M12" s="324" t="s">
        <v>134</v>
      </c>
      <c r="N12" s="2"/>
      <c r="O12" s="324" t="s">
        <v>135</v>
      </c>
      <c r="P12" s="324"/>
      <c r="Q12" s="324" t="s">
        <v>564</v>
      </c>
      <c r="R12" s="324"/>
      <c r="S12" s="2"/>
    </row>
    <row r="13" spans="1:19" x14ac:dyDescent="0.25">
      <c r="A13" s="2"/>
      <c r="B13" s="2"/>
      <c r="C13" s="2"/>
      <c r="D13" s="2"/>
      <c r="E13" s="135" t="s">
        <v>602</v>
      </c>
      <c r="F13" s="2"/>
      <c r="G13" s="137" t="s">
        <v>136</v>
      </c>
      <c r="H13" s="697"/>
      <c r="I13" s="137" t="s">
        <v>139</v>
      </c>
      <c r="J13" s="697"/>
      <c r="K13" s="135" t="s">
        <v>137</v>
      </c>
      <c r="L13" s="2"/>
      <c r="M13" s="135" t="s">
        <v>138</v>
      </c>
      <c r="N13" s="2"/>
      <c r="O13" s="137" t="s">
        <v>139</v>
      </c>
      <c r="P13" s="697"/>
      <c r="Q13" s="137" t="s">
        <v>139</v>
      </c>
      <c r="R13" s="697"/>
      <c r="S13" s="135" t="s">
        <v>140</v>
      </c>
    </row>
    <row r="14" spans="1:19" x14ac:dyDescent="0.25">
      <c r="A14" s="2"/>
      <c r="B14" s="2"/>
      <c r="C14" s="2"/>
      <c r="D14" s="2"/>
      <c r="E14" s="2"/>
      <c r="F14" s="2"/>
      <c r="G14" s="2"/>
      <c r="H14" s="2"/>
      <c r="I14" s="2"/>
      <c r="J14" s="2"/>
      <c r="K14" s="2"/>
      <c r="L14" s="2"/>
      <c r="M14" s="2"/>
      <c r="N14" s="2"/>
      <c r="O14" s="2"/>
      <c r="P14" s="2"/>
      <c r="Q14" s="2"/>
      <c r="R14" s="2"/>
      <c r="S14" s="2"/>
    </row>
    <row r="15" spans="1:19" x14ac:dyDescent="0.25">
      <c r="A15" s="136" t="s">
        <v>747</v>
      </c>
      <c r="B15" s="2"/>
      <c r="C15" s="2"/>
      <c r="D15" s="2"/>
      <c r="E15" s="2"/>
      <c r="F15" s="2"/>
      <c r="G15" s="2"/>
      <c r="H15" s="2"/>
      <c r="I15" s="2"/>
      <c r="J15" s="2"/>
      <c r="K15" s="226"/>
      <c r="L15" s="2"/>
      <c r="M15" s="2"/>
      <c r="N15" s="2"/>
      <c r="O15" s="2"/>
      <c r="P15" s="2"/>
      <c r="Q15" s="2"/>
      <c r="R15" s="2"/>
      <c r="S15" s="2"/>
    </row>
    <row r="16" spans="1:19" x14ac:dyDescent="0.25">
      <c r="A16" s="2"/>
      <c r="B16" s="136" t="s">
        <v>227</v>
      </c>
      <c r="C16" s="2"/>
      <c r="D16" s="2"/>
      <c r="E16" s="227">
        <v>0.65</v>
      </c>
      <c r="F16" s="2"/>
      <c r="G16" s="227">
        <v>1.39</v>
      </c>
      <c r="H16" s="2"/>
      <c r="I16" s="2"/>
      <c r="J16" s="2"/>
      <c r="K16" s="226"/>
      <c r="L16" s="2"/>
      <c r="M16" s="2"/>
      <c r="N16" s="2"/>
      <c r="O16" s="226"/>
      <c r="P16" s="226"/>
      <c r="Q16" s="226"/>
      <c r="R16" s="226"/>
      <c r="S16" s="2"/>
    </row>
    <row r="17" spans="1:19" x14ac:dyDescent="0.25">
      <c r="A17" s="2"/>
      <c r="B17" s="136" t="s">
        <v>141</v>
      </c>
      <c r="C17" s="2"/>
      <c r="D17" s="2"/>
      <c r="E17" s="227"/>
      <c r="F17" s="2"/>
      <c r="G17" s="2"/>
      <c r="H17" s="2"/>
      <c r="I17" s="226"/>
      <c r="J17" s="2"/>
      <c r="K17" s="226">
        <v>0.51809000000000005</v>
      </c>
      <c r="L17" s="2"/>
      <c r="M17" s="226">
        <f>'Summary Sheet'!K59</f>
        <v>0.77037999999999995</v>
      </c>
      <c r="N17" s="2"/>
      <c r="O17" s="226">
        <v>4.2199999999999998E-3</v>
      </c>
      <c r="P17" s="226"/>
      <c r="Q17" s="226">
        <v>2.5600000000000002E-3</v>
      </c>
      <c r="R17" s="226"/>
      <c r="S17" s="226">
        <f>SUM(K17:R17)</f>
        <v>1.2952499999999998</v>
      </c>
    </row>
    <row r="18" spans="1:19" x14ac:dyDescent="0.25">
      <c r="A18" s="2"/>
      <c r="B18" s="2"/>
      <c r="C18" s="2"/>
      <c r="D18" s="2"/>
      <c r="E18" s="227"/>
      <c r="F18" s="2"/>
      <c r="G18" s="2"/>
      <c r="H18" s="2"/>
      <c r="I18" s="2"/>
      <c r="J18" s="2"/>
      <c r="K18" s="226"/>
      <c r="L18" s="2"/>
      <c r="M18" s="226"/>
      <c r="N18" s="2"/>
      <c r="O18" s="228"/>
      <c r="P18" s="228"/>
      <c r="Q18" s="228"/>
      <c r="R18" s="228"/>
      <c r="S18" s="226"/>
    </row>
    <row r="19" spans="1:19" x14ac:dyDescent="0.25">
      <c r="A19" s="2"/>
      <c r="B19" s="2"/>
      <c r="C19" s="2"/>
      <c r="D19" s="2"/>
      <c r="E19" s="227"/>
      <c r="F19" s="2"/>
      <c r="G19" s="2"/>
      <c r="H19" s="2"/>
      <c r="I19" s="2"/>
      <c r="J19" s="2"/>
      <c r="K19" s="226"/>
      <c r="L19" s="2"/>
      <c r="M19" s="226"/>
      <c r="N19" s="2"/>
      <c r="O19" s="228"/>
      <c r="P19" s="228"/>
      <c r="Q19" s="228"/>
      <c r="R19" s="228"/>
      <c r="S19" s="226"/>
    </row>
    <row r="20" spans="1:19" x14ac:dyDescent="0.25">
      <c r="A20" s="136" t="s">
        <v>142</v>
      </c>
      <c r="B20" s="2"/>
      <c r="C20" s="2"/>
      <c r="D20" s="2" t="s">
        <v>143</v>
      </c>
      <c r="E20" s="227"/>
      <c r="F20" s="2"/>
      <c r="G20" s="2"/>
      <c r="H20" s="2"/>
      <c r="I20" s="2"/>
      <c r="J20" s="2"/>
      <c r="K20" s="226"/>
      <c r="L20" s="2"/>
      <c r="M20" s="226"/>
      <c r="N20" s="2"/>
      <c r="O20" s="228"/>
      <c r="P20" s="228"/>
      <c r="Q20" s="228"/>
      <c r="R20" s="228"/>
      <c r="S20" s="226"/>
    </row>
    <row r="21" spans="1:19" x14ac:dyDescent="0.25">
      <c r="A21" s="2"/>
      <c r="B21" s="136" t="s">
        <v>227</v>
      </c>
      <c r="C21" s="2"/>
      <c r="D21" s="2"/>
      <c r="E21" s="227">
        <v>2.2999999999999998</v>
      </c>
      <c r="F21" s="2"/>
      <c r="G21" s="227">
        <v>6.91</v>
      </c>
      <c r="H21" s="2"/>
      <c r="I21" s="2"/>
      <c r="J21" s="2"/>
      <c r="K21" s="226"/>
      <c r="L21" s="2"/>
      <c r="M21" s="226"/>
      <c r="N21" s="2"/>
      <c r="O21" s="228"/>
      <c r="P21" s="228"/>
      <c r="Q21" s="228"/>
      <c r="R21" s="228"/>
      <c r="S21" s="226"/>
    </row>
    <row r="22" spans="1:19" x14ac:dyDescent="0.25">
      <c r="A22" s="136" t="s">
        <v>144</v>
      </c>
      <c r="B22" s="2"/>
      <c r="C22" s="2"/>
      <c r="D22" s="2"/>
      <c r="E22" s="227"/>
      <c r="F22" s="2"/>
      <c r="G22" s="2"/>
      <c r="H22" s="2"/>
      <c r="I22" s="2"/>
      <c r="J22" s="2"/>
      <c r="K22" s="226"/>
      <c r="L22" s="2"/>
      <c r="M22" s="226"/>
      <c r="N22" s="2"/>
      <c r="O22" s="228"/>
      <c r="P22" s="228"/>
      <c r="Q22" s="228"/>
      <c r="R22" s="228"/>
      <c r="S22" s="226"/>
    </row>
    <row r="23" spans="1:19" x14ac:dyDescent="0.25">
      <c r="A23" s="2"/>
      <c r="B23" s="136" t="s">
        <v>145</v>
      </c>
      <c r="C23" s="2"/>
      <c r="D23" s="2"/>
      <c r="E23" s="227"/>
      <c r="F23" s="2"/>
      <c r="G23" s="2"/>
      <c r="H23" s="2"/>
      <c r="I23" s="226"/>
      <c r="J23" s="2"/>
      <c r="K23" s="226">
        <v>0.38950000000000001</v>
      </c>
      <c r="L23" s="2"/>
      <c r="M23" s="226">
        <f>$M$17</f>
        <v>0.77037999999999995</v>
      </c>
      <c r="N23" s="2"/>
      <c r="O23" s="226">
        <v>1.09E-3</v>
      </c>
      <c r="P23" s="226"/>
      <c r="Q23" s="226">
        <v>2.0400000000000001E-3</v>
      </c>
      <c r="R23" s="226"/>
      <c r="S23" s="226">
        <f>SUM(K23:R23)</f>
        <v>1.1630100000000001</v>
      </c>
    </row>
    <row r="24" spans="1:19" x14ac:dyDescent="0.25">
      <c r="A24" s="2"/>
      <c r="B24" s="136" t="s">
        <v>146</v>
      </c>
      <c r="C24" s="2"/>
      <c r="D24" s="2"/>
      <c r="E24" s="227"/>
      <c r="F24" s="2"/>
      <c r="G24" s="2"/>
      <c r="H24" s="2"/>
      <c r="I24" s="226"/>
      <c r="J24" s="2"/>
      <c r="K24" s="226">
        <f>K23-0.05</f>
        <v>0.33950000000000002</v>
      </c>
      <c r="L24" s="2"/>
      <c r="M24" s="226">
        <f>$M$17</f>
        <v>0.77037999999999995</v>
      </c>
      <c r="N24" s="2"/>
      <c r="O24" s="226">
        <f>+O23</f>
        <v>1.09E-3</v>
      </c>
      <c r="P24" s="226"/>
      <c r="Q24" s="226">
        <f>+Q23</f>
        <v>2.0400000000000001E-3</v>
      </c>
      <c r="R24" s="226"/>
      <c r="S24" s="226">
        <f>SUM(K24:R24)</f>
        <v>1.1130100000000001</v>
      </c>
    </row>
    <row r="25" spans="1:19" x14ac:dyDescent="0.25">
      <c r="A25" s="136" t="s">
        <v>147</v>
      </c>
      <c r="B25" s="2"/>
      <c r="C25" s="2"/>
      <c r="D25" s="2"/>
      <c r="E25" s="227"/>
      <c r="F25" s="2"/>
      <c r="G25" s="2"/>
      <c r="H25" s="2"/>
      <c r="I25" s="2"/>
      <c r="J25" s="2"/>
      <c r="K25" s="226"/>
      <c r="L25" s="2"/>
      <c r="M25" s="226"/>
      <c r="N25" s="2"/>
      <c r="O25" s="226"/>
      <c r="P25" s="226"/>
      <c r="Q25" s="226"/>
      <c r="R25" s="226"/>
      <c r="S25" s="226"/>
    </row>
    <row r="26" spans="1:19" x14ac:dyDescent="0.25">
      <c r="A26" s="2"/>
      <c r="B26" s="136" t="s">
        <v>141</v>
      </c>
      <c r="C26" s="2"/>
      <c r="D26" s="2"/>
      <c r="E26" s="227"/>
      <c r="F26" s="2"/>
      <c r="G26" s="2"/>
      <c r="H26" s="2"/>
      <c r="I26" s="226"/>
      <c r="J26" s="2"/>
      <c r="K26" s="226">
        <f>K23</f>
        <v>0.38950000000000001</v>
      </c>
      <c r="L26" s="2"/>
      <c r="M26" s="226">
        <f>$M$17</f>
        <v>0.77037999999999995</v>
      </c>
      <c r="N26" s="2"/>
      <c r="O26" s="226">
        <f>+O23</f>
        <v>1.09E-3</v>
      </c>
      <c r="P26" s="226"/>
      <c r="Q26" s="226">
        <f>+Q23</f>
        <v>2.0400000000000001E-3</v>
      </c>
      <c r="R26" s="226"/>
      <c r="S26" s="226">
        <f>SUM(K26:R26)</f>
        <v>1.1630100000000001</v>
      </c>
    </row>
    <row r="27" spans="1:19" x14ac:dyDescent="0.25">
      <c r="A27" s="2"/>
      <c r="B27" s="2"/>
      <c r="C27" s="2"/>
      <c r="D27" s="2"/>
      <c r="E27" s="227"/>
      <c r="F27" s="2"/>
      <c r="G27" s="2"/>
      <c r="H27" s="2"/>
      <c r="I27" s="2"/>
      <c r="J27" s="2"/>
      <c r="K27" s="226"/>
      <c r="L27" s="2"/>
      <c r="M27" s="226"/>
      <c r="N27" s="2"/>
      <c r="O27" s="228"/>
      <c r="P27" s="228"/>
      <c r="Q27" s="228"/>
      <c r="R27" s="228"/>
      <c r="S27" s="226"/>
    </row>
    <row r="28" spans="1:19" x14ac:dyDescent="0.25">
      <c r="A28" s="2"/>
      <c r="B28" s="2"/>
      <c r="C28" s="2"/>
      <c r="D28" s="2"/>
      <c r="E28" s="227"/>
      <c r="F28" s="2"/>
      <c r="G28" s="2"/>
      <c r="H28" s="2"/>
      <c r="I28" s="2"/>
      <c r="J28" s="2"/>
      <c r="K28" s="226"/>
      <c r="L28" s="2"/>
      <c r="M28" s="226"/>
      <c r="N28" s="2"/>
      <c r="O28" s="228"/>
      <c r="P28" s="228"/>
      <c r="Q28" s="228"/>
      <c r="R28" s="228"/>
      <c r="S28" s="226"/>
    </row>
    <row r="29" spans="1:19" x14ac:dyDescent="0.25">
      <c r="A29" s="136" t="s">
        <v>142</v>
      </c>
      <c r="B29" s="2"/>
      <c r="C29" s="2"/>
      <c r="D29" s="2" t="s">
        <v>148</v>
      </c>
      <c r="E29" s="227"/>
      <c r="F29" s="2"/>
      <c r="G29" s="2"/>
      <c r="H29" s="2"/>
      <c r="I29" s="2"/>
      <c r="J29" s="2"/>
      <c r="K29" s="226"/>
      <c r="L29" s="2"/>
      <c r="M29" s="226"/>
      <c r="N29" s="2"/>
      <c r="O29" s="228"/>
      <c r="P29" s="228"/>
      <c r="Q29" s="228"/>
      <c r="R29" s="228"/>
      <c r="S29" s="226"/>
    </row>
    <row r="30" spans="1:19" x14ac:dyDescent="0.25">
      <c r="A30" s="2"/>
      <c r="B30" s="136" t="s">
        <v>227</v>
      </c>
      <c r="C30" s="2"/>
      <c r="D30" s="2"/>
      <c r="E30" s="227">
        <v>11</v>
      </c>
      <c r="F30" s="2"/>
      <c r="G30" s="227">
        <f>G21</f>
        <v>6.91</v>
      </c>
      <c r="H30" s="2"/>
      <c r="I30" s="2"/>
      <c r="J30" s="2"/>
      <c r="K30" s="226"/>
      <c r="L30" s="2"/>
      <c r="M30" s="226"/>
      <c r="N30" s="2"/>
      <c r="O30" s="228"/>
      <c r="P30" s="228"/>
      <c r="Q30" s="228"/>
      <c r="R30" s="228"/>
      <c r="S30" s="226"/>
    </row>
    <row r="31" spans="1:19" x14ac:dyDescent="0.25">
      <c r="A31" s="136" t="s">
        <v>144</v>
      </c>
      <c r="B31" s="2"/>
      <c r="C31" s="2"/>
      <c r="D31" s="2"/>
      <c r="E31" s="227"/>
      <c r="F31" s="2"/>
      <c r="G31" s="2"/>
      <c r="H31" s="2"/>
      <c r="I31" s="2"/>
      <c r="J31" s="2"/>
      <c r="K31" s="226"/>
      <c r="L31" s="2"/>
      <c r="M31" s="226"/>
      <c r="N31" s="2"/>
      <c r="O31" s="228"/>
      <c r="P31" s="228"/>
      <c r="Q31" s="228"/>
      <c r="R31" s="228"/>
      <c r="S31" s="226"/>
    </row>
    <row r="32" spans="1:19" x14ac:dyDescent="0.25">
      <c r="A32" s="2"/>
      <c r="B32" s="136" t="s">
        <v>145</v>
      </c>
      <c r="C32" s="2"/>
      <c r="D32" s="2"/>
      <c r="E32" s="227"/>
      <c r="F32" s="2"/>
      <c r="G32" s="2"/>
      <c r="H32" s="2"/>
      <c r="I32" s="226"/>
      <c r="J32" s="2"/>
      <c r="K32" s="226">
        <f>+K23</f>
        <v>0.38950000000000001</v>
      </c>
      <c r="L32" s="2"/>
      <c r="M32" s="226">
        <f>$M$17</f>
        <v>0.77037999999999995</v>
      </c>
      <c r="N32" s="2"/>
      <c r="O32" s="226">
        <f>+O23</f>
        <v>1.09E-3</v>
      </c>
      <c r="P32" s="226"/>
      <c r="Q32" s="226">
        <f>+Q23</f>
        <v>2.0400000000000001E-3</v>
      </c>
      <c r="R32" s="226"/>
      <c r="S32" s="226">
        <f>SUM(K32:R32)</f>
        <v>1.1630100000000001</v>
      </c>
    </row>
    <row r="33" spans="1:19" x14ac:dyDescent="0.25">
      <c r="A33" s="2"/>
      <c r="B33" s="136" t="s">
        <v>146</v>
      </c>
      <c r="C33" s="2"/>
      <c r="D33" s="2"/>
      <c r="E33" s="227"/>
      <c r="F33" s="2"/>
      <c r="G33" s="2"/>
      <c r="H33" s="2"/>
      <c r="I33" s="226"/>
      <c r="J33" s="2"/>
      <c r="K33" s="226">
        <f>+K24</f>
        <v>0.33950000000000002</v>
      </c>
      <c r="L33" s="2"/>
      <c r="M33" s="226">
        <f>$M$17</f>
        <v>0.77037999999999995</v>
      </c>
      <c r="N33" s="2"/>
      <c r="O33" s="226">
        <f>+O23</f>
        <v>1.09E-3</v>
      </c>
      <c r="P33" s="226"/>
      <c r="Q33" s="226">
        <f>+Q23</f>
        <v>2.0400000000000001E-3</v>
      </c>
      <c r="R33" s="226"/>
      <c r="S33" s="226">
        <f>SUM(K33:R33)</f>
        <v>1.1130100000000001</v>
      </c>
    </row>
    <row r="34" spans="1:19" x14ac:dyDescent="0.25">
      <c r="A34" s="136" t="s">
        <v>147</v>
      </c>
      <c r="B34" s="2"/>
      <c r="C34" s="2"/>
      <c r="D34" s="2"/>
      <c r="E34" s="227"/>
      <c r="F34" s="2"/>
      <c r="G34" s="2"/>
      <c r="H34" s="2"/>
      <c r="I34" s="2"/>
      <c r="J34" s="2"/>
      <c r="K34" s="226"/>
      <c r="L34" s="2"/>
      <c r="M34" s="226"/>
      <c r="N34" s="2"/>
      <c r="O34" s="226"/>
      <c r="P34" s="226"/>
      <c r="Q34" s="226"/>
      <c r="R34" s="226"/>
      <c r="S34" s="226"/>
    </row>
    <row r="35" spans="1:19" x14ac:dyDescent="0.25">
      <c r="A35" s="2"/>
      <c r="B35" s="136" t="s">
        <v>141</v>
      </c>
      <c r="C35" s="2"/>
      <c r="D35" s="2"/>
      <c r="E35" s="227"/>
      <c r="F35" s="2"/>
      <c r="G35" s="2"/>
      <c r="H35" s="2"/>
      <c r="I35" s="226"/>
      <c r="J35" s="2"/>
      <c r="K35" s="226">
        <f>+K26</f>
        <v>0.38950000000000001</v>
      </c>
      <c r="L35" s="2"/>
      <c r="M35" s="226">
        <f>$M$17</f>
        <v>0.77037999999999995</v>
      </c>
      <c r="N35" s="2"/>
      <c r="O35" s="226">
        <f>+O23</f>
        <v>1.09E-3</v>
      </c>
      <c r="P35" s="226"/>
      <c r="Q35" s="226">
        <f>+Q23</f>
        <v>2.0400000000000001E-3</v>
      </c>
      <c r="R35" s="226"/>
      <c r="S35" s="226">
        <f>SUM(K35:R35)</f>
        <v>1.1630100000000001</v>
      </c>
    </row>
    <row r="36" spans="1:19" x14ac:dyDescent="0.25">
      <c r="A36" s="2"/>
      <c r="B36" s="2"/>
      <c r="C36" s="2"/>
      <c r="D36" s="2"/>
      <c r="E36" s="227"/>
      <c r="F36" s="2"/>
      <c r="G36" s="2"/>
      <c r="H36" s="2"/>
      <c r="I36" s="2"/>
      <c r="J36" s="2"/>
      <c r="K36" s="226"/>
      <c r="L36" s="2"/>
      <c r="M36" s="226"/>
      <c r="N36" s="2"/>
      <c r="O36" s="226"/>
      <c r="P36" s="226"/>
      <c r="Q36" s="226"/>
      <c r="R36" s="226"/>
      <c r="S36" s="226"/>
    </row>
    <row r="37" spans="1:19" x14ac:dyDescent="0.25">
      <c r="A37" s="2"/>
      <c r="B37" s="2"/>
      <c r="C37" s="2"/>
      <c r="D37" s="2"/>
      <c r="E37" s="227"/>
      <c r="F37" s="2"/>
      <c r="G37" s="2"/>
      <c r="H37" s="2"/>
      <c r="I37" s="2"/>
      <c r="J37" s="2"/>
      <c r="K37" s="226"/>
      <c r="L37" s="2"/>
      <c r="M37" s="226"/>
      <c r="N37" s="2"/>
      <c r="O37" s="228"/>
      <c r="P37" s="228"/>
      <c r="Q37" s="228"/>
      <c r="R37" s="228"/>
      <c r="S37" s="226"/>
    </row>
    <row r="38" spans="1:19" x14ac:dyDescent="0.25">
      <c r="A38" s="136" t="s">
        <v>149</v>
      </c>
      <c r="B38" s="2"/>
      <c r="C38" s="2"/>
      <c r="D38" s="2" t="s">
        <v>150</v>
      </c>
      <c r="E38" s="227"/>
      <c r="F38" s="2"/>
      <c r="G38" s="2"/>
      <c r="H38" s="2"/>
      <c r="I38" s="2"/>
      <c r="J38" s="2"/>
      <c r="K38" s="226"/>
      <c r="L38" s="2"/>
      <c r="M38" s="226"/>
      <c r="N38" s="2"/>
      <c r="O38" s="228"/>
      <c r="P38" s="228"/>
      <c r="Q38" s="228"/>
      <c r="R38" s="228"/>
      <c r="S38" s="226"/>
    </row>
    <row r="39" spans="1:19" x14ac:dyDescent="0.25">
      <c r="A39" s="2"/>
      <c r="B39" s="136" t="s">
        <v>227</v>
      </c>
      <c r="C39" s="2"/>
      <c r="D39" s="2"/>
      <c r="E39" s="227">
        <v>5.42</v>
      </c>
      <c r="F39" s="2"/>
      <c r="G39" s="227">
        <v>94.58</v>
      </c>
      <c r="H39" s="2"/>
      <c r="I39" s="2"/>
      <c r="J39" s="2"/>
      <c r="K39" s="226"/>
      <c r="L39" s="2"/>
      <c r="M39" s="226"/>
      <c r="N39" s="2"/>
      <c r="O39" s="228"/>
      <c r="P39" s="228"/>
      <c r="Q39" s="228"/>
      <c r="R39" s="228"/>
      <c r="S39" s="226"/>
    </row>
    <row r="40" spans="1:19" x14ac:dyDescent="0.25">
      <c r="A40" s="136" t="s">
        <v>144</v>
      </c>
      <c r="B40" s="2"/>
      <c r="C40" s="2"/>
      <c r="D40" s="2"/>
      <c r="E40" s="227"/>
      <c r="F40" s="2"/>
      <c r="G40" s="2"/>
      <c r="H40" s="2"/>
      <c r="I40" s="2"/>
      <c r="J40" s="2"/>
      <c r="K40" s="226"/>
      <c r="L40" s="2"/>
      <c r="M40" s="226"/>
      <c r="N40" s="2"/>
      <c r="O40" s="228"/>
      <c r="P40" s="228"/>
      <c r="Q40" s="228"/>
      <c r="R40" s="228"/>
      <c r="S40" s="226"/>
    </row>
    <row r="41" spans="1:19" x14ac:dyDescent="0.25">
      <c r="A41" s="2"/>
      <c r="B41" s="136" t="s">
        <v>145</v>
      </c>
      <c r="C41" s="2"/>
      <c r="D41" s="2"/>
      <c r="E41" s="227"/>
      <c r="F41" s="2"/>
      <c r="G41" s="2"/>
      <c r="H41" s="2"/>
      <c r="I41" s="226"/>
      <c r="J41" s="2"/>
      <c r="K41" s="226">
        <v>0.27023000000000003</v>
      </c>
      <c r="L41" s="2"/>
      <c r="M41" s="226">
        <f>$M$17</f>
        <v>0.77037999999999995</v>
      </c>
      <c r="N41" s="2"/>
      <c r="O41" s="226">
        <f>O35</f>
        <v>1.09E-3</v>
      </c>
      <c r="P41" s="226"/>
      <c r="Q41" s="226">
        <v>1.32E-3</v>
      </c>
      <c r="R41" s="226"/>
      <c r="S41" s="226">
        <f>SUM(K41:R41)</f>
        <v>1.0430200000000001</v>
      </c>
    </row>
    <row r="42" spans="1:19" x14ac:dyDescent="0.25">
      <c r="A42" s="2"/>
      <c r="B42" s="136" t="s">
        <v>146</v>
      </c>
      <c r="C42" s="2"/>
      <c r="D42" s="2"/>
      <c r="E42" s="227"/>
      <c r="F42" s="2"/>
      <c r="G42" s="2"/>
      <c r="H42" s="2"/>
      <c r="I42" s="226"/>
      <c r="J42" s="2"/>
      <c r="K42" s="226">
        <f>+K41-0.05</f>
        <v>0.22023000000000004</v>
      </c>
      <c r="L42" s="2"/>
      <c r="M42" s="226">
        <f>$M$17</f>
        <v>0.77037999999999995</v>
      </c>
      <c r="N42" s="2"/>
      <c r="O42" s="226">
        <f>O41</f>
        <v>1.09E-3</v>
      </c>
      <c r="P42" s="226"/>
      <c r="Q42" s="226">
        <f>Q41</f>
        <v>1.32E-3</v>
      </c>
      <c r="R42" s="226"/>
      <c r="S42" s="226">
        <f>SUM(K42:R42)</f>
        <v>0.99302000000000001</v>
      </c>
    </row>
    <row r="43" spans="1:19" x14ac:dyDescent="0.25">
      <c r="A43" s="136" t="s">
        <v>147</v>
      </c>
      <c r="B43" s="2"/>
      <c r="C43" s="2"/>
      <c r="D43" s="2"/>
      <c r="E43" s="227"/>
      <c r="F43" s="2"/>
      <c r="G43" s="2"/>
      <c r="H43" s="2"/>
      <c r="I43" s="2"/>
      <c r="J43" s="2"/>
      <c r="K43" s="226"/>
      <c r="L43" s="2"/>
      <c r="M43" s="226"/>
      <c r="N43" s="2"/>
      <c r="O43" s="226"/>
      <c r="P43" s="226"/>
      <c r="Q43" s="226"/>
      <c r="R43" s="226"/>
      <c r="S43" s="226"/>
    </row>
    <row r="44" spans="1:19" x14ac:dyDescent="0.25">
      <c r="A44" s="2"/>
      <c r="B44" s="136" t="s">
        <v>141</v>
      </c>
      <c r="C44" s="2"/>
      <c r="D44" s="2"/>
      <c r="E44" s="227"/>
      <c r="F44" s="2"/>
      <c r="G44" s="2"/>
      <c r="H44" s="2"/>
      <c r="I44" s="226"/>
      <c r="J44" s="2"/>
      <c r="K44" s="226">
        <f>+K41</f>
        <v>0.27023000000000003</v>
      </c>
      <c r="L44" s="2"/>
      <c r="M44" s="226">
        <f>$M$17</f>
        <v>0.77037999999999995</v>
      </c>
      <c r="N44" s="2"/>
      <c r="O44" s="226">
        <f>O41</f>
        <v>1.09E-3</v>
      </c>
      <c r="P44" s="226"/>
      <c r="Q44" s="226">
        <f>Q41</f>
        <v>1.32E-3</v>
      </c>
      <c r="R44" s="226"/>
      <c r="S44" s="226">
        <f>SUM(K44:R44)</f>
        <v>1.0430200000000001</v>
      </c>
    </row>
    <row r="45" spans="1:19" x14ac:dyDescent="0.25">
      <c r="A45" s="2"/>
      <c r="B45" s="2"/>
      <c r="C45" s="2"/>
      <c r="D45" s="2"/>
      <c r="E45" s="227"/>
      <c r="F45" s="2"/>
      <c r="G45" s="2"/>
      <c r="H45" s="2"/>
      <c r="I45" s="2"/>
      <c r="J45" s="2"/>
      <c r="K45" s="226"/>
      <c r="L45" s="2"/>
      <c r="M45" s="226"/>
      <c r="N45" s="2"/>
      <c r="O45" s="228"/>
      <c r="P45" s="228"/>
      <c r="Q45" s="228"/>
      <c r="R45" s="228"/>
      <c r="S45" s="226"/>
    </row>
    <row r="46" spans="1:19" x14ac:dyDescent="0.25">
      <c r="A46" s="2"/>
      <c r="B46" s="2"/>
      <c r="C46" s="2"/>
      <c r="D46" s="2"/>
      <c r="E46" s="227"/>
      <c r="F46" s="2"/>
      <c r="G46" s="2"/>
      <c r="H46" s="2"/>
      <c r="I46" s="2"/>
      <c r="J46" s="2"/>
      <c r="K46" s="226"/>
      <c r="L46" s="2"/>
      <c r="M46" s="226"/>
      <c r="N46" s="2"/>
      <c r="O46" s="228"/>
      <c r="P46" s="228"/>
      <c r="Q46" s="228"/>
      <c r="R46" s="228"/>
      <c r="S46" s="226"/>
    </row>
    <row r="47" spans="1:19" x14ac:dyDescent="0.25">
      <c r="A47" s="136" t="s">
        <v>149</v>
      </c>
      <c r="B47" s="2"/>
      <c r="C47" s="2"/>
      <c r="D47" s="2" t="s">
        <v>151</v>
      </c>
      <c r="E47" s="227"/>
      <c r="F47" s="2"/>
      <c r="G47" s="2"/>
      <c r="H47" s="2"/>
      <c r="I47" s="2"/>
      <c r="J47" s="2"/>
      <c r="K47" s="226"/>
      <c r="L47" s="2"/>
      <c r="M47" s="226"/>
      <c r="N47" s="2"/>
      <c r="O47" s="228"/>
      <c r="P47" s="228"/>
      <c r="Q47" s="228"/>
      <c r="R47" s="228"/>
      <c r="S47" s="226"/>
    </row>
    <row r="48" spans="1:19" x14ac:dyDescent="0.25">
      <c r="A48" s="2"/>
      <c r="B48" s="136" t="s">
        <v>227</v>
      </c>
      <c r="C48" s="2"/>
      <c r="D48" s="2"/>
      <c r="E48" s="227">
        <v>24.64</v>
      </c>
      <c r="F48" s="2"/>
      <c r="G48" s="227">
        <f>G39</f>
        <v>94.58</v>
      </c>
      <c r="H48" s="2"/>
      <c r="I48" s="2"/>
      <c r="J48" s="2"/>
      <c r="K48" s="226"/>
      <c r="L48" s="2"/>
      <c r="M48" s="226"/>
      <c r="N48" s="2"/>
      <c r="O48" s="228"/>
      <c r="P48" s="228"/>
      <c r="Q48" s="228"/>
      <c r="R48" s="228"/>
      <c r="S48" s="226"/>
    </row>
    <row r="49" spans="1:19" x14ac:dyDescent="0.25">
      <c r="A49" s="136" t="s">
        <v>144</v>
      </c>
      <c r="B49" s="2"/>
      <c r="C49" s="2"/>
      <c r="D49" s="2"/>
      <c r="E49" s="227"/>
      <c r="F49" s="2"/>
      <c r="G49" s="2"/>
      <c r="H49" s="2"/>
      <c r="I49" s="2"/>
      <c r="J49" s="2"/>
      <c r="K49" s="226"/>
      <c r="L49" s="2"/>
      <c r="M49" s="226"/>
      <c r="N49" s="2"/>
      <c r="O49" s="228"/>
      <c r="P49" s="228"/>
      <c r="Q49" s="228"/>
      <c r="R49" s="228"/>
      <c r="S49" s="226"/>
    </row>
    <row r="50" spans="1:19" x14ac:dyDescent="0.25">
      <c r="A50" s="2"/>
      <c r="B50" s="136" t="s">
        <v>145</v>
      </c>
      <c r="C50" s="2"/>
      <c r="D50" s="2"/>
      <c r="E50" s="227"/>
      <c r="F50" s="2"/>
      <c r="G50" s="2"/>
      <c r="H50" s="2"/>
      <c r="I50" s="226"/>
      <c r="J50" s="2"/>
      <c r="K50" s="226">
        <f>+K41</f>
        <v>0.27023000000000003</v>
      </c>
      <c r="L50" s="2"/>
      <c r="M50" s="226">
        <f>$M$17</f>
        <v>0.77037999999999995</v>
      </c>
      <c r="N50" s="2"/>
      <c r="O50" s="226">
        <f>O41</f>
        <v>1.09E-3</v>
      </c>
      <c r="P50" s="226"/>
      <c r="Q50" s="226">
        <f>Q41</f>
        <v>1.32E-3</v>
      </c>
      <c r="R50" s="226"/>
      <c r="S50" s="226">
        <f>SUM(K50:R50)</f>
        <v>1.0430200000000001</v>
      </c>
    </row>
    <row r="51" spans="1:19" x14ac:dyDescent="0.25">
      <c r="A51" s="2"/>
      <c r="B51" s="136" t="s">
        <v>146</v>
      </c>
      <c r="C51" s="2"/>
      <c r="D51" s="2"/>
      <c r="E51" s="227"/>
      <c r="F51" s="2"/>
      <c r="G51" s="2"/>
      <c r="H51" s="2"/>
      <c r="I51" s="226"/>
      <c r="J51" s="2"/>
      <c r="K51" s="226">
        <f>+K42</f>
        <v>0.22023000000000004</v>
      </c>
      <c r="L51" s="2"/>
      <c r="M51" s="226">
        <f>$M$17</f>
        <v>0.77037999999999995</v>
      </c>
      <c r="N51" s="2"/>
      <c r="O51" s="226">
        <f>O42</f>
        <v>1.09E-3</v>
      </c>
      <c r="P51" s="226"/>
      <c r="Q51" s="226">
        <f>Q41</f>
        <v>1.32E-3</v>
      </c>
      <c r="R51" s="226"/>
      <c r="S51" s="226">
        <f>SUM(K51:R51)</f>
        <v>0.99302000000000001</v>
      </c>
    </row>
    <row r="52" spans="1:19" x14ac:dyDescent="0.25">
      <c r="A52" s="136" t="s">
        <v>147</v>
      </c>
      <c r="B52" s="2"/>
      <c r="C52" s="2"/>
      <c r="D52" s="2"/>
      <c r="E52" s="227"/>
      <c r="F52" s="2"/>
      <c r="G52" s="2"/>
      <c r="H52" s="2"/>
      <c r="I52" s="2"/>
      <c r="J52" s="2"/>
      <c r="K52" s="226"/>
      <c r="L52" s="2"/>
      <c r="M52" s="226"/>
      <c r="N52" s="2"/>
      <c r="O52" s="226"/>
      <c r="P52" s="226"/>
      <c r="Q52" s="226"/>
      <c r="R52" s="226"/>
      <c r="S52" s="226"/>
    </row>
    <row r="53" spans="1:19" x14ac:dyDescent="0.25">
      <c r="A53" s="2"/>
      <c r="B53" s="136" t="s">
        <v>141</v>
      </c>
      <c r="C53" s="2"/>
      <c r="D53" s="2"/>
      <c r="E53" s="227"/>
      <c r="F53" s="2"/>
      <c r="G53" s="2"/>
      <c r="H53" s="2"/>
      <c r="I53" s="226"/>
      <c r="J53" s="2"/>
      <c r="K53" s="226">
        <f>+K44</f>
        <v>0.27023000000000003</v>
      </c>
      <c r="L53" s="2"/>
      <c r="M53" s="226">
        <f>$M$17</f>
        <v>0.77037999999999995</v>
      </c>
      <c r="N53" s="2"/>
      <c r="O53" s="226">
        <f>O44</f>
        <v>1.09E-3</v>
      </c>
      <c r="P53" s="226"/>
      <c r="Q53" s="226">
        <f>Q41</f>
        <v>1.32E-3</v>
      </c>
      <c r="R53" s="226"/>
      <c r="S53" s="226">
        <f>SUM(K53:R53)</f>
        <v>1.0430200000000001</v>
      </c>
    </row>
    <row r="54" spans="1:19" x14ac:dyDescent="0.25">
      <c r="A54" s="2"/>
      <c r="B54" s="2"/>
      <c r="C54" s="2"/>
      <c r="D54" s="2"/>
      <c r="E54" s="227"/>
      <c r="F54" s="2"/>
      <c r="G54" s="2"/>
      <c r="H54" s="2"/>
      <c r="I54" s="2"/>
      <c r="J54" s="2"/>
      <c r="K54" s="226"/>
      <c r="L54" s="2"/>
      <c r="M54" s="226"/>
      <c r="N54" s="2"/>
      <c r="O54" s="228"/>
      <c r="P54" s="228"/>
      <c r="Q54" s="228"/>
      <c r="R54" s="228"/>
      <c r="S54" s="226"/>
    </row>
    <row r="55" spans="1:19" x14ac:dyDescent="0.25">
      <c r="A55" s="2"/>
      <c r="B55" s="2"/>
      <c r="C55" s="2"/>
      <c r="D55" s="2"/>
      <c r="E55" s="227"/>
      <c r="F55" s="2"/>
      <c r="G55" s="2"/>
      <c r="H55" s="2"/>
      <c r="I55" s="2"/>
      <c r="J55" s="2"/>
    </row>
    <row r="56" spans="1:19" x14ac:dyDescent="0.25">
      <c r="A56" s="2"/>
      <c r="B56" s="2"/>
      <c r="C56" s="2"/>
      <c r="D56" s="2"/>
      <c r="E56" s="561" t="s">
        <v>136</v>
      </c>
      <c r="F56" s="2"/>
      <c r="G56" s="2"/>
      <c r="H56" s="2"/>
      <c r="I56" s="479" t="s">
        <v>497</v>
      </c>
      <c r="J56" s="479"/>
      <c r="K56" s="479"/>
      <c r="L56" s="479"/>
      <c r="M56" s="479"/>
      <c r="N56" s="479"/>
      <c r="O56" s="479"/>
      <c r="P56" s="479"/>
      <c r="Q56" s="479"/>
      <c r="R56" s="479"/>
      <c r="S56" s="254"/>
    </row>
    <row r="57" spans="1:19" x14ac:dyDescent="0.25">
      <c r="A57" s="2" t="s">
        <v>762</v>
      </c>
      <c r="B57" s="136"/>
      <c r="C57" s="2"/>
      <c r="D57" s="2"/>
      <c r="E57" s="2"/>
      <c r="F57" s="2"/>
      <c r="G57" s="2"/>
      <c r="H57" s="2"/>
      <c r="I57" s="2"/>
      <c r="J57" s="2"/>
      <c r="K57" s="2"/>
      <c r="L57" s="2"/>
      <c r="M57" s="226"/>
      <c r="N57" s="2"/>
      <c r="S57" s="2"/>
    </row>
    <row r="58" spans="1:19" x14ac:dyDescent="0.25">
      <c r="A58" s="2"/>
      <c r="B58" s="136" t="s">
        <v>227</v>
      </c>
      <c r="C58" s="2"/>
      <c r="D58" s="2"/>
      <c r="E58" s="227">
        <v>630</v>
      </c>
      <c r="F58" s="2"/>
      <c r="G58" s="227">
        <v>94.58</v>
      </c>
      <c r="H58" s="2"/>
      <c r="I58" s="90"/>
      <c r="J58" s="90"/>
      <c r="K58" s="2"/>
      <c r="L58" s="2"/>
      <c r="M58" s="226"/>
      <c r="N58" s="2"/>
      <c r="O58" s="229"/>
      <c r="P58" s="229"/>
      <c r="Q58" s="229"/>
      <c r="R58" s="229"/>
      <c r="S58" s="2"/>
    </row>
    <row r="59" spans="1:19" x14ac:dyDescent="0.25">
      <c r="A59" s="2"/>
      <c r="B59" s="136" t="s">
        <v>496</v>
      </c>
      <c r="C59" s="2"/>
      <c r="D59" s="2"/>
      <c r="E59" s="227"/>
      <c r="F59" s="2"/>
      <c r="G59" s="227"/>
      <c r="H59" s="2"/>
      <c r="I59" s="90"/>
      <c r="J59" s="90"/>
      <c r="K59" s="226">
        <v>1.9228000000000001</v>
      </c>
      <c r="L59" s="2"/>
      <c r="M59" s="234">
        <f>M17*10</f>
        <v>7.7037999999999993</v>
      </c>
      <c r="N59" s="2"/>
      <c r="O59" s="226">
        <f>O50*10</f>
        <v>1.09E-2</v>
      </c>
      <c r="P59" s="230"/>
      <c r="Q59" s="226">
        <f>Q50*10</f>
        <v>1.32E-2</v>
      </c>
      <c r="R59" s="230"/>
      <c r="S59" s="226">
        <f>SUM(K59:R59)</f>
        <v>9.6506999999999987</v>
      </c>
    </row>
    <row r="60" spans="1:19" x14ac:dyDescent="0.25">
      <c r="A60" s="2"/>
      <c r="B60" s="2"/>
      <c r="C60" s="2"/>
      <c r="D60" s="2"/>
      <c r="E60" s="227"/>
      <c r="F60" s="2"/>
      <c r="G60" s="2"/>
      <c r="H60" s="2"/>
      <c r="I60" s="2"/>
      <c r="J60" s="2"/>
      <c r="K60" s="2"/>
      <c r="L60" s="2"/>
      <c r="M60" s="226"/>
      <c r="N60" s="2"/>
      <c r="O60" s="229"/>
      <c r="P60" s="229"/>
      <c r="Q60" s="229"/>
      <c r="R60" s="229"/>
      <c r="S60" s="2"/>
    </row>
    <row r="61" spans="1:19" x14ac:dyDescent="0.25">
      <c r="A61" s="2"/>
      <c r="B61" s="2"/>
      <c r="C61" s="2"/>
      <c r="D61" s="2"/>
      <c r="E61" s="227"/>
      <c r="F61" s="2"/>
      <c r="G61" s="2"/>
      <c r="H61" s="2"/>
      <c r="I61" s="2"/>
      <c r="J61" s="2"/>
      <c r="K61" s="2"/>
      <c r="L61" s="2"/>
      <c r="M61" s="226"/>
      <c r="N61" s="2"/>
      <c r="O61" s="229"/>
      <c r="P61" s="229"/>
      <c r="Q61" s="229"/>
      <c r="R61" s="229"/>
      <c r="S61" s="2"/>
    </row>
    <row r="62" spans="1:19" x14ac:dyDescent="0.25">
      <c r="A62" s="2" t="s">
        <v>572</v>
      </c>
      <c r="B62" s="136"/>
      <c r="C62" s="2"/>
      <c r="D62" s="2"/>
      <c r="E62" s="2"/>
      <c r="F62" s="2"/>
      <c r="G62" s="2"/>
      <c r="H62" s="2"/>
      <c r="I62" s="2"/>
      <c r="J62" s="2"/>
      <c r="K62" s="2"/>
      <c r="L62" s="2"/>
      <c r="M62" s="226"/>
      <c r="N62" s="2"/>
      <c r="S62" s="2"/>
    </row>
    <row r="63" spans="1:19" x14ac:dyDescent="0.25">
      <c r="A63" s="2"/>
      <c r="B63" s="136"/>
      <c r="C63" s="2"/>
      <c r="D63" s="2"/>
      <c r="E63" s="2"/>
      <c r="F63" s="2"/>
      <c r="G63" s="2"/>
      <c r="H63" s="2"/>
      <c r="I63" s="2"/>
      <c r="J63" s="2"/>
      <c r="K63" s="2"/>
      <c r="L63" s="2"/>
      <c r="M63" s="226"/>
      <c r="N63" s="2"/>
      <c r="S63" s="2"/>
    </row>
    <row r="64" spans="1:19" x14ac:dyDescent="0.25">
      <c r="A64" s="2"/>
      <c r="B64" s="136" t="s">
        <v>227</v>
      </c>
      <c r="C64" s="2"/>
      <c r="D64" s="2"/>
      <c r="E64" s="227">
        <v>335</v>
      </c>
      <c r="F64" s="2"/>
      <c r="G64" s="227">
        <f>G21</f>
        <v>6.91</v>
      </c>
      <c r="H64" s="2"/>
      <c r="J64" s="2"/>
      <c r="K64" s="2"/>
      <c r="L64" s="2"/>
      <c r="M64" s="226"/>
      <c r="N64" s="2"/>
      <c r="O64" s="229"/>
      <c r="P64" s="229"/>
      <c r="Q64" s="229"/>
      <c r="R64" s="229"/>
      <c r="S64" s="2"/>
    </row>
    <row r="65" spans="1:19" x14ac:dyDescent="0.25">
      <c r="A65" s="2"/>
      <c r="B65" s="136" t="s">
        <v>571</v>
      </c>
      <c r="C65" s="2"/>
      <c r="D65" s="2"/>
      <c r="E65" s="227"/>
      <c r="F65" s="2"/>
      <c r="G65" s="227"/>
      <c r="H65" s="2"/>
      <c r="I65" s="227">
        <v>7.17</v>
      </c>
      <c r="J65" s="2"/>
      <c r="K65" s="2"/>
      <c r="L65" s="2"/>
      <c r="M65" s="226"/>
      <c r="N65" s="2"/>
      <c r="O65" s="229"/>
      <c r="P65" s="229"/>
      <c r="Q65" s="229"/>
      <c r="R65" s="229"/>
      <c r="S65" s="2"/>
    </row>
    <row r="66" spans="1:19" x14ac:dyDescent="0.25">
      <c r="A66" s="2"/>
      <c r="B66" s="136" t="s">
        <v>496</v>
      </c>
      <c r="C66" s="2"/>
      <c r="D66" s="2"/>
      <c r="E66" s="227"/>
      <c r="F66" s="2"/>
      <c r="G66" s="227"/>
      <c r="H66" s="2"/>
      <c r="J66" s="2"/>
      <c r="K66" s="226">
        <v>0.41060000000000002</v>
      </c>
      <c r="L66" s="2"/>
      <c r="M66" s="234">
        <f>M59</f>
        <v>7.7037999999999993</v>
      </c>
      <c r="N66" s="2"/>
      <c r="O66" s="226">
        <f>O59</f>
        <v>1.09E-2</v>
      </c>
      <c r="P66" s="230"/>
      <c r="Q66" s="226">
        <f>Q23*10</f>
        <v>2.0400000000000001E-2</v>
      </c>
      <c r="R66" s="230"/>
      <c r="S66" s="226">
        <f>SUM(K66:R66)</f>
        <v>8.1456999999999997</v>
      </c>
    </row>
    <row r="67" spans="1:19" x14ac:dyDescent="0.25">
      <c r="A67" s="2"/>
      <c r="B67" s="2"/>
      <c r="C67" s="2"/>
      <c r="D67" s="2"/>
      <c r="E67" s="227"/>
      <c r="F67" s="2"/>
      <c r="G67" s="2"/>
      <c r="H67" s="2"/>
      <c r="I67" s="2"/>
      <c r="J67" s="2"/>
      <c r="K67" s="2"/>
      <c r="L67" s="2"/>
      <c r="M67" s="226"/>
      <c r="N67" s="2"/>
      <c r="O67" s="229"/>
      <c r="P67" s="229"/>
      <c r="Q67" s="229"/>
      <c r="R67" s="229"/>
      <c r="S67" s="2"/>
    </row>
    <row r="68" spans="1:19" x14ac:dyDescent="0.25">
      <c r="A68" s="2"/>
      <c r="B68" s="2"/>
      <c r="C68" s="2"/>
      <c r="D68" s="2"/>
      <c r="E68" s="227"/>
      <c r="F68" s="2"/>
      <c r="G68" s="2"/>
      <c r="H68" s="2"/>
      <c r="I68" s="2"/>
      <c r="J68" s="2"/>
      <c r="K68" s="2"/>
      <c r="L68" s="2"/>
      <c r="M68" s="226"/>
      <c r="N68" s="2"/>
      <c r="O68" s="229"/>
      <c r="P68" s="229"/>
      <c r="Q68" s="229"/>
      <c r="R68" s="229"/>
      <c r="S68" s="2"/>
    </row>
    <row r="69" spans="1:19" x14ac:dyDescent="0.25">
      <c r="A69" s="2" t="s">
        <v>573</v>
      </c>
      <c r="B69" s="136"/>
      <c r="C69" s="2"/>
      <c r="D69" s="2"/>
      <c r="E69" s="2"/>
      <c r="F69" s="2"/>
      <c r="G69" s="2"/>
      <c r="H69" s="2"/>
      <c r="I69" s="2"/>
      <c r="J69" s="2"/>
      <c r="K69" s="2"/>
      <c r="L69" s="2"/>
      <c r="M69" s="226"/>
      <c r="N69" s="2"/>
      <c r="S69" s="2"/>
    </row>
    <row r="70" spans="1:19" x14ac:dyDescent="0.25">
      <c r="A70" s="2"/>
      <c r="B70" s="136"/>
      <c r="C70" s="2"/>
      <c r="D70" s="2"/>
      <c r="E70" s="2"/>
      <c r="F70" s="2"/>
      <c r="G70" s="2"/>
      <c r="H70" s="2"/>
      <c r="I70" s="2"/>
      <c r="J70" s="2"/>
      <c r="K70" s="2"/>
      <c r="L70" s="2"/>
      <c r="M70" s="226"/>
      <c r="N70" s="2"/>
      <c r="S70" s="2"/>
    </row>
    <row r="71" spans="1:19" x14ac:dyDescent="0.25">
      <c r="A71" s="2"/>
      <c r="B71" s="136" t="s">
        <v>227</v>
      </c>
      <c r="C71" s="2"/>
      <c r="D71" s="2"/>
      <c r="E71" s="227">
        <v>750</v>
      </c>
      <c r="F71" s="2"/>
      <c r="G71" s="227">
        <f>G21</f>
        <v>6.91</v>
      </c>
      <c r="H71" s="2"/>
      <c r="I71" s="2"/>
      <c r="J71" s="2"/>
      <c r="K71" s="2"/>
      <c r="L71" s="2"/>
      <c r="M71" s="226"/>
      <c r="N71" s="2"/>
      <c r="O71" s="229"/>
      <c r="P71" s="229"/>
      <c r="Q71" s="229"/>
      <c r="R71" s="229"/>
      <c r="S71" s="2"/>
    </row>
    <row r="72" spans="1:19" x14ac:dyDescent="0.25">
      <c r="A72" s="2"/>
      <c r="B72" s="136" t="s">
        <v>571</v>
      </c>
      <c r="C72" s="2"/>
      <c r="D72" s="2"/>
      <c r="E72" s="227"/>
      <c r="F72" s="2"/>
      <c r="G72" s="227"/>
      <c r="H72" s="2"/>
      <c r="I72" s="227">
        <v>10.89</v>
      </c>
      <c r="J72" s="2"/>
      <c r="K72" s="2"/>
      <c r="L72" s="2"/>
      <c r="M72" s="226"/>
      <c r="N72" s="2"/>
      <c r="O72" s="229"/>
      <c r="P72" s="229"/>
      <c r="Q72" s="229"/>
      <c r="R72" s="229"/>
      <c r="S72" s="2"/>
    </row>
    <row r="73" spans="1:19" x14ac:dyDescent="0.25">
      <c r="A73" s="2"/>
      <c r="B73" s="136" t="s">
        <v>496</v>
      </c>
      <c r="C73" s="2"/>
      <c r="D73" s="2"/>
      <c r="E73" s="227"/>
      <c r="F73" s="2"/>
      <c r="G73" s="227"/>
      <c r="H73" s="2"/>
      <c r="J73" s="2"/>
      <c r="K73" s="226">
        <v>0.31</v>
      </c>
      <c r="L73" s="2"/>
      <c r="M73" s="234">
        <f>M59</f>
        <v>7.7037999999999993</v>
      </c>
      <c r="N73" s="2"/>
      <c r="O73" s="226">
        <f>O59</f>
        <v>1.09E-2</v>
      </c>
      <c r="P73" s="230"/>
      <c r="Q73" s="226">
        <f>Q66</f>
        <v>2.0400000000000001E-2</v>
      </c>
      <c r="R73" s="230"/>
      <c r="S73" s="226">
        <f>SUM(K73:R73)</f>
        <v>8.0450999999999997</v>
      </c>
    </row>
    <row r="74" spans="1:19" x14ac:dyDescent="0.25">
      <c r="A74" s="2"/>
      <c r="B74" s="2"/>
      <c r="C74" s="2"/>
      <c r="D74" s="2"/>
      <c r="E74" s="227"/>
      <c r="F74" s="2"/>
      <c r="G74" s="2"/>
      <c r="H74" s="2"/>
      <c r="I74" s="2"/>
      <c r="J74" s="2"/>
      <c r="K74" s="2"/>
      <c r="L74" s="2"/>
      <c r="M74" s="226"/>
      <c r="N74" s="2"/>
      <c r="O74" s="229"/>
      <c r="P74" s="229"/>
      <c r="Q74" s="229"/>
      <c r="R74" s="229"/>
      <c r="S74" s="2"/>
    </row>
    <row r="75" spans="1:19" x14ac:dyDescent="0.25">
      <c r="A75" s="2"/>
      <c r="B75" s="2"/>
      <c r="C75" s="2"/>
      <c r="D75" s="2"/>
      <c r="E75" s="227"/>
      <c r="F75" s="2"/>
      <c r="G75" s="2"/>
      <c r="H75" s="2"/>
      <c r="I75" s="2"/>
      <c r="J75" s="2"/>
      <c r="K75" s="2"/>
      <c r="L75" s="2"/>
      <c r="M75" s="226"/>
      <c r="N75" s="2"/>
      <c r="O75" s="229"/>
      <c r="P75" s="229"/>
      <c r="Q75" s="229"/>
      <c r="R75" s="229"/>
      <c r="S75" s="2"/>
    </row>
    <row r="76" spans="1:19" x14ac:dyDescent="0.25">
      <c r="A76" s="2"/>
      <c r="B76" s="2"/>
      <c r="C76" s="2"/>
      <c r="D76" s="2"/>
      <c r="E76" s="227"/>
      <c r="F76" s="2"/>
      <c r="G76" s="2"/>
      <c r="H76" s="2"/>
      <c r="I76" s="479" t="s">
        <v>128</v>
      </c>
      <c r="J76" s="479"/>
      <c r="K76" s="479"/>
      <c r="L76" s="479"/>
      <c r="M76" s="479"/>
      <c r="N76" s="479"/>
      <c r="O76" s="479"/>
      <c r="P76" s="479"/>
      <c r="Q76" s="479"/>
      <c r="R76" s="479"/>
      <c r="S76" s="2"/>
    </row>
    <row r="77" spans="1:19" x14ac:dyDescent="0.25">
      <c r="A77" s="2"/>
      <c r="B77" s="2"/>
      <c r="C77" s="2"/>
      <c r="D77" s="2"/>
      <c r="E77" s="227"/>
      <c r="F77" s="2"/>
      <c r="G77" s="324" t="s">
        <v>449</v>
      </c>
      <c r="H77" s="2"/>
      <c r="I77" s="2"/>
      <c r="J77" s="2"/>
      <c r="K77" s="2"/>
      <c r="L77" s="2"/>
      <c r="M77" s="226"/>
      <c r="N77" s="2"/>
      <c r="O77" s="2"/>
      <c r="P77" s="2"/>
      <c r="Q77" s="324" t="s">
        <v>449</v>
      </c>
      <c r="R77" s="2"/>
      <c r="S77" s="2"/>
    </row>
    <row r="78" spans="1:19" x14ac:dyDescent="0.25">
      <c r="A78" s="2"/>
      <c r="B78" s="2"/>
      <c r="C78" s="2"/>
      <c r="D78" s="2"/>
      <c r="E78" s="324" t="s">
        <v>228</v>
      </c>
      <c r="F78" s="2"/>
      <c r="G78" s="744" t="s">
        <v>129</v>
      </c>
      <c r="H78" s="2"/>
      <c r="I78" s="324" t="s">
        <v>157</v>
      </c>
      <c r="J78" s="2"/>
      <c r="K78" s="136" t="s">
        <v>129</v>
      </c>
      <c r="L78" s="2"/>
      <c r="M78" s="324" t="s">
        <v>130</v>
      </c>
      <c r="N78" s="2"/>
      <c r="O78" s="324" t="s">
        <v>131</v>
      </c>
      <c r="P78" s="324"/>
      <c r="Q78" s="324" t="s">
        <v>565</v>
      </c>
      <c r="R78" s="324"/>
      <c r="S78" s="2"/>
    </row>
    <row r="79" spans="1:19" x14ac:dyDescent="0.25">
      <c r="A79" s="2"/>
      <c r="B79" s="2"/>
      <c r="C79" s="2"/>
      <c r="D79" s="2"/>
      <c r="E79" s="324" t="s">
        <v>132</v>
      </c>
      <c r="F79" s="2"/>
      <c r="G79" s="324" t="s">
        <v>132</v>
      </c>
      <c r="H79" s="2"/>
      <c r="I79" s="324" t="s">
        <v>132</v>
      </c>
      <c r="J79" s="2"/>
      <c r="K79" s="324" t="s">
        <v>133</v>
      </c>
      <c r="L79" s="2"/>
      <c r="M79" s="324" t="s">
        <v>134</v>
      </c>
      <c r="N79" s="2"/>
      <c r="O79" s="324" t="s">
        <v>135</v>
      </c>
      <c r="P79" s="324"/>
      <c r="Q79" s="324" t="s">
        <v>564</v>
      </c>
      <c r="R79" s="324"/>
      <c r="S79" s="2"/>
    </row>
    <row r="80" spans="1:19" x14ac:dyDescent="0.25">
      <c r="A80" s="2"/>
      <c r="B80" s="2"/>
      <c r="C80" s="2"/>
      <c r="D80" s="2"/>
      <c r="E80" s="134" t="s">
        <v>136</v>
      </c>
      <c r="F80" s="2"/>
      <c r="G80" s="137" t="s">
        <v>136</v>
      </c>
      <c r="H80" s="2"/>
      <c r="I80" s="137" t="s">
        <v>139</v>
      </c>
      <c r="J80" s="2"/>
      <c r="K80" s="135" t="s">
        <v>137</v>
      </c>
      <c r="L80" s="2"/>
      <c r="M80" s="135" t="s">
        <v>138</v>
      </c>
      <c r="N80" s="2"/>
      <c r="O80" s="137" t="s">
        <v>139</v>
      </c>
      <c r="P80" s="745"/>
      <c r="Q80" s="137" t="s">
        <v>139</v>
      </c>
      <c r="R80" s="745"/>
      <c r="S80" s="135" t="s">
        <v>140</v>
      </c>
    </row>
    <row r="81" spans="1:19" x14ac:dyDescent="0.25">
      <c r="A81" s="2" t="s">
        <v>225</v>
      </c>
      <c r="B81" s="2"/>
      <c r="C81" s="2"/>
      <c r="D81" s="2"/>
      <c r="E81" s="227"/>
      <c r="F81" s="2"/>
      <c r="G81" s="2"/>
      <c r="H81" s="2"/>
      <c r="I81" s="2"/>
      <c r="J81" s="2"/>
      <c r="K81" s="2"/>
      <c r="L81" s="2"/>
      <c r="M81" s="226"/>
      <c r="N81" s="2"/>
      <c r="O81" s="229"/>
      <c r="P81" s="229"/>
      <c r="Q81" s="229"/>
      <c r="R81" s="229"/>
      <c r="S81" s="2"/>
    </row>
    <row r="82" spans="1:19" x14ac:dyDescent="0.25">
      <c r="A82" s="2"/>
      <c r="B82" s="2"/>
      <c r="C82" s="2"/>
      <c r="D82" s="2" t="s">
        <v>226</v>
      </c>
      <c r="E82" s="227"/>
      <c r="F82" s="2"/>
      <c r="G82" s="2"/>
      <c r="H82" s="2"/>
      <c r="I82" s="2"/>
      <c r="J82" s="2"/>
      <c r="K82" s="2"/>
      <c r="L82" s="2"/>
      <c r="M82" s="226"/>
      <c r="N82" s="2"/>
      <c r="O82" s="229"/>
      <c r="P82" s="229"/>
      <c r="Q82" s="229"/>
      <c r="R82" s="229"/>
      <c r="S82" s="2"/>
    </row>
    <row r="83" spans="1:19" x14ac:dyDescent="0.25">
      <c r="A83" s="2"/>
      <c r="B83" s="136" t="s">
        <v>227</v>
      </c>
      <c r="C83" s="2"/>
      <c r="D83" s="2"/>
      <c r="E83" s="227">
        <v>165</v>
      </c>
      <c r="F83" s="2"/>
      <c r="G83" s="227">
        <f>G39</f>
        <v>94.58</v>
      </c>
      <c r="H83" s="2"/>
      <c r="I83" s="2"/>
      <c r="J83" s="2"/>
      <c r="K83" s="2"/>
      <c r="L83" s="2"/>
      <c r="M83" s="226"/>
      <c r="N83" s="2"/>
      <c r="O83" s="229"/>
      <c r="P83" s="229"/>
      <c r="Q83" s="229"/>
      <c r="R83" s="229"/>
      <c r="S83" s="2"/>
    </row>
    <row r="84" spans="1:19" x14ac:dyDescent="0.25">
      <c r="A84" s="2"/>
      <c r="B84" s="136" t="s">
        <v>571</v>
      </c>
      <c r="C84" s="2"/>
      <c r="D84" s="2"/>
      <c r="E84" s="227"/>
      <c r="F84" s="2"/>
      <c r="G84" s="227"/>
      <c r="H84" s="2"/>
      <c r="I84" s="226">
        <v>1.089</v>
      </c>
      <c r="J84" s="2"/>
      <c r="K84" s="2"/>
      <c r="L84" s="2"/>
      <c r="M84" s="226"/>
      <c r="N84" s="2"/>
      <c r="O84" s="229"/>
      <c r="P84" s="229"/>
      <c r="Q84" s="229"/>
      <c r="R84" s="229"/>
      <c r="S84" s="2"/>
    </row>
    <row r="85" spans="1:19" x14ac:dyDescent="0.25">
      <c r="A85" s="2"/>
      <c r="B85" s="136" t="s">
        <v>4</v>
      </c>
      <c r="C85" s="2"/>
      <c r="D85" s="2"/>
      <c r="E85" s="227"/>
      <c r="F85" s="2"/>
      <c r="G85" s="227"/>
      <c r="H85" s="2"/>
      <c r="J85" s="2"/>
      <c r="K85" s="226">
        <v>3.1E-2</v>
      </c>
      <c r="L85" s="2"/>
      <c r="M85" s="226">
        <f>$M$17</f>
        <v>0.77037999999999995</v>
      </c>
      <c r="N85" s="2"/>
      <c r="O85" s="226"/>
      <c r="P85" s="230"/>
      <c r="Q85" s="226">
        <f>Q41</f>
        <v>1.32E-3</v>
      </c>
      <c r="R85" s="230"/>
      <c r="S85" s="226">
        <f>SUM(K85:R85)</f>
        <v>0.80269999999999997</v>
      </c>
    </row>
    <row r="86" spans="1:19" x14ac:dyDescent="0.25">
      <c r="A86" s="2"/>
      <c r="B86" s="136"/>
      <c r="C86" s="2"/>
      <c r="D86" s="2"/>
      <c r="E86" s="227"/>
      <c r="F86" s="2"/>
      <c r="G86" s="2"/>
      <c r="H86" s="2"/>
      <c r="I86" s="2"/>
      <c r="J86" s="2"/>
      <c r="K86" s="226"/>
      <c r="L86" s="2"/>
      <c r="M86" s="226"/>
      <c r="N86" s="2"/>
      <c r="O86" s="230"/>
      <c r="P86" s="230"/>
      <c r="Q86" s="230"/>
      <c r="R86" s="230"/>
      <c r="S86" s="226"/>
    </row>
    <row r="87" spans="1:19" x14ac:dyDescent="0.25">
      <c r="A87" s="2"/>
      <c r="B87" s="136"/>
      <c r="C87" s="2"/>
      <c r="D87" s="2"/>
      <c r="E87" s="227"/>
      <c r="F87" s="2"/>
      <c r="G87" s="2"/>
      <c r="H87" s="2"/>
      <c r="I87" s="2"/>
      <c r="J87" s="2"/>
      <c r="K87" s="226"/>
      <c r="L87" s="2"/>
      <c r="M87" s="226"/>
      <c r="N87" s="2"/>
      <c r="O87" s="230"/>
      <c r="P87" s="230"/>
      <c r="Q87" s="230"/>
      <c r="R87" s="230"/>
      <c r="S87" s="226"/>
    </row>
    <row r="88" spans="1:19" x14ac:dyDescent="0.25">
      <c r="A88" s="2" t="s">
        <v>225</v>
      </c>
      <c r="B88" s="2"/>
      <c r="C88" s="2"/>
      <c r="D88" s="2"/>
      <c r="E88" s="227"/>
      <c r="F88" s="2"/>
      <c r="G88" s="2"/>
      <c r="H88" s="2"/>
      <c r="I88" s="2"/>
      <c r="J88" s="2"/>
      <c r="K88" s="2"/>
      <c r="L88" s="2"/>
      <c r="M88" s="226"/>
      <c r="N88" s="2"/>
      <c r="O88" s="229"/>
      <c r="P88" s="229"/>
      <c r="Q88" s="229"/>
      <c r="R88" s="229"/>
      <c r="S88" s="2"/>
    </row>
    <row r="89" spans="1:19" x14ac:dyDescent="0.25">
      <c r="A89" s="2"/>
      <c r="B89" s="2"/>
      <c r="C89" s="2"/>
      <c r="D89" s="2" t="s">
        <v>151</v>
      </c>
      <c r="E89" s="227"/>
      <c r="F89" s="2"/>
      <c r="G89" s="2"/>
      <c r="H89" s="2"/>
      <c r="I89" s="2"/>
      <c r="J89" s="2"/>
      <c r="K89" s="2"/>
      <c r="L89" s="2"/>
      <c r="M89" s="226"/>
      <c r="N89" s="2"/>
      <c r="O89" s="229"/>
      <c r="P89" s="229"/>
      <c r="Q89" s="229"/>
      <c r="R89" s="229"/>
      <c r="S89" s="2"/>
    </row>
    <row r="90" spans="1:19" x14ac:dyDescent="0.25">
      <c r="A90" s="2"/>
      <c r="B90" s="136" t="s">
        <v>227</v>
      </c>
      <c r="C90" s="2"/>
      <c r="D90" s="2"/>
      <c r="E90" s="227">
        <v>750</v>
      </c>
      <c r="F90" s="2"/>
      <c r="G90" s="227">
        <f>G83</f>
        <v>94.58</v>
      </c>
      <c r="H90" s="2"/>
      <c r="I90" s="2"/>
      <c r="J90" s="2"/>
      <c r="K90" s="2"/>
      <c r="L90" s="2"/>
      <c r="M90" s="226"/>
      <c r="N90" s="2"/>
      <c r="O90" s="229"/>
      <c r="P90" s="229"/>
      <c r="Q90" s="229"/>
      <c r="R90" s="229"/>
      <c r="S90" s="2"/>
    </row>
    <row r="91" spans="1:19" x14ac:dyDescent="0.25">
      <c r="A91" s="2"/>
      <c r="B91" s="136" t="s">
        <v>571</v>
      </c>
      <c r="C91" s="2"/>
      <c r="D91" s="2"/>
      <c r="E91" s="227"/>
      <c r="F91" s="2"/>
      <c r="G91" s="227"/>
      <c r="H91" s="2"/>
      <c r="I91" s="226">
        <f>I84</f>
        <v>1.089</v>
      </c>
      <c r="J91" s="2"/>
      <c r="K91" s="2"/>
      <c r="L91" s="2"/>
      <c r="M91" s="226"/>
      <c r="N91" s="2"/>
      <c r="O91" s="229"/>
      <c r="P91" s="229"/>
      <c r="Q91" s="229"/>
      <c r="R91" s="229"/>
      <c r="S91" s="2"/>
    </row>
    <row r="92" spans="1:19" x14ac:dyDescent="0.25">
      <c r="A92" s="2"/>
      <c r="B92" s="136" t="s">
        <v>4</v>
      </c>
      <c r="C92" s="2"/>
      <c r="D92" s="2"/>
      <c r="E92" s="227"/>
      <c r="F92" s="2"/>
      <c r="G92" s="2"/>
      <c r="H92" s="2"/>
      <c r="J92" s="2"/>
      <c r="K92" s="226">
        <f>+K85</f>
        <v>3.1E-2</v>
      </c>
      <c r="L92" s="2"/>
      <c r="M92" s="226">
        <f>$M$17</f>
        <v>0.77037999999999995</v>
      </c>
      <c r="N92" s="2"/>
      <c r="O92" s="226"/>
      <c r="P92" s="230"/>
      <c r="Q92" s="226">
        <f>Q85</f>
        <v>1.32E-3</v>
      </c>
      <c r="R92" s="230"/>
      <c r="S92" s="226">
        <f>SUM(K92:R92)</f>
        <v>0.80269999999999997</v>
      </c>
    </row>
    <row r="93" spans="1:19" x14ac:dyDescent="0.25">
      <c r="A93" s="2"/>
      <c r="B93" s="2"/>
      <c r="C93" s="2"/>
      <c r="D93" s="2"/>
      <c r="E93" s="2"/>
      <c r="F93" s="2"/>
      <c r="G93" s="2"/>
      <c r="H93" s="2"/>
      <c r="I93" s="2"/>
      <c r="J93" s="2"/>
      <c r="K93" s="2"/>
      <c r="L93" s="2"/>
      <c r="M93" s="226"/>
      <c r="N93" s="2"/>
      <c r="O93" s="229"/>
      <c r="P93" s="229"/>
      <c r="Q93" s="229"/>
      <c r="R93" s="229"/>
      <c r="S93" s="2"/>
    </row>
    <row r="94" spans="1:19" x14ac:dyDescent="0.25">
      <c r="A94" s="2"/>
      <c r="B94" s="2"/>
      <c r="C94" s="2"/>
      <c r="D94" s="2"/>
      <c r="E94" s="2"/>
      <c r="F94" s="2"/>
      <c r="G94" s="2"/>
      <c r="H94" s="2"/>
      <c r="I94" s="2"/>
      <c r="J94" s="2"/>
      <c r="K94" s="2"/>
      <c r="L94" s="2"/>
      <c r="M94" s="2"/>
      <c r="N94" s="2"/>
      <c r="O94" s="229"/>
      <c r="P94" s="229"/>
      <c r="Q94" s="229"/>
      <c r="R94" s="229"/>
      <c r="S94" s="2"/>
    </row>
    <row r="95" spans="1:19" x14ac:dyDescent="0.25">
      <c r="A95" s="131" t="s">
        <v>495</v>
      </c>
      <c r="B95" s="132"/>
      <c r="C95" s="132"/>
      <c r="D95" s="132"/>
      <c r="E95" s="132"/>
      <c r="F95" s="132"/>
      <c r="G95" s="132"/>
      <c r="H95" s="132"/>
      <c r="I95" s="132"/>
      <c r="J95" s="132"/>
      <c r="K95" s="132"/>
      <c r="L95" s="132"/>
      <c r="M95" s="132"/>
      <c r="N95" s="132"/>
      <c r="O95" s="231"/>
      <c r="P95" s="231"/>
      <c r="Q95" s="231"/>
      <c r="R95" s="231"/>
      <c r="S95" s="132"/>
    </row>
    <row r="96" spans="1:19" x14ac:dyDescent="0.25">
      <c r="A96" s="232"/>
      <c r="B96" s="2"/>
      <c r="C96" s="2"/>
      <c r="D96" s="2"/>
      <c r="E96" s="2"/>
      <c r="F96" s="2"/>
      <c r="G96" s="2"/>
      <c r="H96" s="2"/>
      <c r="I96" s="2"/>
      <c r="J96" s="2"/>
      <c r="K96" s="2"/>
      <c r="L96" s="2"/>
      <c r="M96" s="2"/>
      <c r="N96" s="2"/>
      <c r="O96" s="229"/>
      <c r="P96" s="229"/>
      <c r="Q96" s="229"/>
      <c r="R96" s="229"/>
      <c r="S96" s="2"/>
    </row>
    <row r="97" spans="1:19" x14ac:dyDescent="0.25">
      <c r="A97" s="51" t="s">
        <v>730</v>
      </c>
      <c r="B97" s="132"/>
      <c r="C97" s="132"/>
      <c r="D97" s="132"/>
      <c r="E97" s="132"/>
      <c r="F97" s="132"/>
      <c r="G97" s="132"/>
      <c r="H97" s="132"/>
      <c r="I97" s="132"/>
      <c r="J97" s="132"/>
      <c r="K97" s="132"/>
      <c r="L97" s="132"/>
      <c r="M97" s="132"/>
      <c r="N97" s="132"/>
      <c r="O97" s="231"/>
      <c r="P97" s="231"/>
      <c r="Q97" s="231"/>
      <c r="R97" s="231"/>
      <c r="S97" s="132"/>
    </row>
    <row r="98" spans="1:19" x14ac:dyDescent="0.25">
      <c r="A98" s="51" t="str">
        <f>A4</f>
        <v>RENDERED FROM</v>
      </c>
      <c r="B98" s="132"/>
      <c r="C98" s="132"/>
      <c r="D98" s="132"/>
      <c r="E98" s="132"/>
      <c r="F98" s="132"/>
      <c r="G98" s="132"/>
      <c r="H98" s="132"/>
      <c r="I98" s="132"/>
      <c r="J98" s="132"/>
      <c r="K98" s="132"/>
      <c r="L98" s="132"/>
      <c r="M98" s="132"/>
      <c r="N98" s="132"/>
      <c r="O98" s="231"/>
      <c r="P98" s="231"/>
      <c r="Q98" s="231"/>
      <c r="R98" s="231"/>
      <c r="S98" s="132"/>
    </row>
    <row r="99" spans="1:19" x14ac:dyDescent="0.25">
      <c r="A99" s="51" t="str">
        <f>A5</f>
        <v>February 1, 2023 through April 30, 2023</v>
      </c>
      <c r="B99" s="132"/>
      <c r="C99" s="132"/>
      <c r="D99" s="132"/>
      <c r="E99" s="132"/>
      <c r="F99" s="132"/>
      <c r="G99" s="132"/>
      <c r="H99" s="132"/>
      <c r="I99" s="132"/>
      <c r="J99" s="132"/>
      <c r="K99" s="132"/>
      <c r="L99" s="132"/>
      <c r="M99" s="132"/>
      <c r="N99" s="132"/>
      <c r="O99" s="231"/>
      <c r="P99" s="231"/>
      <c r="Q99" s="231"/>
      <c r="R99" s="231"/>
      <c r="S99" s="132"/>
    </row>
    <row r="100" spans="1:19" x14ac:dyDescent="0.25">
      <c r="A100" s="2"/>
      <c r="B100" s="2"/>
      <c r="C100" s="2"/>
      <c r="D100" s="2"/>
      <c r="E100" s="2"/>
      <c r="F100" s="2"/>
      <c r="G100" s="2"/>
      <c r="H100" s="2"/>
      <c r="I100" s="2"/>
      <c r="J100" s="2"/>
      <c r="K100" s="2"/>
      <c r="L100" s="2"/>
      <c r="M100" s="2"/>
      <c r="N100" s="2"/>
      <c r="O100" s="229"/>
      <c r="P100" s="229"/>
      <c r="Q100" s="229"/>
      <c r="R100" s="229"/>
      <c r="S100" s="2"/>
    </row>
    <row r="101" spans="1:19" x14ac:dyDescent="0.25">
      <c r="A101" s="2"/>
      <c r="B101" s="2"/>
      <c r="C101" s="2"/>
      <c r="D101" s="2"/>
      <c r="E101" s="2"/>
      <c r="F101" s="2"/>
      <c r="G101" s="2"/>
      <c r="H101" s="2"/>
      <c r="I101" s="2"/>
      <c r="J101" s="2"/>
      <c r="K101" s="2"/>
      <c r="L101" s="2"/>
      <c r="M101" s="2"/>
      <c r="N101" s="2"/>
      <c r="O101" s="229"/>
      <c r="P101" s="229"/>
      <c r="Q101" s="229"/>
      <c r="R101" s="229"/>
      <c r="S101" s="2"/>
    </row>
    <row r="102" spans="1:19" x14ac:dyDescent="0.25">
      <c r="A102" s="2"/>
      <c r="B102" s="2"/>
      <c r="C102" s="2"/>
      <c r="D102" s="2"/>
      <c r="E102" s="2"/>
      <c r="F102" s="2"/>
      <c r="G102" s="2"/>
      <c r="H102" s="2"/>
      <c r="I102" s="2"/>
      <c r="J102" s="2"/>
      <c r="L102" s="481"/>
      <c r="M102" s="481" t="s">
        <v>153</v>
      </c>
      <c r="N102" s="481"/>
      <c r="O102" s="482"/>
      <c r="P102" s="482"/>
      <c r="Q102" s="482"/>
      <c r="R102" s="482"/>
      <c r="S102" s="2"/>
    </row>
    <row r="103" spans="1:19" x14ac:dyDescent="0.25">
      <c r="A103" s="2"/>
      <c r="B103" s="2"/>
      <c r="C103" s="2"/>
      <c r="D103" s="2"/>
      <c r="E103" s="2"/>
      <c r="F103" s="2"/>
      <c r="G103" s="2"/>
      <c r="H103" s="2"/>
      <c r="I103" s="2"/>
      <c r="J103" s="2"/>
      <c r="K103" s="2"/>
      <c r="L103" s="2"/>
      <c r="M103" s="2"/>
      <c r="N103" s="2"/>
      <c r="O103" s="229"/>
      <c r="P103" s="229"/>
      <c r="Q103" s="229"/>
      <c r="R103" s="229"/>
      <c r="S103" s="2"/>
    </row>
    <row r="104" spans="1:19" x14ac:dyDescent="0.25">
      <c r="A104" s="2"/>
      <c r="B104" s="2"/>
      <c r="C104" s="2"/>
      <c r="D104" s="2"/>
      <c r="E104" s="2"/>
      <c r="F104" s="2"/>
      <c r="G104" s="254"/>
      <c r="H104" s="2"/>
      <c r="I104" s="2"/>
      <c r="J104" s="2"/>
      <c r="K104" s="2"/>
      <c r="L104" s="2"/>
      <c r="M104" s="2"/>
      <c r="N104" s="2"/>
      <c r="O104" s="254"/>
      <c r="P104" s="254"/>
      <c r="Q104" s="254"/>
      <c r="R104" s="254"/>
      <c r="S104" s="2"/>
    </row>
    <row r="105" spans="1:19" x14ac:dyDescent="0.25">
      <c r="A105" s="2"/>
      <c r="B105" s="2"/>
      <c r="C105" s="2"/>
      <c r="D105" s="2"/>
      <c r="E105" s="2"/>
      <c r="F105" s="2"/>
      <c r="G105" s="254"/>
      <c r="H105" s="254"/>
      <c r="I105" s="254"/>
      <c r="J105" s="254"/>
      <c r="K105" s="254"/>
      <c r="L105" s="2"/>
      <c r="M105" s="324" t="s">
        <v>154</v>
      </c>
      <c r="N105" s="2"/>
      <c r="O105" s="254"/>
      <c r="P105" s="254"/>
      <c r="Q105" s="254"/>
      <c r="R105" s="254"/>
      <c r="S105" s="254"/>
    </row>
    <row r="106" spans="1:19" x14ac:dyDescent="0.25">
      <c r="A106" s="2"/>
      <c r="B106" s="2"/>
      <c r="C106" s="2"/>
      <c r="D106" s="2"/>
      <c r="F106" s="2"/>
      <c r="G106" s="324" t="s">
        <v>155</v>
      </c>
      <c r="H106" s="254"/>
      <c r="I106" s="254"/>
      <c r="J106" s="254"/>
      <c r="K106" s="254"/>
      <c r="L106" s="2"/>
      <c r="M106" s="324" t="s">
        <v>156</v>
      </c>
      <c r="N106" s="2"/>
      <c r="O106" s="254"/>
      <c r="P106" s="254"/>
      <c r="Q106" s="254"/>
      <c r="R106" s="254"/>
      <c r="S106" s="254"/>
    </row>
    <row r="107" spans="1:19" x14ac:dyDescent="0.25">
      <c r="A107" s="2"/>
      <c r="B107" s="2"/>
      <c r="C107" s="2"/>
      <c r="D107" s="2"/>
      <c r="F107" s="2"/>
      <c r="G107" s="324" t="s">
        <v>132</v>
      </c>
      <c r="H107" s="254"/>
      <c r="I107" s="254"/>
      <c r="J107" s="254"/>
      <c r="K107" s="254"/>
      <c r="L107" s="2"/>
      <c r="M107" s="324" t="s">
        <v>157</v>
      </c>
      <c r="N107" s="2"/>
      <c r="O107" s="254"/>
      <c r="P107" s="254"/>
      <c r="Q107" s="254"/>
      <c r="R107" s="254"/>
      <c r="S107" s="254"/>
    </row>
    <row r="108" spans="1:19" x14ac:dyDescent="0.25">
      <c r="A108" s="2" t="s">
        <v>499</v>
      </c>
      <c r="B108" s="2"/>
      <c r="C108" s="2"/>
      <c r="D108" s="2"/>
      <c r="F108" s="2"/>
      <c r="G108" s="233" t="s">
        <v>136</v>
      </c>
      <c r="H108" s="254"/>
      <c r="I108" s="254"/>
      <c r="J108" s="254"/>
      <c r="K108" s="254"/>
      <c r="L108" s="2"/>
      <c r="M108" s="233" t="s">
        <v>139</v>
      </c>
      <c r="N108" s="2"/>
      <c r="O108" s="254"/>
      <c r="P108" s="254"/>
      <c r="Q108" s="254"/>
      <c r="R108" s="254"/>
      <c r="S108" s="254"/>
    </row>
    <row r="109" spans="1:19" x14ac:dyDescent="0.25">
      <c r="A109" s="2"/>
      <c r="B109" s="2"/>
      <c r="C109" s="2"/>
      <c r="D109" s="2"/>
      <c r="F109" s="2"/>
      <c r="G109" s="2"/>
      <c r="H109" s="254"/>
      <c r="I109" s="254"/>
      <c r="J109" s="254"/>
      <c r="K109" s="254"/>
      <c r="L109" s="2"/>
      <c r="M109" s="2"/>
      <c r="N109" s="2"/>
      <c r="O109" s="254"/>
      <c r="P109" s="254"/>
      <c r="Q109" s="254"/>
      <c r="R109" s="254"/>
      <c r="S109" s="254"/>
    </row>
    <row r="110" spans="1:19" x14ac:dyDescent="0.25">
      <c r="A110" s="2"/>
      <c r="B110" s="2"/>
      <c r="C110" s="2"/>
      <c r="D110" s="2"/>
      <c r="F110" s="2"/>
      <c r="G110" s="2"/>
      <c r="H110" s="254"/>
      <c r="I110" s="254"/>
      <c r="J110" s="254"/>
      <c r="K110" s="254"/>
      <c r="L110" s="2"/>
      <c r="M110" s="2"/>
      <c r="N110" s="2"/>
      <c r="O110" s="254"/>
      <c r="P110" s="254"/>
      <c r="Q110" s="254"/>
      <c r="R110" s="254"/>
      <c r="S110" s="254"/>
    </row>
    <row r="111" spans="1:19" x14ac:dyDescent="0.25">
      <c r="A111" s="2"/>
      <c r="B111" s="355" t="s">
        <v>498</v>
      </c>
      <c r="C111" s="2"/>
      <c r="D111" s="2"/>
      <c r="F111" s="2"/>
      <c r="G111" s="2"/>
      <c r="H111" s="254"/>
      <c r="I111" s="254"/>
      <c r="J111" s="254"/>
      <c r="K111" s="254"/>
      <c r="L111" s="2"/>
      <c r="M111" s="234"/>
      <c r="N111" s="2"/>
      <c r="O111" s="254"/>
      <c r="P111" s="254"/>
      <c r="Q111" s="254"/>
      <c r="R111" s="254"/>
      <c r="S111" s="254"/>
    </row>
    <row r="112" spans="1:19" x14ac:dyDescent="0.25">
      <c r="A112" s="2"/>
      <c r="B112" s="2"/>
      <c r="C112" s="2"/>
      <c r="D112" s="2"/>
      <c r="F112" s="2"/>
      <c r="G112" s="227"/>
      <c r="H112" s="254"/>
      <c r="I112" s="254"/>
      <c r="J112" s="254"/>
      <c r="K112" s="254"/>
      <c r="L112" s="2"/>
      <c r="M112" s="234"/>
      <c r="N112" s="2"/>
      <c r="O112" s="254"/>
      <c r="P112" s="254"/>
      <c r="Q112" s="254"/>
      <c r="R112" s="254"/>
      <c r="S112" s="254"/>
    </row>
    <row r="113" spans="1:19" x14ac:dyDescent="0.25">
      <c r="A113" s="136" t="s">
        <v>142</v>
      </c>
      <c r="B113" s="2"/>
      <c r="C113" s="2"/>
      <c r="D113" s="2"/>
      <c r="F113" s="2"/>
      <c r="G113" s="227">
        <v>550</v>
      </c>
      <c r="H113" s="254"/>
      <c r="I113" s="254"/>
      <c r="J113" s="254"/>
      <c r="K113" s="254"/>
      <c r="L113" s="2"/>
      <c r="M113" s="234"/>
      <c r="N113" s="2"/>
      <c r="O113" s="254"/>
      <c r="P113" s="254"/>
      <c r="Q113" s="254"/>
      <c r="R113" s="254"/>
      <c r="S113" s="254"/>
    </row>
    <row r="114" spans="1:19" x14ac:dyDescent="0.25">
      <c r="A114" s="136" t="s">
        <v>144</v>
      </c>
      <c r="B114" s="2"/>
      <c r="C114" s="2"/>
      <c r="D114" s="2"/>
      <c r="F114" s="2"/>
      <c r="G114" s="227"/>
      <c r="H114" s="254"/>
      <c r="I114" s="254"/>
      <c r="J114" s="254"/>
      <c r="K114" s="254"/>
      <c r="L114" s="2"/>
      <c r="M114" s="234"/>
      <c r="N114" s="2"/>
      <c r="O114" s="254"/>
      <c r="P114" s="254"/>
      <c r="Q114" s="254"/>
      <c r="R114" s="254"/>
      <c r="S114" s="254"/>
    </row>
    <row r="115" spans="1:19" x14ac:dyDescent="0.25">
      <c r="A115" s="2"/>
      <c r="B115" s="136" t="s">
        <v>158</v>
      </c>
      <c r="C115" s="2"/>
      <c r="D115" s="2"/>
      <c r="F115" s="2"/>
      <c r="G115" s="227"/>
      <c r="H115" s="254"/>
      <c r="I115" s="254"/>
      <c r="J115" s="254"/>
      <c r="K115" s="254"/>
      <c r="L115" s="2"/>
      <c r="M115" s="234">
        <f>'Ex A 2 of 2'!F42</f>
        <v>0.9899</v>
      </c>
      <c r="N115" s="2"/>
      <c r="O115" s="254"/>
      <c r="P115" s="254"/>
      <c r="Q115" s="254"/>
      <c r="R115" s="254"/>
      <c r="S115" s="254"/>
    </row>
    <row r="116" spans="1:19" x14ac:dyDescent="0.25">
      <c r="A116" s="2"/>
      <c r="B116" s="136" t="s">
        <v>159</v>
      </c>
      <c r="C116" s="2"/>
      <c r="D116" s="2"/>
      <c r="F116" s="2"/>
      <c r="G116" s="227"/>
      <c r="H116" s="254"/>
      <c r="I116" s="254"/>
      <c r="J116" s="254"/>
      <c r="K116" s="254"/>
      <c r="L116" s="2"/>
      <c r="M116" s="234">
        <f>($M$115)</f>
        <v>0.9899</v>
      </c>
      <c r="N116" s="2"/>
      <c r="O116" s="254"/>
      <c r="P116" s="254"/>
      <c r="Q116" s="254"/>
      <c r="R116" s="254"/>
      <c r="S116" s="254"/>
    </row>
    <row r="117" spans="1:19" x14ac:dyDescent="0.25">
      <c r="A117" s="136" t="s">
        <v>147</v>
      </c>
      <c r="B117" s="2"/>
      <c r="C117" s="2"/>
      <c r="D117" s="2"/>
      <c r="F117" s="2"/>
      <c r="G117" s="227"/>
      <c r="H117" s="254"/>
      <c r="I117" s="254"/>
      <c r="J117" s="254"/>
      <c r="K117" s="254"/>
      <c r="L117" s="2"/>
      <c r="M117" s="234"/>
      <c r="N117" s="2"/>
      <c r="O117" s="254"/>
      <c r="P117" s="254"/>
      <c r="Q117" s="254"/>
      <c r="R117" s="254"/>
      <c r="S117" s="254"/>
    </row>
    <row r="118" spans="1:19" x14ac:dyDescent="0.25">
      <c r="A118" s="2"/>
      <c r="B118" s="136" t="s">
        <v>160</v>
      </c>
      <c r="C118" s="2"/>
      <c r="D118" s="2"/>
      <c r="F118" s="2"/>
      <c r="G118" s="227"/>
      <c r="H118" s="254"/>
      <c r="I118" s="254"/>
      <c r="J118" s="254"/>
      <c r="K118" s="254"/>
      <c r="L118" s="2"/>
      <c r="M118" s="234">
        <f>($M$115)</f>
        <v>0.9899</v>
      </c>
      <c r="N118" s="2"/>
      <c r="O118" s="254"/>
      <c r="P118" s="254"/>
      <c r="Q118" s="254"/>
      <c r="R118" s="254"/>
      <c r="S118" s="254"/>
    </row>
    <row r="119" spans="1:19" x14ac:dyDescent="0.25">
      <c r="A119" s="2"/>
      <c r="B119" s="2"/>
      <c r="C119" s="2"/>
      <c r="D119" s="2"/>
      <c r="F119" s="2"/>
      <c r="G119" s="227"/>
      <c r="H119" s="254"/>
      <c r="I119" s="254"/>
      <c r="J119" s="254"/>
      <c r="K119" s="254"/>
      <c r="L119" s="2"/>
      <c r="M119" s="234"/>
      <c r="N119" s="2"/>
      <c r="O119" s="254"/>
      <c r="P119" s="254"/>
      <c r="Q119" s="254"/>
      <c r="R119" s="254"/>
      <c r="S119" s="254"/>
    </row>
    <row r="120" spans="1:19" x14ac:dyDescent="0.25">
      <c r="A120" s="2"/>
      <c r="B120" s="2"/>
      <c r="C120" s="2"/>
      <c r="D120" s="2"/>
      <c r="F120" s="2"/>
      <c r="G120" s="227"/>
      <c r="H120" s="254"/>
      <c r="I120" s="254"/>
      <c r="J120" s="254"/>
      <c r="K120" s="254"/>
      <c r="L120" s="2"/>
      <c r="M120" s="234"/>
      <c r="N120" s="2"/>
      <c r="O120" s="254"/>
      <c r="P120" s="254"/>
      <c r="Q120" s="254"/>
      <c r="R120" s="254"/>
      <c r="S120" s="254"/>
    </row>
    <row r="121" spans="1:19" x14ac:dyDescent="0.25">
      <c r="A121" s="136" t="s">
        <v>149</v>
      </c>
      <c r="B121" s="2"/>
      <c r="C121" s="2"/>
      <c r="D121" s="2"/>
      <c r="F121" s="2"/>
      <c r="G121" s="227">
        <v>550</v>
      </c>
      <c r="H121" s="254"/>
      <c r="I121" s="254"/>
      <c r="J121" s="254"/>
      <c r="K121" s="254"/>
      <c r="L121" s="2"/>
      <c r="M121" s="234"/>
      <c r="N121" s="2"/>
      <c r="O121" s="254"/>
      <c r="P121" s="254"/>
      <c r="Q121" s="254"/>
      <c r="R121" s="254"/>
      <c r="S121" s="254"/>
    </row>
    <row r="122" spans="1:19" x14ac:dyDescent="0.25">
      <c r="A122" s="136" t="s">
        <v>144</v>
      </c>
      <c r="B122" s="2"/>
      <c r="C122" s="2"/>
      <c r="D122" s="2"/>
      <c r="F122" s="2"/>
      <c r="G122" s="227"/>
      <c r="H122" s="254"/>
      <c r="I122" s="254"/>
      <c r="J122" s="254"/>
      <c r="K122" s="254"/>
      <c r="L122" s="2"/>
      <c r="M122" s="234"/>
      <c r="N122" s="2"/>
      <c r="O122" s="254"/>
      <c r="P122" s="254"/>
      <c r="Q122" s="254"/>
      <c r="R122" s="254"/>
      <c r="S122" s="254"/>
    </row>
    <row r="123" spans="1:19" x14ac:dyDescent="0.25">
      <c r="A123" s="2"/>
      <c r="B123" s="136" t="s">
        <v>158</v>
      </c>
      <c r="C123" s="2"/>
      <c r="D123" s="2"/>
      <c r="F123" s="2"/>
      <c r="G123" s="227"/>
      <c r="H123" s="254"/>
      <c r="I123" s="254"/>
      <c r="J123" s="254"/>
      <c r="K123" s="254"/>
      <c r="L123" s="2"/>
      <c r="M123" s="234">
        <f>($M$115)</f>
        <v>0.9899</v>
      </c>
      <c r="N123" s="2"/>
      <c r="O123" s="254"/>
      <c r="P123" s="254"/>
      <c r="Q123" s="254"/>
      <c r="R123" s="254"/>
      <c r="S123" s="254"/>
    </row>
    <row r="124" spans="1:19" x14ac:dyDescent="0.25">
      <c r="A124" s="2"/>
      <c r="B124" s="136" t="s">
        <v>159</v>
      </c>
      <c r="C124" s="2"/>
      <c r="D124" s="2"/>
      <c r="F124" s="2"/>
      <c r="G124" s="227"/>
      <c r="H124" s="254"/>
      <c r="I124" s="254"/>
      <c r="J124" s="254"/>
      <c r="K124" s="254"/>
      <c r="L124" s="2"/>
      <c r="M124" s="234">
        <f>($M$115)</f>
        <v>0.9899</v>
      </c>
      <c r="N124" s="2"/>
      <c r="O124" s="254"/>
      <c r="P124" s="254"/>
      <c r="Q124" s="254"/>
      <c r="R124" s="254"/>
      <c r="S124" s="254"/>
    </row>
    <row r="125" spans="1:19" x14ac:dyDescent="0.25">
      <c r="A125" s="136" t="s">
        <v>147</v>
      </c>
      <c r="B125" s="2"/>
      <c r="C125" s="2"/>
      <c r="D125" s="2"/>
      <c r="F125" s="2"/>
      <c r="G125" s="227"/>
      <c r="H125" s="254"/>
      <c r="I125" s="254"/>
      <c r="J125" s="254"/>
      <c r="K125" s="254"/>
      <c r="L125" s="2"/>
      <c r="M125" s="234"/>
      <c r="N125" s="2"/>
      <c r="O125" s="254"/>
      <c r="P125" s="254"/>
      <c r="Q125" s="254"/>
      <c r="R125" s="254"/>
      <c r="S125" s="254"/>
    </row>
    <row r="126" spans="1:19" x14ac:dyDescent="0.25">
      <c r="A126" s="2"/>
      <c r="B126" s="136" t="s">
        <v>160</v>
      </c>
      <c r="C126" s="2"/>
      <c r="D126" s="2"/>
      <c r="F126" s="2"/>
      <c r="G126" s="227"/>
      <c r="H126" s="254"/>
      <c r="I126" s="254"/>
      <c r="J126" s="254"/>
      <c r="K126" s="254"/>
      <c r="L126" s="2"/>
      <c r="M126" s="234">
        <f>($M$115)</f>
        <v>0.9899</v>
      </c>
      <c r="N126" s="2"/>
      <c r="O126" s="254"/>
      <c r="P126" s="254"/>
      <c r="Q126" s="254"/>
      <c r="R126" s="254"/>
      <c r="S126" s="254"/>
    </row>
    <row r="127" spans="1:19" x14ac:dyDescent="0.25">
      <c r="A127" s="2"/>
      <c r="B127" s="2"/>
      <c r="C127" s="2"/>
      <c r="D127" s="2"/>
      <c r="F127" s="2"/>
      <c r="G127" s="227"/>
      <c r="H127" s="254"/>
      <c r="I127" s="254"/>
      <c r="J127" s="254"/>
      <c r="K127" s="254"/>
      <c r="L127" s="2"/>
      <c r="M127" s="234"/>
      <c r="N127" s="2"/>
      <c r="O127" s="254"/>
      <c r="P127" s="254"/>
      <c r="Q127" s="254"/>
      <c r="R127" s="254"/>
      <c r="S127" s="254"/>
    </row>
    <row r="128" spans="1:19" x14ac:dyDescent="0.25">
      <c r="A128" s="2"/>
      <c r="B128" s="2"/>
      <c r="C128" s="2"/>
      <c r="D128" s="2"/>
      <c r="F128" s="2"/>
      <c r="G128" s="227"/>
      <c r="H128" s="254"/>
      <c r="I128" s="254"/>
      <c r="J128" s="254"/>
      <c r="K128" s="254"/>
      <c r="L128" s="2"/>
      <c r="M128" s="234"/>
      <c r="N128" s="2"/>
      <c r="O128" s="254"/>
      <c r="P128" s="254"/>
      <c r="Q128" s="254"/>
      <c r="R128" s="254"/>
      <c r="S128" s="254"/>
    </row>
    <row r="129" spans="1:19" x14ac:dyDescent="0.25">
      <c r="A129" s="136" t="s">
        <v>152</v>
      </c>
      <c r="B129" s="2"/>
      <c r="C129" s="2"/>
      <c r="D129" s="2"/>
      <c r="F129" s="2"/>
      <c r="G129" s="227">
        <v>550</v>
      </c>
      <c r="H129" s="254"/>
      <c r="I129" s="254"/>
      <c r="J129" s="254"/>
      <c r="K129" s="254"/>
      <c r="L129" s="2"/>
      <c r="M129" s="234">
        <f>($M$115)</f>
        <v>0.9899</v>
      </c>
      <c r="N129" s="2"/>
      <c r="O129" s="254"/>
      <c r="P129" s="254"/>
      <c r="Q129" s="254"/>
      <c r="R129" s="254"/>
      <c r="S129" s="254"/>
    </row>
    <row r="130" spans="1:19" x14ac:dyDescent="0.25">
      <c r="A130" s="2"/>
      <c r="B130" s="2"/>
      <c r="C130" s="2"/>
      <c r="D130" s="2"/>
      <c r="E130" s="227"/>
      <c r="F130" s="2"/>
      <c r="G130" s="254"/>
      <c r="H130" s="254"/>
      <c r="I130" s="254"/>
      <c r="J130" s="254"/>
      <c r="K130" s="254"/>
      <c r="L130" s="2"/>
      <c r="M130" s="234"/>
      <c r="N130" s="2"/>
      <c r="O130" s="254"/>
      <c r="P130" s="254"/>
      <c r="Q130" s="254"/>
      <c r="R130" s="254"/>
      <c r="S130" s="254"/>
    </row>
    <row r="131" spans="1:19" x14ac:dyDescent="0.25">
      <c r="A131" s="139"/>
      <c r="B131" s="139"/>
      <c r="C131" s="139"/>
      <c r="D131" s="139"/>
      <c r="E131" s="139"/>
      <c r="F131" s="139"/>
      <c r="G131" s="139"/>
      <c r="H131" s="139"/>
      <c r="I131" s="139"/>
      <c r="J131" s="139"/>
      <c r="K131" s="139"/>
      <c r="L131" s="139"/>
      <c r="M131" s="139"/>
      <c r="N131" s="139"/>
      <c r="O131" s="254"/>
      <c r="P131" s="254"/>
      <c r="Q131" s="254"/>
      <c r="R131" s="254"/>
      <c r="S131" s="254"/>
    </row>
    <row r="132" spans="1:19" x14ac:dyDescent="0.25">
      <c r="A132" s="139" t="s">
        <v>566</v>
      </c>
      <c r="B132" s="139"/>
      <c r="C132" s="139"/>
      <c r="D132" s="139"/>
      <c r="E132" s="139"/>
      <c r="F132" s="139"/>
      <c r="G132" s="227">
        <v>550</v>
      </c>
      <c r="H132" s="254"/>
      <c r="I132" s="254"/>
      <c r="J132" s="254"/>
      <c r="K132" s="254"/>
      <c r="L132" s="2"/>
      <c r="M132" s="234">
        <f>($M$115)</f>
        <v>0.9899</v>
      </c>
      <c r="N132" s="139"/>
      <c r="O132" s="254"/>
      <c r="P132" s="254"/>
      <c r="Q132" s="254"/>
      <c r="R132" s="254"/>
      <c r="S132" s="254"/>
    </row>
    <row r="133" spans="1:19" x14ac:dyDescent="0.25">
      <c r="A133" s="2"/>
      <c r="O133" s="254"/>
      <c r="P133" s="254"/>
      <c r="Q133" s="254"/>
      <c r="R133" s="254"/>
      <c r="S133" s="254"/>
    </row>
    <row r="134" spans="1:19" x14ac:dyDescent="0.25">
      <c r="A134" s="2"/>
      <c r="K134" s="99"/>
      <c r="M134" s="154"/>
      <c r="O134" s="254"/>
      <c r="P134" s="254"/>
      <c r="Q134" s="254"/>
      <c r="R134" s="254"/>
      <c r="S134" s="254"/>
    </row>
    <row r="135" spans="1:19" x14ac:dyDescent="0.25">
      <c r="K135" s="99"/>
      <c r="M135" s="154"/>
      <c r="O135" s="254"/>
      <c r="P135" s="254"/>
      <c r="Q135" s="254"/>
      <c r="R135" s="254"/>
      <c r="S135" s="254"/>
    </row>
    <row r="136" spans="1:19" x14ac:dyDescent="0.25">
      <c r="K136" s="99"/>
      <c r="O136" s="254"/>
      <c r="P136" s="254"/>
      <c r="Q136" s="254"/>
      <c r="R136" s="254"/>
      <c r="S136" s="254"/>
    </row>
    <row r="137" spans="1:19" x14ac:dyDescent="0.25">
      <c r="K137" s="99"/>
      <c r="O137" s="254"/>
      <c r="P137" s="254"/>
      <c r="Q137" s="254"/>
      <c r="R137" s="254"/>
      <c r="S137" s="254"/>
    </row>
    <row r="138" spans="1:19" x14ac:dyDescent="0.25">
      <c r="K138" s="99"/>
      <c r="O138" s="254"/>
      <c r="P138" s="254"/>
      <c r="Q138" s="254"/>
      <c r="R138" s="254"/>
      <c r="S138" s="254"/>
    </row>
    <row r="139" spans="1:19" x14ac:dyDescent="0.25">
      <c r="K139" s="99"/>
      <c r="O139" s="15"/>
      <c r="P139" s="15"/>
      <c r="Q139" s="15"/>
      <c r="R139" s="15"/>
      <c r="S139" s="254"/>
    </row>
    <row r="140" spans="1:19" x14ac:dyDescent="0.25">
      <c r="K140" s="99"/>
      <c r="O140" s="15"/>
      <c r="P140" s="15"/>
      <c r="Q140" s="15"/>
      <c r="R140" s="15"/>
    </row>
    <row r="141" spans="1:19" x14ac:dyDescent="0.25">
      <c r="K141" s="99"/>
      <c r="O141" s="15"/>
      <c r="P141" s="15"/>
      <c r="Q141" s="15"/>
      <c r="R141" s="15"/>
    </row>
    <row r="142" spans="1:19" x14ac:dyDescent="0.25">
      <c r="K142" s="99"/>
      <c r="O142" s="15"/>
      <c r="P142" s="15"/>
      <c r="Q142" s="15"/>
      <c r="R142" s="15"/>
    </row>
    <row r="143" spans="1:19" x14ac:dyDescent="0.25">
      <c r="K143" s="99"/>
      <c r="O143" s="15"/>
      <c r="P143" s="15"/>
      <c r="Q143" s="15"/>
      <c r="R143" s="15"/>
    </row>
    <row r="144" spans="1:19" x14ac:dyDescent="0.25">
      <c r="K144" s="99"/>
      <c r="O144" s="15"/>
      <c r="P144" s="15"/>
      <c r="Q144" s="15"/>
      <c r="R144" s="15"/>
    </row>
    <row r="145" spans="15:18" x14ac:dyDescent="0.25">
      <c r="O145" s="15"/>
      <c r="P145" s="15"/>
      <c r="Q145" s="15"/>
      <c r="R145" s="15"/>
    </row>
    <row r="146" spans="15:18" x14ac:dyDescent="0.25">
      <c r="O146" s="15"/>
      <c r="P146" s="15"/>
      <c r="Q146" s="15"/>
      <c r="R146" s="15"/>
    </row>
    <row r="147" spans="15:18" x14ac:dyDescent="0.25">
      <c r="O147" s="15"/>
      <c r="P147" s="15"/>
      <c r="Q147" s="15"/>
      <c r="R147" s="15"/>
    </row>
    <row r="148" spans="15:18" x14ac:dyDescent="0.25">
      <c r="O148" s="15"/>
      <c r="P148" s="15"/>
      <c r="Q148" s="15"/>
      <c r="R148" s="15"/>
    </row>
    <row r="149" spans="15:18" x14ac:dyDescent="0.25">
      <c r="O149" s="15"/>
      <c r="P149" s="15"/>
      <c r="Q149" s="15"/>
      <c r="R149" s="15"/>
    </row>
    <row r="150" spans="15:18" x14ac:dyDescent="0.25">
      <c r="O150" s="15"/>
      <c r="P150" s="15"/>
      <c r="Q150" s="15"/>
      <c r="R150" s="15"/>
    </row>
    <row r="151" spans="15:18" x14ac:dyDescent="0.25">
      <c r="O151" s="15"/>
      <c r="P151" s="15"/>
      <c r="Q151" s="15"/>
      <c r="R151" s="15"/>
    </row>
    <row r="152" spans="15:18" x14ac:dyDescent="0.25">
      <c r="O152" s="15"/>
      <c r="P152" s="15"/>
      <c r="Q152" s="15"/>
      <c r="R152" s="15"/>
    </row>
    <row r="153" spans="15:18" x14ac:dyDescent="0.25">
      <c r="O153" s="15"/>
      <c r="P153" s="15"/>
      <c r="Q153" s="15"/>
      <c r="R153" s="15"/>
    </row>
    <row r="154" spans="15:18" x14ac:dyDescent="0.25">
      <c r="O154" s="15"/>
      <c r="P154" s="15"/>
      <c r="Q154" s="15"/>
      <c r="R154" s="15"/>
    </row>
    <row r="155" spans="15:18" x14ac:dyDescent="0.25">
      <c r="O155" s="15"/>
      <c r="P155" s="15"/>
      <c r="Q155" s="15"/>
      <c r="R155" s="15"/>
    </row>
    <row r="156" spans="15:18" x14ac:dyDescent="0.25">
      <c r="O156" s="15"/>
      <c r="P156" s="15"/>
      <c r="Q156" s="15"/>
      <c r="R156" s="15"/>
    </row>
    <row r="157" spans="15:18" x14ac:dyDescent="0.25">
      <c r="O157" s="15"/>
      <c r="P157" s="15"/>
      <c r="Q157" s="15"/>
      <c r="R157" s="15"/>
    </row>
    <row r="158" spans="15:18" x14ac:dyDescent="0.25">
      <c r="O158" s="15"/>
      <c r="P158" s="15"/>
      <c r="Q158" s="15"/>
      <c r="R158" s="15"/>
    </row>
    <row r="159" spans="15:18" x14ac:dyDescent="0.25">
      <c r="O159" s="15"/>
      <c r="P159" s="15"/>
      <c r="Q159" s="15"/>
      <c r="R159" s="15"/>
    </row>
    <row r="160" spans="15:18" x14ac:dyDescent="0.25">
      <c r="O160" s="15"/>
      <c r="P160" s="15"/>
      <c r="Q160" s="15"/>
      <c r="R160" s="15"/>
    </row>
    <row r="161" spans="15:18" x14ac:dyDescent="0.25">
      <c r="O161" s="15"/>
      <c r="P161" s="15"/>
      <c r="Q161" s="15"/>
      <c r="R161" s="15"/>
    </row>
    <row r="162" spans="15:18" x14ac:dyDescent="0.25">
      <c r="O162" s="15"/>
      <c r="P162" s="15"/>
      <c r="Q162" s="15"/>
      <c r="R162" s="15"/>
    </row>
    <row r="163" spans="15:18" x14ac:dyDescent="0.25">
      <c r="O163" s="15"/>
      <c r="P163" s="15"/>
      <c r="Q163" s="15"/>
      <c r="R163" s="15"/>
    </row>
    <row r="164" spans="15:18" x14ac:dyDescent="0.25">
      <c r="O164" s="15"/>
      <c r="P164" s="15"/>
      <c r="Q164" s="15"/>
      <c r="R164" s="15"/>
    </row>
    <row r="165" spans="15:18" x14ac:dyDescent="0.25">
      <c r="O165" s="15"/>
      <c r="P165" s="15"/>
      <c r="Q165" s="15"/>
      <c r="R165" s="15"/>
    </row>
    <row r="166" spans="15:18" x14ac:dyDescent="0.25">
      <c r="O166" s="15"/>
      <c r="P166" s="15"/>
      <c r="Q166" s="15"/>
      <c r="R166" s="15"/>
    </row>
    <row r="167" spans="15:18" x14ac:dyDescent="0.25">
      <c r="O167" s="15"/>
      <c r="P167" s="15"/>
      <c r="Q167" s="15"/>
      <c r="R167" s="15"/>
    </row>
  </sheetData>
  <mergeCells count="2">
    <mergeCell ref="A5:S5"/>
    <mergeCell ref="I8:S8"/>
  </mergeCells>
  <phoneticPr fontId="3" type="noConversion"/>
  <pageMargins left="0.75" right="0.75" top="1" bottom="0.75" header="0.5" footer="0.5"/>
  <pageSetup scale="43" fitToWidth="2" fitToHeight="2" orientation="portrait" blackAndWhite="1" r:id="rId1"/>
  <headerFooter alignWithMargins="0">
    <oddFooter>&amp;L&amp;1#&amp;"Calibri"&amp;14&amp;K000000Confidential</oddFooter>
  </headerFooter>
  <rowBreaks count="1" manualBreakCount="1">
    <brk id="75" max="20" man="1"/>
  </rowBreaks>
  <customProperties>
    <customPr name="_pios_id" r:id="rId2"/>
  </customPropertie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ransitionEvaluation="1" codeName="Sheet17">
    <tabColor theme="3" tint="0.59999389629810485"/>
    <pageSetUpPr fitToPage="1"/>
  </sheetPr>
  <dimension ref="A1:L112"/>
  <sheetViews>
    <sheetView zoomScale="80" zoomScaleNormal="80" workbookViewId="0">
      <selection sqref="A1:H1"/>
    </sheetView>
  </sheetViews>
  <sheetFormatPr defaultColWidth="9.77734375" defaultRowHeight="15.75" x14ac:dyDescent="0.25"/>
  <cols>
    <col min="1" max="1" width="2.77734375" style="3" customWidth="1"/>
    <col min="2" max="4" width="9.77734375" style="3"/>
    <col min="5" max="5" width="21.77734375" style="3" customWidth="1"/>
    <col min="6" max="6" width="13.77734375" style="3" customWidth="1"/>
    <col min="7" max="7" width="9.88671875" style="3" customWidth="1"/>
    <col min="8" max="8" width="7.77734375" style="3" customWidth="1"/>
    <col min="9" max="16384" width="9.77734375" style="3"/>
  </cols>
  <sheetData>
    <row r="1" spans="1:8" x14ac:dyDescent="0.25">
      <c r="A1" s="823" t="s">
        <v>161</v>
      </c>
      <c r="B1" s="823"/>
      <c r="C1" s="823"/>
      <c r="D1" s="823"/>
      <c r="E1" s="823"/>
      <c r="F1" s="823"/>
      <c r="G1" s="823"/>
      <c r="H1" s="823"/>
    </row>
    <row r="4" spans="1:8" x14ac:dyDescent="0.25">
      <c r="A4" s="823" t="s">
        <v>593</v>
      </c>
      <c r="B4" s="823"/>
      <c r="C4" s="823"/>
      <c r="D4" s="823"/>
      <c r="E4" s="823"/>
      <c r="F4" s="823"/>
      <c r="G4" s="823"/>
      <c r="H4" s="823"/>
    </row>
    <row r="6" spans="1:8" x14ac:dyDescent="0.25">
      <c r="A6" s="756" t="str">
        <f>CONCATENATE('Input Data'!D4," through ",'Input Data'!D5)</f>
        <v>February 1, 2023 through April 30, 2023</v>
      </c>
      <c r="B6" s="756"/>
      <c r="C6" s="756"/>
      <c r="D6" s="756"/>
      <c r="E6" s="756"/>
      <c r="F6" s="756"/>
      <c r="G6" s="756"/>
      <c r="H6" s="756"/>
    </row>
    <row r="7" spans="1:8" x14ac:dyDescent="0.25">
      <c r="A7" s="235"/>
      <c r="B7" s="235"/>
      <c r="C7" s="235"/>
      <c r="D7" s="235"/>
      <c r="E7" s="235"/>
      <c r="F7" s="235"/>
      <c r="G7" s="235"/>
      <c r="H7" s="235"/>
    </row>
    <row r="9" spans="1:8" x14ac:dyDescent="0.25">
      <c r="B9" s="236"/>
      <c r="G9" s="237"/>
    </row>
    <row r="11" spans="1:8" x14ac:dyDescent="0.25">
      <c r="C11" s="238" t="s">
        <v>162</v>
      </c>
    </row>
    <row r="13" spans="1:8" x14ac:dyDescent="0.25">
      <c r="B13" s="13" t="s">
        <v>163</v>
      </c>
      <c r="G13" s="681">
        <v>550</v>
      </c>
    </row>
    <row r="15" spans="1:8" x14ac:dyDescent="0.25">
      <c r="B15" s="13" t="s">
        <v>568</v>
      </c>
      <c r="G15" s="681">
        <v>750</v>
      </c>
    </row>
    <row r="17" spans="1:8" x14ac:dyDescent="0.25">
      <c r="B17" s="13" t="s">
        <v>570</v>
      </c>
      <c r="G17" s="681">
        <v>7.38</v>
      </c>
    </row>
    <row r="19" spans="1:8" x14ac:dyDescent="0.25">
      <c r="B19" s="13" t="s">
        <v>164</v>
      </c>
      <c r="G19" s="99">
        <v>4.5600000000000002E-2</v>
      </c>
    </row>
    <row r="21" spans="1:8" x14ac:dyDescent="0.25">
      <c r="B21" s="3" t="s">
        <v>751</v>
      </c>
      <c r="G21" s="99">
        <v>1.5E-3</v>
      </c>
    </row>
    <row r="22" spans="1:8" x14ac:dyDescent="0.25">
      <c r="G22" s="99"/>
    </row>
    <row r="23" spans="1:8" x14ac:dyDescent="0.25">
      <c r="B23" s="3" t="s">
        <v>758</v>
      </c>
      <c r="G23" s="99">
        <v>1.09E-2</v>
      </c>
    </row>
    <row r="24" spans="1:8" x14ac:dyDescent="0.25">
      <c r="G24" s="99"/>
    </row>
    <row r="25" spans="1:8" x14ac:dyDescent="0.25">
      <c r="A25" s="235"/>
      <c r="B25" s="235"/>
      <c r="C25" s="235"/>
      <c r="D25" s="235"/>
      <c r="E25" s="235"/>
      <c r="F25" s="235"/>
      <c r="G25" s="235"/>
      <c r="H25" s="235"/>
    </row>
    <row r="29" spans="1:8" x14ac:dyDescent="0.25">
      <c r="C29" s="238" t="s">
        <v>165</v>
      </c>
    </row>
    <row r="31" spans="1:8" x14ac:dyDescent="0.25">
      <c r="B31" s="13" t="s">
        <v>166</v>
      </c>
      <c r="G31" s="99">
        <f>'Ex A 2 of 2'!F55</f>
        <v>0.1779</v>
      </c>
    </row>
    <row r="32" spans="1:8" x14ac:dyDescent="0.25">
      <c r="B32" s="13" t="s">
        <v>167</v>
      </c>
      <c r="G32" s="682">
        <v>0.37969999999999998</v>
      </c>
    </row>
    <row r="33" spans="2:8" x14ac:dyDescent="0.25">
      <c r="B33" s="13" t="s">
        <v>168</v>
      </c>
      <c r="G33" s="99">
        <f>(G31+G32)</f>
        <v>0.55759999999999998</v>
      </c>
    </row>
    <row r="35" spans="2:8" x14ac:dyDescent="0.25">
      <c r="B35" s="3" t="s">
        <v>580</v>
      </c>
    </row>
    <row r="36" spans="2:8" x14ac:dyDescent="0.25">
      <c r="C36" s="3" t="s">
        <v>169</v>
      </c>
      <c r="F36" s="3" t="s">
        <v>170</v>
      </c>
    </row>
    <row r="37" spans="2:8" x14ac:dyDescent="0.25">
      <c r="F37" s="3" t="s">
        <v>763</v>
      </c>
    </row>
    <row r="38" spans="2:8" x14ac:dyDescent="0.25">
      <c r="F38" s="3" t="s">
        <v>553</v>
      </c>
    </row>
    <row r="39" spans="2:8" x14ac:dyDescent="0.25">
      <c r="B39" s="3" t="s">
        <v>580</v>
      </c>
    </row>
    <row r="40" spans="2:8" x14ac:dyDescent="0.25">
      <c r="B40" s="239" t="s">
        <v>171</v>
      </c>
    </row>
    <row r="42" spans="2:8" x14ac:dyDescent="0.25">
      <c r="B42" s="238" t="s">
        <v>172</v>
      </c>
    </row>
    <row r="43" spans="2:8" x14ac:dyDescent="0.25">
      <c r="C43" s="13" t="s">
        <v>173</v>
      </c>
      <c r="F43" s="240"/>
      <c r="G43" s="241">
        <v>1</v>
      </c>
      <c r="H43" s="13"/>
    </row>
    <row r="44" spans="2:8" x14ac:dyDescent="0.25">
      <c r="C44" s="13" t="s">
        <v>174</v>
      </c>
      <c r="G44" s="241">
        <f>(G$43*1.1)</f>
        <v>1.1000000000000001</v>
      </c>
    </row>
    <row r="45" spans="2:8" x14ac:dyDescent="0.25">
      <c r="C45" s="13" t="s">
        <v>174</v>
      </c>
      <c r="G45" s="241">
        <f>(G$43*1.2)</f>
        <v>1.2</v>
      </c>
    </row>
    <row r="46" spans="2:8" x14ac:dyDescent="0.25">
      <c r="C46" s="13" t="s">
        <v>174</v>
      </c>
      <c r="G46" s="241">
        <f>(G$43*1.3)</f>
        <v>1.3</v>
      </c>
    </row>
    <row r="47" spans="2:8" x14ac:dyDescent="0.25">
      <c r="C47" s="13" t="s">
        <v>175</v>
      </c>
      <c r="G47" s="241">
        <f>(G$43*1.4)</f>
        <v>1.4</v>
      </c>
    </row>
    <row r="49" spans="1:12" x14ac:dyDescent="0.25">
      <c r="B49" s="238" t="s">
        <v>176</v>
      </c>
    </row>
    <row r="50" spans="1:12" x14ac:dyDescent="0.25">
      <c r="C50" s="13" t="s">
        <v>173</v>
      </c>
      <c r="G50" s="241">
        <f>(G43)</f>
        <v>1</v>
      </c>
      <c r="H50" s="13"/>
    </row>
    <row r="51" spans="1:12" x14ac:dyDescent="0.25">
      <c r="C51" s="13" t="s">
        <v>174</v>
      </c>
      <c r="G51" s="241">
        <f>(G$43*0.9)</f>
        <v>0.9</v>
      </c>
    </row>
    <row r="52" spans="1:12" x14ac:dyDescent="0.25">
      <c r="C52" s="13" t="s">
        <v>174</v>
      </c>
      <c r="G52" s="241">
        <f>(G$43*0.8)</f>
        <v>0.8</v>
      </c>
    </row>
    <row r="53" spans="1:12" x14ac:dyDescent="0.25">
      <c r="C53" s="13" t="s">
        <v>174</v>
      </c>
      <c r="G53" s="241">
        <f>(G$43*0.7)</f>
        <v>0.7</v>
      </c>
    </row>
    <row r="54" spans="1:12" x14ac:dyDescent="0.25">
      <c r="C54" s="13" t="s">
        <v>175</v>
      </c>
      <c r="G54" s="241">
        <f>(G$43*0.6)</f>
        <v>0.6</v>
      </c>
    </row>
    <row r="55" spans="1:12" x14ac:dyDescent="0.25">
      <c r="C55" s="13"/>
      <c r="G55" s="241"/>
    </row>
    <row r="56" spans="1:12" x14ac:dyDescent="0.25">
      <c r="A56" s="242"/>
      <c r="B56" s="235"/>
      <c r="C56" s="235"/>
      <c r="D56" s="235"/>
      <c r="E56" s="235"/>
      <c r="F56" s="235"/>
      <c r="G56" s="235"/>
      <c r="H56" s="235"/>
    </row>
    <row r="58" spans="1:12" x14ac:dyDescent="0.25">
      <c r="A58" s="2"/>
      <c r="B58" s="254"/>
      <c r="C58" s="254"/>
      <c r="D58" s="254"/>
      <c r="E58" s="254"/>
      <c r="F58" s="254"/>
      <c r="G58" s="254"/>
      <c r="H58" s="254"/>
      <c r="I58" s="254"/>
      <c r="J58" s="254"/>
      <c r="K58" s="254"/>
      <c r="L58" s="254"/>
    </row>
    <row r="59" spans="1:12" x14ac:dyDescent="0.25">
      <c r="A59" s="254"/>
      <c r="B59" s="254"/>
      <c r="C59" s="254"/>
      <c r="D59" s="254"/>
      <c r="E59" s="254"/>
      <c r="F59" s="254"/>
      <c r="G59" s="254"/>
      <c r="H59" s="254"/>
      <c r="I59" s="254"/>
      <c r="J59" s="254"/>
      <c r="K59" s="254"/>
      <c r="L59" s="254"/>
    </row>
    <row r="60" spans="1:12" x14ac:dyDescent="0.25">
      <c r="A60" s="254"/>
      <c r="B60" s="254"/>
      <c r="C60" s="254"/>
      <c r="D60" s="254"/>
      <c r="E60" s="254"/>
      <c r="F60" s="254"/>
      <c r="G60" s="254"/>
      <c r="H60" s="254"/>
      <c r="I60" s="254"/>
      <c r="J60" s="254"/>
      <c r="K60" s="254"/>
      <c r="L60" s="254"/>
    </row>
    <row r="61" spans="1:12" x14ac:dyDescent="0.25">
      <c r="A61" s="254"/>
      <c r="B61" s="254"/>
      <c r="C61" s="254"/>
      <c r="D61" s="254"/>
      <c r="E61" s="254"/>
      <c r="F61" s="254"/>
      <c r="G61" s="254"/>
      <c r="H61" s="254"/>
      <c r="I61" s="254"/>
      <c r="J61" s="254"/>
      <c r="K61" s="254"/>
      <c r="L61" s="254"/>
    </row>
    <row r="62" spans="1:12" x14ac:dyDescent="0.25">
      <c r="A62" s="254"/>
      <c r="B62" s="254"/>
      <c r="C62" s="254"/>
      <c r="D62" s="254"/>
      <c r="E62" s="254"/>
      <c r="F62" s="254"/>
      <c r="G62" s="254"/>
      <c r="H62" s="254"/>
      <c r="I62" s="254"/>
      <c r="J62" s="254"/>
      <c r="K62" s="254"/>
      <c r="L62" s="254"/>
    </row>
    <row r="63" spans="1:12" x14ac:dyDescent="0.25">
      <c r="A63" s="254"/>
      <c r="B63" s="254"/>
      <c r="C63" s="254"/>
      <c r="D63" s="254"/>
      <c r="E63" s="254"/>
      <c r="F63" s="254"/>
      <c r="G63" s="254"/>
      <c r="H63" s="254"/>
      <c r="I63" s="254"/>
      <c r="J63" s="254"/>
      <c r="K63" s="254"/>
      <c r="L63" s="254"/>
    </row>
    <row r="64" spans="1:12" x14ac:dyDescent="0.25">
      <c r="A64" s="254"/>
      <c r="B64" s="254"/>
      <c r="C64" s="254"/>
      <c r="D64" s="254"/>
      <c r="E64" s="254"/>
      <c r="F64" s="254"/>
      <c r="G64" s="254"/>
      <c r="H64" s="254"/>
      <c r="I64" s="254"/>
      <c r="J64" s="254"/>
      <c r="K64" s="254"/>
      <c r="L64" s="254"/>
    </row>
    <row r="65" spans="1:12" x14ac:dyDescent="0.25">
      <c r="A65" s="254"/>
      <c r="B65" s="254"/>
      <c r="C65" s="254"/>
      <c r="D65" s="254"/>
      <c r="E65" s="254"/>
      <c r="F65" s="254"/>
      <c r="G65" s="254"/>
      <c r="H65" s="254"/>
      <c r="I65" s="254"/>
      <c r="J65" s="254"/>
      <c r="K65" s="254"/>
      <c r="L65" s="254"/>
    </row>
    <row r="66" spans="1:12" x14ac:dyDescent="0.25">
      <c r="A66" s="254"/>
      <c r="B66" s="254"/>
      <c r="C66" s="254"/>
      <c r="D66" s="254"/>
      <c r="E66" s="254"/>
      <c r="F66" s="254"/>
      <c r="G66" s="254"/>
      <c r="H66" s="254"/>
      <c r="I66" s="254"/>
      <c r="J66" s="254"/>
      <c r="K66" s="254"/>
      <c r="L66" s="254"/>
    </row>
    <row r="67" spans="1:12" x14ac:dyDescent="0.25">
      <c r="A67" s="254"/>
      <c r="B67" s="254"/>
      <c r="C67" s="254"/>
      <c r="D67" s="254"/>
      <c r="E67" s="254"/>
      <c r="F67" s="254"/>
      <c r="G67" s="254"/>
      <c r="H67" s="254"/>
      <c r="I67" s="254"/>
      <c r="J67" s="254"/>
      <c r="K67" s="254"/>
      <c r="L67" s="254"/>
    </row>
    <row r="68" spans="1:12" x14ac:dyDescent="0.25">
      <c r="A68" s="254"/>
      <c r="B68" s="254"/>
      <c r="C68" s="254"/>
      <c r="D68" s="254"/>
      <c r="E68" s="254"/>
      <c r="F68" s="254"/>
      <c r="G68" s="254"/>
      <c r="H68" s="254"/>
      <c r="I68" s="254"/>
      <c r="J68" s="254"/>
      <c r="K68" s="254"/>
      <c r="L68" s="254"/>
    </row>
    <row r="69" spans="1:12" x14ac:dyDescent="0.25">
      <c r="A69" s="254"/>
      <c r="B69" s="254"/>
      <c r="C69" s="254"/>
      <c r="D69" s="254"/>
      <c r="E69" s="254"/>
      <c r="F69" s="254"/>
      <c r="G69" s="254"/>
      <c r="H69" s="254"/>
      <c r="I69" s="254"/>
      <c r="J69" s="254"/>
      <c r="K69" s="254"/>
      <c r="L69" s="254"/>
    </row>
    <row r="70" spans="1:12" x14ac:dyDescent="0.25">
      <c r="A70" s="254"/>
      <c r="B70" s="254"/>
      <c r="C70" s="254"/>
      <c r="D70" s="254"/>
      <c r="E70" s="254"/>
      <c r="F70" s="254"/>
      <c r="G70" s="254"/>
      <c r="H70" s="254"/>
      <c r="I70" s="254"/>
      <c r="J70" s="254"/>
      <c r="K70" s="254"/>
      <c r="L70" s="254"/>
    </row>
    <row r="71" spans="1:12" x14ac:dyDescent="0.25">
      <c r="A71" s="254"/>
      <c r="B71" s="254"/>
      <c r="C71" s="254"/>
      <c r="D71" s="254"/>
      <c r="E71" s="254"/>
      <c r="F71" s="254"/>
      <c r="G71" s="254"/>
      <c r="H71" s="254"/>
      <c r="I71" s="254"/>
      <c r="J71" s="254"/>
      <c r="K71" s="254"/>
      <c r="L71" s="254"/>
    </row>
    <row r="72" spans="1:12" x14ac:dyDescent="0.25">
      <c r="A72" s="254"/>
      <c r="B72" s="254"/>
      <c r="C72" s="254"/>
      <c r="D72" s="254"/>
      <c r="E72" s="254"/>
      <c r="F72" s="254"/>
      <c r="G72" s="254"/>
      <c r="H72" s="254"/>
      <c r="I72" s="254"/>
      <c r="J72" s="254"/>
      <c r="K72" s="254"/>
      <c r="L72" s="254"/>
    </row>
    <row r="73" spans="1:12" x14ac:dyDescent="0.25">
      <c r="A73" s="254"/>
      <c r="B73" s="254"/>
      <c r="C73" s="254"/>
      <c r="D73" s="254"/>
      <c r="E73" s="254"/>
      <c r="F73" s="254"/>
      <c r="G73" s="254"/>
      <c r="H73" s="254"/>
      <c r="I73" s="254"/>
      <c r="J73" s="254"/>
      <c r="K73" s="254"/>
      <c r="L73" s="254"/>
    </row>
    <row r="74" spans="1:12" x14ac:dyDescent="0.25">
      <c r="A74" s="254"/>
      <c r="B74" s="254"/>
      <c r="C74" s="254"/>
      <c r="D74" s="254"/>
      <c r="E74" s="254"/>
      <c r="F74" s="254"/>
      <c r="G74" s="254"/>
      <c r="H74" s="254"/>
      <c r="I74" s="254"/>
      <c r="J74" s="254"/>
      <c r="K74" s="254"/>
      <c r="L74" s="254"/>
    </row>
    <row r="75" spans="1:12" x14ac:dyDescent="0.25">
      <c r="A75" s="254"/>
      <c r="B75" s="254"/>
      <c r="C75" s="254"/>
      <c r="D75" s="254"/>
      <c r="E75" s="254"/>
      <c r="F75" s="254"/>
      <c r="G75" s="254"/>
      <c r="H75" s="254"/>
      <c r="I75" s="254"/>
      <c r="J75" s="254"/>
      <c r="K75" s="254"/>
      <c r="L75" s="254"/>
    </row>
    <row r="76" spans="1:12" x14ac:dyDescent="0.25">
      <c r="A76" s="254"/>
      <c r="B76" s="254"/>
      <c r="C76" s="254"/>
      <c r="D76" s="254"/>
      <c r="E76" s="254"/>
      <c r="F76" s="254"/>
      <c r="G76" s="254"/>
      <c r="H76" s="254"/>
      <c r="I76" s="254"/>
      <c r="J76" s="254"/>
      <c r="K76" s="254"/>
      <c r="L76" s="254"/>
    </row>
    <row r="77" spans="1:12" x14ac:dyDescent="0.25">
      <c r="A77" s="254"/>
      <c r="B77" s="254"/>
      <c r="C77" s="254"/>
      <c r="D77" s="254"/>
      <c r="E77" s="254"/>
      <c r="F77" s="254"/>
      <c r="G77" s="254"/>
      <c r="H77" s="254"/>
      <c r="I77" s="254"/>
      <c r="J77" s="254"/>
      <c r="K77" s="254"/>
      <c r="L77" s="254"/>
    </row>
    <row r="78" spans="1:12" x14ac:dyDescent="0.25">
      <c r="A78" s="254"/>
      <c r="B78" s="254"/>
      <c r="C78" s="254"/>
      <c r="D78" s="254"/>
      <c r="E78" s="254"/>
      <c r="F78" s="254"/>
      <c r="G78" s="254"/>
      <c r="H78" s="254"/>
      <c r="I78" s="254"/>
      <c r="J78" s="254"/>
      <c r="K78" s="254"/>
      <c r="L78" s="254"/>
    </row>
    <row r="79" spans="1:12" x14ac:dyDescent="0.25">
      <c r="A79" s="254"/>
      <c r="B79" s="254"/>
      <c r="C79" s="254"/>
      <c r="D79" s="254"/>
      <c r="E79" s="254"/>
      <c r="F79" s="254"/>
      <c r="G79" s="254"/>
      <c r="H79" s="254"/>
      <c r="I79" s="254"/>
      <c r="J79" s="254"/>
      <c r="K79" s="254"/>
      <c r="L79" s="254"/>
    </row>
    <row r="80" spans="1:12" x14ac:dyDescent="0.25">
      <c r="A80" s="254"/>
      <c r="B80" s="254"/>
      <c r="C80" s="254"/>
      <c r="D80" s="254"/>
      <c r="E80" s="254"/>
      <c r="F80" s="254"/>
      <c r="G80" s="254"/>
      <c r="H80" s="254"/>
      <c r="I80" s="254"/>
      <c r="J80" s="254"/>
      <c r="K80" s="254"/>
      <c r="L80" s="254"/>
    </row>
    <row r="81" spans="1:12" x14ac:dyDescent="0.25">
      <c r="A81" s="254"/>
      <c r="B81" s="254"/>
      <c r="C81" s="254"/>
      <c r="D81" s="254"/>
      <c r="E81" s="254"/>
      <c r="F81" s="254"/>
      <c r="G81" s="254"/>
      <c r="H81" s="254"/>
      <c r="I81" s="254"/>
      <c r="J81" s="254"/>
      <c r="K81" s="254"/>
      <c r="L81" s="254"/>
    </row>
    <row r="82" spans="1:12" x14ac:dyDescent="0.25">
      <c r="A82" s="254"/>
      <c r="B82" s="254"/>
      <c r="C82" s="254"/>
      <c r="D82" s="254"/>
      <c r="E82" s="254"/>
      <c r="F82" s="254"/>
      <c r="G82" s="254"/>
      <c r="H82" s="254"/>
      <c r="I82" s="254"/>
      <c r="J82" s="254"/>
      <c r="K82" s="254"/>
      <c r="L82" s="254"/>
    </row>
    <row r="83" spans="1:12" x14ac:dyDescent="0.25">
      <c r="A83" s="254"/>
      <c r="B83" s="254"/>
      <c r="C83" s="254"/>
      <c r="D83" s="254"/>
      <c r="E83" s="254"/>
      <c r="F83" s="254"/>
      <c r="G83" s="254"/>
      <c r="H83" s="254"/>
      <c r="I83" s="254"/>
      <c r="J83" s="254"/>
      <c r="K83" s="254"/>
      <c r="L83" s="254"/>
    </row>
    <row r="84" spans="1:12" x14ac:dyDescent="0.25">
      <c r="A84" s="254"/>
      <c r="B84" s="254"/>
      <c r="C84" s="254"/>
      <c r="D84" s="254"/>
      <c r="E84" s="254"/>
      <c r="F84" s="254"/>
      <c r="G84" s="254"/>
      <c r="H84" s="254"/>
      <c r="I84" s="254"/>
      <c r="J84" s="254"/>
      <c r="K84" s="254"/>
      <c r="L84" s="254"/>
    </row>
    <row r="85" spans="1:12" x14ac:dyDescent="0.25">
      <c r="A85" s="254"/>
      <c r="B85" s="254"/>
      <c r="C85" s="254"/>
      <c r="D85" s="254"/>
      <c r="E85" s="254"/>
      <c r="F85" s="254"/>
      <c r="G85" s="254"/>
      <c r="H85" s="254"/>
      <c r="I85" s="254"/>
      <c r="J85" s="254"/>
      <c r="K85" s="254"/>
      <c r="L85" s="254"/>
    </row>
    <row r="86" spans="1:12" x14ac:dyDescent="0.25">
      <c r="A86" s="254"/>
      <c r="B86" s="254"/>
      <c r="C86" s="254"/>
      <c r="D86" s="254"/>
      <c r="E86" s="254"/>
      <c r="F86" s="254"/>
      <c r="G86" s="254"/>
      <c r="H86" s="254"/>
      <c r="I86" s="254"/>
      <c r="J86" s="254"/>
      <c r="K86" s="254"/>
      <c r="L86" s="254"/>
    </row>
    <row r="87" spans="1:12" x14ac:dyDescent="0.25">
      <c r="A87" s="254"/>
      <c r="B87" s="254"/>
      <c r="C87" s="254"/>
      <c r="D87" s="254"/>
      <c r="E87" s="254"/>
      <c r="F87" s="254"/>
      <c r="G87" s="254"/>
      <c r="H87" s="254"/>
      <c r="I87" s="254"/>
      <c r="J87" s="254"/>
      <c r="K87" s="254"/>
      <c r="L87" s="254"/>
    </row>
    <row r="88" spans="1:12" x14ac:dyDescent="0.25">
      <c r="A88" s="254"/>
      <c r="B88" s="254"/>
      <c r="C88" s="254"/>
      <c r="D88" s="254"/>
      <c r="E88" s="254"/>
      <c r="F88" s="254"/>
      <c r="G88" s="254"/>
      <c r="H88" s="254"/>
      <c r="I88" s="254"/>
      <c r="J88" s="254"/>
      <c r="K88" s="254"/>
      <c r="L88" s="254"/>
    </row>
    <row r="89" spans="1:12" x14ac:dyDescent="0.25">
      <c r="A89" s="254"/>
      <c r="B89" s="254"/>
      <c r="C89" s="254"/>
      <c r="D89" s="254"/>
      <c r="E89" s="254"/>
      <c r="F89" s="254"/>
      <c r="G89" s="254"/>
      <c r="H89" s="254"/>
      <c r="I89" s="254"/>
      <c r="J89" s="254"/>
      <c r="K89" s="254"/>
      <c r="L89" s="254"/>
    </row>
    <row r="90" spans="1:12" x14ac:dyDescent="0.25">
      <c r="A90" s="254"/>
      <c r="B90" s="254"/>
      <c r="C90" s="254"/>
      <c r="D90" s="254"/>
      <c r="E90" s="254"/>
      <c r="F90" s="254"/>
      <c r="G90" s="254"/>
      <c r="H90" s="254"/>
      <c r="I90" s="254"/>
      <c r="J90" s="254"/>
      <c r="K90" s="254"/>
      <c r="L90" s="254"/>
    </row>
    <row r="91" spans="1:12" x14ac:dyDescent="0.25">
      <c r="A91" s="254"/>
      <c r="B91" s="254"/>
      <c r="C91" s="254"/>
      <c r="D91" s="254"/>
      <c r="E91" s="254"/>
      <c r="F91" s="254"/>
      <c r="G91" s="254"/>
      <c r="H91" s="254"/>
      <c r="I91" s="254"/>
      <c r="J91" s="254"/>
      <c r="K91" s="254"/>
      <c r="L91" s="254"/>
    </row>
    <row r="92" spans="1:12" x14ac:dyDescent="0.25">
      <c r="A92" s="254"/>
      <c r="B92" s="254"/>
      <c r="C92" s="254"/>
      <c r="D92" s="254"/>
      <c r="E92" s="254"/>
      <c r="F92" s="254"/>
      <c r="G92" s="254"/>
      <c r="H92" s="254"/>
      <c r="I92" s="254"/>
      <c r="J92" s="254"/>
      <c r="K92" s="254"/>
      <c r="L92" s="254"/>
    </row>
    <row r="93" spans="1:12" x14ac:dyDescent="0.25">
      <c r="A93" s="254"/>
      <c r="B93" s="254"/>
      <c r="C93" s="254"/>
      <c r="D93" s="254"/>
      <c r="E93" s="254"/>
      <c r="F93" s="254"/>
      <c r="G93" s="254"/>
      <c r="H93" s="254"/>
      <c r="I93" s="254"/>
      <c r="J93" s="254"/>
      <c r="K93" s="254"/>
      <c r="L93" s="254"/>
    </row>
    <row r="94" spans="1:12" x14ac:dyDescent="0.25">
      <c r="A94" s="254"/>
      <c r="B94" s="254"/>
      <c r="C94" s="254"/>
      <c r="D94" s="254"/>
      <c r="E94" s="254"/>
      <c r="F94" s="254"/>
      <c r="G94" s="254"/>
      <c r="H94" s="254"/>
      <c r="I94" s="254"/>
      <c r="J94" s="254"/>
      <c r="K94" s="254"/>
      <c r="L94" s="254"/>
    </row>
    <row r="95" spans="1:12" x14ac:dyDescent="0.25">
      <c r="A95" s="254"/>
      <c r="B95" s="254"/>
      <c r="C95" s="254"/>
      <c r="D95" s="254"/>
      <c r="E95" s="254"/>
      <c r="F95" s="254"/>
      <c r="G95" s="254"/>
      <c r="H95" s="254"/>
      <c r="I95" s="254"/>
      <c r="J95" s="254"/>
      <c r="K95" s="254"/>
      <c r="L95" s="254"/>
    </row>
    <row r="96" spans="1:12" x14ac:dyDescent="0.25">
      <c r="A96" s="254"/>
      <c r="B96" s="254"/>
      <c r="C96" s="254"/>
      <c r="D96" s="254"/>
      <c r="E96" s="254"/>
      <c r="F96" s="254"/>
      <c r="G96" s="254"/>
      <c r="H96" s="254"/>
      <c r="I96" s="254"/>
      <c r="J96" s="254"/>
      <c r="K96" s="254"/>
      <c r="L96" s="254"/>
    </row>
    <row r="97" spans="1:12" x14ac:dyDescent="0.25">
      <c r="A97" s="254"/>
      <c r="B97" s="254"/>
      <c r="C97" s="254"/>
      <c r="D97" s="254"/>
      <c r="E97" s="254"/>
      <c r="F97" s="254"/>
      <c r="G97" s="254"/>
      <c r="H97" s="254"/>
      <c r="I97" s="254"/>
      <c r="J97" s="254"/>
      <c r="K97" s="254"/>
      <c r="L97" s="254"/>
    </row>
    <row r="98" spans="1:12" x14ac:dyDescent="0.25">
      <c r="A98" s="254"/>
      <c r="B98" s="254"/>
      <c r="C98" s="254"/>
      <c r="D98" s="254"/>
      <c r="E98" s="254"/>
      <c r="F98" s="254"/>
      <c r="G98" s="254"/>
      <c r="H98" s="254"/>
      <c r="I98" s="254"/>
      <c r="J98" s="254"/>
      <c r="K98" s="254"/>
      <c r="L98" s="254"/>
    </row>
    <row r="99" spans="1:12" x14ac:dyDescent="0.25">
      <c r="A99" s="254"/>
      <c r="B99" s="254"/>
      <c r="C99" s="254"/>
      <c r="D99" s="254"/>
      <c r="E99" s="254"/>
      <c r="F99" s="254"/>
      <c r="G99" s="254"/>
      <c r="H99" s="254"/>
      <c r="I99" s="254"/>
      <c r="J99" s="254"/>
      <c r="K99" s="254"/>
      <c r="L99" s="254"/>
    </row>
    <row r="100" spans="1:12" x14ac:dyDescent="0.25">
      <c r="A100" s="254"/>
      <c r="B100" s="254"/>
      <c r="C100" s="254"/>
      <c r="D100" s="254"/>
      <c r="E100" s="254"/>
      <c r="F100" s="254"/>
      <c r="G100" s="254"/>
      <c r="H100" s="254"/>
      <c r="I100" s="254"/>
      <c r="J100" s="254"/>
      <c r="K100" s="254"/>
      <c r="L100" s="254"/>
    </row>
    <row r="101" spans="1:12" x14ac:dyDescent="0.25">
      <c r="A101" s="254"/>
      <c r="B101" s="254"/>
      <c r="C101" s="254"/>
      <c r="D101" s="254"/>
      <c r="E101" s="254"/>
      <c r="F101" s="254"/>
      <c r="G101" s="254"/>
      <c r="H101" s="254"/>
      <c r="I101" s="254"/>
      <c r="J101" s="254"/>
      <c r="K101" s="254"/>
      <c r="L101" s="254"/>
    </row>
    <row r="102" spans="1:12" x14ac:dyDescent="0.25">
      <c r="A102" s="254"/>
      <c r="B102" s="254"/>
      <c r="C102" s="254"/>
      <c r="D102" s="254"/>
      <c r="E102" s="254"/>
      <c r="F102" s="254"/>
      <c r="G102" s="254"/>
      <c r="H102" s="254"/>
      <c r="I102" s="254"/>
      <c r="J102" s="254"/>
      <c r="K102" s="254"/>
      <c r="L102" s="254"/>
    </row>
    <row r="103" spans="1:12" x14ac:dyDescent="0.25">
      <c r="A103" s="254"/>
      <c r="B103" s="254"/>
      <c r="C103" s="254"/>
      <c r="D103" s="254"/>
      <c r="E103" s="254"/>
      <c r="F103" s="254"/>
      <c r="G103" s="254"/>
      <c r="H103" s="254"/>
      <c r="I103" s="254"/>
      <c r="J103" s="254"/>
      <c r="K103" s="254"/>
      <c r="L103" s="254"/>
    </row>
    <row r="104" spans="1:12" x14ac:dyDescent="0.25">
      <c r="A104" s="254"/>
      <c r="B104" s="254"/>
      <c r="C104" s="254"/>
      <c r="D104" s="254"/>
      <c r="E104" s="254"/>
      <c r="F104" s="254"/>
      <c r="G104" s="254"/>
      <c r="H104" s="254"/>
      <c r="I104" s="254"/>
      <c r="J104" s="254"/>
      <c r="K104" s="254"/>
      <c r="L104" s="254"/>
    </row>
    <row r="105" spans="1:12" x14ac:dyDescent="0.25">
      <c r="A105" s="254"/>
      <c r="B105" s="254"/>
      <c r="C105" s="254"/>
      <c r="D105" s="254"/>
      <c r="E105" s="254"/>
      <c r="F105" s="254"/>
      <c r="G105" s="254"/>
      <c r="H105" s="254"/>
      <c r="I105" s="254"/>
      <c r="J105" s="254"/>
      <c r="K105" s="254"/>
      <c r="L105" s="254"/>
    </row>
    <row r="106" spans="1:12" x14ac:dyDescent="0.25">
      <c r="A106" s="254"/>
      <c r="B106" s="254"/>
      <c r="C106" s="254"/>
      <c r="D106" s="254"/>
      <c r="E106" s="254"/>
      <c r="F106" s="254"/>
      <c r="G106" s="254"/>
      <c r="H106" s="254"/>
      <c r="I106" s="254"/>
      <c r="J106" s="254"/>
      <c r="K106" s="254"/>
      <c r="L106" s="254"/>
    </row>
    <row r="107" spans="1:12" x14ac:dyDescent="0.25">
      <c r="A107" s="254"/>
      <c r="B107" s="254"/>
      <c r="C107" s="254"/>
      <c r="D107" s="254"/>
      <c r="E107" s="254"/>
      <c r="F107" s="254"/>
      <c r="G107" s="254"/>
      <c r="H107" s="254"/>
      <c r="I107" s="254"/>
      <c r="J107" s="254"/>
      <c r="K107" s="254"/>
      <c r="L107" s="254"/>
    </row>
    <row r="108" spans="1:12" x14ac:dyDescent="0.25">
      <c r="A108" s="254"/>
      <c r="B108" s="254"/>
      <c r="C108" s="254"/>
      <c r="D108" s="254"/>
      <c r="E108" s="254"/>
      <c r="F108" s="254"/>
      <c r="G108" s="254"/>
      <c r="H108" s="254"/>
      <c r="I108" s="254"/>
      <c r="J108" s="254"/>
      <c r="K108" s="254"/>
      <c r="L108" s="254"/>
    </row>
    <row r="109" spans="1:12" x14ac:dyDescent="0.25">
      <c r="A109" s="254"/>
      <c r="B109" s="254"/>
      <c r="C109" s="254"/>
      <c r="D109" s="254"/>
      <c r="E109" s="254"/>
      <c r="F109" s="254"/>
      <c r="G109" s="254"/>
      <c r="H109" s="254"/>
      <c r="I109" s="254"/>
      <c r="J109" s="254"/>
      <c r="K109" s="254"/>
      <c r="L109" s="254"/>
    </row>
    <row r="110" spans="1:12" x14ac:dyDescent="0.25">
      <c r="A110" s="254"/>
      <c r="B110" s="254"/>
      <c r="C110" s="254"/>
      <c r="D110" s="254"/>
      <c r="E110" s="254"/>
      <c r="F110" s="254"/>
      <c r="G110" s="254"/>
      <c r="H110" s="254"/>
      <c r="I110" s="254"/>
      <c r="J110" s="254"/>
      <c r="K110" s="254"/>
      <c r="L110" s="254"/>
    </row>
    <row r="111" spans="1:12" x14ac:dyDescent="0.25">
      <c r="A111" s="254"/>
      <c r="B111" s="254"/>
      <c r="C111" s="254"/>
      <c r="D111" s="254"/>
      <c r="E111" s="254"/>
      <c r="F111" s="254"/>
      <c r="G111" s="254"/>
      <c r="H111" s="254"/>
      <c r="I111" s="254"/>
      <c r="J111" s="254"/>
      <c r="K111" s="254"/>
      <c r="L111" s="254"/>
    </row>
    <row r="112" spans="1:12" x14ac:dyDescent="0.25">
      <c r="A112" s="254"/>
      <c r="B112" s="254"/>
      <c r="C112" s="254"/>
      <c r="D112" s="254"/>
      <c r="E112" s="254"/>
      <c r="F112" s="254"/>
      <c r="G112" s="254"/>
      <c r="H112" s="254"/>
      <c r="I112" s="254"/>
      <c r="J112" s="254"/>
      <c r="K112" s="254"/>
      <c r="L112" s="254"/>
    </row>
  </sheetData>
  <mergeCells count="3">
    <mergeCell ref="A4:H4"/>
    <mergeCell ref="A1:H1"/>
    <mergeCell ref="A6:H6"/>
  </mergeCells>
  <phoneticPr fontId="0" type="noConversion"/>
  <pageMargins left="0.75" right="0.75" top="1" bottom="0.75" header="0.5" footer="0.5"/>
  <pageSetup scale="79" orientation="portrait" blackAndWhite="1" r:id="rId1"/>
  <headerFooter alignWithMargins="0">
    <oddFooter>&amp;L&amp;1#&amp;"Calibri"&amp;14&amp;K000000Confidential</oddFooter>
  </headerFooter>
  <customProperties>
    <customPr name="_pios_id" r:id="rId2"/>
  </customPropertie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ransitionEvaluation="1" codeName="Sheet40">
    <tabColor theme="3" tint="0.59999389629810485"/>
    <pageSetUpPr fitToPage="1"/>
  </sheetPr>
  <dimension ref="A1:L110"/>
  <sheetViews>
    <sheetView zoomScale="80" zoomScaleNormal="80" workbookViewId="0">
      <selection sqref="A1:H1"/>
    </sheetView>
  </sheetViews>
  <sheetFormatPr defaultColWidth="9.77734375" defaultRowHeight="15.75" x14ac:dyDescent="0.25"/>
  <cols>
    <col min="1" max="1" width="2.77734375" style="3" customWidth="1"/>
    <col min="2" max="4" width="9.77734375" style="3"/>
    <col min="5" max="5" width="21.77734375" style="3" customWidth="1"/>
    <col min="6" max="6" width="13.77734375" style="3" customWidth="1"/>
    <col min="7" max="7" width="9.88671875" style="3" customWidth="1"/>
    <col min="8" max="8" width="7.77734375" style="3" customWidth="1"/>
    <col min="9" max="16384" width="9.77734375" style="3"/>
  </cols>
  <sheetData>
    <row r="1" spans="1:8" x14ac:dyDescent="0.25">
      <c r="A1" s="823" t="s">
        <v>161</v>
      </c>
      <c r="B1" s="823"/>
      <c r="C1" s="823"/>
      <c r="D1" s="823"/>
      <c r="E1" s="823"/>
      <c r="F1" s="823"/>
      <c r="G1" s="823"/>
      <c r="H1" s="823"/>
    </row>
    <row r="4" spans="1:8" x14ac:dyDescent="0.25">
      <c r="A4" s="823" t="s">
        <v>592</v>
      </c>
      <c r="B4" s="823"/>
      <c r="C4" s="823"/>
      <c r="D4" s="823"/>
      <c r="E4" s="823"/>
      <c r="F4" s="823"/>
      <c r="G4" s="823"/>
      <c r="H4" s="823"/>
    </row>
    <row r="6" spans="1:8" x14ac:dyDescent="0.25">
      <c r="A6" s="756" t="str">
        <f>CONCATENATE('Input Data'!D4," through ",'Input Data'!D5)</f>
        <v>February 1, 2023 through April 30, 2023</v>
      </c>
      <c r="B6" s="756"/>
      <c r="C6" s="756"/>
      <c r="D6" s="756"/>
      <c r="E6" s="756"/>
      <c r="F6" s="756"/>
      <c r="G6" s="756"/>
      <c r="H6" s="756"/>
    </row>
    <row r="7" spans="1:8" x14ac:dyDescent="0.25">
      <c r="A7" s="235"/>
      <c r="B7" s="235"/>
      <c r="C7" s="235"/>
      <c r="D7" s="235"/>
      <c r="E7" s="235"/>
      <c r="F7" s="235"/>
      <c r="G7" s="235"/>
      <c r="H7" s="235"/>
    </row>
    <row r="9" spans="1:8" x14ac:dyDescent="0.25">
      <c r="B9" s="236"/>
      <c r="G9" s="237"/>
    </row>
    <row r="11" spans="1:8" x14ac:dyDescent="0.25">
      <c r="C11" s="238" t="s">
        <v>567</v>
      </c>
    </row>
    <row r="13" spans="1:8" x14ac:dyDescent="0.25">
      <c r="B13" s="13" t="s">
        <v>163</v>
      </c>
      <c r="G13" s="681">
        <v>550</v>
      </c>
    </row>
    <row r="15" spans="1:8" x14ac:dyDescent="0.25">
      <c r="B15" s="13" t="s">
        <v>568</v>
      </c>
      <c r="G15" s="681">
        <v>750</v>
      </c>
    </row>
    <row r="17" spans="1:8" x14ac:dyDescent="0.25">
      <c r="B17" s="13" t="s">
        <v>570</v>
      </c>
      <c r="G17" s="681">
        <v>7.38</v>
      </c>
    </row>
    <row r="19" spans="1:8" x14ac:dyDescent="0.25">
      <c r="B19" s="13" t="s">
        <v>164</v>
      </c>
      <c r="G19" s="99">
        <v>4.5600000000000002E-2</v>
      </c>
    </row>
    <row r="20" spans="1:8" x14ac:dyDescent="0.25">
      <c r="B20" s="13"/>
      <c r="G20" s="99"/>
    </row>
    <row r="21" spans="1:8" x14ac:dyDescent="0.25">
      <c r="B21" s="3" t="s">
        <v>751</v>
      </c>
      <c r="G21" s="99">
        <v>1.5E-3</v>
      </c>
    </row>
    <row r="22" spans="1:8" x14ac:dyDescent="0.25">
      <c r="G22" s="99"/>
    </row>
    <row r="23" spans="1:8" x14ac:dyDescent="0.25">
      <c r="A23" s="235"/>
      <c r="B23" s="235"/>
      <c r="C23" s="235"/>
      <c r="D23" s="235"/>
      <c r="E23" s="235"/>
      <c r="F23" s="235"/>
      <c r="G23" s="235"/>
      <c r="H23" s="235"/>
    </row>
    <row r="27" spans="1:8" x14ac:dyDescent="0.25">
      <c r="C27" s="238" t="s">
        <v>165</v>
      </c>
    </row>
    <row r="29" spans="1:8" x14ac:dyDescent="0.25">
      <c r="B29" s="13" t="s">
        <v>166</v>
      </c>
      <c r="G29" s="99">
        <f>'Ex A 2 of 2'!F55</f>
        <v>0.1779</v>
      </c>
    </row>
    <row r="30" spans="1:8" x14ac:dyDescent="0.25">
      <c r="B30" s="13" t="s">
        <v>167</v>
      </c>
      <c r="G30" s="682">
        <v>0.37969999999999998</v>
      </c>
    </row>
    <row r="31" spans="1:8" x14ac:dyDescent="0.25">
      <c r="B31" s="13" t="s">
        <v>168</v>
      </c>
      <c r="G31" s="99">
        <f>(G29+G30)</f>
        <v>0.55759999999999998</v>
      </c>
    </row>
    <row r="33" spans="2:8" x14ac:dyDescent="0.25">
      <c r="B33" s="3" t="s">
        <v>580</v>
      </c>
    </row>
    <row r="34" spans="2:8" x14ac:dyDescent="0.25">
      <c r="C34" s="3" t="s">
        <v>169</v>
      </c>
      <c r="F34" s="3" t="s">
        <v>170</v>
      </c>
    </row>
    <row r="35" spans="2:8" x14ac:dyDescent="0.25">
      <c r="F35" s="3" t="s">
        <v>763</v>
      </c>
    </row>
    <row r="36" spans="2:8" x14ac:dyDescent="0.25">
      <c r="F36" s="3" t="s">
        <v>569</v>
      </c>
    </row>
    <row r="37" spans="2:8" x14ac:dyDescent="0.25">
      <c r="B37" s="3" t="s">
        <v>580</v>
      </c>
    </row>
    <row r="38" spans="2:8" x14ac:dyDescent="0.25">
      <c r="B38" s="239" t="s">
        <v>171</v>
      </c>
    </row>
    <row r="40" spans="2:8" x14ac:dyDescent="0.25">
      <c r="B40" s="238" t="s">
        <v>574</v>
      </c>
    </row>
    <row r="41" spans="2:8" x14ac:dyDescent="0.25">
      <c r="C41" s="13" t="s">
        <v>173</v>
      </c>
      <c r="F41" s="240"/>
      <c r="G41" s="241">
        <v>1</v>
      </c>
      <c r="H41" s="13"/>
    </row>
    <row r="42" spans="2:8" x14ac:dyDescent="0.25">
      <c r="C42" s="13" t="s">
        <v>174</v>
      </c>
      <c r="G42" s="241">
        <f>(G$41*1.1)</f>
        <v>1.1000000000000001</v>
      </c>
    </row>
    <row r="43" spans="2:8" x14ac:dyDescent="0.25">
      <c r="C43" s="13" t="s">
        <v>174</v>
      </c>
      <c r="G43" s="241">
        <f>(G$41*1.2)</f>
        <v>1.2</v>
      </c>
    </row>
    <row r="44" spans="2:8" x14ac:dyDescent="0.25">
      <c r="C44" s="13" t="s">
        <v>174</v>
      </c>
      <c r="G44" s="241">
        <f>(G$41*1.3)</f>
        <v>1.3</v>
      </c>
    </row>
    <row r="45" spans="2:8" x14ac:dyDescent="0.25">
      <c r="C45" s="13" t="s">
        <v>175</v>
      </c>
      <c r="G45" s="241">
        <f>(G$41*1.4)</f>
        <v>1.4</v>
      </c>
    </row>
    <row r="47" spans="2:8" x14ac:dyDescent="0.25">
      <c r="B47" s="238" t="s">
        <v>575</v>
      </c>
    </row>
    <row r="48" spans="2:8" x14ac:dyDescent="0.25">
      <c r="C48" s="13" t="s">
        <v>173</v>
      </c>
      <c r="G48" s="241">
        <f>(G41)</f>
        <v>1</v>
      </c>
      <c r="H48" s="13"/>
    </row>
    <row r="49" spans="1:12" x14ac:dyDescent="0.25">
      <c r="C49" s="13" t="s">
        <v>174</v>
      </c>
      <c r="G49" s="241">
        <f>(G$41*0.9)</f>
        <v>0.9</v>
      </c>
    </row>
    <row r="50" spans="1:12" x14ac:dyDescent="0.25">
      <c r="C50" s="13" t="s">
        <v>174</v>
      </c>
      <c r="G50" s="241">
        <f>(G$41*0.8)</f>
        <v>0.8</v>
      </c>
    </row>
    <row r="51" spans="1:12" x14ac:dyDescent="0.25">
      <c r="C51" s="13" t="s">
        <v>174</v>
      </c>
      <c r="G51" s="241">
        <f>(G$41*0.7)</f>
        <v>0.7</v>
      </c>
    </row>
    <row r="52" spans="1:12" x14ac:dyDescent="0.25">
      <c r="C52" s="13" t="s">
        <v>175</v>
      </c>
      <c r="G52" s="241">
        <f>(G$41*0.6)</f>
        <v>0.6</v>
      </c>
    </row>
    <row r="53" spans="1:12" x14ac:dyDescent="0.25">
      <c r="C53" s="13"/>
      <c r="G53" s="241"/>
    </row>
    <row r="54" spans="1:12" x14ac:dyDescent="0.25">
      <c r="A54" s="242"/>
      <c r="B54" s="235"/>
      <c r="C54" s="235"/>
      <c r="D54" s="235"/>
      <c r="E54" s="235"/>
      <c r="F54" s="235"/>
      <c r="G54" s="235"/>
      <c r="H54" s="235"/>
    </row>
    <row r="56" spans="1:12" x14ac:dyDescent="0.25">
      <c r="A56" s="2"/>
      <c r="B56" s="254"/>
      <c r="C56" s="254"/>
      <c r="D56" s="254"/>
      <c r="E56" s="254"/>
      <c r="F56" s="254"/>
      <c r="G56" s="254"/>
      <c r="H56" s="254"/>
      <c r="I56" s="254"/>
      <c r="J56" s="254"/>
      <c r="K56" s="254"/>
      <c r="L56" s="254"/>
    </row>
    <row r="57" spans="1:12" x14ac:dyDescent="0.25">
      <c r="A57" s="254"/>
      <c r="B57" s="254"/>
      <c r="C57" s="254"/>
      <c r="D57" s="254"/>
      <c r="E57" s="254"/>
      <c r="F57" s="254"/>
      <c r="G57" s="254"/>
      <c r="H57" s="254"/>
      <c r="I57" s="254"/>
      <c r="J57" s="254"/>
      <c r="K57" s="254"/>
      <c r="L57" s="254"/>
    </row>
    <row r="58" spans="1:12" x14ac:dyDescent="0.25">
      <c r="A58" s="254"/>
      <c r="B58" s="254"/>
      <c r="C58" s="254"/>
      <c r="D58" s="254"/>
      <c r="E58" s="254"/>
      <c r="F58" s="254"/>
      <c r="G58" s="254"/>
      <c r="H58" s="254"/>
      <c r="I58" s="254"/>
      <c r="J58" s="254"/>
      <c r="K58" s="254"/>
      <c r="L58" s="254"/>
    </row>
    <row r="59" spans="1:12" x14ac:dyDescent="0.25">
      <c r="A59" s="254"/>
      <c r="B59" s="254"/>
      <c r="C59" s="254"/>
      <c r="D59" s="254"/>
      <c r="E59" s="254"/>
      <c r="F59" s="254"/>
      <c r="G59" s="254"/>
      <c r="H59" s="254"/>
      <c r="I59" s="254"/>
      <c r="J59" s="254"/>
      <c r="K59" s="254"/>
      <c r="L59" s="254"/>
    </row>
    <row r="60" spans="1:12" x14ac:dyDescent="0.25">
      <c r="A60" s="254"/>
      <c r="B60" s="254"/>
      <c r="C60" s="254"/>
      <c r="D60" s="254"/>
      <c r="E60" s="254"/>
      <c r="F60" s="254"/>
      <c r="G60" s="254"/>
      <c r="H60" s="254"/>
      <c r="I60" s="254"/>
      <c r="J60" s="254"/>
      <c r="K60" s="254"/>
      <c r="L60" s="254"/>
    </row>
    <row r="61" spans="1:12" x14ac:dyDescent="0.25">
      <c r="A61" s="254"/>
      <c r="B61" s="254"/>
      <c r="C61" s="254"/>
      <c r="D61" s="254"/>
      <c r="E61" s="254"/>
      <c r="F61" s="254"/>
      <c r="G61" s="254"/>
      <c r="H61" s="254"/>
      <c r="I61" s="254"/>
      <c r="J61" s="254"/>
      <c r="K61" s="254"/>
      <c r="L61" s="254"/>
    </row>
    <row r="62" spans="1:12" x14ac:dyDescent="0.25">
      <c r="A62" s="254"/>
      <c r="B62" s="254"/>
      <c r="C62" s="254"/>
      <c r="D62" s="254"/>
      <c r="E62" s="254"/>
      <c r="F62" s="254"/>
      <c r="G62" s="254"/>
      <c r="H62" s="254"/>
      <c r="I62" s="254"/>
      <c r="J62" s="254"/>
      <c r="K62" s="254"/>
      <c r="L62" s="254"/>
    </row>
    <row r="63" spans="1:12" x14ac:dyDescent="0.25">
      <c r="A63" s="254"/>
      <c r="B63" s="254"/>
      <c r="C63" s="254"/>
      <c r="D63" s="254"/>
      <c r="E63" s="254"/>
      <c r="F63" s="254"/>
      <c r="G63" s="254"/>
      <c r="H63" s="254"/>
      <c r="I63" s="254"/>
      <c r="J63" s="254"/>
      <c r="K63" s="254"/>
      <c r="L63" s="254"/>
    </row>
    <row r="64" spans="1:12" x14ac:dyDescent="0.25">
      <c r="A64" s="254"/>
      <c r="B64" s="254"/>
      <c r="C64" s="254"/>
      <c r="D64" s="254"/>
      <c r="E64" s="254"/>
      <c r="F64" s="254"/>
      <c r="G64" s="254"/>
      <c r="H64" s="254"/>
      <c r="I64" s="254"/>
      <c r="J64" s="254"/>
      <c r="K64" s="254"/>
      <c r="L64" s="254"/>
    </row>
    <row r="65" spans="1:12" x14ac:dyDescent="0.25">
      <c r="A65" s="254"/>
      <c r="B65" s="254"/>
      <c r="C65" s="254"/>
      <c r="D65" s="254"/>
      <c r="E65" s="254"/>
      <c r="F65" s="254"/>
      <c r="G65" s="254"/>
      <c r="H65" s="254"/>
      <c r="I65" s="254"/>
      <c r="J65" s="254"/>
      <c r="K65" s="254"/>
      <c r="L65" s="254"/>
    </row>
    <row r="66" spans="1:12" x14ac:dyDescent="0.25">
      <c r="A66" s="254"/>
      <c r="B66" s="254"/>
      <c r="C66" s="254"/>
      <c r="D66" s="254"/>
      <c r="E66" s="254"/>
      <c r="F66" s="254"/>
      <c r="G66" s="254"/>
      <c r="H66" s="254"/>
      <c r="I66" s="254"/>
      <c r="J66" s="254"/>
      <c r="K66" s="254"/>
      <c r="L66" s="254"/>
    </row>
    <row r="67" spans="1:12" x14ac:dyDescent="0.25">
      <c r="A67" s="254"/>
      <c r="B67" s="254"/>
      <c r="C67" s="254"/>
      <c r="D67" s="254"/>
      <c r="E67" s="254"/>
      <c r="F67" s="254"/>
      <c r="G67" s="254"/>
      <c r="H67" s="254"/>
      <c r="I67" s="254"/>
      <c r="J67" s="254"/>
      <c r="K67" s="254"/>
      <c r="L67" s="254"/>
    </row>
    <row r="68" spans="1:12" x14ac:dyDescent="0.25">
      <c r="A68" s="254"/>
      <c r="B68" s="254"/>
      <c r="C68" s="254"/>
      <c r="D68" s="254"/>
      <c r="E68" s="254"/>
      <c r="F68" s="254"/>
      <c r="G68" s="254"/>
      <c r="H68" s="254"/>
      <c r="I68" s="254"/>
      <c r="J68" s="254"/>
      <c r="K68" s="254"/>
      <c r="L68" s="254"/>
    </row>
    <row r="69" spans="1:12" x14ac:dyDescent="0.25">
      <c r="A69" s="254"/>
      <c r="B69" s="254"/>
      <c r="C69" s="254"/>
      <c r="D69" s="254"/>
      <c r="E69" s="254"/>
      <c r="F69" s="254"/>
      <c r="G69" s="254"/>
      <c r="H69" s="254"/>
      <c r="I69" s="254"/>
      <c r="J69" s="254"/>
      <c r="K69" s="254"/>
      <c r="L69" s="254"/>
    </row>
    <row r="70" spans="1:12" x14ac:dyDescent="0.25">
      <c r="A70" s="254"/>
      <c r="B70" s="254"/>
      <c r="C70" s="254"/>
      <c r="D70" s="254"/>
      <c r="E70" s="254"/>
      <c r="F70" s="254"/>
      <c r="G70" s="254"/>
      <c r="H70" s="254"/>
      <c r="I70" s="254"/>
      <c r="J70" s="254"/>
      <c r="K70" s="254"/>
      <c r="L70" s="254"/>
    </row>
    <row r="71" spans="1:12" x14ac:dyDescent="0.25">
      <c r="A71" s="254"/>
      <c r="B71" s="254"/>
      <c r="C71" s="254"/>
      <c r="D71" s="254"/>
      <c r="E71" s="254"/>
      <c r="F71" s="254"/>
      <c r="G71" s="254"/>
      <c r="H71" s="254"/>
      <c r="I71" s="254"/>
      <c r="J71" s="254"/>
      <c r="K71" s="254"/>
      <c r="L71" s="254"/>
    </row>
    <row r="72" spans="1:12" x14ac:dyDescent="0.25">
      <c r="A72" s="254"/>
      <c r="B72" s="254"/>
      <c r="C72" s="254"/>
      <c r="D72" s="254"/>
      <c r="E72" s="254"/>
      <c r="F72" s="254"/>
      <c r="G72" s="254"/>
      <c r="H72" s="254"/>
      <c r="I72" s="254"/>
      <c r="J72" s="254"/>
      <c r="K72" s="254"/>
      <c r="L72" s="254"/>
    </row>
    <row r="73" spans="1:12" x14ac:dyDescent="0.25">
      <c r="A73" s="254"/>
      <c r="B73" s="254"/>
      <c r="C73" s="254"/>
      <c r="D73" s="254"/>
      <c r="E73" s="254"/>
      <c r="F73" s="254"/>
      <c r="G73" s="254"/>
      <c r="H73" s="254"/>
      <c r="I73" s="254"/>
      <c r="J73" s="254"/>
      <c r="K73" s="254"/>
      <c r="L73" s="254"/>
    </row>
    <row r="74" spans="1:12" x14ac:dyDescent="0.25">
      <c r="A74" s="254"/>
      <c r="B74" s="254"/>
      <c r="C74" s="254"/>
      <c r="D74" s="254"/>
      <c r="E74" s="254"/>
      <c r="F74" s="254"/>
      <c r="G74" s="254"/>
      <c r="H74" s="254"/>
      <c r="I74" s="254"/>
      <c r="J74" s="254"/>
      <c r="K74" s="254"/>
      <c r="L74" s="254"/>
    </row>
    <row r="75" spans="1:12" x14ac:dyDescent="0.25">
      <c r="A75" s="254"/>
      <c r="B75" s="254"/>
      <c r="C75" s="254"/>
      <c r="D75" s="254"/>
      <c r="E75" s="254"/>
      <c r="F75" s="254"/>
      <c r="G75" s="254"/>
      <c r="H75" s="254"/>
      <c r="I75" s="254"/>
      <c r="J75" s="254"/>
      <c r="K75" s="254"/>
      <c r="L75" s="254"/>
    </row>
    <row r="76" spans="1:12" x14ac:dyDescent="0.25">
      <c r="A76" s="254"/>
      <c r="B76" s="254"/>
      <c r="C76" s="254"/>
      <c r="D76" s="254"/>
      <c r="E76" s="254"/>
      <c r="F76" s="254"/>
      <c r="G76" s="254"/>
      <c r="H76" s="254"/>
      <c r="I76" s="254"/>
      <c r="J76" s="254"/>
      <c r="K76" s="254"/>
      <c r="L76" s="254"/>
    </row>
    <row r="77" spans="1:12" x14ac:dyDescent="0.25">
      <c r="A77" s="254"/>
      <c r="B77" s="254"/>
      <c r="C77" s="254"/>
      <c r="D77" s="254"/>
      <c r="E77" s="254"/>
      <c r="F77" s="254"/>
      <c r="G77" s="254"/>
      <c r="H77" s="254"/>
      <c r="I77" s="254"/>
      <c r="J77" s="254"/>
      <c r="K77" s="254"/>
      <c r="L77" s="254"/>
    </row>
    <row r="78" spans="1:12" x14ac:dyDescent="0.25">
      <c r="A78" s="254"/>
      <c r="B78" s="254"/>
      <c r="C78" s="254"/>
      <c r="D78" s="254"/>
      <c r="E78" s="254"/>
      <c r="F78" s="254"/>
      <c r="G78" s="254"/>
      <c r="H78" s="254"/>
      <c r="I78" s="254"/>
      <c r="J78" s="254"/>
      <c r="K78" s="254"/>
      <c r="L78" s="254"/>
    </row>
    <row r="79" spans="1:12" x14ac:dyDescent="0.25">
      <c r="A79" s="254"/>
      <c r="B79" s="254"/>
      <c r="C79" s="254"/>
      <c r="D79" s="254"/>
      <c r="E79" s="254"/>
      <c r="F79" s="254"/>
      <c r="G79" s="254"/>
      <c r="H79" s="254"/>
      <c r="I79" s="254"/>
      <c r="J79" s="254"/>
      <c r="K79" s="254"/>
      <c r="L79" s="254"/>
    </row>
    <row r="80" spans="1:12" x14ac:dyDescent="0.25">
      <c r="A80" s="254"/>
      <c r="B80" s="254"/>
      <c r="C80" s="254"/>
      <c r="D80" s="254"/>
      <c r="E80" s="254"/>
      <c r="F80" s="254"/>
      <c r="G80" s="254"/>
      <c r="H80" s="254"/>
      <c r="I80" s="254"/>
      <c r="J80" s="254"/>
      <c r="K80" s="254"/>
      <c r="L80" s="254"/>
    </row>
    <row r="81" spans="1:12" x14ac:dyDescent="0.25">
      <c r="A81" s="254"/>
      <c r="B81" s="254"/>
      <c r="C81" s="254"/>
      <c r="D81" s="254"/>
      <c r="E81" s="254"/>
      <c r="F81" s="254"/>
      <c r="G81" s="254"/>
      <c r="H81" s="254"/>
      <c r="I81" s="254"/>
      <c r="J81" s="254"/>
      <c r="K81" s="254"/>
      <c r="L81" s="254"/>
    </row>
    <row r="82" spans="1:12" x14ac:dyDescent="0.25">
      <c r="A82" s="254"/>
      <c r="B82" s="254"/>
      <c r="C82" s="254"/>
      <c r="D82" s="254"/>
      <c r="E82" s="254"/>
      <c r="F82" s="254"/>
      <c r="G82" s="254"/>
      <c r="H82" s="254"/>
      <c r="I82" s="254"/>
      <c r="J82" s="254"/>
      <c r="K82" s="254"/>
      <c r="L82" s="254"/>
    </row>
    <row r="83" spans="1:12" x14ac:dyDescent="0.25">
      <c r="A83" s="254"/>
      <c r="B83" s="254"/>
      <c r="C83" s="254"/>
      <c r="D83" s="254"/>
      <c r="E83" s="254"/>
      <c r="F83" s="254"/>
      <c r="G83" s="254"/>
      <c r="H83" s="254"/>
      <c r="I83" s="254"/>
      <c r="J83" s="254"/>
      <c r="K83" s="254"/>
      <c r="L83" s="254"/>
    </row>
    <row r="84" spans="1:12" x14ac:dyDescent="0.25">
      <c r="A84" s="254"/>
      <c r="B84" s="254"/>
      <c r="C84" s="254"/>
      <c r="D84" s="254"/>
      <c r="E84" s="254"/>
      <c r="F84" s="254"/>
      <c r="G84" s="254"/>
      <c r="H84" s="254"/>
      <c r="I84" s="254"/>
      <c r="J84" s="254"/>
      <c r="K84" s="254"/>
      <c r="L84" s="254"/>
    </row>
    <row r="85" spans="1:12" x14ac:dyDescent="0.25">
      <c r="A85" s="254"/>
      <c r="B85" s="254"/>
      <c r="C85" s="254"/>
      <c r="D85" s="254"/>
      <c r="E85" s="254"/>
      <c r="F85" s="254"/>
      <c r="G85" s="254"/>
      <c r="H85" s="254"/>
      <c r="I85" s="254"/>
      <c r="J85" s="254"/>
      <c r="K85" s="254"/>
      <c r="L85" s="254"/>
    </row>
    <row r="86" spans="1:12" x14ac:dyDescent="0.25">
      <c r="A86" s="254"/>
      <c r="B86" s="254"/>
      <c r="C86" s="254"/>
      <c r="D86" s="254"/>
      <c r="E86" s="254"/>
      <c r="F86" s="254"/>
      <c r="G86" s="254"/>
      <c r="H86" s="254"/>
      <c r="I86" s="254"/>
      <c r="J86" s="254"/>
      <c r="K86" s="254"/>
      <c r="L86" s="254"/>
    </row>
    <row r="87" spans="1:12" x14ac:dyDescent="0.25">
      <c r="A87" s="254"/>
      <c r="B87" s="254"/>
      <c r="C87" s="254"/>
      <c r="D87" s="254"/>
      <c r="E87" s="254"/>
      <c r="F87" s="254"/>
      <c r="G87" s="254"/>
      <c r="H87" s="254"/>
      <c r="I87" s="254"/>
      <c r="J87" s="254"/>
      <c r="K87" s="254"/>
      <c r="L87" s="254"/>
    </row>
    <row r="88" spans="1:12" x14ac:dyDescent="0.25">
      <c r="A88" s="254"/>
      <c r="B88" s="254"/>
      <c r="C88" s="254"/>
      <c r="D88" s="254"/>
      <c r="E88" s="254"/>
      <c r="F88" s="254"/>
      <c r="G88" s="254"/>
      <c r="H88" s="254"/>
      <c r="I88" s="254"/>
      <c r="J88" s="254"/>
      <c r="K88" s="254"/>
      <c r="L88" s="254"/>
    </row>
    <row r="89" spans="1:12" x14ac:dyDescent="0.25">
      <c r="A89" s="254"/>
      <c r="B89" s="254"/>
      <c r="C89" s="254"/>
      <c r="D89" s="254"/>
      <c r="E89" s="254"/>
      <c r="F89" s="254"/>
      <c r="G89" s="254"/>
      <c r="H89" s="254"/>
      <c r="I89" s="254"/>
      <c r="J89" s="254"/>
      <c r="K89" s="254"/>
      <c r="L89" s="254"/>
    </row>
    <row r="90" spans="1:12" x14ac:dyDescent="0.25">
      <c r="A90" s="254"/>
      <c r="B90" s="254"/>
      <c r="C90" s="254"/>
      <c r="D90" s="254"/>
      <c r="E90" s="254"/>
      <c r="F90" s="254"/>
      <c r="G90" s="254"/>
      <c r="H90" s="254"/>
      <c r="I90" s="254"/>
      <c r="J90" s="254"/>
      <c r="K90" s="254"/>
      <c r="L90" s="254"/>
    </row>
    <row r="91" spans="1:12" x14ac:dyDescent="0.25">
      <c r="A91" s="254"/>
      <c r="B91" s="254"/>
      <c r="C91" s="254"/>
      <c r="D91" s="254"/>
      <c r="E91" s="254"/>
      <c r="F91" s="254"/>
      <c r="G91" s="254"/>
      <c r="H91" s="254"/>
      <c r="I91" s="254"/>
      <c r="J91" s="254"/>
      <c r="K91" s="254"/>
      <c r="L91" s="254"/>
    </row>
    <row r="92" spans="1:12" x14ac:dyDescent="0.25">
      <c r="A92" s="254"/>
      <c r="B92" s="254"/>
      <c r="C92" s="254"/>
      <c r="D92" s="254"/>
      <c r="E92" s="254"/>
      <c r="F92" s="254"/>
      <c r="G92" s="254"/>
      <c r="H92" s="254"/>
      <c r="I92" s="254"/>
      <c r="J92" s="254"/>
      <c r="K92" s="254"/>
      <c r="L92" s="254"/>
    </row>
    <row r="93" spans="1:12" x14ac:dyDescent="0.25">
      <c r="A93" s="254"/>
      <c r="B93" s="254"/>
      <c r="C93" s="254"/>
      <c r="D93" s="254"/>
      <c r="E93" s="254"/>
      <c r="F93" s="254"/>
      <c r="G93" s="254"/>
      <c r="H93" s="254"/>
      <c r="I93" s="254"/>
      <c r="J93" s="254"/>
      <c r="K93" s="254"/>
      <c r="L93" s="254"/>
    </row>
    <row r="94" spans="1:12" x14ac:dyDescent="0.25">
      <c r="A94" s="254"/>
      <c r="B94" s="254"/>
      <c r="C94" s="254"/>
      <c r="D94" s="254"/>
      <c r="E94" s="254"/>
      <c r="F94" s="254"/>
      <c r="G94" s="254"/>
      <c r="H94" s="254"/>
      <c r="I94" s="254"/>
      <c r="J94" s="254"/>
      <c r="K94" s="254"/>
      <c r="L94" s="254"/>
    </row>
    <row r="95" spans="1:12" x14ac:dyDescent="0.25">
      <c r="A95" s="254"/>
      <c r="B95" s="254"/>
      <c r="C95" s="254"/>
      <c r="D95" s="254"/>
      <c r="E95" s="254"/>
      <c r="F95" s="254"/>
      <c r="G95" s="254"/>
      <c r="H95" s="254"/>
      <c r="I95" s="254"/>
      <c r="J95" s="254"/>
      <c r="K95" s="254"/>
      <c r="L95" s="254"/>
    </row>
    <row r="96" spans="1:12" x14ac:dyDescent="0.25">
      <c r="A96" s="254"/>
      <c r="B96" s="254"/>
      <c r="C96" s="254"/>
      <c r="D96" s="254"/>
      <c r="E96" s="254"/>
      <c r="F96" s="254"/>
      <c r="G96" s="254"/>
      <c r="H96" s="254"/>
      <c r="I96" s="254"/>
      <c r="J96" s="254"/>
      <c r="K96" s="254"/>
      <c r="L96" s="254"/>
    </row>
    <row r="97" spans="1:12" x14ac:dyDescent="0.25">
      <c r="A97" s="254"/>
      <c r="B97" s="254"/>
      <c r="C97" s="254"/>
      <c r="D97" s="254"/>
      <c r="E97" s="254"/>
      <c r="F97" s="254"/>
      <c r="G97" s="254"/>
      <c r="H97" s="254"/>
      <c r="I97" s="254"/>
      <c r="J97" s="254"/>
      <c r="K97" s="254"/>
      <c r="L97" s="254"/>
    </row>
    <row r="98" spans="1:12" x14ac:dyDescent="0.25">
      <c r="A98" s="254"/>
      <c r="B98" s="254"/>
      <c r="C98" s="254"/>
      <c r="D98" s="254"/>
      <c r="E98" s="254"/>
      <c r="F98" s="254"/>
      <c r="G98" s="254"/>
      <c r="H98" s="254"/>
      <c r="I98" s="254"/>
      <c r="J98" s="254"/>
      <c r="K98" s="254"/>
      <c r="L98" s="254"/>
    </row>
    <row r="99" spans="1:12" x14ac:dyDescent="0.25">
      <c r="A99" s="254"/>
      <c r="B99" s="254"/>
      <c r="C99" s="254"/>
      <c r="D99" s="254"/>
      <c r="E99" s="254"/>
      <c r="F99" s="254"/>
      <c r="G99" s="254"/>
      <c r="H99" s="254"/>
      <c r="I99" s="254"/>
      <c r="J99" s="254"/>
      <c r="K99" s="254"/>
      <c r="L99" s="254"/>
    </row>
    <row r="100" spans="1:12" x14ac:dyDescent="0.25">
      <c r="A100" s="254"/>
      <c r="B100" s="254"/>
      <c r="C100" s="254"/>
      <c r="D100" s="254"/>
      <c r="E100" s="254"/>
      <c r="F100" s="254"/>
      <c r="G100" s="254"/>
      <c r="H100" s="254"/>
      <c r="I100" s="254"/>
      <c r="J100" s="254"/>
      <c r="K100" s="254"/>
      <c r="L100" s="254"/>
    </row>
    <row r="101" spans="1:12" x14ac:dyDescent="0.25">
      <c r="A101" s="254"/>
      <c r="B101" s="254"/>
      <c r="C101" s="254"/>
      <c r="D101" s="254"/>
      <c r="E101" s="254"/>
      <c r="F101" s="254"/>
      <c r="G101" s="254"/>
      <c r="H101" s="254"/>
      <c r="I101" s="254"/>
      <c r="J101" s="254"/>
      <c r="K101" s="254"/>
      <c r="L101" s="254"/>
    </row>
    <row r="102" spans="1:12" x14ac:dyDescent="0.25">
      <c r="A102" s="254"/>
      <c r="B102" s="254"/>
      <c r="C102" s="254"/>
      <c r="D102" s="254"/>
      <c r="E102" s="254"/>
      <c r="F102" s="254"/>
      <c r="G102" s="254"/>
      <c r="H102" s="254"/>
      <c r="I102" s="254"/>
      <c r="J102" s="254"/>
      <c r="K102" s="254"/>
      <c r="L102" s="254"/>
    </row>
    <row r="103" spans="1:12" x14ac:dyDescent="0.25">
      <c r="A103" s="254"/>
      <c r="B103" s="254"/>
      <c r="C103" s="254"/>
      <c r="D103" s="254"/>
      <c r="E103" s="254"/>
      <c r="F103" s="254"/>
      <c r="G103" s="254"/>
      <c r="H103" s="254"/>
      <c r="I103" s="254"/>
      <c r="J103" s="254"/>
      <c r="K103" s="254"/>
      <c r="L103" s="254"/>
    </row>
    <row r="104" spans="1:12" x14ac:dyDescent="0.25">
      <c r="A104" s="254"/>
      <c r="B104" s="254"/>
      <c r="C104" s="254"/>
      <c r="D104" s="254"/>
      <c r="E104" s="254"/>
      <c r="F104" s="254"/>
      <c r="G104" s="254"/>
      <c r="H104" s="254"/>
      <c r="I104" s="254"/>
      <c r="J104" s="254"/>
      <c r="K104" s="254"/>
      <c r="L104" s="254"/>
    </row>
    <row r="105" spans="1:12" x14ac:dyDescent="0.25">
      <c r="A105" s="254"/>
      <c r="B105" s="254"/>
      <c r="C105" s="254"/>
      <c r="D105" s="254"/>
      <c r="E105" s="254"/>
      <c r="F105" s="254"/>
      <c r="G105" s="254"/>
      <c r="H105" s="254"/>
      <c r="I105" s="254"/>
      <c r="J105" s="254"/>
      <c r="K105" s="254"/>
      <c r="L105" s="254"/>
    </row>
    <row r="106" spans="1:12" x14ac:dyDescent="0.25">
      <c r="A106" s="254"/>
      <c r="B106" s="254"/>
      <c r="C106" s="254"/>
      <c r="D106" s="254"/>
      <c r="E106" s="254"/>
      <c r="F106" s="254"/>
      <c r="G106" s="254"/>
      <c r="H106" s="254"/>
      <c r="I106" s="254"/>
      <c r="J106" s="254"/>
      <c r="K106" s="254"/>
      <c r="L106" s="254"/>
    </row>
    <row r="107" spans="1:12" x14ac:dyDescent="0.25">
      <c r="A107" s="254"/>
      <c r="B107" s="254"/>
      <c r="C107" s="254"/>
      <c r="D107" s="254"/>
      <c r="E107" s="254"/>
      <c r="F107" s="254"/>
      <c r="G107" s="254"/>
      <c r="H107" s="254"/>
      <c r="I107" s="254"/>
      <c r="J107" s="254"/>
      <c r="K107" s="254"/>
      <c r="L107" s="254"/>
    </row>
    <row r="108" spans="1:12" x14ac:dyDescent="0.25">
      <c r="A108" s="254"/>
      <c r="B108" s="254"/>
      <c r="C108" s="254"/>
      <c r="D108" s="254"/>
      <c r="E108" s="254"/>
      <c r="F108" s="254"/>
      <c r="G108" s="254"/>
      <c r="H108" s="254"/>
      <c r="I108" s="254"/>
      <c r="J108" s="254"/>
      <c r="K108" s="254"/>
      <c r="L108" s="254"/>
    </row>
    <row r="109" spans="1:12" x14ac:dyDescent="0.25">
      <c r="A109" s="254"/>
      <c r="B109" s="254"/>
      <c r="C109" s="254"/>
      <c r="D109" s="254"/>
      <c r="E109" s="254"/>
      <c r="F109" s="254"/>
      <c r="G109" s="254"/>
      <c r="H109" s="254"/>
      <c r="I109" s="254"/>
      <c r="J109" s="254"/>
      <c r="K109" s="254"/>
      <c r="L109" s="254"/>
    </row>
    <row r="110" spans="1:12" x14ac:dyDescent="0.25">
      <c r="A110" s="254"/>
      <c r="B110" s="254"/>
      <c r="C110" s="254"/>
      <c r="D110" s="254"/>
      <c r="E110" s="254"/>
      <c r="F110" s="254"/>
      <c r="G110" s="254"/>
      <c r="H110" s="254"/>
      <c r="I110" s="254"/>
      <c r="J110" s="254"/>
      <c r="K110" s="254"/>
      <c r="L110" s="254"/>
    </row>
  </sheetData>
  <mergeCells count="3">
    <mergeCell ref="A6:H6"/>
    <mergeCell ref="A4:H4"/>
    <mergeCell ref="A1:H1"/>
  </mergeCells>
  <pageMargins left="0.75" right="0.75" top="1" bottom="0.75" header="0.5" footer="0.5"/>
  <pageSetup scale="79" orientation="portrait" blackAndWhite="1" r:id="rId1"/>
  <headerFooter alignWithMargins="0">
    <oddFooter>&amp;L&amp;1#&amp;"Calibri"&amp;14&amp;K000000Confidential</oddFooter>
  </headerFooter>
  <customProperties>
    <customPr name="_pios_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tabColor theme="3" tint="0.79998168889431442"/>
  </sheetPr>
  <dimension ref="A1:T217"/>
  <sheetViews>
    <sheetView zoomScale="80" zoomScaleNormal="80" workbookViewId="0">
      <selection activeCell="H221" sqref="H221"/>
    </sheetView>
  </sheetViews>
  <sheetFormatPr defaultColWidth="8.88671875" defaultRowHeight="15.75" x14ac:dyDescent="0.25"/>
  <cols>
    <col min="1" max="1" width="5.44140625" style="6" customWidth="1"/>
    <col min="2" max="2" width="63.77734375" style="6" customWidth="1"/>
    <col min="3" max="3" width="17.5546875" style="6" customWidth="1"/>
    <col min="4" max="6" width="17.6640625" style="6" customWidth="1"/>
    <col min="7" max="7" width="4.33203125" style="6" customWidth="1"/>
    <col min="8" max="8" width="12.109375" style="313" customWidth="1"/>
    <col min="9" max="16384" width="8.88671875" style="6"/>
  </cols>
  <sheetData>
    <row r="1" spans="2:15" x14ac:dyDescent="0.25">
      <c r="B1" s="644" t="s">
        <v>745</v>
      </c>
    </row>
    <row r="2" spans="2:15" x14ac:dyDescent="0.25">
      <c r="D2"/>
      <c r="E2"/>
      <c r="F2"/>
      <c r="G2"/>
    </row>
    <row r="3" spans="2:15" x14ac:dyDescent="0.25">
      <c r="B3" s="77" t="s">
        <v>323</v>
      </c>
      <c r="C3" s="77" t="s">
        <v>366</v>
      </c>
      <c r="D3" s="77" t="s">
        <v>367</v>
      </c>
      <c r="E3"/>
      <c r="F3"/>
      <c r="G3"/>
      <c r="I3"/>
    </row>
    <row r="4" spans="2:15" x14ac:dyDescent="0.25">
      <c r="B4" s="3" t="s">
        <v>345</v>
      </c>
      <c r="C4" s="729">
        <v>44958</v>
      </c>
      <c r="D4" s="730" t="s">
        <v>773</v>
      </c>
      <c r="E4"/>
      <c r="F4"/>
      <c r="G4"/>
      <c r="I4"/>
    </row>
    <row r="5" spans="2:15" x14ac:dyDescent="0.25">
      <c r="B5" s="3" t="s">
        <v>346</v>
      </c>
      <c r="C5" s="645">
        <f>EOMONTH(C4,2)</f>
        <v>45046</v>
      </c>
      <c r="D5" s="730" t="s">
        <v>835</v>
      </c>
      <c r="E5"/>
      <c r="F5"/>
      <c r="G5"/>
      <c r="I5"/>
      <c r="O5" s="7"/>
    </row>
    <row r="6" spans="2:15" x14ac:dyDescent="0.25">
      <c r="B6" s="13" t="s">
        <v>246</v>
      </c>
      <c r="C6" s="645">
        <f>EDATE(C4,-15)</f>
        <v>44501</v>
      </c>
      <c r="D6" s="3"/>
      <c r="E6"/>
      <c r="F6"/>
      <c r="G6"/>
    </row>
    <row r="7" spans="2:15" x14ac:dyDescent="0.25">
      <c r="B7" s="13" t="s">
        <v>269</v>
      </c>
      <c r="C7" s="645">
        <f>EDATE(C4,-6)</f>
        <v>44774</v>
      </c>
      <c r="D7" s="3"/>
      <c r="E7"/>
      <c r="F7"/>
      <c r="G7"/>
    </row>
    <row r="8" spans="2:15" x14ac:dyDescent="0.25">
      <c r="B8" s="3" t="s">
        <v>276</v>
      </c>
      <c r="C8" s="645">
        <f>C6</f>
        <v>44501</v>
      </c>
      <c r="D8" s="3"/>
      <c r="E8"/>
      <c r="F8"/>
      <c r="G8"/>
    </row>
    <row r="9" spans="2:15" x14ac:dyDescent="0.25">
      <c r="B9" s="3" t="s">
        <v>203</v>
      </c>
      <c r="C9" s="737">
        <v>26</v>
      </c>
      <c r="H9" s="326"/>
    </row>
    <row r="10" spans="2:15" x14ac:dyDescent="0.25">
      <c r="B10" s="3" t="s">
        <v>204</v>
      </c>
      <c r="C10" s="734">
        <v>44958</v>
      </c>
      <c r="D10" s="730" t="s">
        <v>773</v>
      </c>
      <c r="H10" s="326"/>
    </row>
    <row r="11" spans="2:15" x14ac:dyDescent="0.25">
      <c r="B11" s="3" t="s">
        <v>351</v>
      </c>
      <c r="C11" s="646">
        <f>EDATE(C10,-12)</f>
        <v>44593</v>
      </c>
      <c r="D11" s="701" t="s">
        <v>731</v>
      </c>
      <c r="H11" s="326"/>
    </row>
    <row r="12" spans="2:15" x14ac:dyDescent="0.25">
      <c r="B12" s="3" t="s">
        <v>127</v>
      </c>
      <c r="C12" s="731" t="s">
        <v>841</v>
      </c>
      <c r="H12" s="326"/>
    </row>
    <row r="13" spans="2:15" x14ac:dyDescent="0.25">
      <c r="B13" s="3" t="s">
        <v>643</v>
      </c>
      <c r="C13" s="731" t="s">
        <v>776</v>
      </c>
      <c r="H13" s="326"/>
    </row>
    <row r="14" spans="2:15" x14ac:dyDescent="0.25">
      <c r="B14" s="3" t="s">
        <v>547</v>
      </c>
      <c r="C14" s="731" t="s">
        <v>841</v>
      </c>
      <c r="H14" s="326"/>
    </row>
    <row r="15" spans="2:15" x14ac:dyDescent="0.25">
      <c r="B15" s="6" t="s">
        <v>347</v>
      </c>
      <c r="C15" s="739">
        <v>7.1646000000000001</v>
      </c>
      <c r="H15" s="326"/>
    </row>
    <row r="16" spans="2:15" x14ac:dyDescent="0.25">
      <c r="B16" s="3" t="s">
        <v>391</v>
      </c>
      <c r="C16" s="738">
        <v>6812482</v>
      </c>
      <c r="H16" s="326"/>
    </row>
    <row r="17" spans="1:12" x14ac:dyDescent="0.25">
      <c r="B17" s="3" t="s">
        <v>597</v>
      </c>
      <c r="C17" s="3">
        <v>1.0649999999999999</v>
      </c>
      <c r="D17" s="3"/>
      <c r="H17" s="243"/>
    </row>
    <row r="18" spans="1:12" x14ac:dyDescent="0.25">
      <c r="B18" s="361" t="s">
        <v>598</v>
      </c>
      <c r="C18" s="3">
        <f>1-0.0204</f>
        <v>0.97960000000000003</v>
      </c>
      <c r="D18" s="87"/>
      <c r="H18" s="243"/>
    </row>
    <row r="19" spans="1:12" x14ac:dyDescent="0.25">
      <c r="C19" s="475"/>
      <c r="D19" s="3"/>
      <c r="E19" s="3"/>
      <c r="F19" s="3"/>
      <c r="G19" s="3"/>
      <c r="H19" s="243"/>
    </row>
    <row r="20" spans="1:12" x14ac:dyDescent="0.25">
      <c r="A20" s="586"/>
      <c r="B20" s="586"/>
      <c r="C20" s="586"/>
      <c r="D20" s="586"/>
      <c r="E20" s="586"/>
      <c r="F20" s="586"/>
      <c r="G20" s="586"/>
      <c r="H20" s="587"/>
      <c r="I20" s="586"/>
      <c r="J20" s="586"/>
      <c r="K20" s="586"/>
      <c r="L20" s="586"/>
    </row>
    <row r="21" spans="1:12" x14ac:dyDescent="0.25">
      <c r="B21" s="3"/>
      <c r="C21" s="3"/>
      <c r="D21" s="3"/>
      <c r="E21" s="3"/>
      <c r="F21" s="3"/>
      <c r="G21" s="3"/>
      <c r="H21" s="243"/>
    </row>
    <row r="22" spans="1:12" ht="18.75" x14ac:dyDescent="0.3">
      <c r="A22" s="589" t="s">
        <v>657</v>
      </c>
    </row>
    <row r="23" spans="1:12" x14ac:dyDescent="0.25">
      <c r="B23" s="569" t="s">
        <v>78</v>
      </c>
      <c r="C23" s="649">
        <f>C4</f>
        <v>44958</v>
      </c>
      <c r="D23" s="649">
        <f>EDATE(C23,1)</f>
        <v>44986</v>
      </c>
      <c r="E23" s="649">
        <f>EDATE(D23,1)</f>
        <v>45017</v>
      </c>
      <c r="F23" s="125"/>
      <c r="G23" s="125"/>
    </row>
    <row r="24" spans="1:12" x14ac:dyDescent="0.25">
      <c r="B24" s="6" t="s">
        <v>543</v>
      </c>
      <c r="C24" s="738">
        <v>1011016</v>
      </c>
      <c r="D24" s="738">
        <v>803763</v>
      </c>
      <c r="E24" s="738">
        <v>1166147</v>
      </c>
      <c r="F24" s="102"/>
    </row>
    <row r="25" spans="1:12" x14ac:dyDescent="0.25">
      <c r="B25" s="6" t="s">
        <v>545</v>
      </c>
      <c r="C25" s="738">
        <v>556700</v>
      </c>
      <c r="D25" s="738">
        <v>616300</v>
      </c>
      <c r="E25" s="738">
        <v>1081400</v>
      </c>
      <c r="F25" s="102"/>
    </row>
    <row r="26" spans="1:12" x14ac:dyDescent="0.25">
      <c r="B26" s="6" t="s">
        <v>551</v>
      </c>
      <c r="C26" s="738">
        <v>560000</v>
      </c>
      <c r="D26" s="738">
        <v>620000</v>
      </c>
      <c r="E26" s="738">
        <v>0</v>
      </c>
      <c r="F26" s="102"/>
    </row>
    <row r="27" spans="1:12" x14ac:dyDescent="0.25">
      <c r="B27" s="3" t="s">
        <v>813</v>
      </c>
      <c r="C27" s="738">
        <v>839900</v>
      </c>
      <c r="D27" s="738">
        <v>929800</v>
      </c>
      <c r="E27" s="738">
        <v>0</v>
      </c>
      <c r="F27" s="102"/>
    </row>
    <row r="28" spans="1:12" x14ac:dyDescent="0.25">
      <c r="C28" s="102"/>
      <c r="D28" s="102"/>
      <c r="E28" s="102"/>
      <c r="F28" s="102"/>
    </row>
    <row r="29" spans="1:12" x14ac:dyDescent="0.25">
      <c r="B29" s="579" t="s">
        <v>33</v>
      </c>
      <c r="C29" s="738">
        <v>136400</v>
      </c>
      <c r="D29" s="738">
        <v>0</v>
      </c>
      <c r="E29" s="738">
        <v>0</v>
      </c>
      <c r="F29" s="102"/>
    </row>
    <row r="30" spans="1:12" x14ac:dyDescent="0.25">
      <c r="B30" s="579" t="s">
        <v>34</v>
      </c>
      <c r="C30" s="738">
        <v>0</v>
      </c>
      <c r="D30" s="738">
        <v>0</v>
      </c>
      <c r="E30" s="738">
        <v>709600</v>
      </c>
      <c r="F30" s="102"/>
    </row>
    <row r="31" spans="1:12" x14ac:dyDescent="0.25">
      <c r="C31" s="102"/>
      <c r="D31" s="102"/>
      <c r="E31" s="102"/>
      <c r="F31" s="102"/>
    </row>
    <row r="32" spans="1:12" x14ac:dyDescent="0.25">
      <c r="B32" s="6" t="s">
        <v>544</v>
      </c>
      <c r="C32" s="748">
        <v>5.3768000000000002</v>
      </c>
      <c r="D32" s="748">
        <v>4.9458000000000002</v>
      </c>
      <c r="E32" s="748">
        <v>4.3403999999999998</v>
      </c>
      <c r="F32" s="550"/>
    </row>
    <row r="33" spans="1:12" x14ac:dyDescent="0.25">
      <c r="B33" s="6" t="s">
        <v>546</v>
      </c>
      <c r="C33" s="748">
        <v>5.3086000000000002</v>
      </c>
      <c r="D33" s="748">
        <v>4.8818999999999999</v>
      </c>
      <c r="E33" s="748">
        <v>4.2443</v>
      </c>
      <c r="F33" s="550"/>
    </row>
    <row r="34" spans="1:12" x14ac:dyDescent="0.25">
      <c r="B34" s="6" t="s">
        <v>560</v>
      </c>
      <c r="C34" s="748">
        <v>5.3422999999999998</v>
      </c>
      <c r="D34" s="748">
        <v>4.9166999999999996</v>
      </c>
      <c r="E34" s="748">
        <v>4.3018999999999998</v>
      </c>
      <c r="F34" s="550"/>
    </row>
    <row r="35" spans="1:12" x14ac:dyDescent="0.25">
      <c r="B35" s="3" t="s">
        <v>814</v>
      </c>
      <c r="C35" s="748">
        <v>5.3592000000000004</v>
      </c>
      <c r="D35" s="748">
        <v>4.9287000000000001</v>
      </c>
      <c r="E35" s="748">
        <v>4.3240999999999996</v>
      </c>
      <c r="F35" s="550"/>
    </row>
    <row r="37" spans="1:12" x14ac:dyDescent="0.25">
      <c r="A37" s="586"/>
      <c r="B37" s="586"/>
      <c r="C37" s="586"/>
      <c r="D37" s="586"/>
      <c r="E37" s="586"/>
      <c r="F37" s="586"/>
      <c r="G37" s="586"/>
      <c r="H37" s="587"/>
      <c r="I37" s="586"/>
      <c r="J37" s="586"/>
      <c r="K37" s="586"/>
      <c r="L37" s="586"/>
    </row>
    <row r="39" spans="1:12" ht="18.75" x14ac:dyDescent="0.3">
      <c r="A39" s="590" t="s">
        <v>658</v>
      </c>
    </row>
    <row r="40" spans="1:12" ht="31.5" x14ac:dyDescent="0.25">
      <c r="C40" s="581" t="s">
        <v>251</v>
      </c>
    </row>
    <row r="41" spans="1:12" x14ac:dyDescent="0.25">
      <c r="B41" s="331" t="s">
        <v>253</v>
      </c>
      <c r="C41" s="732">
        <v>12.7104</v>
      </c>
    </row>
    <row r="42" spans="1:12" x14ac:dyDescent="0.25">
      <c r="B42" s="331" t="s">
        <v>552</v>
      </c>
      <c r="C42" s="732">
        <v>4.1792999999999996</v>
      </c>
    </row>
    <row r="43" spans="1:12" x14ac:dyDescent="0.25">
      <c r="B43" s="331" t="s">
        <v>379</v>
      </c>
      <c r="C43" s="732">
        <v>5.0644999999999998</v>
      </c>
    </row>
    <row r="44" spans="1:12" x14ac:dyDescent="0.25">
      <c r="B44" s="13" t="s">
        <v>777</v>
      </c>
      <c r="C44" s="732">
        <v>12.840999999999999</v>
      </c>
    </row>
    <row r="45" spans="1:12" x14ac:dyDescent="0.25">
      <c r="B45" s="331"/>
    </row>
    <row r="46" spans="1:12" x14ac:dyDescent="0.25">
      <c r="B46" s="331"/>
      <c r="C46" s="582" t="s">
        <v>31</v>
      </c>
    </row>
    <row r="47" spans="1:12" x14ac:dyDescent="0.25">
      <c r="B47" s="331" t="s">
        <v>253</v>
      </c>
      <c r="C47" s="738">
        <v>119913</v>
      </c>
    </row>
    <row r="48" spans="1:12" x14ac:dyDescent="0.25">
      <c r="B48" s="331" t="s">
        <v>552</v>
      </c>
      <c r="C48" s="738">
        <v>60000</v>
      </c>
    </row>
    <row r="49" spans="1:12" x14ac:dyDescent="0.25">
      <c r="B49" s="331" t="s">
        <v>379</v>
      </c>
      <c r="C49" s="738">
        <v>20000</v>
      </c>
    </row>
    <row r="50" spans="1:12" x14ac:dyDescent="0.25">
      <c r="B50" s="13" t="s">
        <v>777</v>
      </c>
      <c r="C50" s="738">
        <v>12500</v>
      </c>
    </row>
    <row r="51" spans="1:12" x14ac:dyDescent="0.25">
      <c r="B51" s="331"/>
    </row>
    <row r="52" spans="1:12" x14ac:dyDescent="0.25">
      <c r="B52" s="331"/>
      <c r="C52" s="583" t="s">
        <v>249</v>
      </c>
    </row>
    <row r="53" spans="1:12" x14ac:dyDescent="0.25">
      <c r="B53" s="580" t="s">
        <v>58</v>
      </c>
      <c r="C53" s="738">
        <v>7505606</v>
      </c>
    </row>
    <row r="56" spans="1:12" x14ac:dyDescent="0.25">
      <c r="B56" s="588"/>
      <c r="C56" s="588"/>
      <c r="D56" s="588"/>
    </row>
    <row r="57" spans="1:12" x14ac:dyDescent="0.25">
      <c r="B57" s="357" t="s">
        <v>446</v>
      </c>
      <c r="C57" s="620">
        <v>322467</v>
      </c>
    </row>
    <row r="58" spans="1:12" x14ac:dyDescent="0.25">
      <c r="B58" s="357" t="s">
        <v>447</v>
      </c>
      <c r="C58" s="620">
        <v>156915</v>
      </c>
    </row>
    <row r="59" spans="1:12" x14ac:dyDescent="0.25">
      <c r="B59" s="357" t="s">
        <v>448</v>
      </c>
      <c r="C59" s="620">
        <v>12132</v>
      </c>
    </row>
    <row r="60" spans="1:12" x14ac:dyDescent="0.25">
      <c r="B60" s="357" t="s">
        <v>563</v>
      </c>
      <c r="C60" s="620">
        <v>449</v>
      </c>
    </row>
    <row r="62" spans="1:12" x14ac:dyDescent="0.25">
      <c r="A62" s="586"/>
      <c r="B62" s="586"/>
      <c r="C62" s="586"/>
      <c r="D62" s="586"/>
      <c r="E62" s="586"/>
      <c r="F62" s="586"/>
      <c r="G62" s="586"/>
      <c r="H62" s="587"/>
      <c r="I62" s="586"/>
      <c r="J62" s="586"/>
      <c r="K62" s="586"/>
      <c r="L62" s="586"/>
    </row>
    <row r="63" spans="1:12" s="3" customFormat="1" x14ac:dyDescent="0.25">
      <c r="H63" s="243"/>
    </row>
    <row r="64" spans="1:12" ht="18.75" x14ac:dyDescent="0.3">
      <c r="A64" s="590" t="s">
        <v>660</v>
      </c>
    </row>
    <row r="65" spans="1:12" x14ac:dyDescent="0.25">
      <c r="C65" s="125"/>
      <c r="D65" s="125"/>
      <c r="E65" s="125"/>
      <c r="F65" s="125"/>
      <c r="G65" s="125"/>
    </row>
    <row r="66" spans="1:12" x14ac:dyDescent="0.25">
      <c r="B66" s="320" t="s">
        <v>659</v>
      </c>
    </row>
    <row r="68" spans="1:12" customFormat="1" x14ac:dyDescent="0.25">
      <c r="A68" s="6" t="s">
        <v>697</v>
      </c>
    </row>
    <row r="69" spans="1:12" customFormat="1" x14ac:dyDescent="0.25">
      <c r="A69" s="6"/>
      <c r="B69" s="733" t="s">
        <v>836</v>
      </c>
      <c r="H69" s="313"/>
    </row>
    <row r="70" spans="1:12" customFormat="1" x14ac:dyDescent="0.25">
      <c r="A70" s="6"/>
      <c r="B70" s="733" t="s">
        <v>837</v>
      </c>
      <c r="H70" s="313"/>
    </row>
    <row r="71" spans="1:12" x14ac:dyDescent="0.25">
      <c r="B71" s="732" t="s">
        <v>750</v>
      </c>
    </row>
    <row r="72" spans="1:12" x14ac:dyDescent="0.25">
      <c r="B72" s="733" t="s">
        <v>838</v>
      </c>
    </row>
    <row r="73" spans="1:12" x14ac:dyDescent="0.25">
      <c r="B73" s="648" t="str">
        <f>IF('Exhibit B Write-Up'!D11&gt;0, "as a debit", "as a credit")</f>
        <v>as a credit</v>
      </c>
    </row>
    <row r="74" spans="1:12" x14ac:dyDescent="0.25">
      <c r="A74" s="586"/>
      <c r="B74" s="586"/>
      <c r="C74" s="586"/>
      <c r="D74" s="586"/>
      <c r="E74" s="586"/>
      <c r="F74" s="586"/>
      <c r="G74" s="586"/>
      <c r="H74" s="587"/>
      <c r="I74" s="586"/>
      <c r="J74" s="586"/>
      <c r="K74" s="586"/>
      <c r="L74" s="586"/>
    </row>
    <row r="76" spans="1:12" ht="18.75" x14ac:dyDescent="0.3">
      <c r="A76" s="590" t="s">
        <v>661</v>
      </c>
    </row>
    <row r="77" spans="1:12" x14ac:dyDescent="0.25">
      <c r="C77" s="649">
        <f>C83</f>
        <v>44774</v>
      </c>
      <c r="D77" s="649">
        <f>D83</f>
        <v>44805</v>
      </c>
      <c r="E77" s="649">
        <f>E83</f>
        <v>44835</v>
      </c>
      <c r="F77" s="125"/>
    </row>
    <row r="78" spans="1:12" x14ac:dyDescent="0.25">
      <c r="B78" s="6" t="s">
        <v>265</v>
      </c>
      <c r="C78" s="746">
        <v>0</v>
      </c>
      <c r="D78" s="746">
        <v>0</v>
      </c>
      <c r="E78" s="746">
        <v>0</v>
      </c>
      <c r="F78" s="3"/>
    </row>
    <row r="80" spans="1:12" x14ac:dyDescent="0.25">
      <c r="A80" s="586"/>
      <c r="B80" s="586"/>
      <c r="C80" s="586"/>
      <c r="D80" s="586"/>
      <c r="E80" s="586"/>
      <c r="F80" s="586"/>
      <c r="G80" s="586"/>
      <c r="H80" s="587"/>
      <c r="I80" s="586"/>
      <c r="J80" s="586"/>
      <c r="K80" s="586"/>
      <c r="L80" s="586"/>
    </row>
    <row r="82" spans="1:12" ht="18.75" x14ac:dyDescent="0.3">
      <c r="A82" s="590" t="s">
        <v>662</v>
      </c>
    </row>
    <row r="83" spans="1:12" x14ac:dyDescent="0.25">
      <c r="C83" s="649">
        <f>EDATE(C4,-6)</f>
        <v>44774</v>
      </c>
      <c r="D83" s="649">
        <f>EDATE(C83,1)</f>
        <v>44805</v>
      </c>
      <c r="E83" s="649">
        <f>EDATE(D83,1)</f>
        <v>44835</v>
      </c>
      <c r="F83" s="125"/>
      <c r="G83" s="125"/>
    </row>
    <row r="84" spans="1:12" x14ac:dyDescent="0.25">
      <c r="B84" s="6" t="s">
        <v>459</v>
      </c>
      <c r="C84" s="732">
        <v>0</v>
      </c>
      <c r="D84" s="732">
        <v>0</v>
      </c>
      <c r="E84" s="732">
        <v>0</v>
      </c>
      <c r="F84" s="3"/>
    </row>
    <row r="86" spans="1:12" x14ac:dyDescent="0.25">
      <c r="A86" s="586"/>
      <c r="B86" s="586"/>
      <c r="C86" s="586"/>
      <c r="D86" s="586"/>
      <c r="E86" s="586"/>
      <c r="F86" s="586"/>
      <c r="G86" s="586"/>
      <c r="H86" s="587"/>
      <c r="I86" s="586"/>
      <c r="J86" s="586"/>
      <c r="K86" s="586"/>
      <c r="L86" s="586"/>
    </row>
    <row r="88" spans="1:12" ht="18.75" x14ac:dyDescent="0.3">
      <c r="A88" s="590" t="s">
        <v>663</v>
      </c>
    </row>
    <row r="89" spans="1:12" x14ac:dyDescent="0.25">
      <c r="C89" s="125"/>
      <c r="D89" s="125"/>
      <c r="E89" s="125"/>
      <c r="F89" s="125"/>
      <c r="G89" s="125"/>
    </row>
    <row r="90" spans="1:12" x14ac:dyDescent="0.25">
      <c r="B90" s="320" t="s">
        <v>659</v>
      </c>
    </row>
    <row r="92" spans="1:12" x14ac:dyDescent="0.25">
      <c r="A92" s="586"/>
      <c r="B92" s="586"/>
      <c r="C92" s="586"/>
      <c r="D92" s="586"/>
      <c r="E92" s="586"/>
      <c r="F92" s="586"/>
      <c r="G92" s="586"/>
      <c r="H92" s="587"/>
      <c r="I92" s="586"/>
      <c r="J92" s="586"/>
      <c r="K92" s="586"/>
      <c r="L92" s="586"/>
    </row>
    <row r="94" spans="1:12" ht="18.75" x14ac:dyDescent="0.3">
      <c r="A94" s="590" t="s">
        <v>664</v>
      </c>
      <c r="C94"/>
      <c r="D94"/>
      <c r="E94"/>
      <c r="F94"/>
      <c r="G94"/>
      <c r="H94" s="6"/>
      <c r="I94"/>
    </row>
    <row r="95" spans="1:12" x14ac:dyDescent="0.25">
      <c r="B95" s="569" t="s">
        <v>11</v>
      </c>
      <c r="C95" s="647">
        <f>EDATE(C4,-6)</f>
        <v>44774</v>
      </c>
      <c r="D95" s="647">
        <f>EDATE(C95,1)</f>
        <v>44805</v>
      </c>
      <c r="E95" s="647">
        <f>EDATE(D95,1)</f>
        <v>44835</v>
      </c>
      <c r="F95" s="125"/>
      <c r="G95"/>
      <c r="H95" s="6"/>
      <c r="I95"/>
    </row>
    <row r="96" spans="1:12" x14ac:dyDescent="0.25">
      <c r="B96" s="630" t="s">
        <v>644</v>
      </c>
      <c r="C96" s="125"/>
      <c r="D96" s="125"/>
      <c r="E96" s="125"/>
      <c r="F96" s="125"/>
      <c r="G96"/>
      <c r="H96" s="6"/>
      <c r="I96"/>
    </row>
    <row r="97" spans="2:9" x14ac:dyDescent="0.25">
      <c r="B97" s="6" t="s">
        <v>734</v>
      </c>
      <c r="C97" s="738">
        <v>2838942</v>
      </c>
      <c r="D97" s="738">
        <v>3124795</v>
      </c>
      <c r="E97" s="738">
        <v>2996483</v>
      </c>
      <c r="F97" s="585"/>
      <c r="G97"/>
      <c r="I97"/>
    </row>
    <row r="98" spans="2:9" x14ac:dyDescent="0.25">
      <c r="B98" s="6" t="s">
        <v>733</v>
      </c>
      <c r="C98" s="738">
        <v>72758</v>
      </c>
      <c r="D98" s="738">
        <v>36935</v>
      </c>
      <c r="E98" s="738">
        <v>326622</v>
      </c>
      <c r="F98" s="585"/>
      <c r="G98"/>
      <c r="I98"/>
    </row>
    <row r="99" spans="2:9" x14ac:dyDescent="0.25">
      <c r="B99" s="6" t="s">
        <v>735</v>
      </c>
      <c r="C99" s="738">
        <v>135262</v>
      </c>
      <c r="D99" s="738">
        <v>137980</v>
      </c>
      <c r="E99" s="738">
        <v>90446</v>
      </c>
      <c r="F99" s="585"/>
      <c r="G99"/>
      <c r="I99"/>
    </row>
    <row r="100" spans="2:9" x14ac:dyDescent="0.25">
      <c r="B100" s="570" t="s">
        <v>741</v>
      </c>
      <c r="C100" s="636">
        <f>C97+C98-C99</f>
        <v>2776438</v>
      </c>
      <c r="D100" s="636">
        <f>D97+D98-D99</f>
        <v>3023750</v>
      </c>
      <c r="E100" s="636">
        <f>E97+E98-E99</f>
        <v>3232659</v>
      </c>
      <c r="F100" s="651"/>
      <c r="G100"/>
      <c r="I100"/>
    </row>
    <row r="101" spans="2:9" x14ac:dyDescent="0.25">
      <c r="B101" s="570" t="s">
        <v>645</v>
      </c>
      <c r="C101" s="738">
        <v>0</v>
      </c>
      <c r="D101" s="738">
        <v>0</v>
      </c>
      <c r="E101" s="738">
        <v>0</v>
      </c>
      <c r="F101" s="102"/>
      <c r="G101"/>
      <c r="I101"/>
    </row>
    <row r="102" spans="2:9" x14ac:dyDescent="0.25">
      <c r="B102" s="630" t="s">
        <v>646</v>
      </c>
      <c r="C102" s="102"/>
      <c r="D102" s="102"/>
      <c r="E102" s="102"/>
      <c r="F102" s="102"/>
      <c r="G102"/>
      <c r="I102"/>
    </row>
    <row r="103" spans="2:9" x14ac:dyDescent="0.25">
      <c r="B103" s="6" t="s">
        <v>738</v>
      </c>
      <c r="C103" s="738">
        <v>1347</v>
      </c>
      <c r="D103" s="738">
        <v>1793</v>
      </c>
      <c r="E103" s="738">
        <v>1958</v>
      </c>
      <c r="F103" s="102"/>
      <c r="G103"/>
      <c r="I103"/>
    </row>
    <row r="104" spans="2:9" x14ac:dyDescent="0.25">
      <c r="B104" s="6" t="s">
        <v>736</v>
      </c>
      <c r="C104" s="738">
        <v>749.56</v>
      </c>
      <c r="D104" s="738">
        <v>-750</v>
      </c>
      <c r="E104" s="738">
        <v>0</v>
      </c>
      <c r="F104" s="102"/>
      <c r="G104"/>
      <c r="I104"/>
    </row>
    <row r="105" spans="2:9" x14ac:dyDescent="0.25">
      <c r="B105" s="6" t="s">
        <v>737</v>
      </c>
      <c r="C105" s="738">
        <v>0</v>
      </c>
      <c r="D105" s="738">
        <v>0</v>
      </c>
      <c r="E105" s="738">
        <v>0</v>
      </c>
      <c r="F105" s="102"/>
      <c r="G105"/>
      <c r="I105"/>
    </row>
    <row r="106" spans="2:9" x14ac:dyDescent="0.25">
      <c r="B106" s="6" t="s">
        <v>739</v>
      </c>
      <c r="C106" s="738">
        <v>773</v>
      </c>
      <c r="D106" s="738">
        <v>101</v>
      </c>
      <c r="E106" s="738">
        <v>932</v>
      </c>
      <c r="F106" s="102"/>
      <c r="G106"/>
      <c r="I106"/>
    </row>
    <row r="107" spans="2:9" x14ac:dyDescent="0.25">
      <c r="B107" s="570" t="s">
        <v>740</v>
      </c>
      <c r="C107" s="636">
        <f>(C103+C104+C105+C106)*-1</f>
        <v>-2869.56</v>
      </c>
      <c r="D107" s="636">
        <f>(D103+D104+D105+D106)*-1</f>
        <v>-1144</v>
      </c>
      <c r="E107" s="636">
        <f>(E103+E104+E105+E106)*-1</f>
        <v>-2890</v>
      </c>
      <c r="F107" s="651"/>
      <c r="G107"/>
      <c r="I107"/>
    </row>
    <row r="108" spans="2:9" x14ac:dyDescent="0.25">
      <c r="B108" s="570" t="s">
        <v>647</v>
      </c>
      <c r="C108" s="738">
        <v>-2151374</v>
      </c>
      <c r="D108" s="738">
        <v>-2276251</v>
      </c>
      <c r="E108" s="738">
        <v>-1651657</v>
      </c>
      <c r="F108" s="102"/>
      <c r="G108"/>
      <c r="I108"/>
    </row>
    <row r="109" spans="2:9" x14ac:dyDescent="0.25">
      <c r="B109" s="570" t="s">
        <v>648</v>
      </c>
      <c r="C109" s="738">
        <v>291</v>
      </c>
      <c r="D109" s="738">
        <v>389</v>
      </c>
      <c r="E109" s="738">
        <v>1014</v>
      </c>
      <c r="F109" s="102"/>
      <c r="G109"/>
      <c r="I109"/>
    </row>
    <row r="110" spans="2:9" x14ac:dyDescent="0.25">
      <c r="B110" s="570" t="s">
        <v>238</v>
      </c>
      <c r="C110" s="738">
        <v>50837</v>
      </c>
      <c r="D110" s="738">
        <v>50846</v>
      </c>
      <c r="E110" s="738">
        <v>50828</v>
      </c>
      <c r="F110" s="102"/>
      <c r="G110"/>
      <c r="I110"/>
    </row>
    <row r="111" spans="2:9" x14ac:dyDescent="0.25">
      <c r="C111" s="3"/>
      <c r="D111" s="3"/>
      <c r="E111" s="3"/>
      <c r="F111" s="3"/>
    </row>
    <row r="112" spans="2:9" x14ac:dyDescent="0.25">
      <c r="B112" s="569" t="s">
        <v>649</v>
      </c>
      <c r="C112" s="649">
        <f>C95</f>
        <v>44774</v>
      </c>
      <c r="D112" s="649">
        <f>D95</f>
        <v>44805</v>
      </c>
      <c r="E112" s="649">
        <f>E95</f>
        <v>44835</v>
      </c>
      <c r="F112" s="361"/>
    </row>
    <row r="113" spans="1:12" x14ac:dyDescent="0.25">
      <c r="B113" s="6" t="s">
        <v>650</v>
      </c>
      <c r="C113" s="738">
        <v>26217759.079999998</v>
      </c>
      <c r="D113" s="738">
        <v>25240475.390000001</v>
      </c>
      <c r="E113" s="738">
        <v>19477238.210000001</v>
      </c>
      <c r="F113" s="102"/>
    </row>
    <row r="114" spans="1:12" x14ac:dyDescent="0.25">
      <c r="B114" s="6" t="s">
        <v>651</v>
      </c>
      <c r="C114" s="738">
        <v>0</v>
      </c>
      <c r="D114" s="738">
        <v>0</v>
      </c>
      <c r="E114" s="738">
        <v>0</v>
      </c>
      <c r="F114" s="102"/>
      <c r="G114"/>
      <c r="I114"/>
      <c r="J114"/>
      <c r="K114"/>
    </row>
    <row r="115" spans="1:12" x14ac:dyDescent="0.25">
      <c r="B115" s="6" t="s">
        <v>652</v>
      </c>
      <c r="C115" s="738">
        <v>-12454.88</v>
      </c>
      <c r="D115" s="738">
        <v>5303.57</v>
      </c>
      <c r="E115" s="738">
        <v>-7756.69</v>
      </c>
      <c r="F115" s="102"/>
      <c r="G115"/>
      <c r="I115"/>
      <c r="J115"/>
      <c r="K115"/>
    </row>
    <row r="116" spans="1:12" x14ac:dyDescent="0.25">
      <c r="B116" s="6" t="s">
        <v>647</v>
      </c>
      <c r="C116" s="738">
        <v>-20315209.539999999</v>
      </c>
      <c r="D116" s="738">
        <v>-19000777.600000001</v>
      </c>
      <c r="E116" s="738">
        <v>-9951398.5899999999</v>
      </c>
      <c r="F116" s="102"/>
      <c r="G116"/>
      <c r="I116"/>
      <c r="J116"/>
      <c r="K116"/>
    </row>
    <row r="117" spans="1:12" x14ac:dyDescent="0.25">
      <c r="B117" s="6" t="s">
        <v>653</v>
      </c>
      <c r="C117" s="738">
        <v>2060.48</v>
      </c>
      <c r="D117" s="738">
        <v>2869.46</v>
      </c>
      <c r="E117" s="738">
        <v>7264.68</v>
      </c>
      <c r="F117" s="102"/>
      <c r="G117"/>
      <c r="I117"/>
      <c r="J117"/>
      <c r="K117"/>
    </row>
    <row r="118" spans="1:12" x14ac:dyDescent="0.25">
      <c r="B118" s="6" t="s">
        <v>238</v>
      </c>
      <c r="C118" s="738">
        <v>359961.55</v>
      </c>
      <c r="D118" s="738">
        <v>375065.52</v>
      </c>
      <c r="E118" s="738">
        <v>364933.11</v>
      </c>
      <c r="F118" s="102"/>
      <c r="G118"/>
      <c r="I118"/>
      <c r="J118"/>
      <c r="K118"/>
    </row>
    <row r="119" spans="1:12" x14ac:dyDescent="0.25">
      <c r="B119" s="6" t="s">
        <v>654</v>
      </c>
      <c r="C119" s="738">
        <v>31902.14</v>
      </c>
      <c r="D119" s="738">
        <v>17946.22</v>
      </c>
      <c r="E119" s="738">
        <v>33115.81</v>
      </c>
      <c r="F119" s="102"/>
      <c r="G119"/>
      <c r="I119"/>
      <c r="J119"/>
      <c r="K119"/>
    </row>
    <row r="120" spans="1:12" x14ac:dyDescent="0.25">
      <c r="C120"/>
      <c r="D120"/>
      <c r="E120"/>
      <c r="F120"/>
      <c r="G120"/>
      <c r="H120"/>
      <c r="I120"/>
      <c r="J120"/>
      <c r="K120"/>
    </row>
    <row r="121" spans="1:12" x14ac:dyDescent="0.25">
      <c r="A121" s="586"/>
      <c r="B121" s="586"/>
      <c r="C121" s="586"/>
      <c r="D121" s="586"/>
      <c r="E121" s="586"/>
      <c r="F121" s="586"/>
      <c r="G121" s="586"/>
      <c r="H121" s="587"/>
      <c r="I121" s="586"/>
      <c r="J121" s="586"/>
      <c r="K121" s="586"/>
      <c r="L121" s="586"/>
    </row>
    <row r="123" spans="1:12" ht="18.75" x14ac:dyDescent="0.3">
      <c r="A123" s="590" t="s">
        <v>665</v>
      </c>
      <c r="C123"/>
      <c r="D123"/>
      <c r="E123"/>
      <c r="F123"/>
      <c r="G123"/>
      <c r="H123" s="6"/>
      <c r="I123"/>
    </row>
    <row r="124" spans="1:12" ht="18.75" x14ac:dyDescent="0.3">
      <c r="A124" s="590"/>
      <c r="B124" s="6" t="s">
        <v>667</v>
      </c>
      <c r="C124" s="455"/>
      <c r="D124"/>
      <c r="E124"/>
      <c r="F124"/>
      <c r="G124"/>
      <c r="H124" s="6"/>
      <c r="I124"/>
    </row>
    <row r="126" spans="1:12" x14ac:dyDescent="0.25">
      <c r="A126" s="586"/>
      <c r="B126" s="586"/>
      <c r="C126" s="586"/>
      <c r="D126" s="586"/>
      <c r="E126" s="586"/>
      <c r="F126" s="586"/>
      <c r="G126" s="586"/>
      <c r="H126" s="587"/>
      <c r="I126" s="586"/>
      <c r="J126" s="586"/>
      <c r="K126" s="586"/>
      <c r="L126" s="586"/>
    </row>
    <row r="128" spans="1:12" ht="18.75" x14ac:dyDescent="0.3">
      <c r="A128" s="590" t="s">
        <v>666</v>
      </c>
    </row>
    <row r="129" spans="1:12" x14ac:dyDescent="0.25">
      <c r="B129" s="6" t="s">
        <v>667</v>
      </c>
      <c r="C129" s="455"/>
    </row>
    <row r="131" spans="1:12" x14ac:dyDescent="0.25">
      <c r="A131" s="586"/>
      <c r="B131" s="586"/>
      <c r="C131" s="586"/>
      <c r="D131" s="586"/>
      <c r="E131" s="586"/>
      <c r="F131" s="586"/>
      <c r="G131" s="586"/>
      <c r="H131" s="587"/>
      <c r="I131" s="586"/>
      <c r="J131" s="586"/>
      <c r="K131" s="586"/>
      <c r="L131" s="586"/>
    </row>
    <row r="133" spans="1:12" ht="18.75" x14ac:dyDescent="0.3">
      <c r="A133" s="590" t="s">
        <v>668</v>
      </c>
      <c r="C133" s="749"/>
      <c r="D133" s="749"/>
      <c r="E133" s="749"/>
      <c r="F133" s="631"/>
    </row>
    <row r="135" spans="1:12" x14ac:dyDescent="0.25">
      <c r="B135" s="3" t="s">
        <v>655</v>
      </c>
      <c r="C135" s="585"/>
      <c r="D135" s="738">
        <v>0</v>
      </c>
    </row>
    <row r="136" spans="1:12" x14ac:dyDescent="0.25">
      <c r="E136" s="313"/>
      <c r="F136" s="313"/>
    </row>
    <row r="137" spans="1:12" x14ac:dyDescent="0.25">
      <c r="A137" s="586"/>
      <c r="B137" s="586"/>
      <c r="C137" s="586"/>
      <c r="D137" s="586"/>
      <c r="E137" s="586"/>
      <c r="F137" s="586"/>
      <c r="G137" s="586"/>
      <c r="H137" s="587"/>
      <c r="I137" s="586"/>
      <c r="J137" s="586"/>
      <c r="K137" s="586"/>
      <c r="L137" s="586"/>
    </row>
    <row r="139" spans="1:12" s="3" customFormat="1" ht="18.75" x14ac:dyDescent="0.3">
      <c r="A139" s="591" t="s">
        <v>669</v>
      </c>
      <c r="D139" s="650" t="str">
        <f>VLOOKUP('Ex C-1 2 of 3'!B13,'Case Database'!A3:C2000,3)</f>
        <v>2021-00368</v>
      </c>
      <c r="H139" s="243"/>
    </row>
    <row r="141" spans="1:12" x14ac:dyDescent="0.25">
      <c r="B141" s="6" t="s">
        <v>270</v>
      </c>
      <c r="D141" s="738">
        <v>2330660</v>
      </c>
    </row>
    <row r="143" spans="1:12" x14ac:dyDescent="0.25">
      <c r="A143" s="586"/>
      <c r="B143" s="586"/>
      <c r="C143" s="586"/>
      <c r="D143" s="586"/>
      <c r="E143" s="586"/>
      <c r="F143" s="586"/>
      <c r="G143" s="586"/>
      <c r="H143" s="587"/>
      <c r="I143" s="586"/>
      <c r="J143" s="586"/>
      <c r="K143" s="586"/>
      <c r="L143" s="586"/>
    </row>
    <row r="145" spans="1:12" ht="18.75" x14ac:dyDescent="0.3">
      <c r="A145" s="591" t="s">
        <v>670</v>
      </c>
      <c r="B145"/>
      <c r="C145"/>
      <c r="D145" s="650" t="str">
        <f>'Ex C-1 3 of 3'!B13</f>
        <v>2022-00180</v>
      </c>
      <c r="E145"/>
      <c r="F145"/>
      <c r="G145"/>
      <c r="H145"/>
      <c r="I145"/>
    </row>
    <row r="147" spans="1:12" x14ac:dyDescent="0.25">
      <c r="B147" s="6" t="s">
        <v>270</v>
      </c>
      <c r="D147" s="738">
        <v>4101.5799999996379</v>
      </c>
    </row>
    <row r="149" spans="1:12" customFormat="1" x14ac:dyDescent="0.25">
      <c r="A149" s="6" t="s">
        <v>698</v>
      </c>
    </row>
    <row r="150" spans="1:12" customFormat="1" x14ac:dyDescent="0.25">
      <c r="A150" s="6"/>
      <c r="B150" s="733" t="s">
        <v>840</v>
      </c>
      <c r="H150" s="313"/>
    </row>
    <row r="151" spans="1:12" customFormat="1" x14ac:dyDescent="0.25">
      <c r="A151" s="6"/>
      <c r="B151" s="648" t="str">
        <f>IF('Exhibit C Write-Up'!E12&gt;0,"as a debit", "as a credit")</f>
        <v>as a debit</v>
      </c>
    </row>
    <row r="152" spans="1:12" x14ac:dyDescent="0.25">
      <c r="A152" s="586"/>
      <c r="B152" s="586"/>
      <c r="C152" s="586"/>
      <c r="D152" s="586"/>
      <c r="E152" s="586"/>
      <c r="F152" s="586"/>
      <c r="G152" s="586"/>
      <c r="H152" s="587"/>
      <c r="I152" s="586"/>
      <c r="J152" s="586"/>
      <c r="K152" s="586"/>
      <c r="L152" s="586"/>
    </row>
    <row r="154" spans="1:12" ht="18.75" x14ac:dyDescent="0.3">
      <c r="A154" s="591" t="s">
        <v>671</v>
      </c>
      <c r="B154"/>
      <c r="C154"/>
      <c r="D154" s="592"/>
      <c r="E154"/>
      <c r="F154"/>
      <c r="G154"/>
      <c r="H154"/>
      <c r="I154"/>
    </row>
    <row r="155" spans="1:12" x14ac:dyDescent="0.25">
      <c r="H155" s="6"/>
    </row>
    <row r="156" spans="1:12" x14ac:dyDescent="0.25">
      <c r="B156" s="6" t="s">
        <v>217</v>
      </c>
      <c r="D156" s="732">
        <v>0</v>
      </c>
    </row>
    <row r="157" spans="1:12" x14ac:dyDescent="0.25">
      <c r="B157" s="6" t="s">
        <v>218</v>
      </c>
      <c r="D157" s="732">
        <v>0</v>
      </c>
    </row>
    <row r="159" spans="1:12" x14ac:dyDescent="0.25">
      <c r="A159" s="586"/>
      <c r="B159" s="586"/>
      <c r="C159" s="586"/>
      <c r="D159" s="586"/>
      <c r="E159" s="586"/>
      <c r="F159" s="586"/>
      <c r="G159" s="586"/>
      <c r="H159" s="587"/>
      <c r="I159" s="586"/>
      <c r="J159" s="586"/>
      <c r="K159" s="586"/>
      <c r="L159" s="586"/>
    </row>
    <row r="161" spans="1:12" ht="18.75" x14ac:dyDescent="0.3">
      <c r="A161" s="591" t="s">
        <v>672</v>
      </c>
      <c r="D161" s="650" t="str">
        <f>'Ex D-1 2 of 2'!B7</f>
        <v>2021-00368</v>
      </c>
    </row>
    <row r="163" spans="1:12" x14ac:dyDescent="0.25">
      <c r="B163" s="6" t="s">
        <v>270</v>
      </c>
      <c r="D163" s="732">
        <v>0</v>
      </c>
    </row>
    <row r="165" spans="1:12" x14ac:dyDescent="0.25">
      <c r="A165" s="586"/>
      <c r="B165" s="586"/>
      <c r="C165" s="586"/>
      <c r="D165" s="586"/>
      <c r="E165" s="586"/>
      <c r="F165" s="586"/>
      <c r="G165" s="586"/>
      <c r="H165" s="587"/>
      <c r="I165" s="586"/>
      <c r="J165" s="586"/>
      <c r="K165" s="586"/>
      <c r="L165" s="586"/>
    </row>
    <row r="166" spans="1:12" ht="18.75" x14ac:dyDescent="0.3">
      <c r="D166" s="749"/>
      <c r="E166" s="749"/>
      <c r="F166" s="749"/>
      <c r="G166" s="749"/>
      <c r="H166" s="749"/>
    </row>
    <row r="167" spans="1:12" ht="18.75" x14ac:dyDescent="0.3">
      <c r="A167" s="591" t="s">
        <v>686</v>
      </c>
      <c r="D167" s="104"/>
      <c r="E167" s="104"/>
      <c r="F167" s="104"/>
      <c r="G167" s="104"/>
      <c r="H167" s="104"/>
    </row>
    <row r="168" spans="1:12" ht="18.75" x14ac:dyDescent="0.3">
      <c r="A168" s="591"/>
      <c r="D168" s="104"/>
      <c r="E168" s="104"/>
      <c r="F168" s="104"/>
      <c r="G168" s="104"/>
      <c r="H168" s="104"/>
    </row>
    <row r="169" spans="1:12" ht="18.75" x14ac:dyDescent="0.3">
      <c r="B169" s="6" t="s">
        <v>687</v>
      </c>
      <c r="D169" s="104"/>
      <c r="E169" s="104"/>
      <c r="F169" s="104"/>
      <c r="G169" s="104"/>
      <c r="H169" s="104"/>
    </row>
    <row r="170" spans="1:12" ht="18.75" x14ac:dyDescent="0.3">
      <c r="B170" s="584" t="s">
        <v>118</v>
      </c>
      <c r="D170" s="747">
        <v>4248093</v>
      </c>
      <c r="E170" s="104"/>
      <c r="F170" s="104"/>
      <c r="G170" s="104"/>
      <c r="H170" s="598"/>
    </row>
    <row r="171" spans="1:12" x14ac:dyDescent="0.25">
      <c r="B171" s="584" t="s">
        <v>73</v>
      </c>
      <c r="D171" s="738">
        <v>774481</v>
      </c>
      <c r="H171" s="598"/>
    </row>
    <row r="173" spans="1:12" customFormat="1" x14ac:dyDescent="0.25">
      <c r="A173" s="6" t="s">
        <v>699</v>
      </c>
    </row>
    <row r="174" spans="1:12" customFormat="1" x14ac:dyDescent="0.25">
      <c r="A174" s="6"/>
      <c r="B174" s="733" t="s">
        <v>773</v>
      </c>
      <c r="H174" s="313"/>
    </row>
    <row r="175" spans="1:12" x14ac:dyDescent="0.25">
      <c r="B175" s="733" t="s">
        <v>839</v>
      </c>
    </row>
    <row r="176" spans="1:12" x14ac:dyDescent="0.25">
      <c r="B176" s="574"/>
    </row>
    <row r="177" spans="2:8" x14ac:dyDescent="0.25">
      <c r="B177" s="574"/>
    </row>
    <row r="178" spans="2:8" s="633" customFormat="1" ht="63" x14ac:dyDescent="0.25">
      <c r="B178" s="638"/>
      <c r="C178" s="641" t="s">
        <v>743</v>
      </c>
      <c r="D178" s="641" t="s">
        <v>742</v>
      </c>
      <c r="E178" s="641" t="s">
        <v>233</v>
      </c>
      <c r="F178" s="641" t="s">
        <v>744</v>
      </c>
      <c r="H178" s="639"/>
    </row>
    <row r="179" spans="2:8" x14ac:dyDescent="0.25">
      <c r="B179" s="643">
        <f>C10</f>
        <v>44958</v>
      </c>
      <c r="C179" s="735">
        <v>5151024</v>
      </c>
      <c r="D179" s="735">
        <v>17443</v>
      </c>
      <c r="E179" s="636">
        <f>C179+D179</f>
        <v>5168467</v>
      </c>
      <c r="F179" s="735">
        <v>41439</v>
      </c>
    </row>
    <row r="180" spans="2:8" x14ac:dyDescent="0.25">
      <c r="B180" s="643">
        <f>EDATE(B179,1)</f>
        <v>44986</v>
      </c>
      <c r="C180" s="735">
        <v>3881113</v>
      </c>
      <c r="D180" s="735">
        <v>18632</v>
      </c>
      <c r="E180" s="636">
        <f t="shared" ref="E180:E190" si="0">C180+D180</f>
        <v>3899745</v>
      </c>
      <c r="F180" s="735">
        <v>61564</v>
      </c>
    </row>
    <row r="181" spans="2:8" x14ac:dyDescent="0.25">
      <c r="B181" s="643">
        <f t="shared" ref="B181:B190" si="1">EDATE(B180,1)</f>
        <v>45017</v>
      </c>
      <c r="C181" s="735">
        <v>1985223</v>
      </c>
      <c r="D181" s="735">
        <v>17292</v>
      </c>
      <c r="E181" s="636">
        <f t="shared" si="0"/>
        <v>2002515</v>
      </c>
      <c r="F181" s="735">
        <v>70312</v>
      </c>
    </row>
    <row r="182" spans="2:8" x14ac:dyDescent="0.25">
      <c r="B182" s="643">
        <f t="shared" si="1"/>
        <v>45047</v>
      </c>
      <c r="C182" s="735">
        <v>1099875</v>
      </c>
      <c r="D182" s="735">
        <v>19259</v>
      </c>
      <c r="E182" s="636">
        <f t="shared" si="0"/>
        <v>1119134</v>
      </c>
      <c r="F182" s="735">
        <v>64367</v>
      </c>
    </row>
    <row r="183" spans="2:8" x14ac:dyDescent="0.25">
      <c r="B183" s="643">
        <f t="shared" si="1"/>
        <v>45078</v>
      </c>
      <c r="C183" s="735">
        <v>725702</v>
      </c>
      <c r="D183" s="735">
        <v>22537</v>
      </c>
      <c r="E183" s="636">
        <f t="shared" si="0"/>
        <v>748239</v>
      </c>
      <c r="F183" s="735">
        <v>59256</v>
      </c>
    </row>
    <row r="184" spans="2:8" x14ac:dyDescent="0.25">
      <c r="B184" s="643">
        <f t="shared" si="1"/>
        <v>45108</v>
      </c>
      <c r="C184" s="735">
        <v>715511</v>
      </c>
      <c r="D184" s="735">
        <v>16358</v>
      </c>
      <c r="E184" s="636">
        <f t="shared" si="0"/>
        <v>731869</v>
      </c>
      <c r="F184" s="735">
        <v>54515</v>
      </c>
    </row>
    <row r="185" spans="2:8" x14ac:dyDescent="0.25">
      <c r="B185" s="643">
        <f t="shared" si="1"/>
        <v>45139</v>
      </c>
      <c r="C185" s="735">
        <v>675736</v>
      </c>
      <c r="D185" s="735">
        <v>13169</v>
      </c>
      <c r="E185" s="636">
        <f t="shared" si="0"/>
        <v>688905</v>
      </c>
      <c r="F185" s="735">
        <v>55430</v>
      </c>
    </row>
    <row r="186" spans="2:8" x14ac:dyDescent="0.25">
      <c r="B186" s="643">
        <f t="shared" si="1"/>
        <v>45170</v>
      </c>
      <c r="C186" s="735">
        <v>744945</v>
      </c>
      <c r="D186" s="735">
        <v>17952</v>
      </c>
      <c r="E186" s="636">
        <f t="shared" si="0"/>
        <v>762897</v>
      </c>
      <c r="F186" s="735">
        <v>61481</v>
      </c>
    </row>
    <row r="187" spans="2:8" x14ac:dyDescent="0.25">
      <c r="B187" s="643">
        <f t="shared" si="1"/>
        <v>45200</v>
      </c>
      <c r="C187" s="735">
        <v>1542762</v>
      </c>
      <c r="D187" s="735">
        <v>9981</v>
      </c>
      <c r="E187" s="636">
        <f t="shared" si="0"/>
        <v>1552743</v>
      </c>
      <c r="F187" s="735">
        <v>73931</v>
      </c>
    </row>
    <row r="188" spans="2:8" x14ac:dyDescent="0.25">
      <c r="B188" s="643">
        <f t="shared" si="1"/>
        <v>45231</v>
      </c>
      <c r="C188" s="735">
        <v>3331210</v>
      </c>
      <c r="D188" s="735">
        <v>22843</v>
      </c>
      <c r="E188" s="636">
        <f t="shared" si="0"/>
        <v>3354053</v>
      </c>
      <c r="F188" s="735">
        <v>61407</v>
      </c>
    </row>
    <row r="189" spans="2:8" x14ac:dyDescent="0.25">
      <c r="B189" s="643">
        <f t="shared" si="1"/>
        <v>45261</v>
      </c>
      <c r="C189" s="735">
        <v>4974617</v>
      </c>
      <c r="D189" s="735">
        <v>17414</v>
      </c>
      <c r="E189" s="636">
        <f t="shared" si="0"/>
        <v>4992031</v>
      </c>
      <c r="F189" s="735">
        <v>51604</v>
      </c>
    </row>
    <row r="190" spans="2:8" ht="16.5" thickBot="1" x14ac:dyDescent="0.3">
      <c r="B190" s="643">
        <f t="shared" si="1"/>
        <v>45292</v>
      </c>
      <c r="C190" s="735">
        <v>5812249</v>
      </c>
      <c r="D190" s="735">
        <v>18632</v>
      </c>
      <c r="E190" s="636">
        <f t="shared" si="0"/>
        <v>5830881</v>
      </c>
      <c r="F190" s="735">
        <v>48232</v>
      </c>
    </row>
    <row r="191" spans="2:8" ht="16.5" thickBot="1" x14ac:dyDescent="0.3">
      <c r="B191" s="640" t="s">
        <v>30</v>
      </c>
      <c r="E191" s="642">
        <f>SUM(E179:E190)</f>
        <v>30851479</v>
      </c>
      <c r="F191" s="642">
        <f>SUM(F179:F190)</f>
        <v>703538</v>
      </c>
    </row>
    <row r="192" spans="2:8" x14ac:dyDescent="0.25">
      <c r="B192" s="637"/>
    </row>
    <row r="193" spans="1:20" x14ac:dyDescent="0.25">
      <c r="B193" s="574"/>
    </row>
    <row r="194" spans="1:20" x14ac:dyDescent="0.25">
      <c r="B194" s="574"/>
    </row>
    <row r="195" spans="1:20" x14ac:dyDescent="0.25">
      <c r="A195" s="586"/>
      <c r="B195" s="586"/>
      <c r="C195" s="586"/>
      <c r="D195" s="586"/>
      <c r="E195" s="586"/>
      <c r="F195" s="586"/>
      <c r="G195" s="586"/>
      <c r="H195" s="587"/>
      <c r="I195" s="586"/>
      <c r="J195" s="586"/>
      <c r="K195" s="586"/>
      <c r="L195" s="586"/>
    </row>
    <row r="197" spans="1:20" ht="18.75" x14ac:dyDescent="0.3">
      <c r="A197" s="591" t="s">
        <v>673</v>
      </c>
      <c r="D197" s="650" t="str">
        <f>'Ex E-1 2 of 2'!B6</f>
        <v>2021-00458</v>
      </c>
    </row>
    <row r="199" spans="1:20" x14ac:dyDescent="0.25">
      <c r="B199" s="6" t="s">
        <v>270</v>
      </c>
      <c r="C199"/>
      <c r="D199" s="102">
        <v>2402345</v>
      </c>
      <c r="E199"/>
      <c r="F199"/>
      <c r="G199"/>
      <c r="I199"/>
      <c r="J199"/>
      <c r="K199"/>
      <c r="L199"/>
    </row>
    <row r="200" spans="1:20" x14ac:dyDescent="0.25">
      <c r="B200" s="6" t="s">
        <v>688</v>
      </c>
      <c r="C200"/>
      <c r="D200" s="3">
        <v>7.6700000000000004E-2</v>
      </c>
      <c r="E200"/>
      <c r="F200"/>
      <c r="G200"/>
      <c r="I200"/>
      <c r="J200"/>
      <c r="K200"/>
      <c r="L200"/>
    </row>
    <row r="201" spans="1:20" x14ac:dyDescent="0.25">
      <c r="B201" s="6" t="s">
        <v>689</v>
      </c>
      <c r="D201" s="3">
        <v>2.7699999999999999E-2</v>
      </c>
    </row>
    <row r="203" spans="1:20" x14ac:dyDescent="0.25">
      <c r="A203" s="586"/>
      <c r="B203" s="586"/>
      <c r="C203" s="586"/>
      <c r="D203" s="586"/>
      <c r="E203" s="586"/>
      <c r="F203" s="586"/>
      <c r="G203" s="586"/>
      <c r="H203" s="587"/>
      <c r="I203" s="586"/>
      <c r="J203" s="586"/>
      <c r="K203" s="586"/>
      <c r="L203" s="586"/>
    </row>
    <row r="205" spans="1:20" ht="18.75" x14ac:dyDescent="0.3">
      <c r="A205" s="591" t="s">
        <v>690</v>
      </c>
    </row>
    <row r="206" spans="1:20" x14ac:dyDescent="0.25">
      <c r="C206" s="563" t="s">
        <v>695</v>
      </c>
      <c r="D206" s="563" t="s">
        <v>695</v>
      </c>
      <c r="E206" s="563" t="s">
        <v>695</v>
      </c>
      <c r="F206" s="632"/>
      <c r="O206" s="689"/>
      <c r="P206" s="588"/>
      <c r="Q206" s="588"/>
      <c r="R206" s="690"/>
      <c r="S206" s="588"/>
      <c r="T206" s="588"/>
    </row>
    <row r="207" spans="1:20" x14ac:dyDescent="0.25">
      <c r="B207" s="6" t="s">
        <v>691</v>
      </c>
      <c r="C207" s="6" t="s">
        <v>692</v>
      </c>
      <c r="D207" s="6" t="s">
        <v>693</v>
      </c>
      <c r="E207" s="6" t="s">
        <v>694</v>
      </c>
      <c r="H207" s="6"/>
      <c r="O207" s="588"/>
      <c r="P207" s="588"/>
      <c r="Q207" s="588"/>
      <c r="R207" s="688"/>
      <c r="S207" s="688"/>
      <c r="T207" s="688"/>
    </row>
    <row r="208" spans="1:20" x14ac:dyDescent="0.25">
      <c r="B208" s="269">
        <v>44501</v>
      </c>
      <c r="C208" s="739">
        <v>0</v>
      </c>
      <c r="D208" s="739">
        <f>'Summary Sheet'!J32</f>
        <v>1.35E-2</v>
      </c>
      <c r="E208" s="739">
        <v>0</v>
      </c>
      <c r="F208" s="113"/>
      <c r="O208" s="588"/>
      <c r="P208" s="588"/>
      <c r="Q208" s="588"/>
      <c r="R208" s="688"/>
      <c r="S208" s="688"/>
      <c r="T208" s="688"/>
    </row>
    <row r="209" spans="1:12" x14ac:dyDescent="0.25">
      <c r="B209" s="269">
        <v>44866</v>
      </c>
      <c r="C209" s="739">
        <f>'Summary Sheet'!J26</f>
        <v>0.77439999999999998</v>
      </c>
      <c r="D209" s="739">
        <f>'Summary Sheet'!J32</f>
        <v>1.35E-2</v>
      </c>
      <c r="E209" s="739">
        <f>'Summary Sheet'!J48</f>
        <v>0.16220000000000001</v>
      </c>
      <c r="F209" s="113"/>
    </row>
    <row r="211" spans="1:12" x14ac:dyDescent="0.25">
      <c r="A211" s="6" t="s">
        <v>700</v>
      </c>
    </row>
    <row r="212" spans="1:12" x14ac:dyDescent="0.25">
      <c r="B212" s="107" t="s">
        <v>774</v>
      </c>
    </row>
    <row r="214" spans="1:12" x14ac:dyDescent="0.25">
      <c r="A214" s="586"/>
      <c r="B214" s="586"/>
      <c r="C214" s="586"/>
      <c r="D214" s="586"/>
      <c r="E214" s="586"/>
      <c r="F214" s="586"/>
      <c r="G214" s="586"/>
      <c r="H214" s="587"/>
      <c r="I214" s="586"/>
      <c r="J214" s="586"/>
      <c r="K214" s="586"/>
      <c r="L214" s="586"/>
    </row>
    <row r="216" spans="1:12" customFormat="1" x14ac:dyDescent="0.25">
      <c r="A216" s="6"/>
    </row>
    <row r="217" spans="1:12" customFormat="1" x14ac:dyDescent="0.25">
      <c r="A217" s="6"/>
    </row>
  </sheetData>
  <mergeCells count="2">
    <mergeCell ref="C133:E133"/>
    <mergeCell ref="D166:H166"/>
  </mergeCells>
  <phoneticPr fontId="3" type="noConversion"/>
  <pageMargins left="0.75" right="0.75" top="1" bottom="1" header="0.5" footer="0.5"/>
  <pageSetup scale="96" orientation="portrait" r:id="rId1"/>
  <headerFooter alignWithMargins="0">
    <oddFooter>&amp;L&amp;1#&amp;"Calibri"&amp;14&amp;K000000Confidential</oddFooter>
  </headerFooter>
  <customProperties>
    <customPr name="_pios_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tabColor theme="3" tint="0.79998168889431442"/>
    <pageSetUpPr fitToPage="1"/>
  </sheetPr>
  <dimension ref="A1:XFC101"/>
  <sheetViews>
    <sheetView zoomScaleNormal="100" workbookViewId="0">
      <pane ySplit="3" topLeftCell="A88" activePane="bottomLeft" state="frozen"/>
      <selection pane="bottomLeft" activeCell="C94" sqref="C94"/>
    </sheetView>
  </sheetViews>
  <sheetFormatPr defaultColWidth="8.88671875" defaultRowHeight="15.75" x14ac:dyDescent="0.25"/>
  <cols>
    <col min="1" max="1" width="20.88671875" style="26" customWidth="1"/>
    <col min="2" max="2" width="22.44140625" style="26" customWidth="1"/>
    <col min="3" max="5" width="24.6640625" style="26" customWidth="1"/>
    <col min="6" max="6" width="21.21875" style="26" customWidth="1"/>
    <col min="7" max="7" width="17.5546875" style="25" customWidth="1"/>
    <col min="8" max="8" width="13.21875" style="25" customWidth="1"/>
    <col min="9" max="11" width="24.6640625" style="25" customWidth="1"/>
    <col min="12" max="13" width="16.109375" style="25" customWidth="1"/>
    <col min="14" max="15" width="16.109375" style="6" customWidth="1"/>
    <col min="16" max="16384" width="8.88671875" style="25"/>
  </cols>
  <sheetData>
    <row r="1" spans="1:17 16383:16383" x14ac:dyDescent="0.25">
      <c r="D1" s="750" t="s">
        <v>54</v>
      </c>
      <c r="E1" s="750"/>
      <c r="F1" s="751" t="s">
        <v>676</v>
      </c>
      <c r="G1" s="751"/>
      <c r="H1" s="751"/>
      <c r="I1" s="752" t="s">
        <v>249</v>
      </c>
      <c r="J1" s="752"/>
      <c r="K1" s="752"/>
      <c r="L1" s="753" t="s">
        <v>680</v>
      </c>
      <c r="M1" s="753"/>
      <c r="N1" s="754" t="s">
        <v>683</v>
      </c>
      <c r="O1" s="754"/>
      <c r="P1" s="754"/>
      <c r="Q1" s="754"/>
    </row>
    <row r="2" spans="1:17 16383:16383" ht="15" x14ac:dyDescent="0.2">
      <c r="A2" s="27">
        <v>1</v>
      </c>
      <c r="B2" s="27">
        <f>A2+1</f>
        <v>2</v>
      </c>
      <c r="C2" s="27">
        <f t="shared" ref="C2:Q2" si="0">B2+1</f>
        <v>3</v>
      </c>
      <c r="D2" s="27">
        <f t="shared" si="0"/>
        <v>4</v>
      </c>
      <c r="E2" s="27">
        <f t="shared" si="0"/>
        <v>5</v>
      </c>
      <c r="F2" s="27">
        <f t="shared" si="0"/>
        <v>6</v>
      </c>
      <c r="G2" s="27">
        <f t="shared" si="0"/>
        <v>7</v>
      </c>
      <c r="H2" s="27">
        <f t="shared" si="0"/>
        <v>8</v>
      </c>
      <c r="I2" s="593">
        <f t="shared" si="0"/>
        <v>9</v>
      </c>
      <c r="J2" s="593">
        <f t="shared" si="0"/>
        <v>10</v>
      </c>
      <c r="K2" s="593">
        <f t="shared" si="0"/>
        <v>11</v>
      </c>
      <c r="L2" s="593">
        <f t="shared" si="0"/>
        <v>12</v>
      </c>
      <c r="M2" s="593">
        <f t="shared" si="0"/>
        <v>13</v>
      </c>
      <c r="N2" s="593">
        <f t="shared" si="0"/>
        <v>14</v>
      </c>
      <c r="O2" s="593">
        <f t="shared" si="0"/>
        <v>15</v>
      </c>
      <c r="P2" s="593">
        <f t="shared" si="0"/>
        <v>16</v>
      </c>
      <c r="Q2" s="593">
        <f t="shared" si="0"/>
        <v>17</v>
      </c>
      <c r="XFC2" s="736"/>
    </row>
    <row r="3" spans="1:17 16383:16383" s="595" customFormat="1" ht="47.25" x14ac:dyDescent="0.25">
      <c r="A3" s="594" t="s">
        <v>193</v>
      </c>
      <c r="B3" s="594" t="s">
        <v>334</v>
      </c>
      <c r="C3" s="594" t="s">
        <v>116</v>
      </c>
      <c r="D3" s="594" t="s">
        <v>674</v>
      </c>
      <c r="E3" s="594" t="s">
        <v>675</v>
      </c>
      <c r="F3" s="594" t="s">
        <v>335</v>
      </c>
      <c r="G3" s="594" t="s">
        <v>613</v>
      </c>
      <c r="H3" s="594" t="s">
        <v>614</v>
      </c>
      <c r="I3" s="595" t="s">
        <v>677</v>
      </c>
      <c r="J3" s="596" t="s">
        <v>678</v>
      </c>
      <c r="K3" s="596" t="s">
        <v>679</v>
      </c>
      <c r="L3" s="596" t="s">
        <v>681</v>
      </c>
      <c r="M3" s="596" t="s">
        <v>682</v>
      </c>
      <c r="N3" s="596" t="s">
        <v>217</v>
      </c>
      <c r="O3" s="596" t="s">
        <v>218</v>
      </c>
      <c r="P3" s="596" t="s">
        <v>684</v>
      </c>
      <c r="Q3" s="596" t="s">
        <v>685</v>
      </c>
    </row>
    <row r="5" spans="1:17 16383:16383" x14ac:dyDescent="0.25">
      <c r="A5" s="140">
        <v>36831</v>
      </c>
      <c r="B5" s="140">
        <f>EOMONTH(A5,2)</f>
        <v>36922</v>
      </c>
      <c r="C5" s="141" t="s">
        <v>85</v>
      </c>
      <c r="D5" s="570"/>
      <c r="E5" s="570"/>
      <c r="F5" s="141"/>
    </row>
    <row r="6" spans="1:17 16383:16383" x14ac:dyDescent="0.25">
      <c r="A6" s="140">
        <f>EDATE(A5,3)</f>
        <v>36923</v>
      </c>
      <c r="B6" s="140">
        <f t="shared" ref="B6:B51" si="1">EOMONTH(A6,2)</f>
        <v>37011</v>
      </c>
      <c r="C6" s="141" t="s">
        <v>196</v>
      </c>
      <c r="D6" s="570"/>
      <c r="E6" s="570"/>
      <c r="F6" s="141"/>
    </row>
    <row r="7" spans="1:17 16383:16383" x14ac:dyDescent="0.25">
      <c r="A7" s="140">
        <f t="shared" ref="A7:A51" si="2">EDATE(A6,3)</f>
        <v>37012</v>
      </c>
      <c r="B7" s="140">
        <f t="shared" si="1"/>
        <v>37103</v>
      </c>
      <c r="C7" s="141" t="s">
        <v>197</v>
      </c>
      <c r="D7" s="570"/>
      <c r="E7" s="570"/>
      <c r="F7" s="141"/>
    </row>
    <row r="8" spans="1:17 16383:16383" x14ac:dyDescent="0.25">
      <c r="A8" s="140">
        <f t="shared" si="2"/>
        <v>37104</v>
      </c>
      <c r="B8" s="140">
        <f t="shared" si="1"/>
        <v>37195</v>
      </c>
      <c r="C8" s="141" t="s">
        <v>198</v>
      </c>
      <c r="D8" s="570"/>
      <c r="E8" s="570"/>
      <c r="F8" s="141"/>
    </row>
    <row r="9" spans="1:17 16383:16383" x14ac:dyDescent="0.25">
      <c r="A9" s="140">
        <f t="shared" si="2"/>
        <v>37196</v>
      </c>
      <c r="B9" s="140">
        <f t="shared" si="1"/>
        <v>37287</v>
      </c>
      <c r="C9" s="141" t="s">
        <v>199</v>
      </c>
      <c r="D9" s="570"/>
      <c r="E9" s="570"/>
      <c r="F9" s="141"/>
    </row>
    <row r="10" spans="1:17 16383:16383" x14ac:dyDescent="0.25">
      <c r="A10" s="140">
        <f t="shared" si="2"/>
        <v>37288</v>
      </c>
      <c r="B10" s="140">
        <f t="shared" si="1"/>
        <v>37376</v>
      </c>
      <c r="C10" s="141" t="s">
        <v>200</v>
      </c>
      <c r="D10" s="570"/>
      <c r="E10" s="570"/>
      <c r="F10" s="141"/>
    </row>
    <row r="11" spans="1:17 16383:16383" x14ac:dyDescent="0.25">
      <c r="A11" s="140">
        <f t="shared" si="2"/>
        <v>37377</v>
      </c>
      <c r="B11" s="140">
        <f t="shared" si="1"/>
        <v>37468</v>
      </c>
      <c r="C11" s="141" t="s">
        <v>201</v>
      </c>
      <c r="D11" s="570"/>
      <c r="E11" s="570"/>
      <c r="F11" s="141"/>
    </row>
    <row r="12" spans="1:17 16383:16383" x14ac:dyDescent="0.25">
      <c r="A12" s="140">
        <f t="shared" si="2"/>
        <v>37469</v>
      </c>
      <c r="B12" s="140">
        <f t="shared" si="1"/>
        <v>37560</v>
      </c>
      <c r="C12" s="141" t="s">
        <v>177</v>
      </c>
      <c r="D12" s="570"/>
      <c r="E12" s="570"/>
      <c r="F12" s="141"/>
      <c r="G12" s="85"/>
      <c r="H12" s="85"/>
    </row>
    <row r="13" spans="1:17 16383:16383" x14ac:dyDescent="0.25">
      <c r="A13" s="140">
        <f t="shared" si="2"/>
        <v>37561</v>
      </c>
      <c r="B13" s="140">
        <f t="shared" si="1"/>
        <v>37652</v>
      </c>
      <c r="C13" s="141" t="s">
        <v>178</v>
      </c>
      <c r="D13" s="570"/>
      <c r="E13" s="570"/>
      <c r="F13" s="141"/>
    </row>
    <row r="14" spans="1:17 16383:16383" x14ac:dyDescent="0.25">
      <c r="A14" s="140">
        <f t="shared" si="2"/>
        <v>37653</v>
      </c>
      <c r="B14" s="140">
        <f t="shared" si="1"/>
        <v>37741</v>
      </c>
      <c r="C14" s="141" t="s">
        <v>179</v>
      </c>
      <c r="D14" s="570"/>
      <c r="E14" s="570"/>
      <c r="F14" s="141" t="str">
        <f>C12</f>
        <v>(Case No. 2002-00261)</v>
      </c>
    </row>
    <row r="15" spans="1:17 16383:16383" x14ac:dyDescent="0.25">
      <c r="A15" s="140">
        <f t="shared" si="2"/>
        <v>37742</v>
      </c>
      <c r="B15" s="140">
        <f t="shared" si="1"/>
        <v>37833</v>
      </c>
      <c r="C15" s="141" t="s">
        <v>180</v>
      </c>
      <c r="D15" s="570"/>
      <c r="E15" s="570"/>
      <c r="F15" s="141" t="str">
        <f t="shared" ref="F15:F28" si="3">C13</f>
        <v>(Case No. 2002-00368)</v>
      </c>
    </row>
    <row r="16" spans="1:17 16383:16383" x14ac:dyDescent="0.25">
      <c r="A16" s="140">
        <f t="shared" si="2"/>
        <v>37834</v>
      </c>
      <c r="B16" s="140">
        <f t="shared" si="1"/>
        <v>37925</v>
      </c>
      <c r="C16" s="141" t="s">
        <v>181</v>
      </c>
      <c r="D16" s="570"/>
      <c r="E16" s="570"/>
      <c r="F16" s="141" t="str">
        <f t="shared" si="3"/>
        <v>(Case No. 2003-00004)</v>
      </c>
    </row>
    <row r="17" spans="1:6" x14ac:dyDescent="0.25">
      <c r="A17" s="140">
        <f t="shared" si="2"/>
        <v>37926</v>
      </c>
      <c r="B17" s="140">
        <f t="shared" si="1"/>
        <v>38017</v>
      </c>
      <c r="C17" s="141" t="s">
        <v>182</v>
      </c>
      <c r="D17" s="570"/>
      <c r="E17" s="570"/>
      <c r="F17" s="141" t="str">
        <f t="shared" si="3"/>
        <v>(Case No. 2003-00121)</v>
      </c>
    </row>
    <row r="18" spans="1:6" x14ac:dyDescent="0.25">
      <c r="A18" s="140">
        <f t="shared" si="2"/>
        <v>38018</v>
      </c>
      <c r="B18" s="140">
        <f t="shared" si="1"/>
        <v>38107</v>
      </c>
      <c r="C18" s="141" t="s">
        <v>183</v>
      </c>
      <c r="D18" s="570"/>
      <c r="E18" s="570"/>
      <c r="F18" s="141" t="str">
        <f t="shared" si="3"/>
        <v>(Case No. 2003-00260)</v>
      </c>
    </row>
    <row r="19" spans="1:6" x14ac:dyDescent="0.25">
      <c r="A19" s="140">
        <f t="shared" si="2"/>
        <v>38108</v>
      </c>
      <c r="B19" s="140">
        <f t="shared" si="1"/>
        <v>38199</v>
      </c>
      <c r="C19" s="141" t="s">
        <v>184</v>
      </c>
      <c r="D19" s="570"/>
      <c r="E19" s="570"/>
      <c r="F19" s="141" t="str">
        <f t="shared" si="3"/>
        <v>(Case No. 2003-00385)</v>
      </c>
    </row>
    <row r="20" spans="1:6" x14ac:dyDescent="0.25">
      <c r="A20" s="140">
        <f t="shared" si="2"/>
        <v>38200</v>
      </c>
      <c r="B20" s="140">
        <f t="shared" si="1"/>
        <v>38291</v>
      </c>
      <c r="C20" s="141" t="s">
        <v>185</v>
      </c>
      <c r="D20" s="570"/>
      <c r="E20" s="570"/>
      <c r="F20" s="141" t="str">
        <f t="shared" si="3"/>
        <v>(Case No. 2004-00506)</v>
      </c>
    </row>
    <row r="21" spans="1:6" x14ac:dyDescent="0.25">
      <c r="A21" s="140">
        <f t="shared" si="2"/>
        <v>38292</v>
      </c>
      <c r="B21" s="140">
        <f t="shared" si="1"/>
        <v>38383</v>
      </c>
      <c r="C21" s="141" t="s">
        <v>186</v>
      </c>
      <c r="D21" s="570"/>
      <c r="E21" s="570"/>
      <c r="F21" s="141" t="str">
        <f t="shared" si="3"/>
        <v>(Case No. 2004-00117)</v>
      </c>
    </row>
    <row r="22" spans="1:6" x14ac:dyDescent="0.25">
      <c r="A22" s="140">
        <f t="shared" si="2"/>
        <v>38384</v>
      </c>
      <c r="B22" s="140">
        <f t="shared" si="1"/>
        <v>38472</v>
      </c>
      <c r="C22" s="141" t="s">
        <v>187</v>
      </c>
      <c r="D22" s="570"/>
      <c r="E22" s="570"/>
      <c r="F22" s="141" t="str">
        <f t="shared" si="3"/>
        <v>(Case No. 2004-00271)</v>
      </c>
    </row>
    <row r="23" spans="1:6" x14ac:dyDescent="0.25">
      <c r="A23" s="140">
        <f t="shared" si="2"/>
        <v>38473</v>
      </c>
      <c r="B23" s="140">
        <f t="shared" si="1"/>
        <v>38564</v>
      </c>
      <c r="C23" s="141" t="s">
        <v>188</v>
      </c>
      <c r="D23" s="570"/>
      <c r="E23" s="570"/>
      <c r="F23" s="141" t="str">
        <f t="shared" si="3"/>
        <v>(Case No. 2004-00390)</v>
      </c>
    </row>
    <row r="24" spans="1:6" x14ac:dyDescent="0.25">
      <c r="A24" s="140">
        <f t="shared" si="2"/>
        <v>38565</v>
      </c>
      <c r="B24" s="140">
        <f t="shared" si="1"/>
        <v>38656</v>
      </c>
      <c r="C24" s="141" t="s">
        <v>194</v>
      </c>
      <c r="D24" s="570"/>
      <c r="E24" s="570"/>
      <c r="F24" s="141" t="str">
        <f t="shared" si="3"/>
        <v>(Case No. 2004-00526)</v>
      </c>
    </row>
    <row r="25" spans="1:6" x14ac:dyDescent="0.25">
      <c r="A25" s="140">
        <f t="shared" si="2"/>
        <v>38657</v>
      </c>
      <c r="B25" s="140">
        <f t="shared" si="1"/>
        <v>38748</v>
      </c>
      <c r="C25" s="141" t="s">
        <v>189</v>
      </c>
      <c r="D25" s="570"/>
      <c r="E25" s="570"/>
      <c r="F25" s="141" t="str">
        <f t="shared" si="3"/>
        <v>(Case No. 2005-00143)</v>
      </c>
    </row>
    <row r="26" spans="1:6" x14ac:dyDescent="0.25">
      <c r="A26" s="140">
        <f t="shared" si="2"/>
        <v>38749</v>
      </c>
      <c r="B26" s="140">
        <f t="shared" si="1"/>
        <v>38837</v>
      </c>
      <c r="C26" s="141" t="s">
        <v>190</v>
      </c>
      <c r="D26" s="570"/>
      <c r="E26" s="570"/>
      <c r="F26" s="141" t="str">
        <f t="shared" si="3"/>
        <v>(Case No. 2005-00274)</v>
      </c>
    </row>
    <row r="27" spans="1:6" x14ac:dyDescent="0.25">
      <c r="A27" s="140">
        <f t="shared" si="2"/>
        <v>38838</v>
      </c>
      <c r="B27" s="140">
        <f t="shared" si="1"/>
        <v>38929</v>
      </c>
      <c r="C27" s="141" t="s">
        <v>191</v>
      </c>
      <c r="D27" s="570"/>
      <c r="E27" s="570"/>
      <c r="F27" s="141" t="str">
        <f t="shared" si="3"/>
        <v>(Case No. 2005-00401)</v>
      </c>
    </row>
    <row r="28" spans="1:6" x14ac:dyDescent="0.25">
      <c r="A28" s="140">
        <f t="shared" si="2"/>
        <v>38930</v>
      </c>
      <c r="B28" s="140">
        <f t="shared" si="1"/>
        <v>39021</v>
      </c>
      <c r="C28" s="141" t="s">
        <v>192</v>
      </c>
      <c r="D28" s="570"/>
      <c r="E28" s="570"/>
      <c r="F28" s="141" t="str">
        <f t="shared" si="3"/>
        <v>(Case No. 2006-00005)</v>
      </c>
    </row>
    <row r="29" spans="1:6" x14ac:dyDescent="0.25">
      <c r="A29" s="140">
        <f t="shared" si="2"/>
        <v>39022</v>
      </c>
      <c r="B29" s="140">
        <f t="shared" si="1"/>
        <v>39113</v>
      </c>
      <c r="C29" s="141" t="s">
        <v>205</v>
      </c>
      <c r="D29" s="570"/>
      <c r="E29" s="570"/>
      <c r="F29" s="141" t="str">
        <f>C27</f>
        <v>(Case No. 2006-00138)</v>
      </c>
    </row>
    <row r="30" spans="1:6" x14ac:dyDescent="0.25">
      <c r="A30" s="140">
        <f t="shared" si="2"/>
        <v>39114</v>
      </c>
      <c r="B30" s="140">
        <f t="shared" si="1"/>
        <v>39202</v>
      </c>
      <c r="C30" s="141" t="s">
        <v>206</v>
      </c>
      <c r="D30" s="570"/>
      <c r="E30" s="570"/>
      <c r="F30" s="141" t="str">
        <f t="shared" ref="F30:F73" si="4">C28</f>
        <v>(Case No. 2006-00335)</v>
      </c>
    </row>
    <row r="31" spans="1:6" x14ac:dyDescent="0.25">
      <c r="A31" s="140">
        <f t="shared" si="2"/>
        <v>39203</v>
      </c>
      <c r="B31" s="140">
        <f t="shared" si="1"/>
        <v>39294</v>
      </c>
      <c r="C31" s="141" t="s">
        <v>207</v>
      </c>
      <c r="D31" s="570"/>
      <c r="E31" s="570"/>
      <c r="F31" s="141" t="str">
        <f t="shared" si="4"/>
        <v>(Case No. 2006-00431)</v>
      </c>
    </row>
    <row r="32" spans="1:6" x14ac:dyDescent="0.25">
      <c r="A32" s="140">
        <f t="shared" si="2"/>
        <v>39295</v>
      </c>
      <c r="B32" s="140">
        <f t="shared" si="1"/>
        <v>39386</v>
      </c>
      <c r="C32" s="141" t="s">
        <v>208</v>
      </c>
      <c r="D32" s="570"/>
      <c r="E32" s="570"/>
      <c r="F32" s="141" t="str">
        <f t="shared" si="4"/>
        <v>(Case No. 2007-00001)</v>
      </c>
    </row>
    <row r="33" spans="1:6" x14ac:dyDescent="0.25">
      <c r="A33" s="140">
        <f t="shared" si="2"/>
        <v>39387</v>
      </c>
      <c r="B33" s="140">
        <f t="shared" si="1"/>
        <v>39478</v>
      </c>
      <c r="C33" s="141" t="s">
        <v>209</v>
      </c>
      <c r="D33" s="570"/>
      <c r="E33" s="570"/>
      <c r="F33" s="141" t="str">
        <f t="shared" si="4"/>
        <v>(Case No. 2007-00141)</v>
      </c>
    </row>
    <row r="34" spans="1:6" x14ac:dyDescent="0.25">
      <c r="A34" s="140">
        <f t="shared" si="2"/>
        <v>39479</v>
      </c>
      <c r="B34" s="140">
        <f t="shared" si="1"/>
        <v>39568</v>
      </c>
      <c r="C34" s="141" t="s">
        <v>38</v>
      </c>
      <c r="D34" s="570"/>
      <c r="E34" s="570"/>
      <c r="F34" s="141" t="str">
        <f t="shared" si="4"/>
        <v>(Case No. 2007-00267)</v>
      </c>
    </row>
    <row r="35" spans="1:6" x14ac:dyDescent="0.25">
      <c r="A35" s="140">
        <f t="shared" si="2"/>
        <v>39569</v>
      </c>
      <c r="B35" s="140">
        <f t="shared" si="1"/>
        <v>39660</v>
      </c>
      <c r="C35" s="141" t="s">
        <v>215</v>
      </c>
      <c r="D35" s="570"/>
      <c r="E35" s="570"/>
      <c r="F35" s="141" t="str">
        <f t="shared" si="4"/>
        <v>(Case No. 2007-00428)</v>
      </c>
    </row>
    <row r="36" spans="1:6" x14ac:dyDescent="0.25">
      <c r="A36" s="140">
        <f t="shared" si="2"/>
        <v>39661</v>
      </c>
      <c r="B36" s="140">
        <f t="shared" si="1"/>
        <v>39752</v>
      </c>
      <c r="C36" s="141" t="s">
        <v>71</v>
      </c>
      <c r="D36" s="570"/>
      <c r="E36" s="570"/>
      <c r="F36" s="141" t="str">
        <f t="shared" si="4"/>
        <v>(Case No. 2007-00559)</v>
      </c>
    </row>
    <row r="37" spans="1:6" x14ac:dyDescent="0.25">
      <c r="A37" s="140">
        <f t="shared" si="2"/>
        <v>39753</v>
      </c>
      <c r="B37" s="140">
        <f t="shared" si="1"/>
        <v>39844</v>
      </c>
      <c r="C37" s="141" t="s">
        <v>1</v>
      </c>
      <c r="D37" s="570"/>
      <c r="E37" s="570"/>
      <c r="F37" s="141" t="str">
        <f t="shared" si="4"/>
        <v>(Case No. 2008-00117)</v>
      </c>
    </row>
    <row r="38" spans="1:6" x14ac:dyDescent="0.25">
      <c r="A38" s="140">
        <f t="shared" si="2"/>
        <v>39845</v>
      </c>
      <c r="B38" s="140">
        <f t="shared" si="1"/>
        <v>39933</v>
      </c>
      <c r="C38" s="141" t="s">
        <v>3</v>
      </c>
      <c r="D38" s="570"/>
      <c r="E38" s="570"/>
      <c r="F38" s="141" t="str">
        <f t="shared" si="4"/>
        <v>(Case No. 2008-00246)</v>
      </c>
    </row>
    <row r="39" spans="1:6" x14ac:dyDescent="0.25">
      <c r="A39" s="140">
        <f t="shared" si="2"/>
        <v>39934</v>
      </c>
      <c r="B39" s="140">
        <f t="shared" si="1"/>
        <v>40025</v>
      </c>
      <c r="C39" s="141" t="s">
        <v>2</v>
      </c>
      <c r="D39" s="570"/>
      <c r="E39" s="570"/>
      <c r="F39" s="141" t="str">
        <f t="shared" si="4"/>
        <v>(Case No. 2008-00430)</v>
      </c>
    </row>
    <row r="40" spans="1:6" x14ac:dyDescent="0.25">
      <c r="A40" s="140">
        <f t="shared" si="2"/>
        <v>40026</v>
      </c>
      <c r="B40" s="140">
        <f t="shared" si="1"/>
        <v>40117</v>
      </c>
      <c r="C40" s="141" t="s">
        <v>336</v>
      </c>
      <c r="D40" s="570"/>
      <c r="E40" s="570"/>
      <c r="F40" s="141" t="str">
        <f t="shared" si="4"/>
        <v>(Case No. 2008-00564)</v>
      </c>
    </row>
    <row r="41" spans="1:6" x14ac:dyDescent="0.25">
      <c r="A41" s="140">
        <f t="shared" si="2"/>
        <v>40118</v>
      </c>
      <c r="B41" s="140">
        <f t="shared" si="1"/>
        <v>40209</v>
      </c>
      <c r="C41" s="141" t="s">
        <v>337</v>
      </c>
      <c r="D41" s="570"/>
      <c r="E41" s="570"/>
      <c r="F41" s="141" t="str">
        <f t="shared" si="4"/>
        <v>(Case No. 2009-00140)</v>
      </c>
    </row>
    <row r="42" spans="1:6" x14ac:dyDescent="0.25">
      <c r="A42" s="140">
        <f t="shared" si="2"/>
        <v>40210</v>
      </c>
      <c r="B42" s="140">
        <f t="shared" si="1"/>
        <v>40298</v>
      </c>
      <c r="C42" s="141" t="s">
        <v>338</v>
      </c>
      <c r="D42" s="570"/>
      <c r="E42" s="570"/>
      <c r="F42" s="141" t="str">
        <f t="shared" si="4"/>
        <v>(Case No. 2009-00248)</v>
      </c>
    </row>
    <row r="43" spans="1:6" x14ac:dyDescent="0.25">
      <c r="A43" s="140">
        <f t="shared" si="2"/>
        <v>40299</v>
      </c>
      <c r="B43" s="140">
        <f t="shared" si="1"/>
        <v>40390</v>
      </c>
      <c r="C43" s="141" t="s">
        <v>339</v>
      </c>
      <c r="D43" s="570"/>
      <c r="E43" s="570"/>
      <c r="F43" s="141" t="str">
        <f t="shared" si="4"/>
        <v>(Case No. 2009-00395)</v>
      </c>
    </row>
    <row r="44" spans="1:6" x14ac:dyDescent="0.25">
      <c r="A44" s="140">
        <f t="shared" si="2"/>
        <v>40391</v>
      </c>
      <c r="B44" s="140">
        <f t="shared" si="1"/>
        <v>40482</v>
      </c>
      <c r="C44" s="141" t="s">
        <v>340</v>
      </c>
      <c r="D44" s="570"/>
      <c r="E44" s="570"/>
      <c r="F44" s="141" t="str">
        <f t="shared" si="4"/>
        <v>(Case No. 2009-00457)</v>
      </c>
    </row>
    <row r="45" spans="1:6" x14ac:dyDescent="0.25">
      <c r="A45" s="140">
        <f t="shared" si="2"/>
        <v>40483</v>
      </c>
      <c r="B45" s="140">
        <f t="shared" si="1"/>
        <v>40574</v>
      </c>
      <c r="C45" s="141" t="s">
        <v>341</v>
      </c>
      <c r="D45" s="570"/>
      <c r="E45" s="570"/>
      <c r="F45" s="141" t="str">
        <f t="shared" si="4"/>
        <v>(Case No. 2010-00140)</v>
      </c>
    </row>
    <row r="46" spans="1:6" x14ac:dyDescent="0.25">
      <c r="A46" s="140">
        <f t="shared" si="2"/>
        <v>40575</v>
      </c>
      <c r="B46" s="140">
        <f t="shared" si="1"/>
        <v>40663</v>
      </c>
      <c r="C46" s="141" t="s">
        <v>342</v>
      </c>
      <c r="D46" s="570"/>
      <c r="E46" s="570"/>
      <c r="F46" s="141" t="str">
        <f t="shared" si="4"/>
        <v>(Case No. 2010-00263)</v>
      </c>
    </row>
    <row r="47" spans="1:6" x14ac:dyDescent="0.25">
      <c r="A47" s="140">
        <f t="shared" si="2"/>
        <v>40664</v>
      </c>
      <c r="B47" s="140">
        <f t="shared" si="1"/>
        <v>40755</v>
      </c>
      <c r="C47" s="141" t="s">
        <v>292</v>
      </c>
      <c r="D47" s="570"/>
      <c r="E47" s="570"/>
      <c r="F47" s="141" t="str">
        <f t="shared" si="4"/>
        <v>(Case No. 2010-00387)</v>
      </c>
    </row>
    <row r="48" spans="1:6" x14ac:dyDescent="0.25">
      <c r="A48" s="140">
        <f t="shared" si="2"/>
        <v>40756</v>
      </c>
      <c r="B48" s="140">
        <f t="shared" si="1"/>
        <v>40847</v>
      </c>
      <c r="C48" s="141" t="s">
        <v>291</v>
      </c>
      <c r="D48" s="570"/>
      <c r="E48" s="570"/>
      <c r="F48" s="141" t="str">
        <f t="shared" si="4"/>
        <v>(Case No. 2010-00525)</v>
      </c>
    </row>
    <row r="49" spans="1:6" x14ac:dyDescent="0.25">
      <c r="A49" s="458">
        <f t="shared" si="2"/>
        <v>40848</v>
      </c>
      <c r="B49" s="140">
        <f t="shared" si="1"/>
        <v>40939</v>
      </c>
      <c r="C49" s="457" t="s">
        <v>290</v>
      </c>
      <c r="D49" s="457"/>
      <c r="E49" s="457"/>
      <c r="F49" s="141" t="str">
        <f t="shared" si="4"/>
        <v>2011-00119</v>
      </c>
    </row>
    <row r="50" spans="1:6" x14ac:dyDescent="0.25">
      <c r="A50" s="458">
        <f t="shared" si="2"/>
        <v>40940</v>
      </c>
      <c r="B50" s="140">
        <f t="shared" si="1"/>
        <v>41029</v>
      </c>
      <c r="C50" s="457" t="s">
        <v>234</v>
      </c>
      <c r="D50" s="457"/>
      <c r="E50" s="457"/>
      <c r="F50" s="141" t="str">
        <f t="shared" si="4"/>
        <v>2011-00228</v>
      </c>
    </row>
    <row r="51" spans="1:6" x14ac:dyDescent="0.25">
      <c r="A51" s="458">
        <f t="shared" si="2"/>
        <v>41030</v>
      </c>
      <c r="B51" s="140">
        <f t="shared" si="1"/>
        <v>41121</v>
      </c>
      <c r="C51" s="457" t="s">
        <v>262</v>
      </c>
      <c r="D51" s="457"/>
      <c r="E51" s="457"/>
      <c r="F51" s="141" t="str">
        <f t="shared" si="4"/>
        <v>2011-00402</v>
      </c>
    </row>
    <row r="52" spans="1:6" x14ac:dyDescent="0.25">
      <c r="A52" s="458">
        <v>41122</v>
      </c>
      <c r="B52" s="140">
        <f t="shared" ref="B52:B73" si="5">EOMONTH(A52,2)</f>
        <v>41213</v>
      </c>
      <c r="C52" s="457" t="s">
        <v>325</v>
      </c>
      <c r="D52" s="457"/>
      <c r="E52" s="457"/>
      <c r="F52" s="141" t="str">
        <f t="shared" si="4"/>
        <v>2011-00523</v>
      </c>
    </row>
    <row r="53" spans="1:6" x14ac:dyDescent="0.25">
      <c r="A53" s="458">
        <v>41214</v>
      </c>
      <c r="B53" s="140">
        <f t="shared" si="5"/>
        <v>41305</v>
      </c>
      <c r="C53" s="457" t="s">
        <v>349</v>
      </c>
      <c r="D53" s="457"/>
      <c r="E53" s="457"/>
      <c r="F53" s="141" t="str">
        <f t="shared" si="4"/>
        <v>2012-00125</v>
      </c>
    </row>
    <row r="54" spans="1:6" x14ac:dyDescent="0.25">
      <c r="A54" s="458">
        <v>41306</v>
      </c>
      <c r="B54" s="140">
        <f t="shared" si="5"/>
        <v>41394</v>
      </c>
      <c r="C54" s="457" t="s">
        <v>350</v>
      </c>
      <c r="D54" s="457"/>
      <c r="E54" s="457"/>
      <c r="F54" s="141" t="str">
        <f t="shared" si="4"/>
        <v>2012-00286</v>
      </c>
    </row>
    <row r="55" spans="1:6" x14ac:dyDescent="0.25">
      <c r="A55" s="458">
        <v>41395</v>
      </c>
      <c r="B55" s="140">
        <f t="shared" si="5"/>
        <v>41486</v>
      </c>
      <c r="C55" s="457" t="s">
        <v>360</v>
      </c>
      <c r="D55" s="457"/>
      <c r="E55" s="457"/>
      <c r="F55" s="141" t="str">
        <f t="shared" si="4"/>
        <v>2012-00446</v>
      </c>
    </row>
    <row r="56" spans="1:6" x14ac:dyDescent="0.25">
      <c r="A56" s="458">
        <v>41487</v>
      </c>
      <c r="B56" s="140">
        <f t="shared" si="5"/>
        <v>41578</v>
      </c>
      <c r="C56" s="457" t="s">
        <v>368</v>
      </c>
      <c r="D56" s="457"/>
      <c r="E56" s="457"/>
      <c r="F56" s="141" t="str">
        <f t="shared" si="4"/>
        <v>2012-00591</v>
      </c>
    </row>
    <row r="57" spans="1:6" x14ac:dyDescent="0.25">
      <c r="A57" s="458">
        <v>41579</v>
      </c>
      <c r="B57" s="140">
        <f t="shared" si="5"/>
        <v>41670</v>
      </c>
      <c r="C57" s="457" t="s">
        <v>381</v>
      </c>
      <c r="D57" s="457"/>
      <c r="E57" s="457"/>
      <c r="F57" s="141" t="str">
        <f t="shared" si="4"/>
        <v>2013-00126</v>
      </c>
    </row>
    <row r="58" spans="1:6" x14ac:dyDescent="0.25">
      <c r="A58" s="458">
        <v>41671</v>
      </c>
      <c r="B58" s="140">
        <f t="shared" si="5"/>
        <v>41759</v>
      </c>
      <c r="C58" s="457" t="s">
        <v>420</v>
      </c>
      <c r="D58" s="457"/>
      <c r="E58" s="457"/>
      <c r="F58" s="141" t="str">
        <f t="shared" si="4"/>
        <v>2013-00253</v>
      </c>
    </row>
    <row r="59" spans="1:6" x14ac:dyDescent="0.25">
      <c r="A59" s="458">
        <v>41760</v>
      </c>
      <c r="B59" s="140">
        <f t="shared" si="5"/>
        <v>41851</v>
      </c>
      <c r="C59" s="457" t="s">
        <v>423</v>
      </c>
      <c r="D59" s="457"/>
      <c r="E59" s="457"/>
      <c r="F59" s="141" t="str">
        <f t="shared" si="4"/>
        <v>2013-00361</v>
      </c>
    </row>
    <row r="60" spans="1:6" x14ac:dyDescent="0.25">
      <c r="A60" s="458">
        <v>41852</v>
      </c>
      <c r="B60" s="140">
        <f t="shared" si="5"/>
        <v>41943</v>
      </c>
      <c r="C60" s="457" t="s">
        <v>430</v>
      </c>
      <c r="D60" s="457"/>
      <c r="E60" s="457"/>
      <c r="F60" s="141" t="str">
        <f t="shared" si="4"/>
        <v>2013-00486</v>
      </c>
    </row>
    <row r="61" spans="1:6" x14ac:dyDescent="0.25">
      <c r="A61" s="458">
        <v>41944</v>
      </c>
      <c r="B61" s="140">
        <f t="shared" si="5"/>
        <v>42035</v>
      </c>
      <c r="C61" s="457" t="s">
        <v>433</v>
      </c>
      <c r="D61" s="457"/>
      <c r="E61" s="457"/>
      <c r="F61" s="141" t="str">
        <f t="shared" si="4"/>
        <v>2014-00115</v>
      </c>
    </row>
    <row r="62" spans="1:6" x14ac:dyDescent="0.25">
      <c r="A62" s="458">
        <v>42036</v>
      </c>
      <c r="B62" s="140">
        <f t="shared" si="5"/>
        <v>42124</v>
      </c>
      <c r="C62" s="457" t="s">
        <v>434</v>
      </c>
      <c r="D62" s="457"/>
      <c r="E62" s="457"/>
      <c r="F62" s="141" t="str">
        <f t="shared" si="4"/>
        <v>2014-00217</v>
      </c>
    </row>
    <row r="63" spans="1:6" x14ac:dyDescent="0.25">
      <c r="A63" s="458">
        <v>42125</v>
      </c>
      <c r="B63" s="140">
        <f t="shared" si="5"/>
        <v>42216</v>
      </c>
      <c r="C63" s="457" t="s">
        <v>437</v>
      </c>
      <c r="D63" s="457"/>
      <c r="E63" s="457"/>
      <c r="F63" s="141" t="str">
        <f t="shared" si="4"/>
        <v>2014-00348</v>
      </c>
    </row>
    <row r="64" spans="1:6" x14ac:dyDescent="0.25">
      <c r="A64" s="458">
        <v>42217</v>
      </c>
      <c r="B64" s="140">
        <f t="shared" si="5"/>
        <v>42308</v>
      </c>
      <c r="C64" s="457" t="s">
        <v>450</v>
      </c>
      <c r="D64" s="457"/>
      <c r="E64" s="457"/>
      <c r="F64" s="141" t="str">
        <f t="shared" si="4"/>
        <v>2014-00475</v>
      </c>
    </row>
    <row r="65" spans="1:17" x14ac:dyDescent="0.25">
      <c r="A65" s="458">
        <v>42309</v>
      </c>
      <c r="B65" s="140">
        <f t="shared" si="5"/>
        <v>42400</v>
      </c>
      <c r="C65" s="457" t="s">
        <v>472</v>
      </c>
      <c r="D65" s="457"/>
      <c r="E65" s="457"/>
      <c r="F65" s="141" t="str">
        <f t="shared" si="4"/>
        <v>2015-00105</v>
      </c>
    </row>
    <row r="66" spans="1:17" x14ac:dyDescent="0.25">
      <c r="A66" s="458">
        <v>42401</v>
      </c>
      <c r="B66" s="140">
        <f t="shared" si="5"/>
        <v>42490</v>
      </c>
      <c r="C66" s="457" t="s">
        <v>493</v>
      </c>
      <c r="D66" s="457"/>
      <c r="E66" s="457"/>
      <c r="F66" s="141" t="str">
        <f t="shared" si="4"/>
        <v>2015-00218</v>
      </c>
    </row>
    <row r="67" spans="1:17" x14ac:dyDescent="0.25">
      <c r="A67" s="458">
        <v>42491</v>
      </c>
      <c r="B67" s="140">
        <f t="shared" si="5"/>
        <v>42582</v>
      </c>
      <c r="C67" s="457" t="s">
        <v>555</v>
      </c>
      <c r="D67" s="457"/>
      <c r="E67" s="457"/>
      <c r="F67" s="141" t="str">
        <f t="shared" si="4"/>
        <v>2015-00329</v>
      </c>
    </row>
    <row r="68" spans="1:17" x14ac:dyDescent="0.25">
      <c r="A68" s="458">
        <v>42583</v>
      </c>
      <c r="B68" s="140">
        <f t="shared" si="5"/>
        <v>42674</v>
      </c>
      <c r="C68" s="457" t="s">
        <v>548</v>
      </c>
      <c r="D68" s="457"/>
      <c r="E68" s="457"/>
      <c r="F68" s="141" t="str">
        <f t="shared" si="4"/>
        <v>2015-00429</v>
      </c>
    </row>
    <row r="69" spans="1:17" x14ac:dyDescent="0.25">
      <c r="A69" s="458">
        <v>42675</v>
      </c>
      <c r="B69" s="140">
        <f t="shared" si="5"/>
        <v>42766</v>
      </c>
      <c r="C69" s="457" t="s">
        <v>554</v>
      </c>
      <c r="D69" s="457"/>
      <c r="E69" s="457"/>
      <c r="F69" s="141" t="str">
        <f t="shared" si="4"/>
        <v>2016-00137</v>
      </c>
    </row>
    <row r="70" spans="1:17" x14ac:dyDescent="0.25">
      <c r="A70" s="458">
        <v>42767</v>
      </c>
      <c r="B70" s="140">
        <f t="shared" si="5"/>
        <v>42855</v>
      </c>
      <c r="C70" s="457" t="s">
        <v>556</v>
      </c>
      <c r="D70" s="457"/>
      <c r="E70" s="457"/>
      <c r="F70" s="141" t="str">
        <f t="shared" si="4"/>
        <v>2016-00225</v>
      </c>
    </row>
    <row r="71" spans="1:17" x14ac:dyDescent="0.25">
      <c r="A71" s="458">
        <v>42856</v>
      </c>
      <c r="B71" s="140">
        <f t="shared" si="5"/>
        <v>42947</v>
      </c>
      <c r="C71" s="457" t="s">
        <v>561</v>
      </c>
      <c r="D71" s="457"/>
      <c r="E71" s="457"/>
      <c r="F71" s="141" t="str">
        <f t="shared" si="4"/>
        <v>2016-00353</v>
      </c>
    </row>
    <row r="72" spans="1:17" x14ac:dyDescent="0.25">
      <c r="A72" s="458">
        <v>42948</v>
      </c>
      <c r="B72" s="140">
        <f t="shared" si="5"/>
        <v>43039</v>
      </c>
      <c r="C72" s="457" t="s">
        <v>562</v>
      </c>
      <c r="D72" s="457"/>
      <c r="E72" s="457"/>
      <c r="F72" s="141" t="str">
        <f t="shared" si="4"/>
        <v>2016-00428</v>
      </c>
      <c r="G72" s="564"/>
      <c r="H72" s="565"/>
    </row>
    <row r="73" spans="1:17" x14ac:dyDescent="0.25">
      <c r="A73" s="458">
        <v>43040</v>
      </c>
      <c r="B73" s="140">
        <f t="shared" si="5"/>
        <v>43131</v>
      </c>
      <c r="C73" s="457" t="s">
        <v>576</v>
      </c>
      <c r="D73" s="457"/>
      <c r="E73" s="457"/>
      <c r="F73" s="141" t="str">
        <f t="shared" si="4"/>
        <v>2017-00131</v>
      </c>
      <c r="G73" s="564"/>
      <c r="H73" s="565"/>
    </row>
    <row r="74" spans="1:17" x14ac:dyDescent="0.25">
      <c r="A74" s="458">
        <v>43132</v>
      </c>
      <c r="B74" s="140">
        <f t="shared" ref="B74:B85" si="6">EOMONTH(A74,2)</f>
        <v>43220</v>
      </c>
      <c r="C74" s="494" t="s">
        <v>578</v>
      </c>
      <c r="D74" s="494"/>
      <c r="E74" s="494"/>
      <c r="F74" s="141" t="str">
        <f t="shared" ref="F74:F94" si="7">C72</f>
        <v>2017-00235</v>
      </c>
      <c r="G74" s="564">
        <v>-5.11E-2</v>
      </c>
      <c r="H74" s="565">
        <v>-5.11E-3</v>
      </c>
      <c r="M74" s="565"/>
    </row>
    <row r="75" spans="1:17" x14ac:dyDescent="0.25">
      <c r="A75" s="458">
        <v>43221</v>
      </c>
      <c r="B75" s="140">
        <f t="shared" si="6"/>
        <v>43312</v>
      </c>
      <c r="C75" s="494" t="s">
        <v>579</v>
      </c>
      <c r="D75" s="494"/>
      <c r="E75" s="494"/>
      <c r="F75" s="141" t="str">
        <f t="shared" si="7"/>
        <v>2017-00364</v>
      </c>
      <c r="G75" s="564">
        <v>-3.3999999999999998E-3</v>
      </c>
      <c r="H75" s="565">
        <v>-3.4000000000000002E-4</v>
      </c>
      <c r="L75" s="564"/>
      <c r="M75" s="565"/>
    </row>
    <row r="76" spans="1:17" x14ac:dyDescent="0.25">
      <c r="A76" s="458">
        <v>43313</v>
      </c>
      <c r="B76" s="140">
        <f t="shared" si="6"/>
        <v>43404</v>
      </c>
      <c r="C76" s="457" t="s">
        <v>587</v>
      </c>
      <c r="D76" s="457">
        <v>3.964</v>
      </c>
      <c r="E76" s="457">
        <v>0.39639999999999997</v>
      </c>
      <c r="F76" s="141" t="str">
        <f t="shared" si="7"/>
        <v>2017-00457</v>
      </c>
      <c r="G76" s="564">
        <v>0.15010000000000001</v>
      </c>
      <c r="H76" s="565">
        <v>1.5010000000000001E-2</v>
      </c>
      <c r="I76" s="564">
        <v>0.83299999999999996</v>
      </c>
      <c r="J76" s="564">
        <v>0.85</v>
      </c>
      <c r="K76" s="564">
        <v>0.16569999999999999</v>
      </c>
      <c r="L76" s="564">
        <v>2.3E-3</v>
      </c>
      <c r="M76" s="565">
        <v>2.3000000000000001E-4</v>
      </c>
      <c r="N76" s="6">
        <v>0</v>
      </c>
      <c r="O76" s="6">
        <v>0</v>
      </c>
      <c r="P76" s="564">
        <v>0</v>
      </c>
      <c r="Q76" s="565">
        <v>0</v>
      </c>
    </row>
    <row r="77" spans="1:17" x14ac:dyDescent="0.25">
      <c r="A77" s="458">
        <v>43405</v>
      </c>
      <c r="B77" s="140">
        <f t="shared" si="6"/>
        <v>43496</v>
      </c>
      <c r="C77" s="457" t="s">
        <v>594</v>
      </c>
      <c r="D77" s="457">
        <v>3.8913000000000002</v>
      </c>
      <c r="E77" s="457">
        <v>0.38912999999999998</v>
      </c>
      <c r="F77" s="141" t="str">
        <f t="shared" si="7"/>
        <v>2018-00088</v>
      </c>
      <c r="G77" s="564">
        <v>-3.2500000000000001E-2</v>
      </c>
      <c r="H77" s="565">
        <v>-3.2499999999999999E-3</v>
      </c>
      <c r="I77" s="564">
        <v>0.81379999999999997</v>
      </c>
      <c r="J77" s="564">
        <v>0.83079999999999998</v>
      </c>
      <c r="K77" s="564">
        <v>0.1648</v>
      </c>
      <c r="L77" s="564">
        <v>-2.8999999999999998E-3</v>
      </c>
      <c r="M77" s="565">
        <v>-2.9E-4</v>
      </c>
      <c r="N77" s="6">
        <v>0</v>
      </c>
      <c r="O77" s="6">
        <v>0</v>
      </c>
      <c r="P77" s="564">
        <v>0</v>
      </c>
      <c r="Q77" s="565">
        <v>0</v>
      </c>
    </row>
    <row r="78" spans="1:17" x14ac:dyDescent="0.25">
      <c r="A78" s="458">
        <v>43497</v>
      </c>
      <c r="B78" s="140">
        <f t="shared" si="6"/>
        <v>43585</v>
      </c>
      <c r="C78" s="494" t="s">
        <v>600</v>
      </c>
      <c r="D78" s="494">
        <v>4.0709</v>
      </c>
      <c r="E78" s="494">
        <v>0.40709000000000001</v>
      </c>
      <c r="F78" s="141" t="str">
        <f t="shared" si="7"/>
        <v>2018-00182</v>
      </c>
      <c r="G78" s="564">
        <v>-3.3300000000000003E-2</v>
      </c>
      <c r="H78" s="565">
        <v>-3.3300000000000001E-3</v>
      </c>
      <c r="I78" s="564">
        <v>0.81710000000000005</v>
      </c>
      <c r="J78" s="564">
        <v>0.8377</v>
      </c>
      <c r="K78" s="564">
        <v>0.1648</v>
      </c>
      <c r="L78" s="564">
        <v>-4.8999999999999998E-3</v>
      </c>
      <c r="M78" s="565">
        <v>-4.8999999999999998E-4</v>
      </c>
      <c r="N78" s="6">
        <v>0</v>
      </c>
      <c r="O78" s="6">
        <v>0</v>
      </c>
      <c r="P78" s="564">
        <v>0</v>
      </c>
      <c r="Q78" s="565">
        <v>0</v>
      </c>
    </row>
    <row r="79" spans="1:17" x14ac:dyDescent="0.25">
      <c r="A79" s="458">
        <v>43586</v>
      </c>
      <c r="B79" s="140">
        <f t="shared" si="6"/>
        <v>43677</v>
      </c>
      <c r="C79" s="494" t="s">
        <v>601</v>
      </c>
      <c r="D79" s="494">
        <v>3.7871000000000001</v>
      </c>
      <c r="E79" s="494">
        <v>0.37870999999999999</v>
      </c>
      <c r="F79" s="141" t="str">
        <f t="shared" si="7"/>
        <v>2018-00302</v>
      </c>
      <c r="G79" s="564">
        <v>0.43049999999999999</v>
      </c>
      <c r="H79" s="565">
        <v>4.3049999999999998E-2</v>
      </c>
      <c r="I79" s="564">
        <v>0.8175</v>
      </c>
      <c r="J79" s="564">
        <v>0.83809999999999996</v>
      </c>
      <c r="K79" s="564">
        <v>0.1648</v>
      </c>
      <c r="L79" s="564">
        <v>-3.5999999999999999E-3</v>
      </c>
      <c r="M79" s="565">
        <v>-3.6000000000000002E-4</v>
      </c>
      <c r="N79" s="6">
        <v>0</v>
      </c>
      <c r="O79" s="6">
        <v>0</v>
      </c>
      <c r="P79" s="564">
        <v>0</v>
      </c>
      <c r="Q79" s="565">
        <v>0</v>
      </c>
    </row>
    <row r="80" spans="1:17" x14ac:dyDescent="0.25">
      <c r="A80" s="458">
        <v>43678</v>
      </c>
      <c r="B80" s="140">
        <f t="shared" si="6"/>
        <v>43769</v>
      </c>
      <c r="C80" s="494" t="s">
        <v>603</v>
      </c>
      <c r="D80" s="494">
        <v>3.1084000000000001</v>
      </c>
      <c r="E80" s="494">
        <v>0.31084000000000001</v>
      </c>
      <c r="F80" s="141" t="str">
        <f t="shared" si="7"/>
        <v>2018-00403</v>
      </c>
      <c r="G80" s="564">
        <v>-5.3400000000000003E-2</v>
      </c>
      <c r="H80" s="565">
        <v>-5.3400000000000001E-3</v>
      </c>
      <c r="I80" s="564">
        <v>0.81799999999999995</v>
      </c>
      <c r="J80" s="564">
        <v>0.83860000000000001</v>
      </c>
      <c r="K80" s="564">
        <v>0.161</v>
      </c>
      <c r="L80" s="564">
        <v>1.4E-3</v>
      </c>
      <c r="M80" s="565">
        <v>1.3999999999999999E-4</v>
      </c>
      <c r="N80" s="6">
        <v>0</v>
      </c>
      <c r="O80" s="6">
        <v>0</v>
      </c>
      <c r="P80" s="564">
        <v>0</v>
      </c>
      <c r="Q80" s="565">
        <v>0</v>
      </c>
    </row>
    <row r="81" spans="1:17" x14ac:dyDescent="0.25">
      <c r="A81" s="458">
        <v>43770</v>
      </c>
      <c r="B81" s="140">
        <f t="shared" si="6"/>
        <v>43861</v>
      </c>
      <c r="C81" s="494" t="s">
        <v>608</v>
      </c>
      <c r="D81" s="494">
        <v>3.4847999999999999</v>
      </c>
      <c r="E81" s="494">
        <v>0.34848000000000001</v>
      </c>
      <c r="F81" s="141" t="str">
        <f t="shared" si="7"/>
        <v>2019-00078</v>
      </c>
      <c r="G81" s="564">
        <v>-4.9299999999999997E-2</v>
      </c>
      <c r="H81" s="565">
        <v>-4.9300000000000004E-3</v>
      </c>
      <c r="I81" s="564">
        <v>0.8236</v>
      </c>
      <c r="J81" s="564">
        <v>0.84419999999999995</v>
      </c>
      <c r="K81" s="564">
        <v>0.16270000000000001</v>
      </c>
      <c r="L81" s="564">
        <v>-2.3E-3</v>
      </c>
      <c r="M81" s="565">
        <v>-2.3000000000000001E-4</v>
      </c>
      <c r="N81" s="6">
        <v>0</v>
      </c>
      <c r="O81" s="6">
        <v>0</v>
      </c>
      <c r="P81" s="564">
        <v>0</v>
      </c>
      <c r="Q81" s="565">
        <v>0</v>
      </c>
    </row>
    <row r="82" spans="1:17" x14ac:dyDescent="0.25">
      <c r="A82" s="458">
        <v>43862</v>
      </c>
      <c r="B82" s="140">
        <f t="shared" si="6"/>
        <v>43951</v>
      </c>
      <c r="C82" s="494" t="s">
        <v>609</v>
      </c>
      <c r="D82" s="494">
        <v>3.0407000000000002</v>
      </c>
      <c r="E82" s="494">
        <v>0.30407000000000001</v>
      </c>
      <c r="F82" s="141" t="str">
        <f t="shared" si="7"/>
        <v>2019-00179</v>
      </c>
      <c r="G82" s="564">
        <v>-5.4100000000000002E-2</v>
      </c>
      <c r="H82" s="565">
        <v>-5.4099999999999999E-3</v>
      </c>
      <c r="I82" s="564">
        <v>0.82689999999999997</v>
      </c>
      <c r="J82" s="564">
        <v>0.85629999999999995</v>
      </c>
      <c r="K82" s="564">
        <v>0.16259999999999999</v>
      </c>
      <c r="L82" s="564">
        <v>-6.9999999999999999E-4</v>
      </c>
      <c r="M82" s="565">
        <v>-6.9999999999999994E-5</v>
      </c>
      <c r="N82" s="6">
        <v>0</v>
      </c>
      <c r="O82" s="6">
        <v>0</v>
      </c>
      <c r="P82" s="564">
        <v>0</v>
      </c>
      <c r="Q82" s="565">
        <v>0</v>
      </c>
    </row>
    <row r="83" spans="1:17" x14ac:dyDescent="0.25">
      <c r="A83" s="458">
        <v>43952</v>
      </c>
      <c r="B83" s="140">
        <f t="shared" si="6"/>
        <v>44043</v>
      </c>
      <c r="C83" s="494" t="s">
        <v>612</v>
      </c>
      <c r="D83" s="494">
        <v>2.5918000000000001</v>
      </c>
      <c r="E83" s="494">
        <v>0.25918000000000002</v>
      </c>
      <c r="F83" s="141" t="str">
        <f t="shared" si="7"/>
        <v>2019-00327</v>
      </c>
      <c r="G83" s="564">
        <v>3.6799999999999999E-2</v>
      </c>
      <c r="H83" s="565">
        <v>3.6800000000000001E-3</v>
      </c>
      <c r="I83" s="564">
        <v>0.83109999999999995</v>
      </c>
      <c r="J83" s="564">
        <v>0.86050000000000004</v>
      </c>
      <c r="K83" s="564">
        <v>0.16259999999999999</v>
      </c>
      <c r="L83" s="564">
        <v>-1.72E-2</v>
      </c>
      <c r="M83" s="565">
        <v>-1.72E-3</v>
      </c>
      <c r="N83" s="6">
        <v>0</v>
      </c>
      <c r="O83" s="6">
        <v>0</v>
      </c>
      <c r="P83" s="564">
        <v>0</v>
      </c>
      <c r="Q83" s="565">
        <v>0</v>
      </c>
    </row>
    <row r="84" spans="1:17" x14ac:dyDescent="0.25">
      <c r="A84" s="458">
        <v>44044</v>
      </c>
      <c r="B84" s="140">
        <f t="shared" si="6"/>
        <v>44135</v>
      </c>
      <c r="C84" s="494" t="s">
        <v>656</v>
      </c>
      <c r="D84" s="494">
        <v>2.6113</v>
      </c>
      <c r="E84" s="494">
        <v>0.26112999999999997</v>
      </c>
      <c r="F84" s="141" t="str">
        <f t="shared" si="7"/>
        <v>2019-00436</v>
      </c>
      <c r="G84" s="610">
        <v>4.5600000000000002E-2</v>
      </c>
      <c r="H84" s="610">
        <v>4.5599999999999998E-3</v>
      </c>
      <c r="I84" s="610">
        <v>0.83279999999999998</v>
      </c>
      <c r="J84" s="610">
        <v>0.86219999999999997</v>
      </c>
      <c r="K84" s="610">
        <v>0.16259999999999999</v>
      </c>
      <c r="L84" s="610">
        <v>0.37490000000000001</v>
      </c>
      <c r="M84" s="610">
        <v>3.7490000000000002E-2</v>
      </c>
      <c r="N84" s="6">
        <v>0</v>
      </c>
      <c r="O84" s="6">
        <v>0</v>
      </c>
      <c r="P84" s="564">
        <v>0</v>
      </c>
      <c r="Q84" s="565">
        <v>0</v>
      </c>
    </row>
    <row r="85" spans="1:17" x14ac:dyDescent="0.25">
      <c r="A85" s="458">
        <v>44136</v>
      </c>
      <c r="B85" s="140">
        <f t="shared" si="6"/>
        <v>44227</v>
      </c>
      <c r="C85" s="457" t="s">
        <v>732</v>
      </c>
      <c r="D85" s="494">
        <v>3.5640000000000001</v>
      </c>
      <c r="E85" s="494">
        <v>0.35639999999999999</v>
      </c>
      <c r="F85" s="609" t="str">
        <f t="shared" si="7"/>
        <v>2020-00070</v>
      </c>
      <c r="G85" s="634">
        <v>-3.2000000000000002E-3</v>
      </c>
      <c r="H85" s="635">
        <v>-3.2000000000000003E-4</v>
      </c>
      <c r="I85" s="610">
        <v>0.84940000000000004</v>
      </c>
      <c r="J85" s="610">
        <v>0.87880000000000003</v>
      </c>
      <c r="K85" s="610">
        <v>0.1666</v>
      </c>
      <c r="L85" s="634">
        <v>-8.0000000000000002E-3</v>
      </c>
      <c r="M85" s="635">
        <v>-8.0000000000000004E-4</v>
      </c>
      <c r="N85" s="6">
        <v>0</v>
      </c>
      <c r="O85" s="6">
        <v>0</v>
      </c>
      <c r="P85" s="564">
        <v>0</v>
      </c>
      <c r="Q85" s="565">
        <v>0</v>
      </c>
    </row>
    <row r="86" spans="1:17" x14ac:dyDescent="0.25">
      <c r="A86" s="458">
        <v>44228</v>
      </c>
      <c r="B86" s="140">
        <f t="shared" ref="B86:B94" si="8">EOMONTH(A86,2)</f>
        <v>44316</v>
      </c>
      <c r="C86" s="457" t="s">
        <v>746</v>
      </c>
      <c r="D86" s="494">
        <v>3.0794999999999999</v>
      </c>
      <c r="E86" s="494">
        <v>0.30795</v>
      </c>
      <c r="F86" s="630" t="str">
        <f t="shared" si="7"/>
        <v>2020-00204</v>
      </c>
      <c r="G86" s="634">
        <v>-1.09E-2</v>
      </c>
      <c r="H86" s="635">
        <v>-1.09E-3</v>
      </c>
      <c r="I86" s="610">
        <v>0.84970000000000001</v>
      </c>
      <c r="J86" s="610">
        <v>0.87739999999999996</v>
      </c>
      <c r="K86" s="610">
        <v>0.16669999999999999</v>
      </c>
      <c r="L86" s="634">
        <v>-5.1000000000000004E-3</v>
      </c>
      <c r="M86" s="635">
        <v>-5.1000000000000004E-4</v>
      </c>
      <c r="N86" s="6">
        <v>0</v>
      </c>
      <c r="O86" s="6">
        <v>0</v>
      </c>
      <c r="P86" s="564">
        <v>0</v>
      </c>
      <c r="Q86" s="565">
        <v>0</v>
      </c>
    </row>
    <row r="87" spans="1:17" x14ac:dyDescent="0.25">
      <c r="A87" s="458">
        <v>44317</v>
      </c>
      <c r="B87" s="140">
        <f t="shared" si="8"/>
        <v>44408</v>
      </c>
      <c r="C87" s="457" t="s">
        <v>749</v>
      </c>
      <c r="D87" s="494">
        <v>3.4931000000000001</v>
      </c>
      <c r="E87" s="494">
        <v>0.34931000000000001</v>
      </c>
      <c r="F87" s="660" t="str">
        <f t="shared" si="7"/>
        <v>2020-00309</v>
      </c>
      <c r="G87" s="634">
        <v>-5.3400000000000003E-2</v>
      </c>
      <c r="H87" s="635">
        <v>-5.3400000000000001E-3</v>
      </c>
      <c r="I87" s="610">
        <v>0.84819999999999995</v>
      </c>
      <c r="J87" s="610">
        <v>0.87590000000000001</v>
      </c>
      <c r="K87" s="610">
        <v>0.16669999999999999</v>
      </c>
      <c r="L87" s="634">
        <v>-4.58E-2</v>
      </c>
      <c r="M87" s="635">
        <v>-4.5799999999999999E-3</v>
      </c>
      <c r="N87" s="6">
        <v>0</v>
      </c>
      <c r="O87" s="6">
        <v>0</v>
      </c>
      <c r="P87" s="564">
        <v>0</v>
      </c>
      <c r="Q87" s="565">
        <v>0</v>
      </c>
    </row>
    <row r="88" spans="1:17" x14ac:dyDescent="0.25">
      <c r="A88" s="458">
        <v>44409</v>
      </c>
      <c r="B88" s="140">
        <f t="shared" si="8"/>
        <v>44500</v>
      </c>
      <c r="C88" s="457" t="s">
        <v>750</v>
      </c>
      <c r="D88" s="494">
        <v>4.2441000000000004</v>
      </c>
      <c r="E88" s="494">
        <v>0.42441000000000001</v>
      </c>
      <c r="F88" s="670" t="str">
        <f t="shared" si="7"/>
        <v>2020-00401</v>
      </c>
      <c r="G88" s="634">
        <v>0.29360000000000003</v>
      </c>
      <c r="H88" s="635">
        <v>2.9360000000000001E-2</v>
      </c>
      <c r="I88" s="610">
        <v>0.84740000000000004</v>
      </c>
      <c r="J88" s="610">
        <v>0.87509999999999999</v>
      </c>
      <c r="K88" s="610">
        <v>0.16669999999999999</v>
      </c>
      <c r="L88" s="634">
        <v>5.6399999999999999E-2</v>
      </c>
      <c r="M88" s="635">
        <v>5.64E-3</v>
      </c>
      <c r="N88" s="6">
        <v>0</v>
      </c>
      <c r="O88" s="6">
        <v>0</v>
      </c>
      <c r="P88" s="564">
        <v>0</v>
      </c>
      <c r="Q88" s="565">
        <v>0</v>
      </c>
    </row>
    <row r="89" spans="1:17" x14ac:dyDescent="0.25">
      <c r="A89" s="458">
        <v>44501</v>
      </c>
      <c r="B89" s="140">
        <f t="shared" si="8"/>
        <v>44592</v>
      </c>
      <c r="C89" s="457" t="s">
        <v>753</v>
      </c>
      <c r="D89" s="494">
        <v>5.5305999999999997</v>
      </c>
      <c r="E89" s="494">
        <v>0.55306</v>
      </c>
      <c r="F89" s="676" t="str">
        <f t="shared" si="7"/>
        <v>2021-00130</v>
      </c>
      <c r="G89" s="634">
        <v>7.3999999999999996E-2</v>
      </c>
      <c r="H89" s="635">
        <v>7.4000000000000003E-3</v>
      </c>
      <c r="I89" s="610">
        <v>0.88160000000000005</v>
      </c>
      <c r="J89" s="610">
        <v>0.9093</v>
      </c>
      <c r="K89" s="610">
        <v>0.1696</v>
      </c>
      <c r="L89" s="634">
        <v>2.3E-3</v>
      </c>
      <c r="M89" s="635">
        <v>2.3000000000000001E-4</v>
      </c>
      <c r="N89" s="6">
        <v>0</v>
      </c>
      <c r="O89" s="6">
        <v>0</v>
      </c>
      <c r="P89" s="564">
        <v>0</v>
      </c>
      <c r="Q89" s="565">
        <v>0</v>
      </c>
    </row>
    <row r="90" spans="1:17" x14ac:dyDescent="0.25">
      <c r="A90" s="458">
        <v>44593</v>
      </c>
      <c r="B90" s="140">
        <f t="shared" si="8"/>
        <v>44681</v>
      </c>
      <c r="C90" s="457" t="s">
        <v>759</v>
      </c>
      <c r="D90" s="494">
        <v>4.6096000000000004</v>
      </c>
      <c r="E90" s="494">
        <v>0.46095999999999998</v>
      </c>
      <c r="F90" s="684" t="str">
        <f t="shared" si="7"/>
        <v>2021-00251</v>
      </c>
      <c r="G90" s="634">
        <v>8.4900000000000003E-2</v>
      </c>
      <c r="H90" s="635">
        <v>8.4899999999999993E-3</v>
      </c>
      <c r="I90" s="610">
        <v>0.88300000000000001</v>
      </c>
      <c r="J90" s="610">
        <v>0.90900000000000003</v>
      </c>
      <c r="K90" s="610">
        <v>0.16980000000000001</v>
      </c>
      <c r="L90" s="634">
        <v>5.9999999999999995E-4</v>
      </c>
      <c r="M90" s="635">
        <v>6.0000000000000002E-5</v>
      </c>
      <c r="N90" s="6">
        <v>0</v>
      </c>
      <c r="O90" s="6">
        <v>0</v>
      </c>
      <c r="P90" s="564">
        <v>0</v>
      </c>
      <c r="Q90" s="565">
        <v>0</v>
      </c>
    </row>
    <row r="91" spans="1:17" x14ac:dyDescent="0.25">
      <c r="A91" s="458">
        <v>44682</v>
      </c>
      <c r="B91" s="140">
        <f t="shared" si="8"/>
        <v>44773</v>
      </c>
      <c r="C91" s="457" t="s">
        <v>764</v>
      </c>
      <c r="D91" s="494">
        <v>6.5997000000000003</v>
      </c>
      <c r="E91" s="494">
        <v>0.65996999999999995</v>
      </c>
      <c r="F91" s="700" t="str">
        <f>C89</f>
        <v>2021-00368</v>
      </c>
      <c r="G91" s="634">
        <v>0.1132</v>
      </c>
      <c r="H91" s="635">
        <v>1.132E-2</v>
      </c>
      <c r="I91" s="610">
        <v>0.8831</v>
      </c>
      <c r="J91" s="610">
        <v>0.90910000000000002</v>
      </c>
      <c r="K91" s="610">
        <v>0.16980000000000001</v>
      </c>
      <c r="L91" s="610">
        <v>-4.1999999999999997E-3</v>
      </c>
      <c r="M91" s="610">
        <v>-4.2000000000000002E-4</v>
      </c>
      <c r="N91" s="6">
        <v>0</v>
      </c>
      <c r="O91" s="6">
        <v>0</v>
      </c>
      <c r="P91" s="564">
        <v>0</v>
      </c>
      <c r="Q91" s="565">
        <v>0</v>
      </c>
    </row>
    <row r="92" spans="1:17" x14ac:dyDescent="0.25">
      <c r="A92" s="458">
        <v>44774</v>
      </c>
      <c r="B92" s="140">
        <f t="shared" si="8"/>
        <v>44865</v>
      </c>
      <c r="C92" s="457" t="s">
        <v>769</v>
      </c>
      <c r="D92" s="457">
        <v>8.1089000000000002</v>
      </c>
      <c r="E92" s="457">
        <v>0.81089</v>
      </c>
      <c r="F92" s="711" t="str">
        <f t="shared" si="7"/>
        <v>2021-00458</v>
      </c>
      <c r="G92" s="610">
        <v>0.3614</v>
      </c>
      <c r="H92" s="610">
        <v>3.6139999999999999E-2</v>
      </c>
      <c r="I92" s="610">
        <v>0.88339999999999996</v>
      </c>
      <c r="J92" s="610">
        <v>0.90939999999999999</v>
      </c>
      <c r="K92" s="610">
        <v>0.16980000000000001</v>
      </c>
      <c r="L92" s="610">
        <v>1.1999999999999999E-3</v>
      </c>
      <c r="M92" s="610">
        <v>1.2E-4</v>
      </c>
      <c r="N92" s="6">
        <v>0</v>
      </c>
      <c r="O92" s="6">
        <v>0</v>
      </c>
      <c r="P92" s="564">
        <v>0</v>
      </c>
      <c r="Q92" s="565">
        <v>0</v>
      </c>
    </row>
    <row r="93" spans="1:17" x14ac:dyDescent="0.25">
      <c r="A93" s="458">
        <v>44866</v>
      </c>
      <c r="B93" s="140">
        <f t="shared" si="8"/>
        <v>44957</v>
      </c>
      <c r="C93" s="457" t="s">
        <v>776</v>
      </c>
      <c r="D93" s="457">
        <v>8.6389999999999993</v>
      </c>
      <c r="E93" s="457">
        <v>0.8639</v>
      </c>
      <c r="F93" s="715" t="str">
        <f t="shared" si="7"/>
        <v>2022-00083</v>
      </c>
      <c r="G93" s="610">
        <v>0.3619</v>
      </c>
      <c r="H93" s="610">
        <v>3.619E-2</v>
      </c>
      <c r="I93" s="610">
        <v>0.95599999999999996</v>
      </c>
      <c r="J93" s="610">
        <v>0.98199999999999998</v>
      </c>
      <c r="K93" s="610">
        <v>0.1779</v>
      </c>
      <c r="L93" s="610">
        <v>3.8399999999999997E-2</v>
      </c>
      <c r="M93" s="610">
        <v>3.8400000000000001E-3</v>
      </c>
      <c r="N93" s="6">
        <v>0</v>
      </c>
      <c r="O93" s="6">
        <v>0</v>
      </c>
      <c r="P93" s="564">
        <v>0</v>
      </c>
      <c r="Q93" s="565">
        <v>0</v>
      </c>
    </row>
    <row r="94" spans="1:17" x14ac:dyDescent="0.25">
      <c r="A94" s="458">
        <v>44958</v>
      </c>
      <c r="B94" s="140">
        <f t="shared" si="8"/>
        <v>45046</v>
      </c>
      <c r="C94" s="457" t="s">
        <v>841</v>
      </c>
      <c r="D94" s="570"/>
      <c r="E94" s="570"/>
      <c r="F94" s="728" t="str">
        <f t="shared" si="7"/>
        <v>2022-00180</v>
      </c>
    </row>
    <row r="95" spans="1:17" x14ac:dyDescent="0.25">
      <c r="C95" s="141"/>
      <c r="D95" s="570"/>
      <c r="E95" s="570"/>
      <c r="F95" s="141"/>
    </row>
    <row r="96" spans="1:17" x14ac:dyDescent="0.25">
      <c r="C96" s="141"/>
      <c r="D96" s="570"/>
      <c r="E96" s="570"/>
      <c r="F96" s="141"/>
    </row>
    <row r="97" spans="3:6" x14ac:dyDescent="0.25">
      <c r="C97" s="141"/>
      <c r="D97" s="570"/>
      <c r="E97" s="570"/>
      <c r="F97" s="141"/>
    </row>
    <row r="98" spans="3:6" x14ac:dyDescent="0.25">
      <c r="C98" s="141"/>
      <c r="D98" s="570"/>
      <c r="E98" s="570"/>
      <c r="F98" s="141"/>
    </row>
    <row r="99" spans="3:6" x14ac:dyDescent="0.25">
      <c r="C99" s="141"/>
      <c r="D99" s="570"/>
      <c r="E99" s="570"/>
      <c r="F99" s="141"/>
    </row>
    <row r="100" spans="3:6" x14ac:dyDescent="0.25">
      <c r="F100" s="141"/>
    </row>
    <row r="101" spans="3:6" x14ac:dyDescent="0.25">
      <c r="F101" s="141"/>
    </row>
  </sheetData>
  <mergeCells count="5">
    <mergeCell ref="D1:E1"/>
    <mergeCell ref="F1:H1"/>
    <mergeCell ref="I1:K1"/>
    <mergeCell ref="L1:M1"/>
    <mergeCell ref="N1:Q1"/>
  </mergeCells>
  <phoneticPr fontId="3" type="noConversion"/>
  <pageMargins left="0.75" right="0.75" top="1" bottom="1" header="0.5" footer="0.5"/>
  <pageSetup scale="54" orientation="portrait" r:id="rId1"/>
  <headerFooter alignWithMargins="0">
    <oddFooter>&amp;L&amp;1#&amp;"Calibri"&amp;14&amp;K000000Confidential</oddFooter>
  </headerFooter>
  <customProperties>
    <customPr name="_pios_id" r:id="rId2"/>
  </customPropertie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5">
    <tabColor rgb="FF92D050"/>
  </sheetPr>
  <dimension ref="A1:O142"/>
  <sheetViews>
    <sheetView zoomScaleNormal="100" workbookViewId="0">
      <pane ySplit="9" topLeftCell="A130" activePane="bottomLeft" state="frozen"/>
      <selection activeCell="C116" sqref="C116"/>
      <selection pane="bottomLeft" activeCell="C148" sqref="C148"/>
    </sheetView>
  </sheetViews>
  <sheetFormatPr defaultColWidth="8.88671875" defaultRowHeight="15.75" x14ac:dyDescent="0.25"/>
  <cols>
    <col min="1" max="1" width="13.109375" style="6" customWidth="1"/>
    <col min="2" max="2" width="15.21875" style="6" customWidth="1"/>
    <col min="3" max="3" width="15.109375" style="6" customWidth="1"/>
    <col min="4" max="4" width="16.109375" style="6" customWidth="1"/>
    <col min="5" max="5" width="11.88671875" style="6" customWidth="1"/>
    <col min="6" max="6" width="11.109375" style="6" customWidth="1"/>
    <col min="7" max="7" width="10.6640625" style="6" customWidth="1"/>
    <col min="8" max="8" width="11.44140625" style="6" customWidth="1"/>
    <col min="9" max="9" width="12.77734375" style="6" customWidth="1"/>
    <col min="10" max="10" width="11.88671875" style="6" customWidth="1"/>
    <col min="11" max="11" width="15.109375" customWidth="1"/>
    <col min="12" max="12" width="12.77734375" customWidth="1"/>
    <col min="13" max="16384" width="8.88671875" style="6"/>
  </cols>
  <sheetData>
    <row r="1" spans="1:15" x14ac:dyDescent="0.25">
      <c r="A1" s="760"/>
      <c r="B1" s="760"/>
      <c r="C1" s="760"/>
      <c r="D1" s="760"/>
      <c r="E1" s="760"/>
      <c r="F1" s="760"/>
      <c r="G1" s="760"/>
      <c r="H1" s="760"/>
      <c r="I1" s="760"/>
      <c r="J1" s="760"/>
    </row>
    <row r="3" spans="1:15" x14ac:dyDescent="0.25">
      <c r="A3" s="755" t="s">
        <v>242</v>
      </c>
      <c r="B3" s="755"/>
      <c r="C3" s="755"/>
      <c r="D3" s="755"/>
      <c r="E3" s="755"/>
      <c r="F3" s="755"/>
      <c r="G3" s="755"/>
      <c r="H3" s="755"/>
      <c r="I3" s="755"/>
      <c r="J3" s="755"/>
    </row>
    <row r="4" spans="1:15" x14ac:dyDescent="0.25">
      <c r="A4" s="756" t="s">
        <v>596</v>
      </c>
      <c r="B4" s="756"/>
      <c r="C4" s="756"/>
      <c r="D4" s="756"/>
      <c r="E4" s="756"/>
      <c r="F4" s="756"/>
      <c r="G4" s="756"/>
      <c r="H4" s="756"/>
      <c r="I4" s="756"/>
      <c r="J4" s="756"/>
    </row>
    <row r="5" spans="1:15" x14ac:dyDescent="0.25">
      <c r="F5" s="313"/>
    </row>
    <row r="6" spans="1:15" x14ac:dyDescent="0.25">
      <c r="A6" s="14"/>
      <c r="B6" s="14"/>
      <c r="C6" s="14"/>
      <c r="D6" s="14"/>
      <c r="E6" s="14"/>
      <c r="F6" s="14"/>
      <c r="G6" s="14"/>
      <c r="H6" s="14"/>
      <c r="I6" s="14"/>
      <c r="J6" s="14"/>
    </row>
    <row r="7" spans="1:15" x14ac:dyDescent="0.25">
      <c r="A7" s="757" t="s">
        <v>239</v>
      </c>
      <c r="B7" s="758"/>
      <c r="C7" s="759"/>
      <c r="D7" s="757" t="s">
        <v>240</v>
      </c>
      <c r="E7" s="758"/>
      <c r="F7" s="758"/>
      <c r="G7" s="758"/>
      <c r="H7" s="758"/>
      <c r="I7" s="758"/>
      <c r="J7" s="759"/>
    </row>
    <row r="8" spans="1:15" ht="47.25" x14ac:dyDescent="0.25">
      <c r="A8" s="40" t="s">
        <v>78</v>
      </c>
      <c r="B8" s="44" t="s">
        <v>94</v>
      </c>
      <c r="C8" s="41" t="s">
        <v>363</v>
      </c>
      <c r="D8" s="41" t="s">
        <v>241</v>
      </c>
      <c r="E8" s="42" t="s">
        <v>244</v>
      </c>
      <c r="F8" s="42" t="s">
        <v>236</v>
      </c>
      <c r="G8" s="42" t="s">
        <v>237</v>
      </c>
      <c r="H8" s="42" t="s">
        <v>238</v>
      </c>
      <c r="I8" s="42" t="s">
        <v>243</v>
      </c>
      <c r="J8" s="42" t="s">
        <v>752</v>
      </c>
      <c r="L8" s="6"/>
    </row>
    <row r="9" spans="1:15" x14ac:dyDescent="0.25">
      <c r="A9" s="45" t="s">
        <v>60</v>
      </c>
      <c r="B9" s="45" t="s">
        <v>61</v>
      </c>
      <c r="C9" s="45" t="s">
        <v>62</v>
      </c>
      <c r="D9" s="45" t="s">
        <v>63</v>
      </c>
      <c r="E9" s="45" t="s">
        <v>64</v>
      </c>
      <c r="F9" s="45" t="s">
        <v>65</v>
      </c>
      <c r="G9" s="45" t="s">
        <v>66</v>
      </c>
      <c r="H9" s="46" t="s">
        <v>111</v>
      </c>
      <c r="I9" s="46" t="s">
        <v>112</v>
      </c>
      <c r="J9" s="46" t="s">
        <v>113</v>
      </c>
      <c r="L9" s="6"/>
    </row>
    <row r="10" spans="1:15" x14ac:dyDescent="0.25">
      <c r="A10" s="118">
        <v>42005</v>
      </c>
      <c r="B10" s="47">
        <v>3389771</v>
      </c>
      <c r="C10" s="47">
        <v>34043</v>
      </c>
      <c r="D10" s="47">
        <v>3740</v>
      </c>
      <c r="E10" s="47">
        <v>0</v>
      </c>
      <c r="F10" s="47">
        <v>0</v>
      </c>
      <c r="G10" s="47">
        <v>3224582</v>
      </c>
      <c r="H10" s="47">
        <v>45418</v>
      </c>
      <c r="I10" s="47">
        <v>6382527</v>
      </c>
      <c r="J10" s="47">
        <v>28119</v>
      </c>
      <c r="K10" s="90"/>
      <c r="L10" s="6"/>
      <c r="M10" s="14"/>
      <c r="N10" s="14"/>
      <c r="O10" s="14"/>
    </row>
    <row r="11" spans="1:15" x14ac:dyDescent="0.25">
      <c r="A11" s="118">
        <f t="shared" ref="A11:A75" si="0">EDATE(A10,1)</f>
        <v>42036</v>
      </c>
      <c r="B11" s="47">
        <v>2793445</v>
      </c>
      <c r="C11" s="47">
        <v>25942</v>
      </c>
      <c r="D11" s="47">
        <v>2645</v>
      </c>
      <c r="E11" s="47">
        <v>0</v>
      </c>
      <c r="F11" s="47">
        <v>0</v>
      </c>
      <c r="G11" s="47">
        <v>2941034</v>
      </c>
      <c r="H11" s="47">
        <v>38966</v>
      </c>
      <c r="I11" s="47">
        <v>5515071</v>
      </c>
      <c r="J11" s="47">
        <v>29495</v>
      </c>
      <c r="K11" s="90"/>
      <c r="L11" s="6"/>
    </row>
    <row r="12" spans="1:15" x14ac:dyDescent="0.25">
      <c r="A12" s="118">
        <f t="shared" si="0"/>
        <v>42064</v>
      </c>
      <c r="B12" s="47">
        <v>1896715</v>
      </c>
      <c r="C12" s="47">
        <v>20111</v>
      </c>
      <c r="D12" s="47">
        <v>1128</v>
      </c>
      <c r="E12" s="47">
        <v>0</v>
      </c>
      <c r="F12" s="47">
        <v>0</v>
      </c>
      <c r="G12" s="47">
        <v>2177383</v>
      </c>
      <c r="H12" s="47">
        <v>32617</v>
      </c>
      <c r="I12" s="47">
        <v>3869594</v>
      </c>
      <c r="J12" s="47">
        <v>27926</v>
      </c>
      <c r="K12" s="90"/>
      <c r="L12" s="6"/>
    </row>
    <row r="13" spans="1:15" x14ac:dyDescent="0.25">
      <c r="A13" s="118">
        <f t="shared" si="0"/>
        <v>42095</v>
      </c>
      <c r="B13" s="47">
        <v>1451374</v>
      </c>
      <c r="C13" s="47">
        <v>9243</v>
      </c>
      <c r="D13" s="47">
        <v>430</v>
      </c>
      <c r="E13" s="47">
        <v>0</v>
      </c>
      <c r="F13" s="47">
        <v>0</v>
      </c>
      <c r="G13" s="47">
        <v>773060</v>
      </c>
      <c r="H13" s="47">
        <v>26940</v>
      </c>
      <c r="I13" s="47">
        <v>2087330</v>
      </c>
      <c r="J13" s="47">
        <v>31123</v>
      </c>
      <c r="K13" s="90"/>
      <c r="L13" s="6"/>
    </row>
    <row r="14" spans="1:15" x14ac:dyDescent="0.25">
      <c r="A14" s="118">
        <f t="shared" si="0"/>
        <v>42125</v>
      </c>
      <c r="B14" s="47">
        <v>1185902</v>
      </c>
      <c r="C14" s="47">
        <v>9084</v>
      </c>
      <c r="D14" s="47">
        <v>266</v>
      </c>
      <c r="E14" s="47">
        <v>0</v>
      </c>
      <c r="F14" s="47">
        <v>0</v>
      </c>
      <c r="G14" s="47">
        <v>174800</v>
      </c>
      <c r="H14" s="47">
        <v>25200</v>
      </c>
      <c r="I14" s="47">
        <v>1246147</v>
      </c>
      <c r="J14" s="47">
        <v>30870</v>
      </c>
      <c r="K14" s="90"/>
      <c r="L14" s="6"/>
    </row>
    <row r="15" spans="1:15" x14ac:dyDescent="0.25">
      <c r="A15" s="118">
        <f t="shared" si="0"/>
        <v>42156</v>
      </c>
      <c r="B15" s="47">
        <v>2527642</v>
      </c>
      <c r="C15" s="47">
        <v>7764</v>
      </c>
      <c r="D15" s="47">
        <v>100</v>
      </c>
      <c r="E15" s="47">
        <v>0</v>
      </c>
      <c r="F15" s="47">
        <v>1617092</v>
      </c>
      <c r="G15" s="47">
        <v>0</v>
      </c>
      <c r="H15" s="47">
        <v>28092</v>
      </c>
      <c r="I15" s="47">
        <v>816879</v>
      </c>
      <c r="J15" s="47">
        <v>28119</v>
      </c>
      <c r="K15" s="90"/>
      <c r="L15" s="6"/>
    </row>
    <row r="16" spans="1:15" x14ac:dyDescent="0.25">
      <c r="A16" s="118">
        <f t="shared" si="0"/>
        <v>42186</v>
      </c>
      <c r="B16" s="47">
        <v>3671237</v>
      </c>
      <c r="C16" s="47">
        <v>3433</v>
      </c>
      <c r="D16" s="47">
        <v>134</v>
      </c>
      <c r="E16" s="47">
        <v>0</v>
      </c>
      <c r="F16" s="47">
        <v>2852869</v>
      </c>
      <c r="G16" s="47">
        <v>0</v>
      </c>
      <c r="H16" s="47">
        <v>31869</v>
      </c>
      <c r="I16" s="47">
        <v>739675</v>
      </c>
      <c r="J16" s="47">
        <v>30870</v>
      </c>
      <c r="K16" s="90"/>
      <c r="L16" s="6"/>
    </row>
    <row r="17" spans="1:12" x14ac:dyDescent="0.25">
      <c r="A17" s="118">
        <f t="shared" si="0"/>
        <v>42217</v>
      </c>
      <c r="B17" s="47">
        <v>3768891</v>
      </c>
      <c r="C17" s="47">
        <v>19134</v>
      </c>
      <c r="D17" s="47">
        <v>73</v>
      </c>
      <c r="E17" s="47">
        <v>0</v>
      </c>
      <c r="F17" s="47">
        <v>2939274</v>
      </c>
      <c r="G17" s="47">
        <v>0</v>
      </c>
      <c r="H17" s="47">
        <v>39274</v>
      </c>
      <c r="I17" s="47">
        <v>755771</v>
      </c>
      <c r="J17" s="47">
        <v>29495</v>
      </c>
      <c r="K17" s="90"/>
      <c r="L17" s="6"/>
    </row>
    <row r="18" spans="1:12" x14ac:dyDescent="0.25">
      <c r="A18" s="118">
        <f t="shared" si="0"/>
        <v>42248</v>
      </c>
      <c r="B18" s="47">
        <v>3628403</v>
      </c>
      <c r="C18" s="47">
        <v>41870</v>
      </c>
      <c r="D18" s="47">
        <v>62</v>
      </c>
      <c r="E18" s="47">
        <v>0</v>
      </c>
      <c r="F18" s="47">
        <v>2734226</v>
      </c>
      <c r="G18" s="47">
        <v>0</v>
      </c>
      <c r="H18" s="47">
        <v>44226</v>
      </c>
      <c r="I18" s="47">
        <v>818388</v>
      </c>
      <c r="J18" s="47">
        <v>32499</v>
      </c>
      <c r="K18" s="90"/>
      <c r="L18" s="6"/>
    </row>
    <row r="19" spans="1:12" x14ac:dyDescent="0.25">
      <c r="A19" s="118">
        <f t="shared" si="0"/>
        <v>42278</v>
      </c>
      <c r="B19" s="47">
        <v>3717845</v>
      </c>
      <c r="C19" s="47">
        <v>41660</v>
      </c>
      <c r="D19" s="47">
        <v>157</v>
      </c>
      <c r="E19" s="47">
        <v>0</v>
      </c>
      <c r="F19" s="47">
        <v>2189178</v>
      </c>
      <c r="G19" s="47">
        <v>0</v>
      </c>
      <c r="H19" s="47">
        <v>49178</v>
      </c>
      <c r="I19" s="47">
        <v>1444480</v>
      </c>
      <c r="J19" s="47">
        <v>30870</v>
      </c>
      <c r="K19" s="90"/>
      <c r="L19" s="6"/>
    </row>
    <row r="20" spans="1:12" x14ac:dyDescent="0.25">
      <c r="A20" s="118">
        <f t="shared" si="0"/>
        <v>42309</v>
      </c>
      <c r="B20" s="47">
        <v>3223697</v>
      </c>
      <c r="C20" s="47">
        <v>72141</v>
      </c>
      <c r="D20" s="47">
        <v>636</v>
      </c>
      <c r="E20" s="47">
        <v>0</v>
      </c>
      <c r="F20" s="47">
        <v>251623</v>
      </c>
      <c r="G20" s="47">
        <v>200000</v>
      </c>
      <c r="H20" s="47">
        <v>51623</v>
      </c>
      <c r="I20" s="47">
        <v>3071369</v>
      </c>
      <c r="J20" s="47">
        <v>16937</v>
      </c>
      <c r="K20" s="90"/>
    </row>
    <row r="21" spans="1:12" x14ac:dyDescent="0.25">
      <c r="A21" s="118">
        <f t="shared" si="0"/>
        <v>42339</v>
      </c>
      <c r="B21" s="47">
        <v>3443198</v>
      </c>
      <c r="C21" s="47">
        <v>53313</v>
      </c>
      <c r="D21" s="47">
        <v>1627</v>
      </c>
      <c r="E21" s="47">
        <v>0</v>
      </c>
      <c r="F21" s="47">
        <v>0</v>
      </c>
      <c r="G21" s="47">
        <v>2150123</v>
      </c>
      <c r="H21" s="47">
        <v>49877</v>
      </c>
      <c r="I21" s="47">
        <v>5429369</v>
      </c>
      <c r="J21" s="47">
        <v>12722</v>
      </c>
    </row>
    <row r="22" spans="1:12" x14ac:dyDescent="0.25">
      <c r="A22" s="118">
        <f t="shared" si="0"/>
        <v>42370</v>
      </c>
      <c r="B22" s="47">
        <v>3612775</v>
      </c>
      <c r="C22" s="47">
        <v>45361</v>
      </c>
      <c r="D22" s="47">
        <v>2006</v>
      </c>
      <c r="E22" s="47">
        <v>0</v>
      </c>
      <c r="F22" s="47">
        <v>0</v>
      </c>
      <c r="G22" s="47">
        <v>3355135</v>
      </c>
      <c r="H22" s="47">
        <v>44865</v>
      </c>
      <c r="I22" s="47">
        <v>6752035</v>
      </c>
      <c r="J22" s="47">
        <v>12722</v>
      </c>
    </row>
    <row r="23" spans="1:12" x14ac:dyDescent="0.25">
      <c r="A23" s="118">
        <f t="shared" si="0"/>
        <v>42401</v>
      </c>
      <c r="B23" s="47">
        <v>2846423</v>
      </c>
      <c r="C23" s="47">
        <v>30828</v>
      </c>
      <c r="D23" s="47">
        <v>1832</v>
      </c>
      <c r="E23" s="47">
        <v>0</v>
      </c>
      <c r="F23" s="47">
        <v>0</v>
      </c>
      <c r="G23" s="47">
        <v>3062005</v>
      </c>
      <c r="H23" s="47">
        <v>37995</v>
      </c>
      <c r="I23" s="47">
        <v>5697804</v>
      </c>
      <c r="J23" s="47">
        <v>13795</v>
      </c>
    </row>
    <row r="24" spans="1:12" x14ac:dyDescent="0.25">
      <c r="A24" s="118">
        <f t="shared" si="0"/>
        <v>42430</v>
      </c>
      <c r="B24" s="47">
        <v>2154248</v>
      </c>
      <c r="C24" s="47">
        <v>25324</v>
      </c>
      <c r="D24" s="47">
        <v>2226</v>
      </c>
      <c r="E24" s="47">
        <v>0</v>
      </c>
      <c r="F24" s="47">
        <v>0</v>
      </c>
      <c r="G24" s="47">
        <v>2109395</v>
      </c>
      <c r="H24" s="47">
        <v>30605</v>
      </c>
      <c r="I24" s="47">
        <v>4071725</v>
      </c>
      <c r="J24" s="47">
        <v>14829</v>
      </c>
    </row>
    <row r="25" spans="1:12" x14ac:dyDescent="0.25">
      <c r="A25" s="118">
        <f t="shared" si="0"/>
        <v>42461</v>
      </c>
      <c r="B25" s="47">
        <v>1368396</v>
      </c>
      <c r="C25" s="47">
        <v>30367</v>
      </c>
      <c r="D25" s="47">
        <v>1039</v>
      </c>
      <c r="E25" s="47">
        <v>0</v>
      </c>
      <c r="F25" s="47">
        <v>0</v>
      </c>
      <c r="G25" s="47">
        <v>772504</v>
      </c>
      <c r="H25" s="47">
        <v>27496</v>
      </c>
      <c r="I25" s="47">
        <v>2023224</v>
      </c>
      <c r="J25" s="47">
        <v>11688</v>
      </c>
    </row>
    <row r="26" spans="1:12" x14ac:dyDescent="0.25">
      <c r="A26" s="118">
        <f t="shared" si="0"/>
        <v>42491</v>
      </c>
      <c r="B26" s="47">
        <v>1210348</v>
      </c>
      <c r="C26" s="47">
        <v>34732</v>
      </c>
      <c r="D26" s="47">
        <v>362</v>
      </c>
      <c r="E26" s="47">
        <v>0</v>
      </c>
      <c r="F26" s="47">
        <v>0</v>
      </c>
      <c r="G26" s="47">
        <v>71918</v>
      </c>
      <c r="H26" s="47">
        <v>28082</v>
      </c>
      <c r="I26" s="47">
        <v>1190652</v>
      </c>
      <c r="J26" s="47">
        <v>8507</v>
      </c>
    </row>
    <row r="27" spans="1:12" x14ac:dyDescent="0.25">
      <c r="A27" s="118">
        <f t="shared" si="0"/>
        <v>42522</v>
      </c>
      <c r="B27" s="47">
        <v>2219781</v>
      </c>
      <c r="C27" s="47">
        <v>53116</v>
      </c>
      <c r="D27" s="47">
        <v>282</v>
      </c>
      <c r="E27" s="47">
        <v>0</v>
      </c>
      <c r="F27" s="47">
        <v>1366882</v>
      </c>
      <c r="G27" s="47">
        <v>0</v>
      </c>
      <c r="H27" s="47">
        <v>28882</v>
      </c>
      <c r="I27" s="47">
        <v>772506</v>
      </c>
      <c r="J27" s="47">
        <v>14829</v>
      </c>
    </row>
    <row r="28" spans="1:12" x14ac:dyDescent="0.25">
      <c r="A28" s="118">
        <f t="shared" si="0"/>
        <v>42552</v>
      </c>
      <c r="B28" s="47">
        <v>3601166</v>
      </c>
      <c r="C28" s="47">
        <v>48607</v>
      </c>
      <c r="D28" s="47">
        <v>149</v>
      </c>
      <c r="E28" s="47">
        <v>1020</v>
      </c>
      <c r="F28" s="47">
        <v>2824824</v>
      </c>
      <c r="G28" s="47">
        <v>0</v>
      </c>
      <c r="H28" s="47">
        <v>32824</v>
      </c>
      <c r="I28" s="47">
        <v>716538</v>
      </c>
      <c r="J28" s="47">
        <v>12824</v>
      </c>
    </row>
    <row r="29" spans="1:12" x14ac:dyDescent="0.25">
      <c r="A29" s="118">
        <f t="shared" si="0"/>
        <v>42583</v>
      </c>
      <c r="B29" s="47">
        <v>3693887</v>
      </c>
      <c r="C29" s="47">
        <v>44130</v>
      </c>
      <c r="D29" s="47">
        <v>101</v>
      </c>
      <c r="E29" s="47">
        <v>1020</v>
      </c>
      <c r="F29" s="47">
        <v>2891045</v>
      </c>
      <c r="G29" s="47">
        <v>0</v>
      </c>
      <c r="H29" s="47">
        <v>41045</v>
      </c>
      <c r="I29" s="47">
        <v>746708</v>
      </c>
      <c r="J29" s="47">
        <v>12824</v>
      </c>
    </row>
    <row r="30" spans="1:12" x14ac:dyDescent="0.25">
      <c r="A30" s="118">
        <f t="shared" si="0"/>
        <v>42614</v>
      </c>
      <c r="B30" s="47">
        <v>3664808</v>
      </c>
      <c r="C30" s="47">
        <v>53342</v>
      </c>
      <c r="D30" s="47">
        <v>92</v>
      </c>
      <c r="E30" s="47">
        <v>510</v>
      </c>
      <c r="F30" s="47">
        <v>2783959</v>
      </c>
      <c r="G30" s="47">
        <v>0</v>
      </c>
      <c r="H30" s="47">
        <v>43959</v>
      </c>
      <c r="I30" s="47">
        <v>825538</v>
      </c>
      <c r="J30" s="47">
        <v>12773</v>
      </c>
    </row>
    <row r="31" spans="1:12" x14ac:dyDescent="0.25">
      <c r="A31" s="118">
        <f t="shared" si="0"/>
        <v>42644</v>
      </c>
      <c r="B31" s="47">
        <v>3637644</v>
      </c>
      <c r="C31" s="47">
        <v>82865</v>
      </c>
      <c r="D31" s="47">
        <v>143</v>
      </c>
      <c r="E31" s="47">
        <v>0</v>
      </c>
      <c r="F31" s="47">
        <v>2069628</v>
      </c>
      <c r="G31" s="47">
        <v>0</v>
      </c>
      <c r="H31" s="47">
        <v>49628</v>
      </c>
      <c r="I31" s="47">
        <v>1504037</v>
      </c>
      <c r="J31" s="47">
        <v>10615</v>
      </c>
    </row>
    <row r="32" spans="1:12" x14ac:dyDescent="0.25">
      <c r="A32" s="118">
        <f t="shared" si="0"/>
        <v>42675</v>
      </c>
      <c r="B32" s="47">
        <v>2490812</v>
      </c>
      <c r="C32" s="47">
        <v>62445</v>
      </c>
      <c r="D32" s="47">
        <v>635.5</v>
      </c>
      <c r="E32" s="47">
        <v>0</v>
      </c>
      <c r="F32" s="47">
        <v>250423</v>
      </c>
      <c r="G32" s="47">
        <v>200000</v>
      </c>
      <c r="H32" s="47">
        <v>50423</v>
      </c>
      <c r="I32" s="47">
        <v>2342164.3604958318</v>
      </c>
      <c r="J32" s="47">
        <v>14564.100000000002</v>
      </c>
      <c r="K32" s="90"/>
    </row>
    <row r="33" spans="1:11" x14ac:dyDescent="0.25">
      <c r="A33" s="118">
        <f t="shared" si="0"/>
        <v>42705</v>
      </c>
      <c r="B33" s="47">
        <v>2393669</v>
      </c>
      <c r="C33" s="47">
        <v>53786</v>
      </c>
      <c r="D33" s="47">
        <v>1627</v>
      </c>
      <c r="E33" s="47">
        <v>0</v>
      </c>
      <c r="F33" s="47">
        <v>0</v>
      </c>
      <c r="G33" s="47">
        <v>2151073</v>
      </c>
      <c r="H33" s="47">
        <v>48927</v>
      </c>
      <c r="I33" s="47">
        <v>4382245.7996057328</v>
      </c>
      <c r="J33" s="47">
        <v>12191.8</v>
      </c>
      <c r="K33" s="90"/>
    </row>
    <row r="34" spans="1:11" x14ac:dyDescent="0.25">
      <c r="A34" s="118">
        <f t="shared" si="0"/>
        <v>42736</v>
      </c>
      <c r="B34" s="47">
        <v>2999829</v>
      </c>
      <c r="C34" s="47">
        <v>38096</v>
      </c>
      <c r="D34" s="47">
        <v>2006</v>
      </c>
      <c r="E34" s="47">
        <v>0</v>
      </c>
      <c r="F34" s="47">
        <v>0</v>
      </c>
      <c r="G34" s="47">
        <v>3354470</v>
      </c>
      <c r="H34" s="47">
        <v>45530</v>
      </c>
      <c r="I34" s="47">
        <v>6139819.1618230706</v>
      </c>
      <c r="J34" s="47">
        <v>12279.599999999999</v>
      </c>
      <c r="K34" s="90"/>
    </row>
    <row r="35" spans="1:11" x14ac:dyDescent="0.25">
      <c r="A35" s="118">
        <f t="shared" si="0"/>
        <v>42767</v>
      </c>
      <c r="B35" s="47">
        <v>2880935</v>
      </c>
      <c r="C35" s="47">
        <v>25625</v>
      </c>
      <c r="D35" s="47">
        <v>1768.5</v>
      </c>
      <c r="E35" s="47">
        <v>0</v>
      </c>
      <c r="F35" s="47">
        <v>0</v>
      </c>
      <c r="G35" s="47">
        <v>3082101</v>
      </c>
      <c r="H35" s="47">
        <v>37899</v>
      </c>
      <c r="I35" s="47">
        <v>5761399.6451268187</v>
      </c>
      <c r="J35" s="47">
        <v>12236.5</v>
      </c>
      <c r="K35" s="90"/>
    </row>
    <row r="36" spans="1:11" x14ac:dyDescent="0.25">
      <c r="A36" s="118">
        <f t="shared" si="0"/>
        <v>42795</v>
      </c>
      <c r="B36" s="47">
        <v>2874734</v>
      </c>
      <c r="C36" s="47">
        <v>41427</v>
      </c>
      <c r="D36" s="47">
        <v>2225.5</v>
      </c>
      <c r="E36" s="47">
        <v>0</v>
      </c>
      <c r="F36" s="47">
        <v>0</v>
      </c>
      <c r="G36" s="47">
        <v>1987299</v>
      </c>
      <c r="H36" s="47">
        <v>32701</v>
      </c>
      <c r="I36" s="47">
        <v>4670496.3224569801</v>
      </c>
      <c r="J36" s="47">
        <v>14343.8</v>
      </c>
      <c r="K36" s="90"/>
    </row>
    <row r="37" spans="1:11" x14ac:dyDescent="0.25">
      <c r="A37" s="118">
        <f t="shared" si="0"/>
        <v>42826</v>
      </c>
      <c r="B37" s="47">
        <v>1869958</v>
      </c>
      <c r="C37" s="47">
        <v>64808</v>
      </c>
      <c r="D37" s="47">
        <v>1038.5</v>
      </c>
      <c r="E37" s="47">
        <v>0</v>
      </c>
      <c r="F37" s="47">
        <v>0</v>
      </c>
      <c r="G37" s="47">
        <v>772585</v>
      </c>
      <c r="H37" s="47">
        <v>27415</v>
      </c>
      <c r="I37" s="47">
        <v>2523051.3731349409</v>
      </c>
      <c r="J37" s="47">
        <v>13360.1</v>
      </c>
      <c r="K37" s="90"/>
    </row>
    <row r="38" spans="1:11" x14ac:dyDescent="0.25">
      <c r="A38" s="118">
        <f t="shared" si="0"/>
        <v>42856</v>
      </c>
      <c r="B38" s="47">
        <v>1441197</v>
      </c>
      <c r="C38" s="47">
        <v>51340</v>
      </c>
      <c r="D38" s="47">
        <v>362</v>
      </c>
      <c r="E38" s="47">
        <v>0</v>
      </c>
      <c r="F38" s="47">
        <v>0</v>
      </c>
      <c r="G38" s="47">
        <v>72592</v>
      </c>
      <c r="H38" s="47">
        <v>27408</v>
      </c>
      <c r="I38" s="47">
        <v>1419481.285840834</v>
      </c>
      <c r="J38" s="47">
        <v>11245.5</v>
      </c>
      <c r="K38" s="90"/>
    </row>
    <row r="39" spans="1:11" x14ac:dyDescent="0.25">
      <c r="A39" s="118">
        <f t="shared" si="0"/>
        <v>42887</v>
      </c>
      <c r="B39" s="47">
        <v>2361637</v>
      </c>
      <c r="C39" s="47">
        <v>53203</v>
      </c>
      <c r="D39" s="47">
        <v>282</v>
      </c>
      <c r="E39" s="47">
        <v>0</v>
      </c>
      <c r="F39" s="47">
        <v>1368882</v>
      </c>
      <c r="G39" s="47">
        <v>0</v>
      </c>
      <c r="H39" s="47">
        <v>28882</v>
      </c>
      <c r="I39" s="47">
        <v>912979.59494808805</v>
      </c>
      <c r="J39" s="47">
        <v>14211.3</v>
      </c>
      <c r="K39" s="90"/>
    </row>
    <row r="40" spans="1:11" x14ac:dyDescent="0.25">
      <c r="A40" s="118">
        <f t="shared" si="0"/>
        <v>42917</v>
      </c>
      <c r="B40" s="47">
        <v>3203498</v>
      </c>
      <c r="C40" s="47">
        <v>64710</v>
      </c>
      <c r="D40" s="47">
        <v>149</v>
      </c>
      <c r="E40" s="47">
        <v>0</v>
      </c>
      <c r="F40" s="47">
        <v>2354603</v>
      </c>
      <c r="G40" s="47">
        <v>0</v>
      </c>
      <c r="H40" s="47">
        <v>34603</v>
      </c>
      <c r="I40" s="47">
        <v>789933.15250965115</v>
      </c>
      <c r="J40" s="47">
        <v>13182.9</v>
      </c>
      <c r="K40" s="90"/>
    </row>
    <row r="41" spans="1:11" x14ac:dyDescent="0.25">
      <c r="A41" s="118">
        <f t="shared" si="0"/>
        <v>42948</v>
      </c>
      <c r="B41" s="47">
        <v>3786631</v>
      </c>
      <c r="C41" s="47">
        <v>39437</v>
      </c>
      <c r="D41" s="47">
        <v>101</v>
      </c>
      <c r="E41" s="47">
        <v>0</v>
      </c>
      <c r="F41" s="47">
        <v>2980482</v>
      </c>
      <c r="G41" s="47">
        <v>0</v>
      </c>
      <c r="H41" s="47">
        <v>40482</v>
      </c>
      <c r="I41" s="47">
        <v>752634.23840221553</v>
      </c>
      <c r="J41" s="47">
        <v>13395.9</v>
      </c>
      <c r="K41" s="90"/>
    </row>
    <row r="42" spans="1:11" x14ac:dyDescent="0.25">
      <c r="A42" s="118">
        <f t="shared" si="0"/>
        <v>42979</v>
      </c>
      <c r="B42" s="47">
        <v>3721750</v>
      </c>
      <c r="C42" s="47">
        <v>71170</v>
      </c>
      <c r="D42" s="47">
        <v>91.5</v>
      </c>
      <c r="E42" s="47">
        <v>0</v>
      </c>
      <c r="F42" s="47">
        <v>2872825</v>
      </c>
      <c r="G42" s="47">
        <v>0</v>
      </c>
      <c r="H42" s="47">
        <v>42825</v>
      </c>
      <c r="I42" s="47">
        <v>794767.42918480793</v>
      </c>
      <c r="J42" s="47">
        <v>12191.8</v>
      </c>
      <c r="K42" s="90"/>
    </row>
    <row r="43" spans="1:11" x14ac:dyDescent="0.25">
      <c r="A43" s="118">
        <f t="shared" si="0"/>
        <v>43009</v>
      </c>
      <c r="B43" s="47">
        <v>3330179</v>
      </c>
      <c r="C43" s="47">
        <v>86476</v>
      </c>
      <c r="D43" s="47">
        <v>143</v>
      </c>
      <c r="E43" s="47">
        <v>0</v>
      </c>
      <c r="F43" s="47">
        <v>2256600</v>
      </c>
      <c r="G43" s="47">
        <v>0</v>
      </c>
      <c r="H43" s="47">
        <v>46600</v>
      </c>
      <c r="I43" s="47">
        <v>1006032.6273241421</v>
      </c>
      <c r="J43" s="47">
        <v>14343.8</v>
      </c>
      <c r="K43" s="90"/>
    </row>
    <row r="44" spans="1:11" x14ac:dyDescent="0.25">
      <c r="A44" s="118">
        <f t="shared" si="0"/>
        <v>43040</v>
      </c>
      <c r="B44" s="47">
        <v>2907292</v>
      </c>
      <c r="C44" s="47">
        <v>76810</v>
      </c>
      <c r="D44" s="47">
        <v>635.5</v>
      </c>
      <c r="E44" s="47">
        <v>0</v>
      </c>
      <c r="F44" s="47">
        <v>252840</v>
      </c>
      <c r="G44" s="47">
        <v>200000</v>
      </c>
      <c r="H44" s="47">
        <v>52840.229341927778</v>
      </c>
      <c r="I44" s="47">
        <v>2732948.137591423</v>
      </c>
      <c r="J44" s="47">
        <v>38478.1</v>
      </c>
      <c r="K44" s="90"/>
    </row>
    <row r="45" spans="1:11" x14ac:dyDescent="0.25">
      <c r="A45" s="118">
        <f t="shared" si="0"/>
        <v>43070</v>
      </c>
      <c r="B45" s="47">
        <v>3113061</v>
      </c>
      <c r="C45" s="47">
        <v>55898</v>
      </c>
      <c r="D45" s="47">
        <v>1627</v>
      </c>
      <c r="E45" s="47">
        <v>0</v>
      </c>
      <c r="F45" s="47">
        <v>0</v>
      </c>
      <c r="G45" s="47">
        <v>2148337</v>
      </c>
      <c r="H45" s="47">
        <v>51662.982752762131</v>
      </c>
      <c r="I45" s="47">
        <v>5073217.68200788</v>
      </c>
      <c r="J45" s="47">
        <v>38478.1</v>
      </c>
    </row>
    <row r="46" spans="1:11" x14ac:dyDescent="0.25">
      <c r="A46" s="118">
        <f t="shared" si="0"/>
        <v>43101</v>
      </c>
      <c r="B46" s="47">
        <v>3339989</v>
      </c>
      <c r="C46" s="47">
        <v>40788</v>
      </c>
      <c r="D46" s="47">
        <v>2006</v>
      </c>
      <c r="E46" s="47">
        <v>0</v>
      </c>
      <c r="F46" s="47">
        <v>0</v>
      </c>
      <c r="G46" s="47">
        <v>3353027</v>
      </c>
      <c r="H46" s="47">
        <v>46972.708423859884</v>
      </c>
      <c r="I46" s="47">
        <v>6452432.2997245034</v>
      </c>
      <c r="J46" s="47">
        <v>38478.1</v>
      </c>
    </row>
    <row r="47" spans="1:11" x14ac:dyDescent="0.25">
      <c r="A47" s="118">
        <f t="shared" si="0"/>
        <v>43132</v>
      </c>
      <c r="B47" s="47">
        <v>2862751</v>
      </c>
      <c r="C47" s="47">
        <v>35681</v>
      </c>
      <c r="D47" s="47">
        <v>1768.5</v>
      </c>
      <c r="E47" s="47">
        <v>0</v>
      </c>
      <c r="F47" s="47">
        <v>0</v>
      </c>
      <c r="G47" s="47">
        <v>2977058</v>
      </c>
      <c r="H47" s="47">
        <v>42941.737018235734</v>
      </c>
      <c r="I47" s="47">
        <v>5612089.7213283991</v>
      </c>
      <c r="J47" s="47">
        <v>38478.1</v>
      </c>
    </row>
    <row r="48" spans="1:11" x14ac:dyDescent="0.25">
      <c r="A48" s="118">
        <f t="shared" si="0"/>
        <v>43160</v>
      </c>
      <c r="B48" s="47">
        <v>2128064</v>
      </c>
      <c r="C48" s="47">
        <v>40081</v>
      </c>
      <c r="D48" s="47">
        <v>2225.5</v>
      </c>
      <c r="E48" s="47">
        <v>0</v>
      </c>
      <c r="F48" s="47">
        <v>0</v>
      </c>
      <c r="G48" s="47">
        <v>1982329</v>
      </c>
      <c r="H48" s="47">
        <v>37671.281969171207</v>
      </c>
      <c r="I48" s="47">
        <v>3897813.3754893886</v>
      </c>
      <c r="J48" s="47">
        <v>44301.500000000007</v>
      </c>
    </row>
    <row r="49" spans="1:10" x14ac:dyDescent="0.25">
      <c r="A49" s="118">
        <f t="shared" si="0"/>
        <v>43191</v>
      </c>
      <c r="B49" s="47">
        <v>1335791</v>
      </c>
      <c r="C49" s="47">
        <v>35364</v>
      </c>
      <c r="D49" s="47">
        <v>1038.5</v>
      </c>
      <c r="E49" s="47">
        <v>0</v>
      </c>
      <c r="F49" s="47">
        <v>0</v>
      </c>
      <c r="G49" s="47">
        <v>770443</v>
      </c>
      <c r="H49" s="47">
        <v>29556.648805049579</v>
      </c>
      <c r="I49" s="47">
        <v>1963956.841261033</v>
      </c>
      <c r="J49" s="47">
        <v>36383.4</v>
      </c>
    </row>
    <row r="50" spans="1:10" x14ac:dyDescent="0.25">
      <c r="A50" s="118">
        <f t="shared" si="0"/>
        <v>43221</v>
      </c>
      <c r="B50" s="47">
        <v>1174455</v>
      </c>
      <c r="C50" s="47">
        <v>39005</v>
      </c>
      <c r="D50" s="47">
        <v>362</v>
      </c>
      <c r="E50" s="47">
        <v>0</v>
      </c>
      <c r="F50" s="47">
        <v>0</v>
      </c>
      <c r="G50" s="47">
        <v>67911</v>
      </c>
      <c r="H50" s="47">
        <v>32088.736132705912</v>
      </c>
      <c r="I50" s="47">
        <v>1118827.2846716342</v>
      </c>
      <c r="J50" s="47">
        <v>40570.700000000004</v>
      </c>
    </row>
    <row r="51" spans="1:10" x14ac:dyDescent="0.25">
      <c r="A51" s="118">
        <f t="shared" si="0"/>
        <v>43252</v>
      </c>
      <c r="B51" s="47">
        <v>2215296</v>
      </c>
      <c r="C51" s="47">
        <v>50654</v>
      </c>
      <c r="D51" s="47">
        <v>282</v>
      </c>
      <c r="E51" s="47">
        <v>0</v>
      </c>
      <c r="F51" s="47">
        <v>1351521</v>
      </c>
      <c r="G51" s="47">
        <v>0</v>
      </c>
      <c r="H51" s="47">
        <v>31520.091714118022</v>
      </c>
      <c r="I51" s="47">
        <v>759733.24641992617</v>
      </c>
      <c r="J51" s="47">
        <v>38478.1</v>
      </c>
    </row>
    <row r="52" spans="1:10" x14ac:dyDescent="0.25">
      <c r="A52" s="118">
        <f t="shared" si="0"/>
        <v>43282</v>
      </c>
      <c r="B52" s="47">
        <v>3539397</v>
      </c>
      <c r="C52" s="47">
        <v>57592</v>
      </c>
      <c r="D52" s="47">
        <v>149</v>
      </c>
      <c r="E52" s="47">
        <v>0</v>
      </c>
      <c r="F52" s="47">
        <v>2790990</v>
      </c>
      <c r="G52" s="47">
        <v>0</v>
      </c>
      <c r="H52" s="47">
        <v>37990</v>
      </c>
      <c r="I52" s="47">
        <v>672699.39336743695</v>
      </c>
      <c r="J52" s="47">
        <v>29245.9</v>
      </c>
    </row>
    <row r="53" spans="1:10" x14ac:dyDescent="0.25">
      <c r="A53" s="118">
        <f t="shared" si="0"/>
        <v>43313</v>
      </c>
      <c r="B53" s="47">
        <v>3513509</v>
      </c>
      <c r="C53" s="47">
        <v>61010</v>
      </c>
      <c r="D53" s="47">
        <v>101</v>
      </c>
      <c r="E53" s="47">
        <v>0</v>
      </c>
      <c r="F53" s="47">
        <v>2771254</v>
      </c>
      <c r="G53" s="47">
        <v>0</v>
      </c>
      <c r="H53" s="47">
        <v>41253.707332392885</v>
      </c>
      <c r="I53" s="47">
        <v>662209.48546529899</v>
      </c>
      <c r="J53" s="47">
        <v>38478.1</v>
      </c>
    </row>
    <row r="54" spans="1:10" x14ac:dyDescent="0.25">
      <c r="A54" s="118">
        <f t="shared" si="0"/>
        <v>43344</v>
      </c>
      <c r="B54" s="47">
        <v>3471043</v>
      </c>
      <c r="C54" s="47">
        <v>62271</v>
      </c>
      <c r="D54" s="47">
        <v>91.5</v>
      </c>
      <c r="E54" s="47">
        <v>0</v>
      </c>
      <c r="F54" s="47">
        <v>2676028</v>
      </c>
      <c r="G54" s="47">
        <v>0</v>
      </c>
      <c r="H54" s="47">
        <v>46028.436483828787</v>
      </c>
      <c r="I54" s="47">
        <v>714681.92008887709</v>
      </c>
      <c r="J54" s="47">
        <v>38478.1</v>
      </c>
    </row>
    <row r="55" spans="1:10" x14ac:dyDescent="0.25">
      <c r="A55" s="118">
        <f t="shared" si="0"/>
        <v>43374</v>
      </c>
      <c r="B55" s="47">
        <v>3423157</v>
      </c>
      <c r="C55" s="47">
        <v>92008</v>
      </c>
      <c r="D55" s="47">
        <v>143</v>
      </c>
      <c r="E55" s="47">
        <v>0</v>
      </c>
      <c r="F55" s="47">
        <v>2157716</v>
      </c>
      <c r="G55" s="47">
        <v>0</v>
      </c>
      <c r="H55" s="47">
        <v>50716.017206050434</v>
      </c>
      <c r="I55" s="47">
        <v>1192617.409521492</v>
      </c>
      <c r="J55" s="47">
        <v>20013.7</v>
      </c>
    </row>
    <row r="56" spans="1:10" x14ac:dyDescent="0.25">
      <c r="A56" s="118">
        <f t="shared" si="0"/>
        <v>43405</v>
      </c>
      <c r="B56" s="47">
        <v>3030422</v>
      </c>
      <c r="C56" s="47">
        <v>57179</v>
      </c>
      <c r="D56" s="47">
        <v>1769</v>
      </c>
      <c r="E56" s="47">
        <v>0</v>
      </c>
      <c r="F56" s="47">
        <v>258328</v>
      </c>
      <c r="G56" s="47">
        <v>200000</v>
      </c>
      <c r="H56" s="47">
        <v>58328</v>
      </c>
      <c r="I56" s="47">
        <v>2834842</v>
      </c>
      <c r="J56" s="47">
        <v>40653</v>
      </c>
    </row>
    <row r="57" spans="1:10" x14ac:dyDescent="0.25">
      <c r="A57" s="118">
        <f t="shared" si="0"/>
        <v>43435</v>
      </c>
      <c r="B57" s="47">
        <v>3329567</v>
      </c>
      <c r="C57" s="47">
        <v>40527</v>
      </c>
      <c r="D57" s="47">
        <v>2226</v>
      </c>
      <c r="E57" s="47">
        <v>0</v>
      </c>
      <c r="F57" s="47">
        <v>0</v>
      </c>
      <c r="G57" s="47">
        <v>2142039</v>
      </c>
      <c r="H57" s="47">
        <v>57961</v>
      </c>
      <c r="I57" s="47">
        <v>5167257</v>
      </c>
      <c r="J57" s="47">
        <v>34803</v>
      </c>
    </row>
    <row r="58" spans="1:10" x14ac:dyDescent="0.25">
      <c r="A58" s="118">
        <f t="shared" si="0"/>
        <v>43466</v>
      </c>
      <c r="B58" s="47">
        <v>3554273</v>
      </c>
      <c r="C58" s="47">
        <v>15224</v>
      </c>
      <c r="D58" s="47">
        <v>1039</v>
      </c>
      <c r="E58" s="47">
        <v>0</v>
      </c>
      <c r="F58" s="47">
        <v>0</v>
      </c>
      <c r="G58" s="47">
        <v>3349043</v>
      </c>
      <c r="H58" s="47">
        <v>50957</v>
      </c>
      <c r="I58" s="47">
        <v>6453549</v>
      </c>
      <c r="J58" s="47">
        <v>34500</v>
      </c>
    </row>
    <row r="59" spans="1:10" x14ac:dyDescent="0.25">
      <c r="A59" s="118">
        <f t="shared" si="0"/>
        <v>43497</v>
      </c>
      <c r="B59" s="47">
        <v>3057930</v>
      </c>
      <c r="C59" s="47">
        <v>13673</v>
      </c>
      <c r="D59" s="47">
        <v>362</v>
      </c>
      <c r="E59" s="47">
        <v>0</v>
      </c>
      <c r="F59" s="47">
        <v>0</v>
      </c>
      <c r="G59" s="47">
        <v>2976839</v>
      </c>
      <c r="H59" s="47">
        <v>43161</v>
      </c>
      <c r="I59" s="47">
        <v>5629263</v>
      </c>
      <c r="J59" s="47">
        <v>40099</v>
      </c>
    </row>
    <row r="60" spans="1:10" x14ac:dyDescent="0.25">
      <c r="A60" s="118">
        <f t="shared" si="0"/>
        <v>43525</v>
      </c>
      <c r="B60" s="47">
        <v>2174909</v>
      </c>
      <c r="C60" s="47">
        <v>24842</v>
      </c>
      <c r="D60" s="47">
        <v>282</v>
      </c>
      <c r="E60" s="47">
        <v>0</v>
      </c>
      <c r="F60" s="47">
        <v>0</v>
      </c>
      <c r="G60" s="47">
        <v>1981815</v>
      </c>
      <c r="H60" s="47">
        <v>38185</v>
      </c>
      <c r="I60" s="47">
        <v>3867714</v>
      </c>
      <c r="J60" s="47">
        <v>27384</v>
      </c>
    </row>
    <row r="61" spans="1:10" x14ac:dyDescent="0.25">
      <c r="A61" s="118">
        <f t="shared" si="0"/>
        <v>43556</v>
      </c>
      <c r="B61" s="47">
        <v>1369843</v>
      </c>
      <c r="C61" s="47">
        <v>27307</v>
      </c>
      <c r="D61" s="47">
        <v>149</v>
      </c>
      <c r="E61" s="47">
        <v>0</v>
      </c>
      <c r="F61" s="47">
        <v>0</v>
      </c>
      <c r="G61" s="47">
        <v>768178</v>
      </c>
      <c r="H61" s="47">
        <v>31822</v>
      </c>
      <c r="I61" s="47">
        <v>1967953</v>
      </c>
      <c r="J61" s="47">
        <v>43490</v>
      </c>
    </row>
    <row r="62" spans="1:10" x14ac:dyDescent="0.25">
      <c r="A62" s="118">
        <f t="shared" si="0"/>
        <v>43586</v>
      </c>
      <c r="B62" s="47">
        <v>1062431</v>
      </c>
      <c r="C62" s="47">
        <v>32358</v>
      </c>
      <c r="D62" s="47">
        <v>101</v>
      </c>
      <c r="E62" s="47">
        <v>0</v>
      </c>
      <c r="F62" s="47">
        <v>0</v>
      </c>
      <c r="G62" s="47">
        <v>167608</v>
      </c>
      <c r="H62" s="47">
        <v>32392</v>
      </c>
      <c r="I62" s="47">
        <v>1107887</v>
      </c>
      <c r="J62" s="47">
        <v>39535</v>
      </c>
    </row>
    <row r="63" spans="1:10" x14ac:dyDescent="0.25">
      <c r="A63" s="118">
        <f t="shared" si="0"/>
        <v>43617</v>
      </c>
      <c r="B63" s="47">
        <v>2268369</v>
      </c>
      <c r="C63" s="47">
        <v>40554</v>
      </c>
      <c r="D63" s="47">
        <v>92</v>
      </c>
      <c r="E63" s="47">
        <v>900</v>
      </c>
      <c r="F63" s="47">
        <v>1434772</v>
      </c>
      <c r="G63" s="47">
        <v>0</v>
      </c>
      <c r="H63" s="47">
        <v>31772</v>
      </c>
      <c r="I63" s="47">
        <v>748216</v>
      </c>
      <c r="J63" s="47">
        <v>32444</v>
      </c>
    </row>
    <row r="64" spans="1:10" x14ac:dyDescent="0.25">
      <c r="A64" s="118">
        <f t="shared" si="0"/>
        <v>43647</v>
      </c>
      <c r="B64" s="47">
        <v>3648064</v>
      </c>
      <c r="C64" s="47">
        <v>42084</v>
      </c>
      <c r="D64" s="47">
        <v>143</v>
      </c>
      <c r="E64" s="47">
        <v>900</v>
      </c>
      <c r="F64" s="47">
        <v>2899907</v>
      </c>
      <c r="G64" s="47">
        <v>0</v>
      </c>
      <c r="H64" s="47">
        <v>42907</v>
      </c>
      <c r="I64" s="47">
        <v>672003</v>
      </c>
      <c r="J64" s="47">
        <v>28203</v>
      </c>
    </row>
    <row r="65" spans="1:10" x14ac:dyDescent="0.25">
      <c r="A65" s="118">
        <f t="shared" si="0"/>
        <v>43678</v>
      </c>
      <c r="B65" s="47">
        <v>3554108</v>
      </c>
      <c r="C65" s="47">
        <v>38339</v>
      </c>
      <c r="D65" s="47">
        <v>636</v>
      </c>
      <c r="E65" s="47">
        <v>3373</v>
      </c>
      <c r="F65" s="47">
        <v>2826752</v>
      </c>
      <c r="G65" s="47">
        <v>0</v>
      </c>
      <c r="H65" s="47">
        <v>46752</v>
      </c>
      <c r="I65" s="47">
        <v>654640</v>
      </c>
      <c r="J65" s="47">
        <v>26424</v>
      </c>
    </row>
    <row r="66" spans="1:10" x14ac:dyDescent="0.25">
      <c r="A66" s="118">
        <f t="shared" si="0"/>
        <v>43709</v>
      </c>
      <c r="B66" s="47">
        <v>3509954</v>
      </c>
      <c r="C66" s="47">
        <v>41958</v>
      </c>
      <c r="D66" s="47">
        <v>1627</v>
      </c>
      <c r="E66" s="47">
        <v>0</v>
      </c>
      <c r="F66" s="47">
        <v>2723123</v>
      </c>
      <c r="G66" s="47">
        <v>0</v>
      </c>
      <c r="H66" s="47">
        <v>53123</v>
      </c>
      <c r="I66" s="47">
        <v>703381</v>
      </c>
      <c r="J66" s="47">
        <v>43243</v>
      </c>
    </row>
    <row r="67" spans="1:10" x14ac:dyDescent="0.25">
      <c r="A67" s="118">
        <f t="shared" si="0"/>
        <v>43739</v>
      </c>
      <c r="B67" s="47">
        <v>3276217</v>
      </c>
      <c r="C67" s="47">
        <v>48541</v>
      </c>
      <c r="D67" s="47">
        <v>2006</v>
      </c>
      <c r="E67" s="47">
        <v>0</v>
      </c>
      <c r="F67" s="47">
        <v>1985561</v>
      </c>
      <c r="G67" s="47">
        <v>0</v>
      </c>
      <c r="H67" s="47">
        <v>55561</v>
      </c>
      <c r="I67" s="47">
        <v>1230186</v>
      </c>
      <c r="J67" s="47">
        <v>20722</v>
      </c>
    </row>
    <row r="68" spans="1:10" x14ac:dyDescent="0.25">
      <c r="A68" s="118">
        <f t="shared" si="0"/>
        <v>43770</v>
      </c>
      <c r="B68" s="47">
        <v>3472948</v>
      </c>
      <c r="C68" s="47">
        <v>51046</v>
      </c>
      <c r="D68" s="47">
        <v>636</v>
      </c>
      <c r="E68" s="47">
        <v>464</v>
      </c>
      <c r="F68" s="47">
        <v>257487</v>
      </c>
      <c r="G68" s="47">
        <v>200000</v>
      </c>
      <c r="H68" s="47">
        <v>57487</v>
      </c>
      <c r="I68" s="47">
        <v>3297396</v>
      </c>
      <c r="J68" s="47">
        <v>24305</v>
      </c>
    </row>
    <row r="69" spans="1:10" x14ac:dyDescent="0.25">
      <c r="A69" s="118">
        <f t="shared" si="0"/>
        <v>43800</v>
      </c>
      <c r="B69" s="47">
        <v>3246280</v>
      </c>
      <c r="C69" s="47">
        <v>40285</v>
      </c>
      <c r="D69" s="47">
        <v>1627</v>
      </c>
      <c r="E69" s="47">
        <v>0</v>
      </c>
      <c r="F69" s="47">
        <v>0</v>
      </c>
      <c r="G69" s="47">
        <v>2146888</v>
      </c>
      <c r="H69" s="47">
        <v>53112</v>
      </c>
      <c r="I69" s="47">
        <v>5089967</v>
      </c>
      <c r="J69" s="47">
        <v>35156</v>
      </c>
    </row>
    <row r="70" spans="1:10" x14ac:dyDescent="0.25">
      <c r="A70" s="118">
        <f t="shared" si="0"/>
        <v>43831</v>
      </c>
      <c r="B70" s="47">
        <v>3748989</v>
      </c>
      <c r="C70" s="47">
        <v>12250</v>
      </c>
      <c r="D70" s="47">
        <v>2006</v>
      </c>
      <c r="E70" s="47">
        <v>989</v>
      </c>
      <c r="F70" s="47">
        <v>0</v>
      </c>
      <c r="G70" s="47">
        <v>3082632</v>
      </c>
      <c r="H70" s="47">
        <v>47368</v>
      </c>
      <c r="I70" s="47">
        <v>6375678</v>
      </c>
      <c r="J70" s="47">
        <v>40389</v>
      </c>
    </row>
    <row r="71" spans="1:10" x14ac:dyDescent="0.25">
      <c r="A71" s="118">
        <f t="shared" si="0"/>
        <v>43862</v>
      </c>
      <c r="B71" s="47">
        <v>2832104</v>
      </c>
      <c r="C71" s="47">
        <v>10395</v>
      </c>
      <c r="D71" s="47">
        <v>1832</v>
      </c>
      <c r="E71" s="47">
        <v>0</v>
      </c>
      <c r="F71" s="47">
        <v>0</v>
      </c>
      <c r="G71" s="47">
        <v>2959821</v>
      </c>
      <c r="H71" s="47">
        <v>40179</v>
      </c>
      <c r="I71" s="47">
        <v>5380615</v>
      </c>
      <c r="J71" s="47">
        <v>33710</v>
      </c>
    </row>
    <row r="72" spans="1:10" x14ac:dyDescent="0.25">
      <c r="A72" s="118">
        <f t="shared" si="0"/>
        <v>43891</v>
      </c>
      <c r="B72" s="47">
        <v>1863341</v>
      </c>
      <c r="C72" s="47">
        <v>24943</v>
      </c>
      <c r="D72" s="47">
        <v>2226</v>
      </c>
      <c r="E72" s="47">
        <v>464</v>
      </c>
      <c r="F72" s="47">
        <v>0</v>
      </c>
      <c r="G72" s="47">
        <v>2185443</v>
      </c>
      <c r="H72" s="47">
        <v>34557</v>
      </c>
      <c r="I72" s="47">
        <v>3752856</v>
      </c>
      <c r="J72" s="47">
        <v>33788</v>
      </c>
    </row>
    <row r="73" spans="1:10" x14ac:dyDescent="0.25">
      <c r="A73" s="118">
        <f t="shared" si="0"/>
        <v>43922</v>
      </c>
      <c r="B73" s="47">
        <v>1274063</v>
      </c>
      <c r="C73" s="47">
        <v>40239</v>
      </c>
      <c r="D73" s="47">
        <v>1039</v>
      </c>
      <c r="E73" s="47">
        <v>0</v>
      </c>
      <c r="F73" s="47">
        <v>0</v>
      </c>
      <c r="G73" s="47">
        <v>771112</v>
      </c>
      <c r="H73" s="47">
        <v>28888</v>
      </c>
      <c r="I73" s="47">
        <v>1892568</v>
      </c>
      <c r="J73" s="47">
        <v>25919</v>
      </c>
    </row>
    <row r="74" spans="1:10" x14ac:dyDescent="0.25">
      <c r="A74" s="118">
        <f>EDATE(A73,1)</f>
        <v>43952</v>
      </c>
      <c r="B74" s="47">
        <v>953468</v>
      </c>
      <c r="C74" s="47">
        <v>44778</v>
      </c>
      <c r="D74" s="47">
        <v>362</v>
      </c>
      <c r="E74" s="47">
        <v>0</v>
      </c>
      <c r="F74" s="47">
        <v>0</v>
      </c>
      <c r="G74" s="47">
        <v>171738</v>
      </c>
      <c r="H74" s="47">
        <v>28262</v>
      </c>
      <c r="I74" s="47">
        <v>1009482</v>
      </c>
      <c r="J74" s="47">
        <v>32926</v>
      </c>
    </row>
    <row r="75" spans="1:10" x14ac:dyDescent="0.25">
      <c r="A75" s="118">
        <f t="shared" si="0"/>
        <v>43983</v>
      </c>
      <c r="B75" s="47">
        <v>2139669</v>
      </c>
      <c r="C75" s="47">
        <v>53456</v>
      </c>
      <c r="D75" s="47">
        <v>282</v>
      </c>
      <c r="E75" s="47">
        <v>866</v>
      </c>
      <c r="F75" s="47">
        <v>1372723</v>
      </c>
      <c r="G75" s="47">
        <v>0</v>
      </c>
      <c r="H75" s="47">
        <v>29723</v>
      </c>
      <c r="I75" s="47">
        <v>683362</v>
      </c>
      <c r="J75" s="47">
        <v>30168</v>
      </c>
    </row>
    <row r="76" spans="1:10" x14ac:dyDescent="0.25">
      <c r="A76" s="118">
        <f t="shared" ref="A76:A139" si="1">EDATE(A75,1)</f>
        <v>44013</v>
      </c>
      <c r="B76" s="47">
        <v>3494306</v>
      </c>
      <c r="C76" s="47">
        <v>47272</v>
      </c>
      <c r="D76" s="47">
        <v>149</v>
      </c>
      <c r="E76" s="47">
        <v>0</v>
      </c>
      <c r="F76" s="47">
        <v>2780384</v>
      </c>
      <c r="G76" s="47">
        <v>0</v>
      </c>
      <c r="H76" s="47">
        <v>35884</v>
      </c>
      <c r="I76" s="47">
        <v>627042</v>
      </c>
      <c r="J76" s="47">
        <v>39954</v>
      </c>
    </row>
    <row r="77" spans="1:10" x14ac:dyDescent="0.25">
      <c r="A77" s="118">
        <f t="shared" si="1"/>
        <v>44044</v>
      </c>
      <c r="B77" s="47">
        <v>3514812</v>
      </c>
      <c r="C77" s="47">
        <v>50430</v>
      </c>
      <c r="D77" s="47">
        <v>101</v>
      </c>
      <c r="E77" s="47">
        <v>1732</v>
      </c>
      <c r="F77" s="47">
        <v>2820023</v>
      </c>
      <c r="G77" s="47">
        <v>0</v>
      </c>
      <c r="H77" s="47">
        <v>42523</v>
      </c>
      <c r="I77" s="47">
        <v>621113</v>
      </c>
      <c r="J77" s="47">
        <v>30022</v>
      </c>
    </row>
    <row r="78" spans="1:10" x14ac:dyDescent="0.25">
      <c r="A78" s="118">
        <f t="shared" si="1"/>
        <v>44075</v>
      </c>
      <c r="B78" s="47">
        <v>3474065</v>
      </c>
      <c r="C78" s="47">
        <v>53449</v>
      </c>
      <c r="D78" s="47">
        <v>92</v>
      </c>
      <c r="E78" s="47">
        <v>0</v>
      </c>
      <c r="F78" s="47">
        <v>2633176</v>
      </c>
      <c r="G78" s="47">
        <v>0</v>
      </c>
      <c r="H78" s="47">
        <v>45676</v>
      </c>
      <c r="I78" s="47">
        <v>774342</v>
      </c>
      <c r="J78" s="47">
        <v>28408</v>
      </c>
    </row>
    <row r="79" spans="1:10" x14ac:dyDescent="0.25">
      <c r="A79" s="118">
        <f t="shared" si="1"/>
        <v>44105</v>
      </c>
      <c r="B79" s="47">
        <v>3712223</v>
      </c>
      <c r="C79" s="47">
        <v>58880</v>
      </c>
      <c r="D79" s="47">
        <v>143</v>
      </c>
      <c r="E79" s="47">
        <v>0</v>
      </c>
      <c r="F79" s="47">
        <v>2151711</v>
      </c>
      <c r="G79" s="47">
        <v>0</v>
      </c>
      <c r="H79" s="47">
        <v>54211</v>
      </c>
      <c r="I79" s="47">
        <v>1500368</v>
      </c>
      <c r="J79" s="47">
        <v>22488</v>
      </c>
    </row>
    <row r="80" spans="1:10" x14ac:dyDescent="0.25">
      <c r="A80" s="118">
        <f t="shared" si="1"/>
        <v>44136</v>
      </c>
      <c r="B80" s="47">
        <v>3728800</v>
      </c>
      <c r="C80" s="47">
        <v>59677</v>
      </c>
      <c r="D80" s="47">
        <v>636</v>
      </c>
      <c r="E80" s="47">
        <v>0</v>
      </c>
      <c r="F80" s="47">
        <v>255622</v>
      </c>
      <c r="G80" s="47">
        <v>200000</v>
      </c>
      <c r="H80" s="47">
        <v>55622</v>
      </c>
      <c r="I80" s="47">
        <v>3559226</v>
      </c>
      <c r="J80" s="47">
        <v>20656</v>
      </c>
    </row>
    <row r="81" spans="1:10" x14ac:dyDescent="0.25">
      <c r="A81" s="118">
        <f t="shared" si="1"/>
        <v>44166</v>
      </c>
      <c r="B81" s="47">
        <v>3260300</v>
      </c>
      <c r="C81" s="47">
        <v>34584</v>
      </c>
      <c r="D81" s="47">
        <v>1627</v>
      </c>
      <c r="E81" s="47">
        <v>1008</v>
      </c>
      <c r="F81" s="47">
        <v>0</v>
      </c>
      <c r="G81" s="47">
        <v>2145815</v>
      </c>
      <c r="H81" s="47">
        <v>54185</v>
      </c>
      <c r="I81" s="47">
        <v>5097700</v>
      </c>
      <c r="J81" s="47">
        <v>39362</v>
      </c>
    </row>
    <row r="82" spans="1:10" x14ac:dyDescent="0.25">
      <c r="A82" s="118">
        <f t="shared" si="1"/>
        <v>44197</v>
      </c>
      <c r="B82" s="47">
        <v>3820887</v>
      </c>
      <c r="C82" s="47">
        <v>19473</v>
      </c>
      <c r="D82" s="47">
        <v>2006</v>
      </c>
      <c r="E82" s="47">
        <v>0</v>
      </c>
      <c r="F82" s="47">
        <v>0</v>
      </c>
      <c r="G82" s="47">
        <v>3084620</v>
      </c>
      <c r="H82" s="47">
        <v>45380</v>
      </c>
      <c r="I82" s="47">
        <v>6466594</v>
      </c>
      <c r="J82" s="47">
        <v>24349</v>
      </c>
    </row>
    <row r="83" spans="1:10" x14ac:dyDescent="0.25">
      <c r="A83" s="118">
        <f t="shared" si="1"/>
        <v>44228</v>
      </c>
      <c r="B83" s="47">
        <v>2486675</v>
      </c>
      <c r="C83" s="47">
        <v>22494</v>
      </c>
      <c r="D83" s="47">
        <v>1769</v>
      </c>
      <c r="E83" s="47">
        <v>0</v>
      </c>
      <c r="F83" s="47">
        <v>0</v>
      </c>
      <c r="G83" s="47">
        <v>2962523</v>
      </c>
      <c r="H83" s="47">
        <v>37477</v>
      </c>
      <c r="I83" s="47">
        <v>5047723</v>
      </c>
      <c r="J83" s="47">
        <v>26249</v>
      </c>
    </row>
    <row r="84" spans="1:10" x14ac:dyDescent="0.25">
      <c r="A84" s="118">
        <f t="shared" si="1"/>
        <v>44256</v>
      </c>
      <c r="B84" s="47">
        <v>2046291</v>
      </c>
      <c r="C84" s="47">
        <v>39599</v>
      </c>
      <c r="D84" s="47">
        <v>2226</v>
      </c>
      <c r="E84" s="47">
        <v>2125</v>
      </c>
      <c r="F84" s="47">
        <v>0</v>
      </c>
      <c r="G84" s="47">
        <v>2117711</v>
      </c>
      <c r="H84" s="47">
        <v>32289</v>
      </c>
      <c r="I84" s="47">
        <v>3876884</v>
      </c>
      <c r="J84" s="47">
        <v>23317</v>
      </c>
    </row>
    <row r="85" spans="1:10" x14ac:dyDescent="0.25">
      <c r="A85" s="118">
        <f t="shared" si="1"/>
        <v>44287</v>
      </c>
      <c r="B85" s="47">
        <v>1186950</v>
      </c>
      <c r="C85" s="47">
        <v>41731</v>
      </c>
      <c r="D85" s="47">
        <v>1039</v>
      </c>
      <c r="E85" s="47">
        <v>945</v>
      </c>
      <c r="F85" s="47">
        <v>0</v>
      </c>
      <c r="G85" s="47">
        <v>770940</v>
      </c>
      <c r="H85" s="47">
        <v>29060</v>
      </c>
      <c r="I85" s="47">
        <v>1807926</v>
      </c>
      <c r="J85" s="47">
        <v>22331</v>
      </c>
    </row>
    <row r="86" spans="1:10" x14ac:dyDescent="0.25">
      <c r="A86" s="118">
        <f t="shared" si="1"/>
        <v>44317</v>
      </c>
      <c r="B86" s="47">
        <v>897087</v>
      </c>
      <c r="C86" s="47">
        <v>41370</v>
      </c>
      <c r="D86" s="47">
        <v>362</v>
      </c>
      <c r="E86" s="47">
        <v>0</v>
      </c>
      <c r="F86" s="47">
        <v>0</v>
      </c>
      <c r="G86" s="47">
        <v>171919</v>
      </c>
      <c r="H86" s="47">
        <v>28081</v>
      </c>
      <c r="I86" s="47">
        <v>963877</v>
      </c>
      <c r="J86" s="47">
        <v>22331</v>
      </c>
    </row>
    <row r="87" spans="1:10" x14ac:dyDescent="0.25">
      <c r="A87" s="118">
        <f t="shared" si="1"/>
        <v>44348</v>
      </c>
      <c r="B87" s="47">
        <v>2210409</v>
      </c>
      <c r="C87" s="47">
        <v>42137</v>
      </c>
      <c r="D87" s="47">
        <v>282</v>
      </c>
      <c r="E87" s="47">
        <v>1543</v>
      </c>
      <c r="F87" s="47">
        <v>1492886</v>
      </c>
      <c r="G87" s="47">
        <v>0</v>
      </c>
      <c r="H87" s="47">
        <v>29886</v>
      </c>
      <c r="I87" s="47">
        <v>641098</v>
      </c>
      <c r="J87" s="47">
        <v>22331</v>
      </c>
    </row>
    <row r="88" spans="1:10" x14ac:dyDescent="0.25">
      <c r="A88" s="118">
        <f t="shared" si="1"/>
        <v>44378</v>
      </c>
      <c r="B88" s="47">
        <v>3368819</v>
      </c>
      <c r="C88" s="47">
        <v>34657</v>
      </c>
      <c r="D88" s="47">
        <v>149</v>
      </c>
      <c r="E88" s="47">
        <v>3527</v>
      </c>
      <c r="F88" s="47">
        <v>2733566</v>
      </c>
      <c r="G88" s="47">
        <v>0</v>
      </c>
      <c r="H88" s="47">
        <v>36566</v>
      </c>
      <c r="I88" s="47">
        <v>562469</v>
      </c>
      <c r="J88" s="47">
        <v>22331</v>
      </c>
    </row>
    <row r="89" spans="1:10" x14ac:dyDescent="0.25">
      <c r="A89" s="118">
        <f t="shared" si="1"/>
        <v>44409</v>
      </c>
      <c r="B89" s="47">
        <v>3418734</v>
      </c>
      <c r="C89" s="47">
        <v>44030</v>
      </c>
      <c r="D89" s="47">
        <v>101</v>
      </c>
      <c r="E89" s="47">
        <v>1763</v>
      </c>
      <c r="F89" s="47">
        <v>2772846</v>
      </c>
      <c r="G89" s="47">
        <v>0</v>
      </c>
      <c r="H89" s="47">
        <v>42846</v>
      </c>
      <c r="I89" s="47">
        <v>579871</v>
      </c>
      <c r="J89" s="47">
        <v>22331</v>
      </c>
    </row>
    <row r="90" spans="1:10" x14ac:dyDescent="0.25">
      <c r="A90" s="118">
        <f t="shared" si="1"/>
        <v>44440</v>
      </c>
      <c r="B90" s="47">
        <v>3388318</v>
      </c>
      <c r="C90" s="47">
        <v>56001</v>
      </c>
      <c r="D90" s="47">
        <v>92</v>
      </c>
      <c r="E90" s="47">
        <v>0</v>
      </c>
      <c r="F90" s="47">
        <v>2588088</v>
      </c>
      <c r="G90" s="47">
        <v>0</v>
      </c>
      <c r="H90" s="47">
        <v>48088</v>
      </c>
      <c r="I90" s="47">
        <v>742399</v>
      </c>
      <c r="J90" s="47">
        <v>19692</v>
      </c>
    </row>
    <row r="91" spans="1:10" x14ac:dyDescent="0.25">
      <c r="A91" s="118">
        <f t="shared" si="1"/>
        <v>44470</v>
      </c>
      <c r="B91" s="47">
        <v>3662012</v>
      </c>
      <c r="C91" s="47">
        <v>60160</v>
      </c>
      <c r="D91" s="47">
        <v>143</v>
      </c>
      <c r="E91" s="47">
        <v>1653</v>
      </c>
      <c r="F91" s="47">
        <v>2103097</v>
      </c>
      <c r="G91" s="47">
        <v>0</v>
      </c>
      <c r="H91" s="47">
        <v>53097</v>
      </c>
      <c r="I91" s="47">
        <v>1492868</v>
      </c>
      <c r="J91" s="47">
        <v>26739</v>
      </c>
    </row>
    <row r="92" spans="1:10" x14ac:dyDescent="0.25">
      <c r="A92" s="611">
        <f t="shared" si="1"/>
        <v>44501</v>
      </c>
      <c r="B92" s="677">
        <v>3386336</v>
      </c>
      <c r="C92" s="677">
        <v>65157</v>
      </c>
      <c r="D92" s="677">
        <v>636</v>
      </c>
      <c r="E92" s="677">
        <v>0</v>
      </c>
      <c r="F92" s="677">
        <v>253288</v>
      </c>
      <c r="G92" s="677">
        <v>200000</v>
      </c>
      <c r="H92" s="677">
        <v>53288</v>
      </c>
      <c r="I92" s="677">
        <v>3219568</v>
      </c>
      <c r="J92" s="677">
        <v>22347</v>
      </c>
    </row>
    <row r="93" spans="1:10" x14ac:dyDescent="0.25">
      <c r="A93" s="611">
        <f t="shared" si="1"/>
        <v>44531</v>
      </c>
      <c r="B93" s="677">
        <v>3238708</v>
      </c>
      <c r="C93" s="677">
        <v>51906</v>
      </c>
      <c r="D93" s="677">
        <v>1627</v>
      </c>
      <c r="E93" s="677">
        <v>0</v>
      </c>
      <c r="F93" s="677">
        <v>0</v>
      </c>
      <c r="G93" s="677">
        <v>2147584</v>
      </c>
      <c r="H93" s="677">
        <v>52416</v>
      </c>
      <c r="I93" s="677">
        <v>5117483</v>
      </c>
      <c r="J93" s="677">
        <v>19678</v>
      </c>
    </row>
    <row r="94" spans="1:10" x14ac:dyDescent="0.25">
      <c r="A94" s="611">
        <f t="shared" si="1"/>
        <v>44562</v>
      </c>
      <c r="B94" s="677">
        <v>3117301</v>
      </c>
      <c r="C94" s="677">
        <v>42306</v>
      </c>
      <c r="D94" s="677">
        <v>2006</v>
      </c>
      <c r="E94" s="677">
        <v>0</v>
      </c>
      <c r="F94" s="677">
        <v>0</v>
      </c>
      <c r="G94" s="677">
        <v>3375621</v>
      </c>
      <c r="H94" s="677">
        <v>44379</v>
      </c>
      <c r="I94" s="677">
        <v>6081812</v>
      </c>
      <c r="J94" s="677">
        <v>19233</v>
      </c>
    </row>
    <row r="95" spans="1:10" x14ac:dyDescent="0.25">
      <c r="A95" s="611">
        <f t="shared" si="1"/>
        <v>44593</v>
      </c>
      <c r="B95" s="677">
        <v>2396930</v>
      </c>
      <c r="C95" s="677">
        <v>43450</v>
      </c>
      <c r="D95" s="677">
        <v>1769</v>
      </c>
      <c r="E95" s="677">
        <v>0</v>
      </c>
      <c r="F95" s="677">
        <v>0</v>
      </c>
      <c r="G95" s="677">
        <v>3088247</v>
      </c>
      <c r="H95" s="677">
        <v>41753</v>
      </c>
      <c r="I95" s="677">
        <v>5108861</v>
      </c>
      <c r="J95" s="677">
        <v>22846</v>
      </c>
    </row>
    <row r="96" spans="1:10" x14ac:dyDescent="0.25">
      <c r="A96" s="611">
        <f t="shared" si="1"/>
        <v>44621</v>
      </c>
      <c r="B96" s="677">
        <v>2448478</v>
      </c>
      <c r="C96" s="677">
        <v>61771</v>
      </c>
      <c r="D96" s="677">
        <v>2226</v>
      </c>
      <c r="E96" s="677">
        <v>0</v>
      </c>
      <c r="F96" s="677">
        <v>0</v>
      </c>
      <c r="G96" s="677">
        <v>1856482</v>
      </c>
      <c r="H96" s="677">
        <v>33518</v>
      </c>
      <c r="I96" s="677">
        <v>4024853</v>
      </c>
      <c r="J96" s="677">
        <v>18361</v>
      </c>
    </row>
    <row r="97" spans="1:10" x14ac:dyDescent="0.25">
      <c r="A97" s="611">
        <f t="shared" si="1"/>
        <v>44652</v>
      </c>
      <c r="B97" s="677">
        <v>1476059</v>
      </c>
      <c r="C97" s="677">
        <v>69194</v>
      </c>
      <c r="D97" s="677">
        <v>1039</v>
      </c>
      <c r="E97" s="677">
        <v>0</v>
      </c>
      <c r="F97" s="677">
        <v>0</v>
      </c>
      <c r="G97" s="677">
        <v>769095</v>
      </c>
      <c r="H97" s="677">
        <v>30905</v>
      </c>
      <c r="I97" s="677">
        <v>2102071</v>
      </c>
      <c r="J97" s="677">
        <v>18471</v>
      </c>
    </row>
    <row r="98" spans="1:10" x14ac:dyDescent="0.25">
      <c r="A98" s="611">
        <f t="shared" si="1"/>
        <v>44682</v>
      </c>
      <c r="B98" s="677">
        <v>1121707</v>
      </c>
      <c r="C98" s="677">
        <v>74775</v>
      </c>
      <c r="D98" s="677">
        <v>362</v>
      </c>
      <c r="E98" s="677">
        <v>0</v>
      </c>
      <c r="F98" s="677">
        <v>0</v>
      </c>
      <c r="G98" s="677">
        <v>169546</v>
      </c>
      <c r="H98" s="677">
        <v>30454</v>
      </c>
      <c r="I98" s="677">
        <v>1191368</v>
      </c>
      <c r="J98" s="677">
        <v>17490</v>
      </c>
    </row>
    <row r="99" spans="1:10" x14ac:dyDescent="0.25">
      <c r="A99" s="611">
        <f t="shared" si="1"/>
        <v>44713</v>
      </c>
      <c r="B99" s="677">
        <v>2311942</v>
      </c>
      <c r="C99" s="677">
        <v>58510</v>
      </c>
      <c r="D99" s="677">
        <v>282</v>
      </c>
      <c r="E99" s="677">
        <v>0</v>
      </c>
      <c r="F99" s="677">
        <v>1505957</v>
      </c>
      <c r="G99" s="677">
        <v>0</v>
      </c>
      <c r="H99" s="677">
        <v>27990</v>
      </c>
      <c r="I99" s="677">
        <v>736290</v>
      </c>
      <c r="J99" s="677">
        <v>16509</v>
      </c>
    </row>
    <row r="100" spans="1:10" x14ac:dyDescent="0.25">
      <c r="A100" s="611">
        <f t="shared" si="1"/>
        <v>44743</v>
      </c>
      <c r="B100" s="677">
        <v>3528878</v>
      </c>
      <c r="C100" s="677">
        <v>55216</v>
      </c>
      <c r="D100" s="677">
        <v>149</v>
      </c>
      <c r="E100" s="677">
        <v>0</v>
      </c>
      <c r="F100" s="677">
        <v>2793849</v>
      </c>
      <c r="G100" s="677">
        <v>0</v>
      </c>
      <c r="H100" s="677">
        <v>37849</v>
      </c>
      <c r="I100" s="677">
        <v>670263</v>
      </c>
      <c r="J100" s="677">
        <v>17490</v>
      </c>
    </row>
    <row r="101" spans="1:10" x14ac:dyDescent="0.25">
      <c r="A101" s="611">
        <f t="shared" si="1"/>
        <v>44774</v>
      </c>
      <c r="B101" s="677">
        <v>3534449</v>
      </c>
      <c r="C101" s="677">
        <v>73156</v>
      </c>
      <c r="D101" s="677">
        <v>101</v>
      </c>
      <c r="E101" s="677">
        <v>0</v>
      </c>
      <c r="F101" s="677">
        <v>2157000</v>
      </c>
      <c r="G101" s="677">
        <v>0</v>
      </c>
      <c r="H101" s="677">
        <v>62543</v>
      </c>
      <c r="I101" s="677">
        <v>671507</v>
      </c>
      <c r="J101" s="677">
        <v>17490</v>
      </c>
    </row>
    <row r="102" spans="1:10" x14ac:dyDescent="0.25">
      <c r="A102" s="611">
        <f t="shared" si="1"/>
        <v>44805</v>
      </c>
      <c r="B102" s="677">
        <v>3462104</v>
      </c>
      <c r="C102" s="677">
        <v>74365</v>
      </c>
      <c r="D102" s="677">
        <v>92</v>
      </c>
      <c r="E102" s="677">
        <v>0</v>
      </c>
      <c r="F102" s="677">
        <v>2084000</v>
      </c>
      <c r="G102" s="677">
        <v>0</v>
      </c>
      <c r="H102" s="677">
        <v>47932</v>
      </c>
      <c r="I102" s="677">
        <v>783136</v>
      </c>
      <c r="J102" s="677">
        <v>15683</v>
      </c>
    </row>
    <row r="103" spans="1:10" x14ac:dyDescent="0.25">
      <c r="A103" s="611">
        <f t="shared" si="1"/>
        <v>44835</v>
      </c>
      <c r="B103" s="677">
        <v>3780533</v>
      </c>
      <c r="C103" s="677">
        <v>80684</v>
      </c>
      <c r="D103" s="677">
        <v>143</v>
      </c>
      <c r="E103" s="677">
        <v>0</v>
      </c>
      <c r="F103" s="677">
        <v>1800000</v>
      </c>
      <c r="G103" s="677">
        <v>0</v>
      </c>
      <c r="H103" s="677">
        <v>51814</v>
      </c>
      <c r="I103" s="677">
        <v>1580455</v>
      </c>
      <c r="J103" s="677">
        <v>16417</v>
      </c>
    </row>
    <row r="104" spans="1:10" x14ac:dyDescent="0.25">
      <c r="A104" s="483">
        <f t="shared" si="1"/>
        <v>44866</v>
      </c>
      <c r="B104" s="718">
        <v>3452225</v>
      </c>
      <c r="C104" s="718">
        <v>60350</v>
      </c>
      <c r="D104" s="718">
        <v>636</v>
      </c>
      <c r="E104" s="718">
        <v>0</v>
      </c>
      <c r="F104" s="718">
        <v>252894</v>
      </c>
      <c r="G104" s="718">
        <v>200000</v>
      </c>
      <c r="H104" s="718">
        <v>52894</v>
      </c>
      <c r="I104" s="718">
        <v>3284877</v>
      </c>
      <c r="J104" s="718">
        <v>23182</v>
      </c>
    </row>
    <row r="105" spans="1:10" x14ac:dyDescent="0.25">
      <c r="A105" s="483">
        <f t="shared" si="1"/>
        <v>44896</v>
      </c>
      <c r="B105" s="718">
        <v>3585772</v>
      </c>
      <c r="C105" s="718">
        <v>52336</v>
      </c>
      <c r="D105" s="718">
        <v>1627</v>
      </c>
      <c r="E105" s="718">
        <v>0</v>
      </c>
      <c r="F105" s="718">
        <v>0</v>
      </c>
      <c r="G105" s="718">
        <v>1791334</v>
      </c>
      <c r="H105" s="718">
        <v>54011</v>
      </c>
      <c r="I105" s="718">
        <v>5110180</v>
      </c>
      <c r="J105" s="718">
        <v>19340</v>
      </c>
    </row>
    <row r="106" spans="1:10" x14ac:dyDescent="0.25">
      <c r="A106" s="483">
        <f t="shared" si="1"/>
        <v>44927</v>
      </c>
      <c r="B106" s="718">
        <v>3813027</v>
      </c>
      <c r="C106" s="718">
        <v>49547</v>
      </c>
      <c r="D106" s="718">
        <v>2006</v>
      </c>
      <c r="E106" s="718">
        <v>0</v>
      </c>
      <c r="F106" s="718">
        <v>0</v>
      </c>
      <c r="G106" s="718">
        <v>2750220</v>
      </c>
      <c r="H106" s="718">
        <v>13530</v>
      </c>
      <c r="I106" s="718">
        <v>6151729</v>
      </c>
      <c r="J106" s="718">
        <v>17725</v>
      </c>
    </row>
    <row r="107" spans="1:10" x14ac:dyDescent="0.25">
      <c r="A107" s="483">
        <f t="shared" si="1"/>
        <v>44958</v>
      </c>
      <c r="B107" s="718">
        <v>2914569</v>
      </c>
      <c r="C107" s="718">
        <v>41439</v>
      </c>
      <c r="D107" s="718">
        <v>1769</v>
      </c>
      <c r="E107" s="718">
        <v>0</v>
      </c>
      <c r="F107" s="718">
        <v>0</v>
      </c>
      <c r="G107" s="718">
        <v>2609847</v>
      </c>
      <c r="H107" s="718">
        <v>13903</v>
      </c>
      <c r="I107" s="718">
        <v>5151024</v>
      </c>
      <c r="J107" s="718">
        <v>17443</v>
      </c>
    </row>
    <row r="108" spans="1:10" x14ac:dyDescent="0.25">
      <c r="A108" s="483">
        <f t="shared" si="1"/>
        <v>44986</v>
      </c>
      <c r="B108" s="718">
        <v>2788604</v>
      </c>
      <c r="C108" s="718">
        <v>61564</v>
      </c>
      <c r="D108" s="718">
        <v>2226</v>
      </c>
      <c r="E108" s="718">
        <v>0</v>
      </c>
      <c r="F108" s="718">
        <v>0</v>
      </c>
      <c r="G108" s="718">
        <v>1372058</v>
      </c>
      <c r="H108" s="718">
        <v>11692</v>
      </c>
      <c r="I108" s="718">
        <v>3881113</v>
      </c>
      <c r="J108" s="718">
        <v>18632</v>
      </c>
    </row>
    <row r="109" spans="1:10" x14ac:dyDescent="0.25">
      <c r="A109" s="483">
        <f t="shared" si="1"/>
        <v>45017</v>
      </c>
      <c r="B109" s="718">
        <v>1444082</v>
      </c>
      <c r="C109" s="718">
        <v>70312</v>
      </c>
      <c r="D109" s="718">
        <v>1039</v>
      </c>
      <c r="E109" s="718">
        <v>0</v>
      </c>
      <c r="F109" s="718">
        <v>0</v>
      </c>
      <c r="G109" s="718">
        <v>682828</v>
      </c>
      <c r="H109" s="718">
        <v>10922</v>
      </c>
      <c r="I109" s="718">
        <v>1985223</v>
      </c>
      <c r="J109" s="718">
        <v>17292</v>
      </c>
    </row>
    <row r="110" spans="1:10" x14ac:dyDescent="0.25">
      <c r="A110" s="483">
        <f t="shared" si="1"/>
        <v>45047</v>
      </c>
      <c r="B110" s="718">
        <v>917653</v>
      </c>
      <c r="C110" s="718">
        <v>64367</v>
      </c>
      <c r="D110" s="718">
        <v>362</v>
      </c>
      <c r="E110" s="718">
        <v>0</v>
      </c>
      <c r="F110" s="718">
        <v>0</v>
      </c>
      <c r="G110" s="718">
        <v>283869</v>
      </c>
      <c r="H110" s="718">
        <v>9881</v>
      </c>
      <c r="I110" s="718">
        <v>1099875</v>
      </c>
      <c r="J110" s="718">
        <v>19259</v>
      </c>
    </row>
    <row r="111" spans="1:10" x14ac:dyDescent="0.25">
      <c r="A111" s="483">
        <f t="shared" si="1"/>
        <v>45078</v>
      </c>
      <c r="B111" s="718">
        <v>2264177</v>
      </c>
      <c r="C111" s="718">
        <v>59256</v>
      </c>
      <c r="D111" s="718">
        <v>282</v>
      </c>
      <c r="E111" s="718">
        <v>0</v>
      </c>
      <c r="F111" s="718">
        <v>1462720</v>
      </c>
      <c r="G111" s="718">
        <v>0</v>
      </c>
      <c r="H111" s="718">
        <v>9570</v>
      </c>
      <c r="I111" s="718">
        <v>725702</v>
      </c>
      <c r="J111" s="718">
        <v>22537</v>
      </c>
    </row>
    <row r="112" spans="1:10" x14ac:dyDescent="0.25">
      <c r="A112" s="483">
        <f t="shared" si="1"/>
        <v>45108</v>
      </c>
      <c r="B112" s="718">
        <v>2944627</v>
      </c>
      <c r="C112" s="718">
        <v>54515</v>
      </c>
      <c r="D112" s="718">
        <v>149</v>
      </c>
      <c r="E112" s="718">
        <v>0</v>
      </c>
      <c r="F112" s="718">
        <v>2165482</v>
      </c>
      <c r="G112" s="718">
        <v>0</v>
      </c>
      <c r="H112" s="718">
        <v>9482</v>
      </c>
      <c r="I112" s="718">
        <v>715511</v>
      </c>
      <c r="J112" s="718">
        <v>16358</v>
      </c>
    </row>
    <row r="113" spans="1:10" x14ac:dyDescent="0.25">
      <c r="A113" s="483">
        <f t="shared" si="1"/>
        <v>45139</v>
      </c>
      <c r="B113" s="718">
        <v>2861296</v>
      </c>
      <c r="C113" s="718">
        <v>55430</v>
      </c>
      <c r="D113" s="718">
        <v>101</v>
      </c>
      <c r="E113" s="718">
        <v>0</v>
      </c>
      <c r="F113" s="718">
        <v>2129482</v>
      </c>
      <c r="G113" s="718">
        <v>0</v>
      </c>
      <c r="H113" s="718">
        <v>9482</v>
      </c>
      <c r="I113" s="718">
        <v>675736</v>
      </c>
      <c r="J113" s="718">
        <v>13169</v>
      </c>
    </row>
    <row r="114" spans="1:10" x14ac:dyDescent="0.25">
      <c r="A114" s="483">
        <f t="shared" si="1"/>
        <v>45170</v>
      </c>
      <c r="B114" s="718">
        <v>2797257</v>
      </c>
      <c r="C114" s="718">
        <v>61481</v>
      </c>
      <c r="D114" s="718">
        <v>92</v>
      </c>
      <c r="E114" s="718">
        <v>0</v>
      </c>
      <c r="F114" s="718">
        <v>1993823</v>
      </c>
      <c r="G114" s="718">
        <v>0</v>
      </c>
      <c r="H114" s="718">
        <v>9453</v>
      </c>
      <c r="I114" s="718">
        <v>744945</v>
      </c>
      <c r="J114" s="718">
        <v>17952</v>
      </c>
    </row>
    <row r="115" spans="1:10" x14ac:dyDescent="0.25">
      <c r="A115" s="483">
        <f t="shared" si="1"/>
        <v>45200</v>
      </c>
      <c r="B115" s="718">
        <v>2930174</v>
      </c>
      <c r="C115" s="718">
        <v>73931</v>
      </c>
      <c r="D115" s="718">
        <v>143</v>
      </c>
      <c r="E115" s="718">
        <v>0</v>
      </c>
      <c r="F115" s="718">
        <v>1336328</v>
      </c>
      <c r="G115" s="718">
        <v>0</v>
      </c>
      <c r="H115" s="718">
        <v>9879</v>
      </c>
      <c r="I115" s="718">
        <v>1542762</v>
      </c>
      <c r="J115" s="718">
        <v>9981</v>
      </c>
    </row>
    <row r="116" spans="1:10" x14ac:dyDescent="0.25">
      <c r="A116" s="716">
        <f t="shared" si="1"/>
        <v>45231</v>
      </c>
      <c r="B116" s="677">
        <v>3456306</v>
      </c>
      <c r="C116" s="677">
        <v>61407</v>
      </c>
      <c r="D116" s="677">
        <v>636</v>
      </c>
      <c r="E116" s="677">
        <v>0</v>
      </c>
      <c r="F116" s="677">
        <v>210982</v>
      </c>
      <c r="G116" s="677">
        <v>200000</v>
      </c>
      <c r="H116" s="677">
        <v>10982</v>
      </c>
      <c r="I116" s="677">
        <v>3331210</v>
      </c>
      <c r="J116" s="677">
        <v>22843</v>
      </c>
    </row>
    <row r="117" spans="1:10" x14ac:dyDescent="0.25">
      <c r="A117" s="716">
        <f t="shared" si="1"/>
        <v>45261</v>
      </c>
      <c r="B117" s="677">
        <v>3501616</v>
      </c>
      <c r="C117" s="677">
        <v>51604</v>
      </c>
      <c r="D117" s="677">
        <v>1627</v>
      </c>
      <c r="E117" s="677">
        <v>0</v>
      </c>
      <c r="F117" s="678">
        <v>0</v>
      </c>
      <c r="G117" s="677">
        <v>1737867</v>
      </c>
      <c r="H117" s="677">
        <v>12133</v>
      </c>
      <c r="I117" s="677">
        <v>4974617</v>
      </c>
      <c r="J117" s="677">
        <v>17414</v>
      </c>
    </row>
    <row r="118" spans="1:10" x14ac:dyDescent="0.25">
      <c r="A118" s="716">
        <f t="shared" si="1"/>
        <v>45292</v>
      </c>
      <c r="B118" s="677">
        <v>3567911</v>
      </c>
      <c r="C118" s="677">
        <v>48232</v>
      </c>
      <c r="D118" s="677">
        <v>2006</v>
      </c>
      <c r="E118" s="677">
        <v>0</v>
      </c>
      <c r="F118" s="677">
        <v>0</v>
      </c>
      <c r="G118" s="677">
        <v>2656983</v>
      </c>
      <c r="H118" s="677">
        <v>13017</v>
      </c>
      <c r="I118" s="677">
        <v>5812249</v>
      </c>
      <c r="J118" s="677">
        <v>18632</v>
      </c>
    </row>
    <row r="119" spans="1:10" x14ac:dyDescent="0.25">
      <c r="A119" s="716">
        <f t="shared" si="1"/>
        <v>45323</v>
      </c>
      <c r="B119" s="677">
        <v>3118090</v>
      </c>
      <c r="C119" s="677">
        <v>42511</v>
      </c>
      <c r="D119" s="677">
        <v>1832</v>
      </c>
      <c r="E119" s="677">
        <v>0</v>
      </c>
      <c r="F119" s="677">
        <v>0</v>
      </c>
      <c r="G119" s="677">
        <v>2516663</v>
      </c>
      <c r="H119" s="677">
        <v>13337</v>
      </c>
      <c r="I119" s="677">
        <v>5249361</v>
      </c>
      <c r="J119" s="677">
        <v>17820</v>
      </c>
    </row>
    <row r="120" spans="1:10" x14ac:dyDescent="0.25">
      <c r="A120" s="716">
        <f t="shared" si="1"/>
        <v>45352</v>
      </c>
      <c r="B120" s="677">
        <v>3046199</v>
      </c>
      <c r="C120" s="677">
        <v>62033</v>
      </c>
      <c r="D120" s="677">
        <v>2226</v>
      </c>
      <c r="E120" s="677">
        <v>0</v>
      </c>
      <c r="F120" s="677">
        <v>0</v>
      </c>
      <c r="G120" s="677">
        <v>1278713</v>
      </c>
      <c r="H120" s="677">
        <v>11287</v>
      </c>
      <c r="I120" s="677">
        <v>4045742</v>
      </c>
      <c r="J120" s="679">
        <v>18537</v>
      </c>
    </row>
    <row r="121" spans="1:10" x14ac:dyDescent="0.25">
      <c r="A121" s="716">
        <f t="shared" si="1"/>
        <v>45383</v>
      </c>
      <c r="B121" s="677">
        <v>1577769</v>
      </c>
      <c r="C121" s="677">
        <v>71331</v>
      </c>
      <c r="D121" s="677">
        <v>1039</v>
      </c>
      <c r="E121" s="677">
        <v>0</v>
      </c>
      <c r="F121" s="677">
        <v>0</v>
      </c>
      <c r="G121" s="677">
        <v>589381</v>
      </c>
      <c r="H121" s="677">
        <v>10619</v>
      </c>
      <c r="I121" s="677">
        <v>2025011</v>
      </c>
      <c r="J121" s="679">
        <v>17725</v>
      </c>
    </row>
    <row r="122" spans="1:10" x14ac:dyDescent="0.25">
      <c r="A122" s="716">
        <f t="shared" si="1"/>
        <v>45413</v>
      </c>
      <c r="B122" s="677">
        <v>992607</v>
      </c>
      <c r="C122" s="677">
        <v>63613</v>
      </c>
      <c r="D122" s="677">
        <v>362</v>
      </c>
      <c r="E122" s="677">
        <v>0</v>
      </c>
      <c r="F122" s="677">
        <v>0</v>
      </c>
      <c r="G122" s="677">
        <v>190176</v>
      </c>
      <c r="H122" s="677">
        <v>9824</v>
      </c>
      <c r="I122" s="677">
        <v>1083225</v>
      </c>
      <c r="J122" s="679">
        <v>17170</v>
      </c>
    </row>
    <row r="123" spans="1:10" x14ac:dyDescent="0.25">
      <c r="A123" s="716">
        <f t="shared" si="1"/>
        <v>45444</v>
      </c>
      <c r="B123" s="677">
        <v>2252808</v>
      </c>
      <c r="C123" s="677">
        <v>59836</v>
      </c>
      <c r="D123" s="677">
        <v>282</v>
      </c>
      <c r="E123" s="677">
        <v>0</v>
      </c>
      <c r="F123" s="677">
        <v>1462720</v>
      </c>
      <c r="G123" s="677">
        <v>0</v>
      </c>
      <c r="H123" s="677">
        <v>9539</v>
      </c>
      <c r="I123" s="677">
        <v>720410</v>
      </c>
      <c r="J123" s="679">
        <v>16358</v>
      </c>
    </row>
    <row r="124" spans="1:10" x14ac:dyDescent="0.25">
      <c r="A124" s="716">
        <f t="shared" si="1"/>
        <v>45474</v>
      </c>
      <c r="B124" s="677">
        <v>2940678</v>
      </c>
      <c r="C124" s="677">
        <v>55009</v>
      </c>
      <c r="D124" s="677">
        <v>149</v>
      </c>
      <c r="E124" s="677">
        <v>0</v>
      </c>
      <c r="F124" s="677">
        <v>2165482</v>
      </c>
      <c r="G124" s="677">
        <v>0</v>
      </c>
      <c r="H124" s="677">
        <v>9482</v>
      </c>
      <c r="I124" s="677">
        <v>711736</v>
      </c>
      <c r="J124" s="679">
        <v>16358</v>
      </c>
    </row>
    <row r="125" spans="1:10" x14ac:dyDescent="0.25">
      <c r="A125" s="716">
        <f t="shared" si="1"/>
        <v>45505</v>
      </c>
      <c r="B125" s="677">
        <v>2835603</v>
      </c>
      <c r="C125" s="677">
        <v>53878</v>
      </c>
      <c r="D125" s="677">
        <v>101</v>
      </c>
      <c r="E125" s="677">
        <v>0</v>
      </c>
      <c r="F125" s="677">
        <v>2129482</v>
      </c>
      <c r="G125" s="677">
        <v>0</v>
      </c>
      <c r="H125" s="677">
        <v>9482</v>
      </c>
      <c r="I125" s="677">
        <v>646734</v>
      </c>
      <c r="J125" s="679">
        <v>16358</v>
      </c>
    </row>
    <row r="126" spans="1:10" x14ac:dyDescent="0.25">
      <c r="A126" s="716">
        <f t="shared" si="1"/>
        <v>45536</v>
      </c>
      <c r="B126" s="677">
        <v>2781730</v>
      </c>
      <c r="C126" s="677">
        <v>60660</v>
      </c>
      <c r="D126" s="677">
        <v>92</v>
      </c>
      <c r="E126" s="677">
        <v>0</v>
      </c>
      <c r="F126" s="677">
        <v>1993823</v>
      </c>
      <c r="G126" s="677">
        <v>0</v>
      </c>
      <c r="H126" s="677">
        <v>9453</v>
      </c>
      <c r="I126" s="677">
        <v>729418</v>
      </c>
      <c r="J126" s="679">
        <v>17952</v>
      </c>
    </row>
    <row r="127" spans="1:10" x14ac:dyDescent="0.25">
      <c r="A127" s="716">
        <f t="shared" si="1"/>
        <v>45566</v>
      </c>
      <c r="B127" s="677">
        <v>2874174</v>
      </c>
      <c r="C127" s="677">
        <v>73575</v>
      </c>
      <c r="D127" s="677">
        <v>143</v>
      </c>
      <c r="E127" s="677">
        <v>0</v>
      </c>
      <c r="F127" s="677">
        <v>1336328</v>
      </c>
      <c r="G127" s="677">
        <v>0</v>
      </c>
      <c r="H127" s="677">
        <v>9879</v>
      </c>
      <c r="I127" s="677">
        <v>1484188</v>
      </c>
      <c r="J127" s="679">
        <v>12586</v>
      </c>
    </row>
    <row r="128" spans="1:10" x14ac:dyDescent="0.25">
      <c r="A128" s="717">
        <f t="shared" si="1"/>
        <v>45597</v>
      </c>
      <c r="B128" s="719">
        <v>3252331</v>
      </c>
      <c r="C128" s="719">
        <v>60419</v>
      </c>
      <c r="D128" s="719">
        <v>636</v>
      </c>
      <c r="E128" s="719">
        <v>0</v>
      </c>
      <c r="F128" s="719">
        <v>210982</v>
      </c>
      <c r="G128" s="719">
        <v>200000</v>
      </c>
      <c r="H128" s="719">
        <v>10982</v>
      </c>
      <c r="I128" s="719">
        <v>3126752</v>
      </c>
      <c r="J128" s="719">
        <v>23338</v>
      </c>
    </row>
    <row r="129" spans="1:10" x14ac:dyDescent="0.25">
      <c r="A129" s="717">
        <f t="shared" si="1"/>
        <v>45627</v>
      </c>
      <c r="B129" s="719">
        <v>3441363</v>
      </c>
      <c r="C129" s="719">
        <v>52241</v>
      </c>
      <c r="D129" s="719">
        <v>1627</v>
      </c>
      <c r="E129" s="719">
        <v>0</v>
      </c>
      <c r="F129" s="719">
        <v>0</v>
      </c>
      <c r="G129" s="719">
        <v>1737867</v>
      </c>
      <c r="H129" s="719">
        <v>12133</v>
      </c>
      <c r="I129" s="719">
        <v>4913552</v>
      </c>
      <c r="J129" s="719">
        <v>18226</v>
      </c>
    </row>
    <row r="130" spans="1:10" x14ac:dyDescent="0.25">
      <c r="A130" s="717">
        <f t="shared" si="1"/>
        <v>45658</v>
      </c>
      <c r="B130" s="719">
        <v>3762158</v>
      </c>
      <c r="C130" s="719">
        <v>50041</v>
      </c>
      <c r="D130" s="719">
        <v>2006</v>
      </c>
      <c r="E130" s="719">
        <v>0</v>
      </c>
      <c r="F130" s="719">
        <v>0</v>
      </c>
      <c r="G130" s="719">
        <v>2656983</v>
      </c>
      <c r="H130" s="719">
        <v>13017</v>
      </c>
      <c r="I130" s="719">
        <v>6008363</v>
      </c>
      <c r="J130" s="719">
        <v>16764</v>
      </c>
    </row>
    <row r="131" spans="1:10" x14ac:dyDescent="0.25">
      <c r="A131" s="717">
        <f t="shared" si="1"/>
        <v>45689</v>
      </c>
      <c r="B131" s="719">
        <v>2962906</v>
      </c>
      <c r="C131" s="719">
        <v>41338</v>
      </c>
      <c r="D131" s="719">
        <v>1769</v>
      </c>
      <c r="E131" s="719">
        <v>0</v>
      </c>
      <c r="F131" s="719">
        <v>0</v>
      </c>
      <c r="G131" s="719">
        <v>2516663</v>
      </c>
      <c r="H131" s="719">
        <v>13337</v>
      </c>
      <c r="I131" s="719">
        <v>5105668</v>
      </c>
      <c r="J131" s="719">
        <v>17952</v>
      </c>
    </row>
    <row r="132" spans="1:10" x14ac:dyDescent="0.25">
      <c r="A132" s="717">
        <f t="shared" si="1"/>
        <v>45717</v>
      </c>
      <c r="B132" s="719">
        <v>2936635</v>
      </c>
      <c r="C132" s="719">
        <v>60929</v>
      </c>
      <c r="D132" s="719">
        <v>2226</v>
      </c>
      <c r="E132" s="719">
        <v>0</v>
      </c>
      <c r="F132" s="719">
        <v>0</v>
      </c>
      <c r="G132" s="719">
        <v>1278713</v>
      </c>
      <c r="H132" s="719">
        <v>11287</v>
      </c>
      <c r="I132" s="719">
        <v>3941545</v>
      </c>
      <c r="J132" s="719">
        <v>13169</v>
      </c>
    </row>
    <row r="133" spans="1:10" x14ac:dyDescent="0.25">
      <c r="A133" s="717">
        <f t="shared" si="1"/>
        <v>45748</v>
      </c>
      <c r="B133" s="719">
        <v>1583455</v>
      </c>
      <c r="C133" s="719">
        <v>71244</v>
      </c>
      <c r="D133" s="719">
        <v>1039</v>
      </c>
      <c r="E133" s="719">
        <v>0</v>
      </c>
      <c r="F133" s="719">
        <v>0</v>
      </c>
      <c r="G133" s="719">
        <v>589381</v>
      </c>
      <c r="H133" s="719">
        <v>10619</v>
      </c>
      <c r="I133" s="719">
        <v>2031251</v>
      </c>
      <c r="J133" s="719">
        <v>17170</v>
      </c>
    </row>
    <row r="134" spans="1:10" x14ac:dyDescent="0.25">
      <c r="A134" s="717">
        <f t="shared" si="1"/>
        <v>45778</v>
      </c>
      <c r="B134" s="719">
        <v>1030271</v>
      </c>
      <c r="C134" s="719">
        <v>65603</v>
      </c>
      <c r="D134" s="719">
        <v>362</v>
      </c>
      <c r="E134" s="719">
        <v>0</v>
      </c>
      <c r="F134" s="719">
        <v>0</v>
      </c>
      <c r="G134" s="719">
        <v>190176</v>
      </c>
      <c r="H134" s="719">
        <v>9824</v>
      </c>
      <c r="I134" s="719">
        <v>1120106</v>
      </c>
      <c r="J134" s="719">
        <v>17952</v>
      </c>
    </row>
    <row r="135" spans="1:10" x14ac:dyDescent="0.25">
      <c r="A135" s="717">
        <f t="shared" si="1"/>
        <v>45809</v>
      </c>
      <c r="B135" s="719">
        <v>2257522</v>
      </c>
      <c r="C135" s="719">
        <v>60355</v>
      </c>
      <c r="D135" s="719">
        <v>282</v>
      </c>
      <c r="E135" s="719">
        <v>0</v>
      </c>
      <c r="F135" s="719">
        <v>1462720</v>
      </c>
      <c r="G135" s="719">
        <v>0</v>
      </c>
      <c r="H135" s="719">
        <v>9539</v>
      </c>
      <c r="I135" s="719">
        <v>725174</v>
      </c>
      <c r="J135" s="719">
        <v>16358</v>
      </c>
    </row>
    <row r="136" spans="1:10" x14ac:dyDescent="0.25">
      <c r="A136" s="717">
        <f t="shared" si="1"/>
        <v>45839</v>
      </c>
      <c r="B136" s="719">
        <v>2918336</v>
      </c>
      <c r="C136" s="719">
        <v>53502</v>
      </c>
      <c r="D136" s="719">
        <v>149</v>
      </c>
      <c r="E136" s="719">
        <v>0</v>
      </c>
      <c r="F136" s="719">
        <v>2165482</v>
      </c>
      <c r="G136" s="719">
        <v>0</v>
      </c>
      <c r="H136" s="719">
        <v>9482</v>
      </c>
      <c r="I136" s="719">
        <v>689394</v>
      </c>
      <c r="J136" s="719">
        <v>16358</v>
      </c>
    </row>
    <row r="137" spans="1:10" x14ac:dyDescent="0.25">
      <c r="A137" s="717">
        <f t="shared" si="1"/>
        <v>45870</v>
      </c>
      <c r="B137" s="719">
        <v>2847224</v>
      </c>
      <c r="C137" s="719">
        <v>54907</v>
      </c>
      <c r="D137" s="719">
        <v>101</v>
      </c>
      <c r="E137" s="719">
        <v>0</v>
      </c>
      <c r="F137" s="719">
        <v>2129482</v>
      </c>
      <c r="G137" s="719">
        <v>0</v>
      </c>
      <c r="H137" s="719">
        <v>9482</v>
      </c>
      <c r="I137" s="719">
        <v>663226</v>
      </c>
      <c r="J137" s="719">
        <v>11368</v>
      </c>
    </row>
    <row r="138" spans="1:10" x14ac:dyDescent="0.25">
      <c r="A138" s="717">
        <f t="shared" si="1"/>
        <v>45901</v>
      </c>
      <c r="B138" s="719">
        <v>2807711</v>
      </c>
      <c r="C138" s="719">
        <v>62700</v>
      </c>
      <c r="D138" s="719">
        <v>92</v>
      </c>
      <c r="E138" s="719">
        <v>0</v>
      </c>
      <c r="F138" s="719">
        <v>1993823</v>
      </c>
      <c r="G138" s="719">
        <v>0</v>
      </c>
      <c r="H138" s="719">
        <v>9453</v>
      </c>
      <c r="I138" s="719">
        <v>744785</v>
      </c>
      <c r="J138" s="719">
        <v>28627</v>
      </c>
    </row>
    <row r="139" spans="1:10" x14ac:dyDescent="0.25">
      <c r="A139" s="717">
        <f t="shared" si="1"/>
        <v>45931</v>
      </c>
      <c r="B139" s="719">
        <v>2918724</v>
      </c>
      <c r="C139" s="719">
        <v>73604</v>
      </c>
      <c r="D139" s="719">
        <v>143</v>
      </c>
      <c r="E139" s="719">
        <v>0</v>
      </c>
      <c r="F139" s="719">
        <v>1336328</v>
      </c>
      <c r="G139" s="719">
        <v>0</v>
      </c>
      <c r="H139" s="719">
        <v>9879</v>
      </c>
      <c r="I139" s="719">
        <v>1526065</v>
      </c>
      <c r="J139" s="719">
        <v>15259</v>
      </c>
    </row>
    <row r="140" spans="1:10" x14ac:dyDescent="0.25">
      <c r="A140"/>
    </row>
    <row r="141" spans="1:10" x14ac:dyDescent="0.25">
      <c r="A141"/>
    </row>
    <row r="142" spans="1:10" x14ac:dyDescent="0.25">
      <c r="A142"/>
    </row>
  </sheetData>
  <mergeCells count="5">
    <mergeCell ref="A3:J3"/>
    <mergeCell ref="A4:J4"/>
    <mergeCell ref="A7:C7"/>
    <mergeCell ref="D7:J7"/>
    <mergeCell ref="A1:J1"/>
  </mergeCells>
  <pageMargins left="0.7" right="0.7" top="0.75" bottom="0.75" header="0.3" footer="0.3"/>
  <pageSetup orientation="portrait" r:id="rId1"/>
  <headerFooter>
    <oddFooter>&amp;L&amp;1#&amp;"Calibri"&amp;14&amp;K000000Confidential</oddFooter>
  </headerFooter>
  <customProperties>
    <customPr name="_pios_id" r:id="rId2"/>
  </customProperties>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5">
    <tabColor rgb="FF92D050"/>
    <pageSetUpPr fitToPage="1"/>
  </sheetPr>
  <dimension ref="A1:M110"/>
  <sheetViews>
    <sheetView zoomScaleNormal="100" workbookViewId="0">
      <pane xSplit="1" ySplit="3" topLeftCell="B73" activePane="bottomRight" state="frozen"/>
      <selection activeCell="C116" sqref="C116"/>
      <selection pane="topRight" activeCell="C116" sqref="C116"/>
      <selection pane="bottomLeft" activeCell="C116" sqref="C116"/>
      <selection pane="bottomRight" activeCell="E119" sqref="E119"/>
    </sheetView>
  </sheetViews>
  <sheetFormatPr defaultColWidth="8.88671875" defaultRowHeight="15.75" x14ac:dyDescent="0.25"/>
  <cols>
    <col min="1" max="1" width="14.21875" style="6" customWidth="1"/>
    <col min="2" max="2" width="14.109375" style="6" customWidth="1"/>
    <col min="3" max="4" width="17.109375" style="6" customWidth="1"/>
    <col min="5" max="5" width="13.33203125" style="6" customWidth="1"/>
    <col min="6" max="6" width="15.5546875" style="6" customWidth="1"/>
    <col min="7" max="7" width="15.88671875" style="6" customWidth="1"/>
    <col min="8" max="8" width="14.5546875" style="6" customWidth="1"/>
    <col min="9" max="9" width="4.44140625" customWidth="1"/>
    <col min="10" max="10" width="10.77734375" customWidth="1"/>
    <col min="11" max="11" width="12" style="6" customWidth="1"/>
    <col min="12" max="12" width="11.44140625" style="6" customWidth="1"/>
    <col min="13" max="16384" width="8.88671875" style="6"/>
  </cols>
  <sheetData>
    <row r="1" spans="1:13" x14ac:dyDescent="0.25">
      <c r="A1" s="124" t="s">
        <v>60</v>
      </c>
      <c r="B1" s="124" t="s">
        <v>61</v>
      </c>
      <c r="C1" s="124" t="s">
        <v>62</v>
      </c>
      <c r="D1" s="124" t="s">
        <v>63</v>
      </c>
      <c r="E1" s="124" t="s">
        <v>64</v>
      </c>
      <c r="F1" s="124" t="s">
        <v>65</v>
      </c>
      <c r="G1" s="124" t="s">
        <v>66</v>
      </c>
      <c r="H1" s="124" t="s">
        <v>111</v>
      </c>
    </row>
    <row r="2" spans="1:13" x14ac:dyDescent="0.25">
      <c r="A2" s="120"/>
      <c r="B2" s="122" t="s">
        <v>395</v>
      </c>
      <c r="C2" s="122" t="s">
        <v>387</v>
      </c>
      <c r="D2" s="122" t="s">
        <v>387</v>
      </c>
      <c r="E2" s="122" t="s">
        <v>395</v>
      </c>
      <c r="F2" s="122" t="s">
        <v>390</v>
      </c>
      <c r="G2" s="122" t="s">
        <v>390</v>
      </c>
      <c r="H2" s="122" t="s">
        <v>395</v>
      </c>
    </row>
    <row r="3" spans="1:13" x14ac:dyDescent="0.25">
      <c r="A3" s="121" t="s">
        <v>263</v>
      </c>
      <c r="B3" s="123" t="s">
        <v>382</v>
      </c>
      <c r="C3" s="123" t="s">
        <v>388</v>
      </c>
      <c r="D3" s="123" t="s">
        <v>389</v>
      </c>
      <c r="E3" s="123" t="s">
        <v>383</v>
      </c>
      <c r="F3" s="123" t="s">
        <v>388</v>
      </c>
      <c r="G3" s="123" t="s">
        <v>389</v>
      </c>
      <c r="H3" s="123" t="s">
        <v>384</v>
      </c>
    </row>
    <row r="4" spans="1:13" x14ac:dyDescent="0.25">
      <c r="A4" s="125">
        <v>41640</v>
      </c>
      <c r="B4" s="128">
        <v>7164339.5999999996</v>
      </c>
      <c r="C4" s="459">
        <v>7161740.0999999996</v>
      </c>
      <c r="D4" s="459">
        <v>2599.5</v>
      </c>
      <c r="E4" s="485">
        <v>18227.7</v>
      </c>
      <c r="F4" s="126" t="s">
        <v>385</v>
      </c>
      <c r="G4" s="126" t="s">
        <v>385</v>
      </c>
      <c r="H4" s="487">
        <v>1502937.7</v>
      </c>
      <c r="J4" s="244" t="s">
        <v>431</v>
      </c>
      <c r="K4" s="130"/>
      <c r="L4" s="130"/>
      <c r="M4" s="130"/>
    </row>
    <row r="5" spans="1:13" x14ac:dyDescent="0.25">
      <c r="A5" s="125">
        <v>41671</v>
      </c>
      <c r="B5" s="128">
        <v>7414286.9000000004</v>
      </c>
      <c r="C5" s="459">
        <v>3765480.4</v>
      </c>
      <c r="D5" s="459">
        <v>3648806.5</v>
      </c>
      <c r="E5" s="485">
        <v>25147</v>
      </c>
      <c r="F5" s="126" t="s">
        <v>385</v>
      </c>
      <c r="G5" s="126" t="s">
        <v>385</v>
      </c>
      <c r="H5" s="487">
        <v>1308586.3</v>
      </c>
      <c r="J5" s="244" t="s">
        <v>432</v>
      </c>
      <c r="K5" s="130"/>
      <c r="L5" s="130"/>
      <c r="M5" s="130"/>
    </row>
    <row r="6" spans="1:13" x14ac:dyDescent="0.25">
      <c r="A6" s="266">
        <v>41699</v>
      </c>
      <c r="B6" s="128">
        <f>SUM(C6:D6)</f>
        <v>5630919.2999999998</v>
      </c>
      <c r="C6" s="459">
        <f>1416256/10</f>
        <v>141625.60000000001</v>
      </c>
      <c r="D6" s="459">
        <f>54892937/10</f>
        <v>5489293.7000000002</v>
      </c>
      <c r="E6" s="485">
        <v>17207.599999999999</v>
      </c>
      <c r="F6" s="126" t="s">
        <v>385</v>
      </c>
      <c r="G6" s="126" t="s">
        <v>385</v>
      </c>
      <c r="H6" s="487">
        <v>1232291</v>
      </c>
    </row>
    <row r="7" spans="1:13" x14ac:dyDescent="0.25">
      <c r="A7" s="266">
        <v>41730</v>
      </c>
      <c r="B7" s="128">
        <f t="shared" ref="B7:B44" si="0">SUM(C7:D7)</f>
        <v>2981427.6999999997</v>
      </c>
      <c r="C7" s="459">
        <f>875463/10</f>
        <v>87546.3</v>
      </c>
      <c r="D7" s="459">
        <f>28938814/10</f>
        <v>2893881.4</v>
      </c>
      <c r="E7" s="485">
        <v>10919</v>
      </c>
      <c r="F7" s="126" t="s">
        <v>385</v>
      </c>
      <c r="G7" s="126" t="s">
        <v>385</v>
      </c>
      <c r="H7" s="487">
        <v>1505681.6</v>
      </c>
    </row>
    <row r="8" spans="1:13" x14ac:dyDescent="0.25">
      <c r="A8" s="266">
        <v>41760</v>
      </c>
      <c r="B8" s="128">
        <f t="shared" si="0"/>
        <v>1395749.3</v>
      </c>
      <c r="C8" s="459">
        <f>7230635/10</f>
        <v>723063.5</v>
      </c>
      <c r="D8" s="459">
        <f>6726858/10</f>
        <v>672685.8</v>
      </c>
      <c r="E8" s="485">
        <v>8074.3</v>
      </c>
      <c r="F8" s="126" t="s">
        <v>385</v>
      </c>
      <c r="G8" s="126" t="s">
        <v>385</v>
      </c>
      <c r="H8" s="487">
        <v>844881.1</v>
      </c>
    </row>
    <row r="9" spans="1:13" x14ac:dyDescent="0.25">
      <c r="A9" s="266">
        <v>41791</v>
      </c>
      <c r="B9" s="128">
        <f t="shared" si="0"/>
        <v>962563.8</v>
      </c>
      <c r="C9" s="459">
        <f>214409/10</f>
        <v>21440.9</v>
      </c>
      <c r="D9" s="459">
        <f>9411229/10</f>
        <v>941122.9</v>
      </c>
      <c r="E9" s="485">
        <v>7166.2</v>
      </c>
      <c r="F9" s="126" t="s">
        <v>385</v>
      </c>
      <c r="G9" s="126" t="s">
        <v>385</v>
      </c>
      <c r="H9" s="487">
        <v>837693.3</v>
      </c>
    </row>
    <row r="10" spans="1:13" x14ac:dyDescent="0.25">
      <c r="A10" s="266">
        <v>41821</v>
      </c>
      <c r="B10" s="128">
        <f t="shared" si="0"/>
        <v>828655.5</v>
      </c>
      <c r="C10" s="459">
        <v>-1048.0999999999999</v>
      </c>
      <c r="D10" s="459">
        <f>8297036/10</f>
        <v>829703.6</v>
      </c>
      <c r="E10" s="485">
        <v>9236.6</v>
      </c>
      <c r="F10" s="126" t="s">
        <v>385</v>
      </c>
      <c r="G10" s="126" t="s">
        <v>385</v>
      </c>
      <c r="H10" s="487">
        <v>755229.6</v>
      </c>
    </row>
    <row r="11" spans="1:13" x14ac:dyDescent="0.25">
      <c r="A11" s="266">
        <v>41852</v>
      </c>
      <c r="B11" s="128">
        <f t="shared" si="0"/>
        <v>779547.2</v>
      </c>
      <c r="C11" s="459">
        <f>3874807/10</f>
        <v>387480.7</v>
      </c>
      <c r="D11" s="459">
        <f>3920665/10</f>
        <v>392066.5</v>
      </c>
      <c r="E11" s="485">
        <v>10480.9</v>
      </c>
      <c r="F11" s="126" t="s">
        <v>385</v>
      </c>
      <c r="G11" s="126" t="s">
        <v>385</v>
      </c>
      <c r="H11" s="487">
        <v>778283.2</v>
      </c>
    </row>
    <row r="12" spans="1:13" x14ac:dyDescent="0.25">
      <c r="A12" s="266">
        <v>41883</v>
      </c>
      <c r="B12" s="128">
        <f t="shared" si="0"/>
        <v>782497.5</v>
      </c>
      <c r="C12" s="459">
        <v>6672.3</v>
      </c>
      <c r="D12" s="459">
        <v>775825.2</v>
      </c>
      <c r="E12" s="485">
        <v>13776.4</v>
      </c>
      <c r="F12" s="126" t="s">
        <v>385</v>
      </c>
      <c r="G12" s="126" t="s">
        <v>385</v>
      </c>
      <c r="H12" s="487">
        <v>781340.4</v>
      </c>
    </row>
    <row r="13" spans="1:13" x14ac:dyDescent="0.25">
      <c r="A13" s="266">
        <v>41913</v>
      </c>
      <c r="B13" s="128">
        <f t="shared" si="0"/>
        <v>1071670.6000000001</v>
      </c>
      <c r="C13" s="459">
        <v>88.1</v>
      </c>
      <c r="D13" s="459">
        <v>1071582.5</v>
      </c>
      <c r="E13" s="485">
        <v>17344.400000000001</v>
      </c>
      <c r="F13" s="126" t="s">
        <v>385</v>
      </c>
      <c r="G13" s="126" t="s">
        <v>385</v>
      </c>
      <c r="H13" s="487">
        <v>916848</v>
      </c>
    </row>
    <row r="14" spans="1:13" x14ac:dyDescent="0.25">
      <c r="A14" s="266">
        <v>41944</v>
      </c>
      <c r="B14" s="128">
        <f t="shared" si="0"/>
        <v>2590842.9</v>
      </c>
      <c r="C14" s="459">
        <v>1350252.7</v>
      </c>
      <c r="D14" s="459">
        <v>1240590.2</v>
      </c>
      <c r="E14" s="485">
        <v>33796.6</v>
      </c>
      <c r="F14" s="126" t="s">
        <v>385</v>
      </c>
      <c r="G14" s="126" t="s">
        <v>385</v>
      </c>
      <c r="H14" s="487">
        <v>1210206.7</v>
      </c>
    </row>
    <row r="15" spans="1:13" x14ac:dyDescent="0.25">
      <c r="A15" s="266">
        <v>41974</v>
      </c>
      <c r="B15" s="128">
        <f t="shared" si="0"/>
        <v>5040088</v>
      </c>
      <c r="C15" s="459">
        <v>48201</v>
      </c>
      <c r="D15" s="459">
        <v>4991887</v>
      </c>
      <c r="E15" s="485">
        <v>31458.2</v>
      </c>
      <c r="F15" s="126" t="s">
        <v>385</v>
      </c>
      <c r="G15" s="126" t="s">
        <v>385</v>
      </c>
      <c r="H15" s="487">
        <v>1222531</v>
      </c>
    </row>
    <row r="16" spans="1:13" x14ac:dyDescent="0.25">
      <c r="A16" s="266">
        <v>42005</v>
      </c>
      <c r="B16" s="128">
        <f t="shared" si="0"/>
        <v>6463268</v>
      </c>
      <c r="C16" s="459">
        <v>8915</v>
      </c>
      <c r="D16" s="459">
        <v>6454353</v>
      </c>
      <c r="E16" s="485">
        <v>29614.799999999999</v>
      </c>
      <c r="F16" s="126" t="s">
        <v>385</v>
      </c>
      <c r="G16" s="126" t="s">
        <v>385</v>
      </c>
      <c r="H16" s="487">
        <v>1466206.1</v>
      </c>
    </row>
    <row r="17" spans="1:8" x14ac:dyDescent="0.25">
      <c r="A17" s="266">
        <v>42036</v>
      </c>
      <c r="B17" s="128">
        <f t="shared" si="0"/>
        <v>6355917.5</v>
      </c>
      <c r="C17" s="459">
        <v>3140562.6</v>
      </c>
      <c r="D17" s="459">
        <v>3215354.9</v>
      </c>
      <c r="E17" s="485">
        <v>40053</v>
      </c>
      <c r="F17" s="126" t="s">
        <v>385</v>
      </c>
      <c r="G17" s="126" t="s">
        <v>385</v>
      </c>
      <c r="H17" s="487">
        <v>1420264.1</v>
      </c>
    </row>
    <row r="18" spans="1:8" x14ac:dyDescent="0.25">
      <c r="A18" s="266">
        <v>42064</v>
      </c>
      <c r="B18" s="128">
        <f t="shared" si="0"/>
        <v>6227552.2000000002</v>
      </c>
      <c r="C18" s="459">
        <v>66704.3</v>
      </c>
      <c r="D18" s="459">
        <v>6160847.9000000004</v>
      </c>
      <c r="E18" s="485">
        <v>46083.4</v>
      </c>
      <c r="F18" s="126" t="s">
        <v>385</v>
      </c>
      <c r="G18" s="126" t="s">
        <v>385</v>
      </c>
      <c r="H18" s="487">
        <v>1456559.9</v>
      </c>
    </row>
    <row r="19" spans="1:8" x14ac:dyDescent="0.25">
      <c r="A19" s="266">
        <v>42095</v>
      </c>
      <c r="B19" s="128">
        <f t="shared" si="0"/>
        <v>2395537.1</v>
      </c>
      <c r="C19" s="459">
        <v>5837.9</v>
      </c>
      <c r="D19" s="459">
        <v>2389699.2000000002</v>
      </c>
      <c r="E19" s="485">
        <v>62130.400000000001</v>
      </c>
      <c r="F19" s="126" t="s">
        <v>385</v>
      </c>
      <c r="G19" s="126" t="s">
        <v>385</v>
      </c>
      <c r="H19" s="487">
        <v>1308898.8999999999</v>
      </c>
    </row>
    <row r="20" spans="1:8" x14ac:dyDescent="0.25">
      <c r="A20" s="266">
        <v>42125</v>
      </c>
      <c r="B20" s="128">
        <f t="shared" si="0"/>
        <v>1228564.8999999999</v>
      </c>
      <c r="C20" s="459">
        <v>680294.9</v>
      </c>
      <c r="D20" s="459">
        <v>548270</v>
      </c>
      <c r="E20" s="485">
        <v>38797.800000000003</v>
      </c>
      <c r="F20" s="126" t="s">
        <v>385</v>
      </c>
      <c r="G20" s="126" t="s">
        <v>385</v>
      </c>
      <c r="H20" s="487">
        <v>684381.7</v>
      </c>
    </row>
    <row r="21" spans="1:8" x14ac:dyDescent="0.25">
      <c r="A21" s="266">
        <v>42156</v>
      </c>
      <c r="B21" s="128">
        <f t="shared" si="0"/>
        <v>874302.5</v>
      </c>
      <c r="C21" s="459">
        <v>3999</v>
      </c>
      <c r="D21" s="459">
        <v>870303.5</v>
      </c>
      <c r="E21" s="485">
        <v>46645.7</v>
      </c>
      <c r="F21" s="126" t="s">
        <v>385</v>
      </c>
      <c r="G21" s="126" t="s">
        <v>385</v>
      </c>
      <c r="H21" s="487">
        <v>790511.9</v>
      </c>
    </row>
    <row r="22" spans="1:8" x14ac:dyDescent="0.25">
      <c r="A22" s="266">
        <v>42186</v>
      </c>
      <c r="B22" s="128">
        <f t="shared" si="0"/>
        <v>712691.29999999993</v>
      </c>
      <c r="C22" s="459">
        <v>2010.2</v>
      </c>
      <c r="D22" s="459">
        <v>710681.1</v>
      </c>
      <c r="E22" s="485">
        <v>52580.5</v>
      </c>
      <c r="F22" s="126" t="s">
        <v>385</v>
      </c>
      <c r="G22" s="126" t="s">
        <v>385</v>
      </c>
      <c r="H22" s="487">
        <v>811242.6</v>
      </c>
    </row>
    <row r="23" spans="1:8" x14ac:dyDescent="0.25">
      <c r="A23" s="266">
        <v>42217</v>
      </c>
      <c r="B23" s="128">
        <f t="shared" si="0"/>
        <v>755644</v>
      </c>
      <c r="C23" s="459">
        <v>388882.7</v>
      </c>
      <c r="D23" s="459">
        <v>366761.3</v>
      </c>
      <c r="E23" s="485">
        <v>48097.8</v>
      </c>
      <c r="F23" s="126" t="s">
        <v>385</v>
      </c>
      <c r="G23" s="126" t="s">
        <v>385</v>
      </c>
      <c r="H23" s="487">
        <v>870918.5</v>
      </c>
    </row>
    <row r="24" spans="1:8" x14ac:dyDescent="0.25">
      <c r="A24" s="266">
        <v>42248</v>
      </c>
      <c r="B24" s="128">
        <f t="shared" si="0"/>
        <v>780404.8</v>
      </c>
      <c r="C24" s="459">
        <v>37369.5</v>
      </c>
      <c r="D24" s="459">
        <v>743035.3</v>
      </c>
      <c r="E24" s="485">
        <v>48747.6</v>
      </c>
      <c r="F24" s="476" t="s">
        <v>385</v>
      </c>
      <c r="G24" s="476" t="s">
        <v>385</v>
      </c>
      <c r="H24" s="487">
        <v>839279.3</v>
      </c>
    </row>
    <row r="25" spans="1:8" x14ac:dyDescent="0.25">
      <c r="A25" s="266">
        <v>42278</v>
      </c>
      <c r="B25" s="128">
        <f t="shared" si="0"/>
        <v>939620.8</v>
      </c>
      <c r="C25" s="459">
        <v>-195.5</v>
      </c>
      <c r="D25" s="459">
        <v>939816.3</v>
      </c>
      <c r="E25" s="485">
        <v>48234.400000000001</v>
      </c>
      <c r="F25" s="476" t="s">
        <v>385</v>
      </c>
      <c r="G25" s="476" t="s">
        <v>385</v>
      </c>
      <c r="H25" s="487">
        <v>1243523.6000000001</v>
      </c>
    </row>
    <row r="26" spans="1:8" x14ac:dyDescent="0.25">
      <c r="A26" s="266">
        <v>42309</v>
      </c>
      <c r="B26" s="128">
        <f t="shared" si="0"/>
        <v>1706623.8</v>
      </c>
      <c r="C26" s="459">
        <v>911151.5</v>
      </c>
      <c r="D26" s="459">
        <v>795472.3</v>
      </c>
      <c r="E26" s="485">
        <v>59109.5</v>
      </c>
      <c r="F26" s="476" t="s">
        <v>385</v>
      </c>
      <c r="G26" s="476" t="s">
        <v>385</v>
      </c>
      <c r="H26" s="487">
        <v>1213142.5</v>
      </c>
    </row>
    <row r="27" spans="1:8" x14ac:dyDescent="0.25">
      <c r="A27" s="266">
        <v>42339</v>
      </c>
      <c r="B27" s="128">
        <f t="shared" si="0"/>
        <v>3396567.1000000006</v>
      </c>
      <c r="C27" s="459">
        <v>30017.49</v>
      </c>
      <c r="D27" s="459">
        <v>3366549.6100000003</v>
      </c>
      <c r="E27" s="485">
        <v>51325.4</v>
      </c>
      <c r="F27" s="476" t="s">
        <v>385</v>
      </c>
      <c r="G27" s="476" t="s">
        <v>385</v>
      </c>
      <c r="H27" s="487">
        <v>1139582</v>
      </c>
    </row>
    <row r="28" spans="1:8" x14ac:dyDescent="0.25">
      <c r="A28" s="266">
        <v>42370</v>
      </c>
      <c r="B28" s="128">
        <f t="shared" si="0"/>
        <v>5101869.9999999991</v>
      </c>
      <c r="C28" s="459">
        <v>1851.5433333333101</v>
      </c>
      <c r="D28" s="459">
        <v>5100018.4566666661</v>
      </c>
      <c r="E28" s="485">
        <v>38913.599999999999</v>
      </c>
      <c r="F28" s="476" t="s">
        <v>385</v>
      </c>
      <c r="G28" s="476" t="s">
        <v>385</v>
      </c>
      <c r="H28" s="487">
        <v>1550541.1</v>
      </c>
    </row>
    <row r="29" spans="1:8" x14ac:dyDescent="0.25">
      <c r="A29" s="266">
        <v>42401</v>
      </c>
      <c r="B29" s="128">
        <f t="shared" si="0"/>
        <v>5755793.8000000007</v>
      </c>
      <c r="C29" s="459">
        <v>2948636.3137931032</v>
      </c>
      <c r="D29" s="459">
        <v>2807157.4862068971</v>
      </c>
      <c r="E29" s="485">
        <v>44357.599999999999</v>
      </c>
      <c r="F29" s="476" t="s">
        <v>385</v>
      </c>
      <c r="G29" s="476" t="s">
        <v>385</v>
      </c>
      <c r="H29" s="487">
        <v>1334142.3999999999</v>
      </c>
    </row>
    <row r="30" spans="1:8" x14ac:dyDescent="0.25">
      <c r="A30" s="266">
        <v>42430</v>
      </c>
      <c r="B30" s="128">
        <f t="shared" si="0"/>
        <v>3951842.2</v>
      </c>
      <c r="C30" s="459">
        <v>21564.2</v>
      </c>
      <c r="D30" s="459">
        <v>3930278</v>
      </c>
      <c r="E30" s="486">
        <v>62703.9</v>
      </c>
      <c r="F30" s="476" t="s">
        <v>385</v>
      </c>
      <c r="G30" s="476" t="s">
        <v>385</v>
      </c>
      <c r="H30" s="487">
        <v>1149144.5</v>
      </c>
    </row>
    <row r="31" spans="1:8" x14ac:dyDescent="0.25">
      <c r="A31" s="266">
        <v>42461</v>
      </c>
      <c r="B31" s="128">
        <f t="shared" si="0"/>
        <v>2284040.8000000003</v>
      </c>
      <c r="C31" s="459">
        <v>-192.9</v>
      </c>
      <c r="D31" s="459">
        <v>2284233.7000000002</v>
      </c>
      <c r="E31" s="486">
        <v>48217.2</v>
      </c>
      <c r="F31" s="476" t="s">
        <v>385</v>
      </c>
      <c r="G31" s="476" t="s">
        <v>385</v>
      </c>
      <c r="H31" s="487">
        <v>946160.2</v>
      </c>
    </row>
    <row r="32" spans="1:8" x14ac:dyDescent="0.25">
      <c r="A32" s="266">
        <v>42491</v>
      </c>
      <c r="B32" s="128">
        <f t="shared" si="0"/>
        <v>1293125.8999999999</v>
      </c>
      <c r="C32" s="459">
        <v>761452.1</v>
      </c>
      <c r="D32" s="459">
        <v>531673.80000000005</v>
      </c>
      <c r="E32" s="486">
        <v>60031.700000000004</v>
      </c>
      <c r="F32" s="477"/>
      <c r="G32" s="477"/>
      <c r="H32" s="486">
        <v>997249.19999999949</v>
      </c>
    </row>
    <row r="33" spans="1:10" x14ac:dyDescent="0.25">
      <c r="A33" s="266">
        <v>42522</v>
      </c>
      <c r="B33" s="128">
        <f t="shared" si="0"/>
        <v>985404.8</v>
      </c>
      <c r="C33" s="459">
        <v>-24004</v>
      </c>
      <c r="D33" s="459">
        <v>1009408.8</v>
      </c>
      <c r="E33" s="486">
        <v>63204.2</v>
      </c>
      <c r="F33" s="477"/>
      <c r="G33" s="477"/>
      <c r="H33" s="486">
        <v>1003164.8000000003</v>
      </c>
    </row>
    <row r="34" spans="1:10" x14ac:dyDescent="0.25">
      <c r="A34" s="266">
        <v>42552</v>
      </c>
      <c r="B34" s="128">
        <f t="shared" si="0"/>
        <v>733329.6</v>
      </c>
      <c r="C34" s="459">
        <v>-2543.8000000000002</v>
      </c>
      <c r="D34" s="459">
        <v>735873.4</v>
      </c>
      <c r="E34" s="486">
        <v>66386.900000000009</v>
      </c>
      <c r="F34" s="477"/>
      <c r="G34" s="477"/>
      <c r="H34" s="486">
        <v>955069.90000000037</v>
      </c>
    </row>
    <row r="35" spans="1:10" x14ac:dyDescent="0.25">
      <c r="A35" s="266">
        <v>42583</v>
      </c>
      <c r="B35" s="128">
        <f t="shared" si="0"/>
        <v>692908.5</v>
      </c>
      <c r="C35" s="459">
        <v>331185.3</v>
      </c>
      <c r="D35" s="459">
        <v>361723.2</v>
      </c>
      <c r="E35" s="486">
        <v>68114.100000000006</v>
      </c>
      <c r="F35" s="477"/>
      <c r="G35" s="477"/>
      <c r="H35" s="486">
        <v>876335.09999999986</v>
      </c>
    </row>
    <row r="36" spans="1:10" x14ac:dyDescent="0.25">
      <c r="A36" s="266">
        <v>42614</v>
      </c>
      <c r="B36" s="128">
        <f t="shared" si="0"/>
        <v>743780.79999999993</v>
      </c>
      <c r="C36" s="459">
        <v>38101.599999999999</v>
      </c>
      <c r="D36" s="459">
        <v>705679.2</v>
      </c>
      <c r="E36" s="486">
        <v>57661.3</v>
      </c>
      <c r="F36" s="477"/>
      <c r="G36" s="477"/>
      <c r="H36" s="486">
        <v>919238.3000000004</v>
      </c>
    </row>
    <row r="37" spans="1:10" x14ac:dyDescent="0.25">
      <c r="A37" s="266">
        <v>42644</v>
      </c>
      <c r="B37" s="128">
        <f t="shared" si="0"/>
        <v>756617.3</v>
      </c>
      <c r="C37" s="459">
        <v>-1307.7</v>
      </c>
      <c r="D37" s="459">
        <v>757925</v>
      </c>
      <c r="E37" s="486">
        <v>57444.7</v>
      </c>
      <c r="F37" s="477"/>
      <c r="G37" s="477"/>
      <c r="H37" s="486">
        <v>946073.50000000012</v>
      </c>
    </row>
    <row r="38" spans="1:10" x14ac:dyDescent="0.25">
      <c r="A38" s="266">
        <v>42675</v>
      </c>
      <c r="B38" s="128">
        <f t="shared" si="0"/>
        <v>1530329.5</v>
      </c>
      <c r="C38" s="459">
        <v>725498.4</v>
      </c>
      <c r="D38" s="459">
        <v>804831.1</v>
      </c>
      <c r="E38" s="486">
        <v>55279.3</v>
      </c>
      <c r="F38" s="3"/>
      <c r="G38" s="3"/>
      <c r="H38" s="486">
        <v>1104299.3</v>
      </c>
      <c r="J38" s="6"/>
    </row>
    <row r="39" spans="1:10" x14ac:dyDescent="0.25">
      <c r="A39" s="266">
        <v>42705</v>
      </c>
      <c r="B39" s="128">
        <f t="shared" si="0"/>
        <v>4306093.4000000004</v>
      </c>
      <c r="C39" s="459">
        <v>80981.2</v>
      </c>
      <c r="D39" s="459">
        <v>4225112.2</v>
      </c>
      <c r="E39" s="486">
        <v>48387</v>
      </c>
      <c r="F39" s="3"/>
      <c r="G39" s="3"/>
      <c r="H39" s="486">
        <v>1438293.6</v>
      </c>
      <c r="J39" s="6"/>
    </row>
    <row r="40" spans="1:10" x14ac:dyDescent="0.25">
      <c r="A40" s="266">
        <v>42736</v>
      </c>
      <c r="B40" s="128">
        <f t="shared" si="0"/>
        <v>5551143</v>
      </c>
      <c r="C40" s="459">
        <v>13960.5</v>
      </c>
      <c r="D40" s="459">
        <v>5537182.5</v>
      </c>
      <c r="E40" s="486">
        <v>39568.300000000003</v>
      </c>
      <c r="F40" s="3"/>
      <c r="G40" s="3"/>
      <c r="H40" s="486">
        <v>1414213.5</v>
      </c>
      <c r="J40" s="6"/>
    </row>
    <row r="41" spans="1:10" x14ac:dyDescent="0.25">
      <c r="A41" s="266">
        <v>42767</v>
      </c>
      <c r="B41" s="128">
        <f t="shared" si="0"/>
        <v>4168435</v>
      </c>
      <c r="C41" s="484">
        <v>2245129.2000000002</v>
      </c>
      <c r="D41" s="484">
        <v>1923305.8</v>
      </c>
      <c r="E41" s="486">
        <v>36948.399999999994</v>
      </c>
      <c r="F41" s="3"/>
      <c r="G41" s="3"/>
      <c r="H41" s="486">
        <v>1144202.1999999997</v>
      </c>
    </row>
    <row r="42" spans="1:10" x14ac:dyDescent="0.25">
      <c r="A42" s="266">
        <v>42795</v>
      </c>
      <c r="B42" s="128">
        <f t="shared" si="0"/>
        <v>3270421.2392857103</v>
      </c>
      <c r="C42" s="485">
        <v>32074.6</v>
      </c>
      <c r="D42" s="485">
        <v>3238346.6392857102</v>
      </c>
      <c r="E42" s="486">
        <v>40814.300000000003</v>
      </c>
      <c r="F42" s="3"/>
      <c r="G42" s="3"/>
      <c r="H42" s="486">
        <v>1315531.9000000004</v>
      </c>
    </row>
    <row r="43" spans="1:10" x14ac:dyDescent="0.25">
      <c r="A43" s="266">
        <v>42826</v>
      </c>
      <c r="B43" s="128">
        <f t="shared" si="0"/>
        <v>2342627.1</v>
      </c>
      <c r="C43" s="485">
        <v>12936.7</v>
      </c>
      <c r="D43" s="485">
        <v>2329690.4</v>
      </c>
      <c r="E43" s="486">
        <v>40503.400000000009</v>
      </c>
      <c r="F43" s="3"/>
      <c r="G43" s="3"/>
      <c r="H43" s="486">
        <v>921728.1999999996</v>
      </c>
    </row>
    <row r="44" spans="1:10" x14ac:dyDescent="0.25">
      <c r="A44" s="266">
        <v>42856</v>
      </c>
      <c r="B44" s="128">
        <f t="shared" si="0"/>
        <v>1213560</v>
      </c>
      <c r="C44" s="485">
        <v>686289</v>
      </c>
      <c r="D44" s="485">
        <v>527271</v>
      </c>
      <c r="E44" s="486">
        <v>43878.400000000001</v>
      </c>
      <c r="F44" s="3"/>
      <c r="G44" s="3"/>
      <c r="H44" s="486">
        <v>915798.99999999965</v>
      </c>
    </row>
    <row r="45" spans="1:10" x14ac:dyDescent="0.25">
      <c r="A45" s="266">
        <v>42887</v>
      </c>
      <c r="B45" s="128">
        <f t="shared" ref="B45:B65" si="1">SUM(C45:D45)</f>
        <v>953320.2</v>
      </c>
      <c r="C45" s="485">
        <v>-29289.8</v>
      </c>
      <c r="D45" s="485">
        <v>982610</v>
      </c>
      <c r="E45" s="486">
        <v>54708.800000000003</v>
      </c>
      <c r="F45" s="3"/>
      <c r="G45" s="3"/>
      <c r="H45" s="486">
        <v>756321.6</v>
      </c>
    </row>
    <row r="46" spans="1:10" x14ac:dyDescent="0.25">
      <c r="A46" s="266">
        <v>42917</v>
      </c>
      <c r="B46" s="128">
        <f t="shared" si="1"/>
        <v>690751.8</v>
      </c>
      <c r="C46" s="485">
        <v>-16222.5</v>
      </c>
      <c r="D46" s="485">
        <v>706974.3</v>
      </c>
      <c r="E46" s="486">
        <v>48362.000000000007</v>
      </c>
      <c r="F46" s="3"/>
      <c r="G46" s="3"/>
      <c r="H46" s="486">
        <v>716804.49999999977</v>
      </c>
    </row>
    <row r="47" spans="1:10" x14ac:dyDescent="0.25">
      <c r="A47" s="266">
        <v>42948</v>
      </c>
      <c r="B47" s="128">
        <f t="shared" si="1"/>
        <v>718478.3</v>
      </c>
      <c r="C47" s="485">
        <v>355634.1</v>
      </c>
      <c r="D47" s="485">
        <v>362844.2</v>
      </c>
      <c r="E47" s="486">
        <v>45766</v>
      </c>
      <c r="F47" s="3"/>
      <c r="G47" s="3"/>
      <c r="H47" s="486">
        <v>840284.59999999974</v>
      </c>
    </row>
    <row r="48" spans="1:10" x14ac:dyDescent="0.25">
      <c r="A48" s="266">
        <v>42979</v>
      </c>
      <c r="B48" s="128">
        <f t="shared" si="1"/>
        <v>744894.2</v>
      </c>
      <c r="C48" s="485">
        <v>1356</v>
      </c>
      <c r="D48" s="485">
        <v>743538.2</v>
      </c>
      <c r="E48" s="485">
        <v>35794.299999999996</v>
      </c>
      <c r="H48" s="486">
        <v>772573.20000000042</v>
      </c>
    </row>
    <row r="49" spans="1:8" x14ac:dyDescent="0.25">
      <c r="A49" s="266">
        <v>43009</v>
      </c>
      <c r="B49" s="128">
        <f t="shared" si="1"/>
        <v>840387.5</v>
      </c>
      <c r="C49" s="485">
        <v>775.5</v>
      </c>
      <c r="D49" s="485">
        <v>839612</v>
      </c>
      <c r="E49" s="485">
        <v>46965.4</v>
      </c>
      <c r="H49" s="486">
        <v>953232.1</v>
      </c>
    </row>
    <row r="50" spans="1:8" x14ac:dyDescent="0.25">
      <c r="A50" s="266">
        <v>43040</v>
      </c>
      <c r="B50" s="128">
        <f t="shared" si="1"/>
        <v>2259484.9000000004</v>
      </c>
      <c r="C50" s="485">
        <v>1001146.8</v>
      </c>
      <c r="D50" s="485">
        <v>1258338.1000000001</v>
      </c>
      <c r="E50" s="485">
        <v>71898.899999999994</v>
      </c>
      <c r="H50" s="486">
        <v>1247351.9999999995</v>
      </c>
    </row>
    <row r="51" spans="1:8" x14ac:dyDescent="0.25">
      <c r="A51" s="266">
        <v>43070</v>
      </c>
      <c r="B51" s="128">
        <f t="shared" si="1"/>
        <v>4228872.7</v>
      </c>
      <c r="C51" s="485">
        <v>190745.5</v>
      </c>
      <c r="D51" s="485">
        <v>4038127.2</v>
      </c>
      <c r="E51" s="485">
        <v>64229.900000000009</v>
      </c>
      <c r="H51" s="486">
        <v>1431459</v>
      </c>
    </row>
    <row r="52" spans="1:8" x14ac:dyDescent="0.25">
      <c r="A52" s="266">
        <v>43101</v>
      </c>
      <c r="B52" s="128">
        <f t="shared" si="1"/>
        <v>7315147.2000000002</v>
      </c>
      <c r="C52" s="485">
        <v>28073.3</v>
      </c>
      <c r="D52" s="485">
        <v>7287073.9000000004</v>
      </c>
      <c r="E52" s="485">
        <v>43872.100000000006</v>
      </c>
      <c r="H52" s="486">
        <v>1669754.7000000002</v>
      </c>
    </row>
    <row r="53" spans="1:8" x14ac:dyDescent="0.25">
      <c r="A53" s="266">
        <v>43132</v>
      </c>
      <c r="B53" s="128">
        <f t="shared" si="1"/>
        <v>5484180.5999999996</v>
      </c>
      <c r="C53" s="485">
        <v>2955290.3</v>
      </c>
      <c r="D53" s="485">
        <v>2528890.2999999998</v>
      </c>
      <c r="E53" s="485">
        <v>25385.3</v>
      </c>
      <c r="H53" s="486">
        <v>1268158.8</v>
      </c>
    </row>
    <row r="54" spans="1:8" x14ac:dyDescent="0.25">
      <c r="A54" s="266">
        <v>43160</v>
      </c>
      <c r="B54" s="128">
        <f t="shared" si="1"/>
        <v>3758171.9</v>
      </c>
      <c r="C54" s="485">
        <v>18600.099999999999</v>
      </c>
      <c r="D54" s="485">
        <v>3739571.8</v>
      </c>
      <c r="E54" s="485">
        <v>47315.5</v>
      </c>
      <c r="H54" s="486">
        <v>1432002.6</v>
      </c>
    </row>
    <row r="55" spans="1:8" x14ac:dyDescent="0.25">
      <c r="A55" s="266">
        <v>43191</v>
      </c>
      <c r="B55" s="128">
        <f t="shared" si="1"/>
        <v>3574415.6</v>
      </c>
      <c r="C55" s="485">
        <v>13452</v>
      </c>
      <c r="D55" s="485">
        <v>3560963.6</v>
      </c>
      <c r="E55" s="485">
        <v>49975.5</v>
      </c>
      <c r="H55" s="486">
        <v>1183734.8000000003</v>
      </c>
    </row>
    <row r="56" spans="1:8" x14ac:dyDescent="0.25">
      <c r="A56" s="266">
        <v>43221</v>
      </c>
      <c r="B56" s="128">
        <f t="shared" si="1"/>
        <v>1717818.4</v>
      </c>
      <c r="C56" s="485">
        <v>999212.2</v>
      </c>
      <c r="D56" s="485">
        <v>718606.2</v>
      </c>
      <c r="E56" s="485">
        <v>58553.2</v>
      </c>
      <c r="H56" s="486">
        <v>904837.89999999944</v>
      </c>
    </row>
    <row r="57" spans="1:8" x14ac:dyDescent="0.25">
      <c r="A57" s="266">
        <v>43252</v>
      </c>
      <c r="B57" s="128">
        <f t="shared" si="1"/>
        <v>804407.9</v>
      </c>
      <c r="C57" s="485">
        <v>17672.5</v>
      </c>
      <c r="D57" s="485">
        <v>786735.4</v>
      </c>
      <c r="E57" s="485">
        <v>55149.7</v>
      </c>
      <c r="H57" s="486">
        <v>821425.50000000035</v>
      </c>
    </row>
    <row r="58" spans="1:8" x14ac:dyDescent="0.25">
      <c r="A58" s="266">
        <v>43282</v>
      </c>
      <c r="B58" s="128">
        <f t="shared" si="1"/>
        <v>711177.6</v>
      </c>
      <c r="C58" s="485">
        <v>691707.5</v>
      </c>
      <c r="D58" s="485">
        <v>19470.099999999999</v>
      </c>
      <c r="E58" s="485">
        <v>47377.000000000007</v>
      </c>
      <c r="H58" s="486">
        <v>788728.29999999981</v>
      </c>
    </row>
    <row r="59" spans="1:8" x14ac:dyDescent="0.25">
      <c r="A59" s="266">
        <v>43313</v>
      </c>
      <c r="B59" s="128">
        <f t="shared" si="1"/>
        <v>685611.4</v>
      </c>
      <c r="C59" s="485">
        <v>310354.90000000002</v>
      </c>
      <c r="D59" s="485">
        <v>375256.5</v>
      </c>
      <c r="E59" s="485">
        <v>60415.3</v>
      </c>
      <c r="H59" s="486">
        <v>775443.69999999984</v>
      </c>
    </row>
    <row r="60" spans="1:8" x14ac:dyDescent="0.25">
      <c r="A60" s="266">
        <v>43344</v>
      </c>
      <c r="B60" s="128">
        <f t="shared" si="1"/>
        <v>715644</v>
      </c>
      <c r="C60" s="485">
        <v>9481.6</v>
      </c>
      <c r="D60" s="485">
        <v>706162.4</v>
      </c>
      <c r="E60" s="485">
        <v>62054.6</v>
      </c>
      <c r="H60" s="486">
        <v>803754.6</v>
      </c>
    </row>
    <row r="61" spans="1:8" x14ac:dyDescent="0.25">
      <c r="A61" s="266">
        <v>43374</v>
      </c>
      <c r="B61" s="128">
        <f t="shared" si="1"/>
        <v>1074864.5999999999</v>
      </c>
      <c r="C61" s="485">
        <v>2196.1999999999998</v>
      </c>
      <c r="D61" s="485">
        <v>1072668.3999999999</v>
      </c>
      <c r="E61" s="485">
        <v>71891.399999999994</v>
      </c>
      <c r="H61" s="486">
        <v>1080228.7</v>
      </c>
    </row>
    <row r="62" spans="1:8" x14ac:dyDescent="0.25">
      <c r="A62" s="266">
        <v>43405</v>
      </c>
      <c r="B62" s="128">
        <f t="shared" si="1"/>
        <v>2736023.9</v>
      </c>
      <c r="C62" s="485">
        <v>1167553.5</v>
      </c>
      <c r="D62" s="485">
        <v>1568470.4</v>
      </c>
      <c r="E62" s="485">
        <v>42525</v>
      </c>
      <c r="H62" s="486">
        <v>1394920.4999999998</v>
      </c>
    </row>
    <row r="63" spans="1:8" x14ac:dyDescent="0.25">
      <c r="A63" s="266">
        <v>43435</v>
      </c>
      <c r="B63" s="128">
        <f t="shared" si="1"/>
        <v>4747676.1000000006</v>
      </c>
      <c r="C63" s="485">
        <v>58966.400000000001</v>
      </c>
      <c r="D63" s="485">
        <v>4688709.7</v>
      </c>
      <c r="E63" s="485">
        <v>29030.399999999998</v>
      </c>
      <c r="H63" s="486">
        <v>1418792.7000000002</v>
      </c>
    </row>
    <row r="64" spans="1:8" x14ac:dyDescent="0.25">
      <c r="A64" s="266">
        <v>43466</v>
      </c>
      <c r="B64" s="128">
        <f t="shared" si="1"/>
        <v>5209144.6000000006</v>
      </c>
      <c r="C64" s="485">
        <v>19312.2</v>
      </c>
      <c r="D64" s="485">
        <v>5189832.4000000004</v>
      </c>
      <c r="E64" s="485">
        <v>12021.099999999999</v>
      </c>
      <c r="H64" s="486">
        <v>1678701.0999999996</v>
      </c>
    </row>
    <row r="65" spans="1:8" x14ac:dyDescent="0.25">
      <c r="A65" s="266">
        <v>43497</v>
      </c>
      <c r="B65" s="128">
        <f t="shared" si="1"/>
        <v>5879594.9000000004</v>
      </c>
      <c r="C65" s="485">
        <v>2943537.6</v>
      </c>
      <c r="D65" s="485">
        <v>2936057.3</v>
      </c>
      <c r="E65" s="485">
        <v>4909</v>
      </c>
      <c r="H65" s="486">
        <v>1421391.6</v>
      </c>
    </row>
    <row r="66" spans="1:8" x14ac:dyDescent="0.25">
      <c r="A66" s="266">
        <v>43525</v>
      </c>
      <c r="B66" s="128">
        <f t="shared" ref="B66:B86" si="2">SUM(C66:D66)</f>
        <v>4866844.2</v>
      </c>
      <c r="C66" s="485">
        <v>5396.7</v>
      </c>
      <c r="D66" s="485">
        <v>4861447.5</v>
      </c>
      <c r="E66" s="485">
        <v>13299.199999999999</v>
      </c>
      <c r="H66" s="486">
        <v>1444982.8000000003</v>
      </c>
    </row>
    <row r="67" spans="1:8" x14ac:dyDescent="0.25">
      <c r="A67" s="266">
        <v>43556</v>
      </c>
      <c r="B67" s="128">
        <f t="shared" si="2"/>
        <v>2742152.5</v>
      </c>
      <c r="C67" s="485">
        <v>1167</v>
      </c>
      <c r="D67" s="485">
        <v>2740985.5</v>
      </c>
      <c r="E67" s="485">
        <v>36260.5</v>
      </c>
      <c r="H67" s="486">
        <v>1088354.5000000002</v>
      </c>
    </row>
    <row r="68" spans="1:8" x14ac:dyDescent="0.25">
      <c r="A68" s="266">
        <v>43586</v>
      </c>
      <c r="B68" s="128">
        <f t="shared" si="2"/>
        <v>1295028.3999999999</v>
      </c>
      <c r="C68" s="485">
        <v>712344.8</v>
      </c>
      <c r="D68" s="485">
        <v>582683.6</v>
      </c>
      <c r="E68" s="485">
        <v>36467</v>
      </c>
      <c r="H68" s="486">
        <v>981057.20000000019</v>
      </c>
    </row>
    <row r="69" spans="1:8" x14ac:dyDescent="0.25">
      <c r="A69" s="266">
        <v>43617</v>
      </c>
      <c r="B69" s="128">
        <f t="shared" si="2"/>
        <v>825371.1</v>
      </c>
      <c r="C69" s="485">
        <v>12729.2</v>
      </c>
      <c r="D69" s="485">
        <v>812641.9</v>
      </c>
      <c r="E69" s="485">
        <v>33022.6</v>
      </c>
      <c r="H69" s="486">
        <v>897842.49999999965</v>
      </c>
    </row>
    <row r="70" spans="1:8" x14ac:dyDescent="0.25">
      <c r="A70" s="266">
        <v>43647</v>
      </c>
      <c r="B70" s="128">
        <f t="shared" si="2"/>
        <v>702726.8</v>
      </c>
      <c r="C70" s="485">
        <v>-1864.5</v>
      </c>
      <c r="D70" s="485">
        <v>704591.3</v>
      </c>
      <c r="E70" s="485">
        <v>29285.5</v>
      </c>
      <c r="H70" s="486">
        <v>826414.2</v>
      </c>
    </row>
    <row r="71" spans="1:8" x14ac:dyDescent="0.25">
      <c r="A71" s="266">
        <v>43678</v>
      </c>
      <c r="B71" s="128">
        <f t="shared" si="2"/>
        <v>645750.69999999995</v>
      </c>
      <c r="C71" s="485">
        <v>336861.2</v>
      </c>
      <c r="D71" s="485">
        <v>308889.5</v>
      </c>
      <c r="E71" s="485">
        <v>44427.100000000006</v>
      </c>
      <c r="H71" s="486">
        <v>812061.09999999986</v>
      </c>
    </row>
    <row r="72" spans="1:8" x14ac:dyDescent="0.25">
      <c r="A72" s="266">
        <v>43709</v>
      </c>
      <c r="B72" s="128">
        <f t="shared" si="2"/>
        <v>665202.89999999991</v>
      </c>
      <c r="C72" s="485">
        <v>1232.7</v>
      </c>
      <c r="D72" s="485">
        <v>663970.19999999995</v>
      </c>
      <c r="E72" s="485">
        <v>62264.80000000001</v>
      </c>
      <c r="H72" s="486">
        <v>850497.50000000023</v>
      </c>
    </row>
    <row r="73" spans="1:8" x14ac:dyDescent="0.25">
      <c r="A73" s="266">
        <v>43739</v>
      </c>
      <c r="B73" s="128">
        <f t="shared" si="2"/>
        <v>819786</v>
      </c>
      <c r="C73" s="485">
        <v>-1112.7</v>
      </c>
      <c r="D73" s="485">
        <v>820898.7</v>
      </c>
      <c r="E73" s="485">
        <v>63703.9</v>
      </c>
      <c r="H73" s="486">
        <v>1127313.6000000001</v>
      </c>
    </row>
    <row r="74" spans="1:8" x14ac:dyDescent="0.25">
      <c r="A74" s="266">
        <v>43770</v>
      </c>
      <c r="B74" s="128">
        <f t="shared" si="2"/>
        <v>2484181.5</v>
      </c>
      <c r="C74" s="485">
        <v>1196569.1000000001</v>
      </c>
      <c r="D74" s="485">
        <v>1287612.3999999999</v>
      </c>
      <c r="E74" s="485">
        <v>53399.9</v>
      </c>
      <c r="H74" s="486">
        <v>1347937.3000000003</v>
      </c>
    </row>
    <row r="75" spans="1:8" x14ac:dyDescent="0.25">
      <c r="A75" s="266">
        <v>43800</v>
      </c>
      <c r="B75" s="128">
        <f t="shared" si="2"/>
        <v>4914992.7</v>
      </c>
      <c r="C75" s="485">
        <v>130919.4</v>
      </c>
      <c r="D75" s="485">
        <v>4784073.3</v>
      </c>
      <c r="E75" s="485">
        <v>36610</v>
      </c>
      <c r="H75" s="486">
        <v>1430878.8</v>
      </c>
    </row>
    <row r="76" spans="1:8" x14ac:dyDescent="0.25">
      <c r="A76" s="266">
        <v>43831</v>
      </c>
      <c r="B76" s="128">
        <f t="shared" si="2"/>
        <v>4666287.8</v>
      </c>
      <c r="C76" s="485">
        <v>846.5</v>
      </c>
      <c r="D76" s="485">
        <v>4665441.3</v>
      </c>
      <c r="E76" s="485">
        <v>48318.1</v>
      </c>
      <c r="H76" s="486">
        <v>1497866.7</v>
      </c>
    </row>
    <row r="77" spans="1:8" x14ac:dyDescent="0.25">
      <c r="A77" s="266">
        <v>43862</v>
      </c>
      <c r="B77" s="128">
        <f t="shared" si="2"/>
        <v>4895025.5999999996</v>
      </c>
      <c r="C77" s="485">
        <v>2534081.5</v>
      </c>
      <c r="D77" s="485">
        <v>2360944.1</v>
      </c>
      <c r="E77" s="485">
        <v>24878.199999999997</v>
      </c>
      <c r="H77" s="486">
        <v>1485084.9000000004</v>
      </c>
    </row>
    <row r="78" spans="1:8" x14ac:dyDescent="0.25">
      <c r="A78" s="266">
        <v>43891</v>
      </c>
      <c r="B78" s="128">
        <f t="shared" si="2"/>
        <v>4167631.8</v>
      </c>
      <c r="C78" s="485">
        <v>13828.5</v>
      </c>
      <c r="D78" s="485">
        <v>4153803.3</v>
      </c>
      <c r="E78" s="485">
        <v>30252.1</v>
      </c>
      <c r="H78" s="486">
        <v>1184225</v>
      </c>
    </row>
    <row r="79" spans="1:8" x14ac:dyDescent="0.25">
      <c r="A79" s="266">
        <v>43922</v>
      </c>
      <c r="B79" s="128">
        <f t="shared" si="2"/>
        <v>2380089.7000000002</v>
      </c>
      <c r="C79" s="485">
        <v>140</v>
      </c>
      <c r="D79" s="485">
        <v>2379949.7000000002</v>
      </c>
      <c r="E79" s="485">
        <v>55664.100000000006</v>
      </c>
      <c r="H79" s="486">
        <v>832221</v>
      </c>
    </row>
    <row r="80" spans="1:8" x14ac:dyDescent="0.25">
      <c r="A80" s="266">
        <v>43952</v>
      </c>
      <c r="B80" s="128">
        <f t="shared" si="2"/>
        <v>1668456.8</v>
      </c>
      <c r="C80" s="485">
        <v>957976.3</v>
      </c>
      <c r="D80" s="485">
        <v>710480.5</v>
      </c>
      <c r="E80" s="485">
        <v>39270.19999999999</v>
      </c>
      <c r="H80" s="486">
        <v>837007.4</v>
      </c>
    </row>
    <row r="81" spans="1:8" x14ac:dyDescent="0.25">
      <c r="A81" s="266">
        <v>43983</v>
      </c>
      <c r="B81" s="128">
        <f t="shared" si="2"/>
        <v>937602.9</v>
      </c>
      <c r="C81" s="485">
        <v>-908.6</v>
      </c>
      <c r="D81" s="485">
        <v>938511.5</v>
      </c>
      <c r="E81" s="485">
        <v>49416.5</v>
      </c>
      <c r="H81" s="486">
        <v>811277.5</v>
      </c>
    </row>
    <row r="82" spans="1:8" x14ac:dyDescent="0.25">
      <c r="A82" s="266">
        <v>44013</v>
      </c>
      <c r="B82" s="128">
        <f t="shared" si="2"/>
        <v>687225.60000000009</v>
      </c>
      <c r="C82" s="485">
        <v>-7213.2</v>
      </c>
      <c r="D82" s="485">
        <v>694438.8</v>
      </c>
      <c r="E82" s="485">
        <v>30957.200000000001</v>
      </c>
      <c r="H82" s="486">
        <v>802016.7</v>
      </c>
    </row>
    <row r="83" spans="1:8" x14ac:dyDescent="0.25">
      <c r="A83" s="266">
        <v>44044</v>
      </c>
      <c r="B83" s="128">
        <f t="shared" si="2"/>
        <v>630697.30000000005</v>
      </c>
      <c r="C83" s="485">
        <v>317154</v>
      </c>
      <c r="D83" s="485">
        <v>313543.3</v>
      </c>
      <c r="E83" s="485">
        <v>54045.3</v>
      </c>
      <c r="F83" s="3"/>
      <c r="G83" s="3"/>
      <c r="H83" s="486">
        <v>763198</v>
      </c>
    </row>
    <row r="84" spans="1:8" x14ac:dyDescent="0.25">
      <c r="A84" s="266">
        <v>44075</v>
      </c>
      <c r="B84" s="128">
        <f t="shared" si="2"/>
        <v>670179.9</v>
      </c>
      <c r="C84" s="485">
        <v>-8181</v>
      </c>
      <c r="D84" s="485">
        <v>678360.9</v>
      </c>
      <c r="E84" s="485">
        <v>66050.899999999994</v>
      </c>
      <c r="F84" s="3"/>
      <c r="G84" s="3"/>
      <c r="H84" s="486">
        <v>819663.4</v>
      </c>
    </row>
    <row r="85" spans="1:8" x14ac:dyDescent="0.25">
      <c r="A85" s="266">
        <v>44105</v>
      </c>
      <c r="B85" s="128">
        <f t="shared" si="2"/>
        <v>953506.2</v>
      </c>
      <c r="C85" s="485">
        <v>-1335.4</v>
      </c>
      <c r="D85" s="485">
        <v>954841.59999999998</v>
      </c>
      <c r="E85" s="485">
        <v>74502</v>
      </c>
      <c r="F85" s="3"/>
      <c r="G85" s="3"/>
      <c r="H85" s="486">
        <v>824280.5</v>
      </c>
    </row>
    <row r="86" spans="1:8" x14ac:dyDescent="0.25">
      <c r="A86" s="266">
        <v>44136</v>
      </c>
      <c r="B86" s="128">
        <f t="shared" si="2"/>
        <v>1919239</v>
      </c>
      <c r="C86" s="485">
        <v>1057236.6000000001</v>
      </c>
      <c r="D86" s="485">
        <v>862002.4</v>
      </c>
      <c r="E86" s="485">
        <v>71473.600000000006</v>
      </c>
      <c r="F86" s="3"/>
      <c r="G86" s="3"/>
      <c r="H86" s="486">
        <v>1045220.2</v>
      </c>
    </row>
    <row r="87" spans="1:8" x14ac:dyDescent="0.25">
      <c r="A87" s="266">
        <v>44166</v>
      </c>
      <c r="B87" s="128">
        <v>3979897.4</v>
      </c>
      <c r="C87" s="485">
        <v>-4050.2</v>
      </c>
      <c r="D87" s="485">
        <v>3983947.6</v>
      </c>
      <c r="E87" s="485">
        <v>44430.3</v>
      </c>
      <c r="F87" s="3"/>
      <c r="G87" s="3"/>
      <c r="H87" s="486">
        <v>1147614.3999999999</v>
      </c>
    </row>
    <row r="88" spans="1:8" x14ac:dyDescent="0.25">
      <c r="A88" s="266">
        <v>44197</v>
      </c>
      <c r="B88" s="128">
        <v>5828853.2000000002</v>
      </c>
      <c r="C88" s="485">
        <v>199994.6</v>
      </c>
      <c r="D88" s="485">
        <v>5628858.5999999996</v>
      </c>
      <c r="E88" s="485">
        <v>22918.3</v>
      </c>
      <c r="F88" s="3"/>
      <c r="G88" s="3"/>
      <c r="H88" s="486">
        <v>1615941.5</v>
      </c>
    </row>
    <row r="89" spans="1:8" x14ac:dyDescent="0.25">
      <c r="A89" s="266">
        <v>44228</v>
      </c>
      <c r="B89" s="128">
        <v>6106907.0999999996</v>
      </c>
      <c r="C89" s="485">
        <v>3239192.3</v>
      </c>
      <c r="D89" s="485">
        <v>2867714.8</v>
      </c>
      <c r="E89" s="485">
        <v>29602.1</v>
      </c>
      <c r="F89" s="3"/>
      <c r="G89" s="3"/>
      <c r="H89" s="486">
        <v>1588920.3</v>
      </c>
    </row>
    <row r="90" spans="1:8" x14ac:dyDescent="0.25">
      <c r="A90" s="266">
        <v>44256</v>
      </c>
      <c r="B90" s="128">
        <v>4908337.5</v>
      </c>
      <c r="C90" s="485">
        <v>60505.3</v>
      </c>
      <c r="D90" s="485">
        <v>4847832.2</v>
      </c>
      <c r="E90" s="485">
        <v>40091.300000000003</v>
      </c>
      <c r="F90" s="3"/>
      <c r="G90" s="3"/>
      <c r="H90" s="486">
        <v>1544351.3</v>
      </c>
    </row>
    <row r="91" spans="1:8" x14ac:dyDescent="0.25">
      <c r="A91" s="266">
        <v>44287</v>
      </c>
      <c r="B91" s="128">
        <v>2308518.7000000002</v>
      </c>
      <c r="C91" s="485">
        <v>1218.4000000000001</v>
      </c>
      <c r="D91" s="485">
        <v>2307300.2999999998</v>
      </c>
      <c r="E91" s="485">
        <v>65875.899999999994</v>
      </c>
      <c r="F91" s="3"/>
      <c r="G91" s="3"/>
      <c r="H91" s="486">
        <v>1336298.3999999999</v>
      </c>
    </row>
    <row r="92" spans="1:8" x14ac:dyDescent="0.25">
      <c r="A92" s="266">
        <v>44317</v>
      </c>
      <c r="B92" s="128">
        <v>1429557.8</v>
      </c>
      <c r="C92" s="485">
        <v>794953.8</v>
      </c>
      <c r="D92" s="485">
        <v>634604</v>
      </c>
      <c r="E92" s="485">
        <v>64697.2</v>
      </c>
      <c r="F92" s="3"/>
      <c r="G92" s="3"/>
      <c r="H92" s="486">
        <v>1077815.8999999999</v>
      </c>
    </row>
    <row r="93" spans="1:8" x14ac:dyDescent="0.25">
      <c r="A93" s="266">
        <v>44348</v>
      </c>
      <c r="B93" s="128">
        <v>905633.5</v>
      </c>
      <c r="C93" s="485">
        <v>-523.4</v>
      </c>
      <c r="D93" s="485">
        <v>906156.9</v>
      </c>
      <c r="E93" s="485">
        <v>63211.8</v>
      </c>
      <c r="F93" s="3"/>
      <c r="G93" s="3"/>
      <c r="H93" s="486">
        <v>1048042.8</v>
      </c>
    </row>
    <row r="94" spans="1:8" x14ac:dyDescent="0.25">
      <c r="A94" s="266">
        <v>44378</v>
      </c>
      <c r="B94" s="128">
        <v>669470.69999999995</v>
      </c>
      <c r="C94" s="485">
        <v>9877.7999999999993</v>
      </c>
      <c r="D94" s="485">
        <v>659592.9</v>
      </c>
      <c r="E94" s="485">
        <v>57936.4</v>
      </c>
      <c r="F94" s="3"/>
      <c r="G94" s="3"/>
      <c r="H94" s="486">
        <v>870160.8</v>
      </c>
    </row>
    <row r="95" spans="1:8" x14ac:dyDescent="0.25">
      <c r="A95" s="266">
        <v>44409</v>
      </c>
      <c r="B95" s="128">
        <v>663187.69999999995</v>
      </c>
      <c r="C95" s="485">
        <v>335208</v>
      </c>
      <c r="D95" s="485">
        <v>327979.7</v>
      </c>
      <c r="E95" s="485">
        <v>48256.7</v>
      </c>
      <c r="F95" s="3"/>
      <c r="G95" s="3"/>
      <c r="H95" s="486">
        <v>797062.9</v>
      </c>
    </row>
    <row r="96" spans="1:8" x14ac:dyDescent="0.25">
      <c r="A96" s="266">
        <v>44440</v>
      </c>
      <c r="B96" s="687">
        <v>687871.9</v>
      </c>
      <c r="C96" s="485">
        <v>-2890.7</v>
      </c>
      <c r="D96" s="485">
        <v>690762.6</v>
      </c>
      <c r="E96" s="485">
        <v>55443.4</v>
      </c>
      <c r="F96" s="3"/>
      <c r="G96" s="3"/>
      <c r="H96" s="486">
        <v>890211.9</v>
      </c>
    </row>
    <row r="97" spans="1:8" x14ac:dyDescent="0.25">
      <c r="A97" s="266">
        <v>44470</v>
      </c>
      <c r="B97" s="686">
        <v>836296.1</v>
      </c>
      <c r="C97" s="485">
        <v>-1665.6</v>
      </c>
      <c r="D97" s="485">
        <v>837961.7</v>
      </c>
      <c r="E97" s="485">
        <v>74420.2</v>
      </c>
      <c r="F97" s="3"/>
      <c r="G97" s="3"/>
      <c r="H97" s="486">
        <v>932009.1</v>
      </c>
    </row>
    <row r="98" spans="1:8" x14ac:dyDescent="0.25">
      <c r="A98" s="266">
        <v>44501</v>
      </c>
      <c r="B98" s="687">
        <v>2112663.9</v>
      </c>
      <c r="C98" s="485">
        <v>1026208.6</v>
      </c>
      <c r="D98" s="485">
        <v>1086455.3</v>
      </c>
      <c r="E98" s="485">
        <v>74117</v>
      </c>
      <c r="F98" s="3"/>
      <c r="G98" s="3"/>
      <c r="H98" s="486">
        <v>987647.6</v>
      </c>
    </row>
    <row r="99" spans="1:8" x14ac:dyDescent="0.25">
      <c r="A99" s="266">
        <v>44531</v>
      </c>
      <c r="B99" s="687">
        <v>3990717.4</v>
      </c>
      <c r="C99" s="485">
        <v>168526.3</v>
      </c>
      <c r="D99" s="485">
        <v>3822191.1</v>
      </c>
      <c r="E99" s="485">
        <v>65082.8</v>
      </c>
      <c r="F99" s="3"/>
      <c r="G99" s="3"/>
      <c r="H99" s="486">
        <v>1309531.7</v>
      </c>
    </row>
    <row r="100" spans="1:8" x14ac:dyDescent="0.25">
      <c r="A100" s="266">
        <v>44562</v>
      </c>
      <c r="B100" s="687">
        <v>5236357</v>
      </c>
      <c r="C100" s="485">
        <v>243769.8</v>
      </c>
      <c r="D100" s="485">
        <v>4992587.2</v>
      </c>
      <c r="E100" s="485">
        <v>48783.3</v>
      </c>
      <c r="F100" s="3"/>
      <c r="G100" s="3"/>
      <c r="H100" s="486">
        <v>1283454</v>
      </c>
    </row>
    <row r="101" spans="1:8" x14ac:dyDescent="0.25">
      <c r="A101" s="266">
        <v>44593</v>
      </c>
      <c r="B101" s="687">
        <v>5840316.2000000002</v>
      </c>
      <c r="C101" s="485">
        <v>3206661</v>
      </c>
      <c r="D101" s="485">
        <v>2633655.2000000002</v>
      </c>
      <c r="E101" s="485">
        <v>54563.3</v>
      </c>
      <c r="F101" s="3"/>
      <c r="G101" s="3"/>
      <c r="H101" s="486">
        <v>1780261.6</v>
      </c>
    </row>
    <row r="102" spans="1:8" x14ac:dyDescent="0.25">
      <c r="A102" s="266">
        <v>44621</v>
      </c>
      <c r="B102" s="687">
        <v>4334416.8</v>
      </c>
      <c r="C102" s="485">
        <v>7307</v>
      </c>
      <c r="D102" s="485">
        <v>4327109.8</v>
      </c>
      <c r="E102" s="485">
        <v>68708.7</v>
      </c>
      <c r="H102" s="486">
        <v>1497491.6</v>
      </c>
    </row>
    <row r="103" spans="1:8" x14ac:dyDescent="0.25">
      <c r="A103" s="266">
        <v>44652</v>
      </c>
      <c r="B103" s="687">
        <v>2797541.7</v>
      </c>
      <c r="C103" s="485">
        <v>13235.3</v>
      </c>
      <c r="D103" s="485">
        <v>2784306.4</v>
      </c>
      <c r="E103" s="485">
        <v>71265.7</v>
      </c>
      <c r="H103" s="486">
        <v>1405096</v>
      </c>
    </row>
    <row r="104" spans="1:8" x14ac:dyDescent="0.25">
      <c r="A104" s="266">
        <v>44682</v>
      </c>
      <c r="B104" s="687">
        <v>1353023.2</v>
      </c>
      <c r="C104" s="485">
        <v>791440.7</v>
      </c>
      <c r="D104" s="485">
        <v>561582.5</v>
      </c>
      <c r="E104" s="485">
        <v>35911.300000000003</v>
      </c>
      <c r="H104" s="486">
        <v>1201967.3999999999</v>
      </c>
    </row>
    <row r="105" spans="1:8" x14ac:dyDescent="0.25">
      <c r="A105" s="266">
        <v>44713</v>
      </c>
      <c r="B105" s="687">
        <v>781082.6</v>
      </c>
      <c r="C105" s="485">
        <v>-4032.4</v>
      </c>
      <c r="D105" s="485">
        <v>785115</v>
      </c>
      <c r="E105" s="485">
        <v>111368.9</v>
      </c>
      <c r="H105" s="486">
        <v>1003432.2</v>
      </c>
    </row>
    <row r="106" spans="1:8" x14ac:dyDescent="0.25">
      <c r="A106" s="266">
        <v>44743</v>
      </c>
      <c r="B106" s="351">
        <v>650186.6</v>
      </c>
      <c r="C106" s="485">
        <v>16810.400000000001</v>
      </c>
      <c r="D106" s="485">
        <v>633376.19999999995</v>
      </c>
      <c r="E106" s="485">
        <v>63811.4</v>
      </c>
      <c r="F106" s="3"/>
      <c r="G106" s="3"/>
      <c r="H106" s="486">
        <v>976705.6</v>
      </c>
    </row>
    <row r="107" spans="1:8" x14ac:dyDescent="0.25">
      <c r="A107" s="266">
        <v>44774</v>
      </c>
      <c r="B107" s="351">
        <v>633620</v>
      </c>
      <c r="C107" s="485">
        <v>319884</v>
      </c>
      <c r="D107" s="485">
        <v>313736</v>
      </c>
      <c r="E107" s="485">
        <v>68067.100000000006</v>
      </c>
      <c r="F107" s="3"/>
      <c r="G107" s="3"/>
      <c r="H107" s="486">
        <v>831521.2</v>
      </c>
    </row>
    <row r="108" spans="1:8" x14ac:dyDescent="0.25">
      <c r="A108" s="266">
        <v>44805</v>
      </c>
      <c r="B108" s="351">
        <v>649768.6</v>
      </c>
      <c r="C108" s="485">
        <v>1171.9000000000001</v>
      </c>
      <c r="D108" s="485">
        <v>648596.69999999995</v>
      </c>
      <c r="E108" s="485">
        <v>86338.7</v>
      </c>
      <c r="F108" s="3"/>
      <c r="G108" s="3"/>
      <c r="H108" s="486">
        <v>908043</v>
      </c>
    </row>
    <row r="109" spans="1:8" x14ac:dyDescent="0.25">
      <c r="A109" s="266">
        <v>44835</v>
      </c>
      <c r="B109" s="351">
        <v>1035494.7</v>
      </c>
      <c r="C109" s="485">
        <v>-1181.4000000000001</v>
      </c>
      <c r="D109" s="485">
        <v>1036676.1</v>
      </c>
      <c r="E109" s="485">
        <v>80730.3</v>
      </c>
      <c r="F109" s="3"/>
      <c r="G109" s="3"/>
      <c r="H109" s="486">
        <v>879400.1</v>
      </c>
    </row>
    <row r="110" spans="1:8" x14ac:dyDescent="0.25">
      <c r="A110" s="266">
        <v>44866</v>
      </c>
      <c r="B110" s="351">
        <v>2117518.5</v>
      </c>
      <c r="C110" s="485">
        <v>993908.5</v>
      </c>
      <c r="D110" s="485">
        <v>1123610</v>
      </c>
      <c r="E110" s="485"/>
      <c r="F110" s="3"/>
      <c r="G110" s="3"/>
      <c r="H110" s="486">
        <v>1133855.8</v>
      </c>
    </row>
  </sheetData>
  <pageMargins left="0.7" right="0.7" top="0.75" bottom="0.75" header="0.3" footer="0.3"/>
  <pageSetup scale="84" orientation="landscape" r:id="rId1"/>
  <headerFooter>
    <oddFooter>&amp;L&amp;1#&amp;"Calibri"&amp;14&amp;K000000Confidential</oddFooter>
  </headerFooter>
  <customProperties>
    <customPr name="_pios_id" r:id="rId2"/>
  </customProperties>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8">
    <tabColor rgb="FF92D050"/>
  </sheetPr>
  <dimension ref="A1:BM179"/>
  <sheetViews>
    <sheetView zoomScaleNormal="100" workbookViewId="0">
      <selection activeCell="AK8" sqref="AK8"/>
    </sheetView>
  </sheetViews>
  <sheetFormatPr defaultColWidth="8.88671875" defaultRowHeight="15.75" x14ac:dyDescent="0.25"/>
  <cols>
    <col min="1" max="1" width="10.44140625" style="6" customWidth="1"/>
    <col min="2" max="4" width="12.33203125" style="6" hidden="1" customWidth="1"/>
    <col min="5" max="5" width="4" style="6" hidden="1" customWidth="1"/>
    <col min="6" max="6" width="9.5546875" style="6" hidden="1" customWidth="1"/>
    <col min="7" max="7" width="11.44140625" style="6" hidden="1" customWidth="1"/>
    <col min="8" max="8" width="6" style="6" hidden="1" customWidth="1"/>
    <col min="9" max="10" width="12.33203125" style="6" hidden="1" customWidth="1"/>
    <col min="11" max="11" width="4.33203125" style="6" hidden="1" customWidth="1"/>
    <col min="12" max="13" width="12.33203125" style="6" customWidth="1"/>
    <col min="14" max="14" width="5.33203125" style="6" hidden="1" customWidth="1"/>
    <col min="15" max="16" width="12.33203125" style="6" hidden="1" customWidth="1"/>
    <col min="17" max="17" width="1" style="6" hidden="1" customWidth="1"/>
    <col min="18" max="19" width="12.33203125" style="6" hidden="1" customWidth="1"/>
    <col min="20" max="20" width="4.6640625" style="6" hidden="1" customWidth="1"/>
    <col min="21" max="22" width="12.33203125" style="6" customWidth="1"/>
    <col min="23" max="23" width="4.33203125" style="6" customWidth="1"/>
    <col min="24" max="24" width="12.33203125" style="6" customWidth="1"/>
    <col min="25" max="25" width="5" style="6" customWidth="1"/>
    <col min="26" max="26" width="10.21875" style="6" bestFit="1" customWidth="1"/>
    <col min="27" max="27" width="4.109375" style="6" customWidth="1"/>
    <col min="28" max="28" width="11.109375" style="6" hidden="1" customWidth="1"/>
    <col min="29" max="29" width="9.109375" style="6" hidden="1" customWidth="1"/>
    <col min="30" max="30" width="4.109375" style="6" hidden="1" customWidth="1"/>
    <col min="31" max="31" width="10.5546875" style="6" hidden="1" customWidth="1"/>
    <col min="32" max="32" width="4.44140625" style="6" hidden="1" customWidth="1"/>
    <col min="33" max="33" width="10.44140625" style="6" hidden="1" customWidth="1"/>
    <col min="34" max="34" width="4.44140625" style="6" hidden="1" customWidth="1"/>
    <col min="35" max="35" width="9" style="6" hidden="1" customWidth="1"/>
    <col min="36" max="36" width="4.44140625" style="6" customWidth="1"/>
    <col min="37" max="37" width="9.33203125" style="6" bestFit="1" customWidth="1"/>
    <col min="38" max="38" width="11.77734375" style="6" hidden="1" customWidth="1"/>
    <col min="39" max="39" width="11.33203125" style="6" hidden="1" customWidth="1"/>
    <col min="40" max="40" width="10.88671875" style="6" hidden="1" customWidth="1"/>
    <col min="41" max="41" width="4" style="6" hidden="1" customWidth="1"/>
    <col min="42" max="42" width="10.33203125" style="6" hidden="1" customWidth="1"/>
    <col min="43" max="43" width="4.109375" style="6" hidden="1" customWidth="1"/>
    <col min="44" max="44" width="9" style="6" hidden="1" customWidth="1"/>
    <col min="45" max="45" width="4.109375" style="6" hidden="1" customWidth="1"/>
    <col min="46" max="46" width="9" style="6" hidden="1" customWidth="1"/>
    <col min="47" max="47" width="4.109375" style="6" hidden="1" customWidth="1"/>
    <col min="48" max="48" width="9" style="6" hidden="1" customWidth="1"/>
    <col min="49" max="49" width="3.88671875" style="6" hidden="1" customWidth="1"/>
    <col min="50" max="50" width="9" style="6" hidden="1" customWidth="1"/>
    <col min="51" max="51" width="3.88671875" style="6" hidden="1" customWidth="1"/>
    <col min="52" max="52" width="9" style="6" hidden="1" customWidth="1"/>
    <col min="53" max="53" width="3.88671875" style="6" hidden="1" customWidth="1"/>
    <col min="54" max="54" width="9.5546875" style="6" hidden="1" customWidth="1"/>
    <col min="55" max="55" width="3.88671875" style="6" hidden="1" customWidth="1"/>
    <col min="56" max="56" width="9.5546875" style="6" hidden="1" customWidth="1"/>
    <col min="57" max="57" width="3.88671875" style="6" hidden="1" customWidth="1"/>
    <col min="58" max="58" width="9" style="6" hidden="1" customWidth="1"/>
    <col min="59" max="59" width="4.21875" style="6" hidden="1" customWidth="1"/>
    <col min="60" max="60" width="10.21875" style="6" hidden="1" customWidth="1"/>
    <col min="61" max="61" width="5.21875" style="6" hidden="1" customWidth="1"/>
    <col min="62" max="62" width="10.44140625" style="6" hidden="1" customWidth="1"/>
    <col min="63" max="63" width="0" style="6" hidden="1" customWidth="1"/>
    <col min="64" max="64" width="10.77734375" style="6" hidden="1" customWidth="1"/>
    <col min="65" max="65" width="0" style="6" hidden="1" customWidth="1"/>
    <col min="66" max="16384" width="8.88671875" style="6"/>
  </cols>
  <sheetData>
    <row r="1" spans="1:65" customFormat="1" x14ac:dyDescent="0.25">
      <c r="A1" s="348">
        <v>-1</v>
      </c>
      <c r="B1" s="348">
        <v>-2</v>
      </c>
      <c r="C1" s="348">
        <v>-3</v>
      </c>
      <c r="D1" s="348">
        <v>-4</v>
      </c>
      <c r="E1" s="348">
        <v>-5</v>
      </c>
      <c r="F1" s="348">
        <v>-6</v>
      </c>
      <c r="G1" s="348">
        <v>-7</v>
      </c>
      <c r="H1" s="348">
        <v>-8</v>
      </c>
      <c r="I1" s="348">
        <v>-9</v>
      </c>
      <c r="J1" s="348">
        <v>-10</v>
      </c>
      <c r="K1" s="348">
        <v>-11</v>
      </c>
      <c r="L1" s="348">
        <v>-12</v>
      </c>
      <c r="M1" s="348">
        <v>-13</v>
      </c>
      <c r="N1" s="348">
        <v>-14</v>
      </c>
      <c r="O1" s="348">
        <v>-15</v>
      </c>
      <c r="P1" s="348">
        <v>-16</v>
      </c>
      <c r="Q1" s="348">
        <v>-17</v>
      </c>
      <c r="R1" s="348">
        <v>-18</v>
      </c>
      <c r="S1" s="348">
        <v>-19</v>
      </c>
      <c r="T1" s="348">
        <v>-20</v>
      </c>
      <c r="U1" s="348">
        <v>-21</v>
      </c>
      <c r="V1" s="348">
        <v>-22</v>
      </c>
      <c r="W1" s="348">
        <v>-23</v>
      </c>
      <c r="X1" s="348">
        <v>-24</v>
      </c>
      <c r="Y1" s="348">
        <v>-25</v>
      </c>
      <c r="Z1" s="348">
        <v>-26</v>
      </c>
      <c r="AA1" s="348">
        <v>-27</v>
      </c>
      <c r="AB1" s="348">
        <v>-28</v>
      </c>
      <c r="AC1" s="348">
        <v>-29</v>
      </c>
      <c r="AD1" s="348">
        <v>-30</v>
      </c>
      <c r="AE1" s="348">
        <v>-31</v>
      </c>
      <c r="AF1" s="348">
        <v>-32</v>
      </c>
      <c r="AG1" s="348">
        <v>-33</v>
      </c>
      <c r="AH1" s="348">
        <v>-34</v>
      </c>
      <c r="AI1" s="348">
        <v>-35</v>
      </c>
      <c r="AJ1" s="348">
        <v>-36</v>
      </c>
      <c r="AK1" s="348">
        <v>-37</v>
      </c>
      <c r="AL1" s="348">
        <v>-38</v>
      </c>
      <c r="AM1" s="348">
        <v>-39</v>
      </c>
      <c r="AN1" s="348">
        <v>-40</v>
      </c>
      <c r="AO1" s="348">
        <v>-41</v>
      </c>
      <c r="AP1" s="348">
        <v>-42</v>
      </c>
      <c r="AQ1" s="348">
        <v>-43</v>
      </c>
      <c r="AR1" s="348">
        <v>-44</v>
      </c>
      <c r="AS1" s="348">
        <v>-45</v>
      </c>
      <c r="AT1" s="348"/>
      <c r="AU1" s="348"/>
      <c r="AV1" s="348"/>
      <c r="AW1" s="348"/>
      <c r="AX1" s="348">
        <v>-46</v>
      </c>
      <c r="AY1" s="348">
        <v>-47</v>
      </c>
      <c r="AZ1" s="348">
        <v>-48</v>
      </c>
      <c r="BA1" s="348">
        <v>-49</v>
      </c>
      <c r="BB1" s="348">
        <v>-50</v>
      </c>
      <c r="BC1" s="348">
        <v>-51</v>
      </c>
      <c r="BD1" s="348">
        <v>-52</v>
      </c>
      <c r="BE1" s="348">
        <v>-53</v>
      </c>
      <c r="BF1" s="348">
        <v>-54</v>
      </c>
      <c r="BG1" s="348">
        <v>-55</v>
      </c>
      <c r="BH1" s="348">
        <v>-56</v>
      </c>
      <c r="BI1" s="348">
        <v>-57</v>
      </c>
      <c r="BJ1" s="348">
        <v>-58</v>
      </c>
    </row>
    <row r="2" spans="1:65" x14ac:dyDescent="0.25">
      <c r="B2" s="337"/>
      <c r="C2" s="337"/>
      <c r="D2" s="335"/>
      <c r="E2" s="334"/>
      <c r="F2" s="337"/>
      <c r="G2" s="335"/>
      <c r="H2" s="334"/>
      <c r="I2" s="335"/>
      <c r="J2" s="335"/>
      <c r="K2" s="334"/>
      <c r="L2" s="335"/>
      <c r="M2" s="335"/>
      <c r="N2" s="334"/>
      <c r="O2" s="127"/>
      <c r="P2" s="335"/>
      <c r="Q2" s="334"/>
      <c r="R2" s="337"/>
      <c r="S2" s="335"/>
      <c r="T2" s="334"/>
      <c r="U2" s="127"/>
      <c r="V2" s="335"/>
      <c r="W2" s="334"/>
      <c r="X2" s="335"/>
      <c r="Y2" s="334"/>
      <c r="Z2" s="335"/>
      <c r="AA2" s="334"/>
      <c r="AB2" s="127"/>
      <c r="AC2" s="335"/>
      <c r="AD2" s="334"/>
      <c r="AE2" s="335"/>
      <c r="AF2" s="335"/>
      <c r="AG2" s="335"/>
      <c r="AH2" s="335"/>
      <c r="AI2" s="335"/>
      <c r="AJ2" s="334"/>
      <c r="AK2" s="337"/>
      <c r="AL2" s="335"/>
      <c r="AM2" s="335"/>
      <c r="AN2" s="335"/>
      <c r="AO2" s="334"/>
      <c r="AP2" s="335"/>
      <c r="AQ2" s="334"/>
      <c r="AR2" s="335"/>
      <c r="AS2" s="334"/>
      <c r="AT2" s="334"/>
      <c r="AU2" s="334"/>
      <c r="AV2" s="334"/>
      <c r="AW2" s="334"/>
      <c r="AX2" s="334"/>
      <c r="AY2" s="334"/>
      <c r="AZ2" s="335"/>
      <c r="BA2" s="334"/>
      <c r="BB2" s="334"/>
      <c r="BC2" s="334"/>
      <c r="BD2" s="334"/>
      <c r="BE2" s="334"/>
      <c r="BF2" s="335"/>
      <c r="BG2" s="334"/>
      <c r="BH2" s="335"/>
      <c r="BI2" s="334"/>
      <c r="BJ2" s="335"/>
      <c r="BK2" s="345"/>
    </row>
    <row r="3" spans="1:65" x14ac:dyDescent="0.25">
      <c r="A3" s="332"/>
      <c r="B3" s="761" t="s">
        <v>500</v>
      </c>
      <c r="C3" s="761"/>
      <c r="D3" s="761"/>
      <c r="E3" s="336"/>
      <c r="F3" s="761" t="s">
        <v>540</v>
      </c>
      <c r="G3" s="761"/>
      <c r="H3" s="336"/>
      <c r="I3" s="761" t="s">
        <v>508</v>
      </c>
      <c r="J3" s="761"/>
      <c r="K3" s="336"/>
      <c r="L3" s="761" t="s">
        <v>509</v>
      </c>
      <c r="M3" s="761"/>
      <c r="N3" s="336"/>
      <c r="O3" s="761" t="s">
        <v>529</v>
      </c>
      <c r="P3" s="761"/>
      <c r="Q3" s="336"/>
      <c r="R3" s="761" t="s">
        <v>530</v>
      </c>
      <c r="S3" s="761"/>
      <c r="T3" s="336"/>
      <c r="U3" s="761" t="s">
        <v>531</v>
      </c>
      <c r="V3" s="761"/>
      <c r="W3" s="336"/>
      <c r="X3" s="339" t="s">
        <v>503</v>
      </c>
      <c r="Y3" s="336"/>
      <c r="Z3" s="339" t="s">
        <v>532</v>
      </c>
      <c r="AA3" s="336"/>
      <c r="AB3" s="346" t="s">
        <v>533</v>
      </c>
      <c r="AC3" s="344" t="s">
        <v>533</v>
      </c>
      <c r="AD3" s="336"/>
      <c r="AE3" s="344" t="s">
        <v>407</v>
      </c>
      <c r="AF3" s="344"/>
      <c r="AG3" s="344" t="s">
        <v>588</v>
      </c>
      <c r="AH3" s="344"/>
      <c r="AI3" s="344" t="s">
        <v>513</v>
      </c>
      <c r="AJ3" s="336"/>
      <c r="AK3" s="761" t="s">
        <v>69</v>
      </c>
      <c r="AL3" s="761"/>
      <c r="AM3" s="761"/>
      <c r="AN3" s="761"/>
      <c r="AO3" s="336"/>
      <c r="AP3" s="339" t="s">
        <v>534</v>
      </c>
      <c r="AQ3" s="336"/>
      <c r="AR3" s="339" t="s">
        <v>512</v>
      </c>
      <c r="AS3" s="344"/>
      <c r="AT3" s="344" t="s">
        <v>604</v>
      </c>
      <c r="AU3" s="344"/>
      <c r="AV3" s="344" t="s">
        <v>73</v>
      </c>
      <c r="AW3" s="344"/>
      <c r="AX3" s="344"/>
      <c r="AY3" s="344"/>
      <c r="AZ3" s="339" t="s">
        <v>510</v>
      </c>
      <c r="BA3" s="344"/>
      <c r="BB3" s="344" t="s">
        <v>407</v>
      </c>
      <c r="BC3" s="344"/>
      <c r="BD3" s="344" t="s">
        <v>588</v>
      </c>
      <c r="BE3" s="344"/>
      <c r="BF3" s="339" t="s">
        <v>30</v>
      </c>
      <c r="BG3" s="344"/>
      <c r="BH3" s="339" t="s">
        <v>30</v>
      </c>
      <c r="BI3" s="344"/>
      <c r="BJ3" s="339" t="s">
        <v>30</v>
      </c>
      <c r="BK3" s="127"/>
      <c r="BL3" s="359" t="s">
        <v>221</v>
      </c>
      <c r="BM3" s="460"/>
    </row>
    <row r="4" spans="1:65" x14ac:dyDescent="0.25">
      <c r="A4" s="77" t="s">
        <v>263</v>
      </c>
      <c r="B4" s="341" t="s">
        <v>90</v>
      </c>
      <c r="C4" s="341" t="s">
        <v>515</v>
      </c>
      <c r="D4" s="343" t="s">
        <v>404</v>
      </c>
      <c r="E4" s="340"/>
      <c r="F4" s="341" t="s">
        <v>90</v>
      </c>
      <c r="G4" s="343" t="s">
        <v>522</v>
      </c>
      <c r="H4" s="340"/>
      <c r="I4" s="341" t="s">
        <v>90</v>
      </c>
      <c r="J4" s="343" t="s">
        <v>522</v>
      </c>
      <c r="K4" s="340"/>
      <c r="L4" s="341" t="s">
        <v>90</v>
      </c>
      <c r="M4" s="343" t="s">
        <v>522</v>
      </c>
      <c r="N4" s="340"/>
      <c r="O4" s="347" t="s">
        <v>90</v>
      </c>
      <c r="P4" s="343" t="s">
        <v>522</v>
      </c>
      <c r="Q4" s="340"/>
      <c r="R4" s="341" t="s">
        <v>90</v>
      </c>
      <c r="S4" s="343" t="s">
        <v>522</v>
      </c>
      <c r="T4" s="340"/>
      <c r="U4" s="347" t="s">
        <v>90</v>
      </c>
      <c r="V4" s="343" t="s">
        <v>522</v>
      </c>
      <c r="W4" s="340"/>
      <c r="X4" s="343" t="s">
        <v>535</v>
      </c>
      <c r="Y4" s="340"/>
      <c r="Z4" s="343" t="s">
        <v>522</v>
      </c>
      <c r="AA4" s="340"/>
      <c r="AB4" s="347" t="s">
        <v>536</v>
      </c>
      <c r="AC4" s="342" t="s">
        <v>537</v>
      </c>
      <c r="AD4" s="340"/>
      <c r="AE4" s="342" t="s">
        <v>590</v>
      </c>
      <c r="AF4" s="342"/>
      <c r="AG4" s="552" t="s">
        <v>589</v>
      </c>
      <c r="AH4" s="552"/>
      <c r="AI4" s="342" t="s">
        <v>525</v>
      </c>
      <c r="AJ4" s="340"/>
      <c r="AK4" s="341" t="s">
        <v>90</v>
      </c>
      <c r="AL4" s="343" t="s">
        <v>522</v>
      </c>
      <c r="AM4" s="343" t="s">
        <v>527</v>
      </c>
      <c r="AN4" s="343" t="s">
        <v>528</v>
      </c>
      <c r="AO4" s="340"/>
      <c r="AP4" s="343" t="s">
        <v>522</v>
      </c>
      <c r="AQ4" s="340"/>
      <c r="AR4" s="343" t="s">
        <v>523</v>
      </c>
      <c r="AS4" s="340"/>
      <c r="AT4" s="554" t="s">
        <v>605</v>
      </c>
      <c r="AU4" s="554"/>
      <c r="AV4" s="554" t="s">
        <v>523</v>
      </c>
      <c r="AW4" s="554"/>
      <c r="AX4" s="340" t="s">
        <v>404</v>
      </c>
      <c r="AY4" s="340"/>
      <c r="AZ4" s="343" t="s">
        <v>523</v>
      </c>
      <c r="BA4" s="340"/>
      <c r="BB4" s="340" t="s">
        <v>577</v>
      </c>
      <c r="BC4" s="340"/>
      <c r="BD4" s="554" t="s">
        <v>589</v>
      </c>
      <c r="BE4" s="554"/>
      <c r="BF4" s="343" t="s">
        <v>538</v>
      </c>
      <c r="BG4" s="340"/>
      <c r="BH4" s="343" t="s">
        <v>539</v>
      </c>
      <c r="BI4" s="340"/>
      <c r="BJ4" s="343" t="s">
        <v>522</v>
      </c>
      <c r="BK4" s="127"/>
      <c r="BL4" s="359" t="s">
        <v>30</v>
      </c>
      <c r="BM4" s="460"/>
    </row>
    <row r="5" spans="1:65" x14ac:dyDescent="0.25">
      <c r="A5" s="356">
        <f>'Input Data'!C7</f>
        <v>44774</v>
      </c>
      <c r="B5" s="491">
        <v>821863.49999999988</v>
      </c>
      <c r="C5" s="492">
        <v>31230.809999999994</v>
      </c>
      <c r="D5" s="492">
        <v>546.01</v>
      </c>
      <c r="E5" s="493"/>
      <c r="F5" s="487">
        <v>8851.499999999849</v>
      </c>
      <c r="G5" s="557">
        <v>24230.399999999998</v>
      </c>
      <c r="H5" s="493"/>
      <c r="I5" s="491">
        <v>-2916.000000000151</v>
      </c>
      <c r="J5" s="492">
        <v>-4967.1100000000006</v>
      </c>
      <c r="K5" s="493"/>
      <c r="L5" s="491">
        <v>76</v>
      </c>
      <c r="M5" s="492">
        <v>715.4</v>
      </c>
      <c r="N5" s="493">
        <v>0</v>
      </c>
      <c r="O5" s="486">
        <v>73</v>
      </c>
      <c r="P5" s="557">
        <v>135.68</v>
      </c>
      <c r="Q5" s="493"/>
      <c r="R5" s="491">
        <v>-26</v>
      </c>
      <c r="S5" s="492">
        <v>-39.33</v>
      </c>
      <c r="T5" s="493"/>
      <c r="U5" s="491">
        <v>3052</v>
      </c>
      <c r="V5" s="492">
        <v>26118.9</v>
      </c>
      <c r="W5" s="493"/>
      <c r="X5" s="492">
        <v>1145.1400000000001</v>
      </c>
      <c r="Y5" s="493"/>
      <c r="Z5" s="492">
        <v>0</v>
      </c>
      <c r="AA5" s="493"/>
      <c r="AB5" s="491">
        <v>7785.2999999999993</v>
      </c>
      <c r="AC5" s="492">
        <v>295.84000000000003</v>
      </c>
      <c r="AD5" s="493"/>
      <c r="AE5" s="492">
        <v>8054.2199999999975</v>
      </c>
      <c r="AF5" s="492"/>
      <c r="AG5" s="492">
        <v>0</v>
      </c>
      <c r="AH5" s="492"/>
      <c r="AI5" s="492">
        <v>450.72</v>
      </c>
      <c r="AJ5" s="493"/>
      <c r="AK5" s="491">
        <v>23867</v>
      </c>
      <c r="AL5" s="492">
        <v>9467.83</v>
      </c>
      <c r="AM5" s="492">
        <v>2838.7777208187354</v>
      </c>
      <c r="AN5" s="492">
        <v>6629.0522791812655</v>
      </c>
      <c r="AO5" s="493"/>
      <c r="AP5" s="492">
        <v>46025</v>
      </c>
      <c r="AQ5" s="493"/>
      <c r="AR5" s="492">
        <v>0</v>
      </c>
      <c r="AS5" s="493"/>
      <c r="AT5" s="493">
        <v>55500</v>
      </c>
      <c r="AU5" s="493"/>
      <c r="AV5" s="493">
        <v>378244.46999999986</v>
      </c>
      <c r="AW5" s="493"/>
      <c r="AX5" s="493">
        <v>0</v>
      </c>
      <c r="AY5" s="493"/>
      <c r="AZ5" s="492">
        <v>0.15</v>
      </c>
      <c r="BA5" s="493"/>
      <c r="BB5" s="493">
        <v>0.04</v>
      </c>
      <c r="BC5" s="493"/>
      <c r="BD5" s="555">
        <v>0</v>
      </c>
      <c r="BE5" s="493"/>
      <c r="BF5" s="492">
        <v>1037.02</v>
      </c>
      <c r="BG5" s="493"/>
      <c r="BH5" s="492">
        <v>19997.599999999999</v>
      </c>
      <c r="BI5" s="493"/>
      <c r="BJ5" s="492">
        <v>575215.79</v>
      </c>
      <c r="BK5" s="127"/>
      <c r="BL5" s="360">
        <f>C5+D5+J5+M5+S5+V5+X5+Z5+AC5+AE5+AG5+AI5+AL5+AP5+AR5+AT5+AV5+AZ5+BB5+BD5+BF5+BH5+AX5</f>
        <v>573822.71</v>
      </c>
      <c r="BM5" s="359" t="str">
        <f>IF(BJ5=BL5,"ok","error")</f>
        <v>error</v>
      </c>
    </row>
    <row r="6" spans="1:65" x14ac:dyDescent="0.25">
      <c r="A6" s="356">
        <f>EOMONTH(A5,1)</f>
        <v>44834</v>
      </c>
      <c r="B6" s="491">
        <v>826413.50000000012</v>
      </c>
      <c r="C6" s="492">
        <v>31403.730000000003</v>
      </c>
      <c r="D6" s="492">
        <v>548.52</v>
      </c>
      <c r="E6" s="493"/>
      <c r="F6" s="487">
        <f>I6+L6</f>
        <v>-3604.3999999999469</v>
      </c>
      <c r="G6" s="557">
        <f>J6+M6</f>
        <v>46023.650000000009</v>
      </c>
      <c r="H6" s="493"/>
      <c r="I6" s="491">
        <v>-10321.399999999947</v>
      </c>
      <c r="J6" s="492">
        <v>-13640.579999999998</v>
      </c>
      <c r="K6" s="493"/>
      <c r="L6" s="491">
        <v>6717</v>
      </c>
      <c r="M6" s="492">
        <v>59664.23</v>
      </c>
      <c r="N6" s="493">
        <v>0</v>
      </c>
      <c r="O6" s="486">
        <f>R6+U6</f>
        <v>-14</v>
      </c>
      <c r="P6" s="557">
        <f>S6+V6</f>
        <v>-26.95</v>
      </c>
      <c r="Q6" s="493"/>
      <c r="R6" s="491">
        <v>-14</v>
      </c>
      <c r="S6" s="492">
        <v>-26.95</v>
      </c>
      <c r="T6" s="493"/>
      <c r="U6" s="491">
        <v>0</v>
      </c>
      <c r="V6" s="492">
        <v>0</v>
      </c>
      <c r="W6" s="493"/>
      <c r="X6" s="492">
        <v>0</v>
      </c>
      <c r="Y6" s="493"/>
      <c r="Z6" s="492">
        <v>0</v>
      </c>
      <c r="AA6" s="493"/>
      <c r="AB6" s="491">
        <v>6835.2</v>
      </c>
      <c r="AC6" s="492">
        <v>259.73</v>
      </c>
      <c r="AD6" s="493"/>
      <c r="AE6" s="492">
        <v>8098.88</v>
      </c>
      <c r="AF6" s="492"/>
      <c r="AG6" s="492">
        <v>0</v>
      </c>
      <c r="AH6" s="492"/>
      <c r="AI6" s="492">
        <v>450.4</v>
      </c>
      <c r="AJ6" s="493"/>
      <c r="AK6" s="491">
        <v>49036</v>
      </c>
      <c r="AL6" s="557">
        <v>16826.89</v>
      </c>
      <c r="AM6" s="492">
        <v>5045.2744126867055</v>
      </c>
      <c r="AN6" s="492">
        <v>11781.615587313294</v>
      </c>
      <c r="AO6" s="493"/>
      <c r="AP6" s="492">
        <v>46025</v>
      </c>
      <c r="AQ6" s="493"/>
      <c r="AR6" s="492">
        <v>0</v>
      </c>
      <c r="AS6" s="493"/>
      <c r="AT6" s="493">
        <v>55500</v>
      </c>
      <c r="AU6" s="493"/>
      <c r="AV6" s="493">
        <v>378639.58999999985</v>
      </c>
      <c r="AW6" s="493"/>
      <c r="AX6" s="493">
        <v>0</v>
      </c>
      <c r="AY6" s="493"/>
      <c r="AZ6" s="492">
        <v>0</v>
      </c>
      <c r="BA6" s="493"/>
      <c r="BB6" s="493">
        <v>0</v>
      </c>
      <c r="BC6" s="493"/>
      <c r="BD6" s="555">
        <v>0</v>
      </c>
      <c r="BE6" s="493"/>
      <c r="BF6" s="492">
        <v>1038.69</v>
      </c>
      <c r="BG6" s="493"/>
      <c r="BH6" s="492">
        <v>19993.459999999995</v>
      </c>
      <c r="BI6" s="493"/>
      <c r="BJ6" s="492">
        <v>576303.05000000005</v>
      </c>
      <c r="BK6" s="127"/>
      <c r="BL6" s="360">
        <f>C6+D6+J6+M6+S6+V6+X6+Z6+AC6+AE6+AG6+AI6+AL6+AP6+AR6+AT6+AV6+AZ6+BB6+BD6+BF6+BH6+AX6</f>
        <v>604781.58999999973</v>
      </c>
      <c r="BM6" s="359" t="str">
        <f>IF(BJ6=BL6,"ok","error")</f>
        <v>error</v>
      </c>
    </row>
    <row r="7" spans="1:65" x14ac:dyDescent="0.25">
      <c r="A7" s="356">
        <f>EOMONTH(A6,1)</f>
        <v>44865</v>
      </c>
      <c r="B7" s="486">
        <v>1025608.5999999999</v>
      </c>
      <c r="C7" s="557">
        <v>38973.14</v>
      </c>
      <c r="D7" s="557">
        <v>591.17999999999995</v>
      </c>
      <c r="E7" s="558"/>
      <c r="F7" s="487">
        <f>I7+L7</f>
        <v>8163.5999999999367</v>
      </c>
      <c r="G7" s="557">
        <f>J7+M7</f>
        <v>91482.94</v>
      </c>
      <c r="H7" s="558"/>
      <c r="I7" s="486">
        <v>-7483.4000000000633</v>
      </c>
      <c r="J7" s="557">
        <v>-8127.72</v>
      </c>
      <c r="K7" s="558"/>
      <c r="L7" s="486">
        <v>15647</v>
      </c>
      <c r="M7" s="557">
        <v>99610.66</v>
      </c>
      <c r="N7" s="559">
        <v>0</v>
      </c>
      <c r="O7" s="486">
        <f>R7+U7</f>
        <v>-1423</v>
      </c>
      <c r="P7" s="557">
        <f>S7+V7</f>
        <v>2875.7000000000007</v>
      </c>
      <c r="Q7" s="558"/>
      <c r="R7" s="486">
        <v>-2599</v>
      </c>
      <c r="S7" s="557">
        <v>-4659.6299999999992</v>
      </c>
      <c r="T7" s="558"/>
      <c r="U7" s="486">
        <v>1176</v>
      </c>
      <c r="V7" s="557">
        <v>7535.33</v>
      </c>
      <c r="W7" s="558"/>
      <c r="X7" s="557">
        <v>0</v>
      </c>
      <c r="Y7" s="558"/>
      <c r="Z7" s="557">
        <v>0</v>
      </c>
      <c r="AA7" s="558"/>
      <c r="AB7" s="486">
        <v>4129.9000000000005</v>
      </c>
      <c r="AC7" s="557">
        <v>156.92999999999995</v>
      </c>
      <c r="AD7" s="558"/>
      <c r="AE7" s="557">
        <v>10050.920000000002</v>
      </c>
      <c r="AF7" s="557"/>
      <c r="AG7" s="557">
        <v>0</v>
      </c>
      <c r="AH7" s="557"/>
      <c r="AI7" s="557">
        <v>454.75999999999993</v>
      </c>
      <c r="AJ7" s="558"/>
      <c r="AK7" s="486">
        <v>46153</v>
      </c>
      <c r="AL7" s="557">
        <v>18434.580000000002</v>
      </c>
      <c r="AM7" s="557">
        <v>5527.314600774479</v>
      </c>
      <c r="AN7" s="557">
        <v>12907.265399225522</v>
      </c>
      <c r="AO7" s="558"/>
      <c r="AP7" s="557">
        <v>45400</v>
      </c>
      <c r="AQ7" s="558"/>
      <c r="AR7" s="557">
        <v>0</v>
      </c>
      <c r="AS7" s="558"/>
      <c r="AT7" s="559">
        <v>54750</v>
      </c>
      <c r="AU7" s="558"/>
      <c r="AV7" s="559">
        <v>378553.02999999991</v>
      </c>
      <c r="AW7" s="558"/>
      <c r="AX7" s="559">
        <v>1.88</v>
      </c>
      <c r="AY7" s="558"/>
      <c r="AZ7" s="557">
        <v>15.09</v>
      </c>
      <c r="BA7" s="558"/>
      <c r="BB7" s="559">
        <v>3.89</v>
      </c>
      <c r="BC7" s="558"/>
      <c r="BD7" s="560">
        <v>0</v>
      </c>
      <c r="BE7" s="558"/>
      <c r="BF7" s="557">
        <v>1091.5900000000001</v>
      </c>
      <c r="BG7" s="558"/>
      <c r="BH7" s="557">
        <v>19637.5</v>
      </c>
      <c r="BI7" s="558"/>
      <c r="BJ7" s="557">
        <v>574304.44000000018</v>
      </c>
      <c r="BK7" s="127"/>
      <c r="BL7" s="360">
        <f>C7+D7+J7+M7+S7+V7+X7+Z7+AC7+AE7+AG7+AI7+AL7+AP7+AR7+AT7+AV7+AZ7+BB7+BD7+BF7+BH7+AX7</f>
        <v>662473.12999999989</v>
      </c>
      <c r="BM7" s="359" t="str">
        <f>IF(BJ7=BL7,"ok","error")</f>
        <v>error</v>
      </c>
    </row>
    <row r="8" spans="1:65" customFormat="1" x14ac:dyDescent="0.25">
      <c r="B8" s="127"/>
      <c r="C8" s="127"/>
      <c r="D8" s="127"/>
      <c r="E8" s="127"/>
      <c r="F8" s="127"/>
      <c r="G8" s="127"/>
      <c r="H8" s="127"/>
      <c r="I8" s="127"/>
      <c r="J8" s="127"/>
      <c r="K8" s="127"/>
      <c r="L8" s="127"/>
      <c r="M8" s="127"/>
      <c r="N8" s="127"/>
      <c r="O8" s="127"/>
      <c r="P8" s="127"/>
      <c r="Q8" s="127"/>
      <c r="R8" s="127"/>
      <c r="S8" s="127"/>
      <c r="T8" s="127"/>
      <c r="U8" s="127"/>
      <c r="V8" s="127"/>
      <c r="W8" s="127"/>
      <c r="X8" s="127"/>
      <c r="Y8" s="127"/>
      <c r="Z8" s="127"/>
      <c r="AA8" s="127"/>
      <c r="AB8" s="127"/>
      <c r="AC8" s="127"/>
      <c r="AD8" s="127"/>
      <c r="AE8" s="127"/>
      <c r="AF8" s="127"/>
      <c r="AG8" s="127"/>
      <c r="AH8" s="127"/>
      <c r="AI8" s="127"/>
      <c r="AJ8" s="127"/>
      <c r="AK8" s="127"/>
      <c r="AL8" s="127"/>
      <c r="AM8" s="127"/>
      <c r="AN8" s="127"/>
      <c r="AO8" s="127"/>
      <c r="AP8" s="127"/>
      <c r="AQ8" s="127"/>
      <c r="AR8" s="127"/>
      <c r="AS8" s="127"/>
      <c r="AT8" s="127"/>
      <c r="AU8" s="127"/>
      <c r="AV8" s="127"/>
      <c r="AW8" s="127"/>
      <c r="AX8" s="127"/>
      <c r="AY8" s="127"/>
      <c r="AZ8" s="127"/>
      <c r="BA8" s="127"/>
      <c r="BB8" s="127"/>
      <c r="BC8" s="127"/>
      <c r="BD8" s="127"/>
      <c r="BE8" s="127"/>
      <c r="BF8" s="127"/>
      <c r="BG8" s="127"/>
      <c r="BH8" s="127"/>
      <c r="BI8" s="127"/>
      <c r="BJ8" s="127"/>
      <c r="BK8" s="127"/>
      <c r="BL8" s="349"/>
    </row>
    <row r="9" spans="1:65" customFormat="1" x14ac:dyDescent="0.25">
      <c r="A9" s="6"/>
      <c r="B9" s="127"/>
      <c r="C9" s="127"/>
      <c r="D9" s="127"/>
      <c r="E9" s="127"/>
      <c r="F9" s="127"/>
      <c r="G9" s="127"/>
      <c r="H9" s="127"/>
      <c r="I9" s="127"/>
      <c r="J9" s="127"/>
      <c r="K9" s="127"/>
      <c r="L9" s="127"/>
      <c r="M9" s="127"/>
      <c r="N9" s="127"/>
      <c r="O9" s="127"/>
      <c r="P9" s="127"/>
      <c r="Q9" s="127"/>
      <c r="R9" s="127"/>
      <c r="S9" s="127"/>
      <c r="T9" s="127"/>
      <c r="U9" s="127"/>
      <c r="V9" s="127"/>
      <c r="W9" s="127"/>
      <c r="X9" s="127"/>
      <c r="Y9" s="127"/>
      <c r="Z9" s="127"/>
      <c r="AA9" s="127"/>
      <c r="AB9" s="127"/>
      <c r="AC9" s="127"/>
      <c r="AD9" s="127"/>
      <c r="AE9" s="127"/>
      <c r="AF9" s="127"/>
      <c r="AG9" s="127"/>
      <c r="AH9" s="127"/>
      <c r="AI9" s="127"/>
      <c r="AJ9" s="127"/>
      <c r="AK9" s="127"/>
      <c r="AL9" s="127"/>
      <c r="AM9" s="127"/>
      <c r="AN9" s="127"/>
      <c r="AO9" s="127"/>
      <c r="AP9" s="127"/>
      <c r="AQ9" s="127"/>
      <c r="AR9" s="127"/>
      <c r="AS9" s="127"/>
      <c r="AT9" s="127"/>
      <c r="AU9" s="127"/>
      <c r="AV9" s="127"/>
      <c r="AW9" s="127"/>
      <c r="AX9" s="127"/>
      <c r="AY9" s="127"/>
      <c r="AZ9" s="127"/>
      <c r="BA9" s="127"/>
      <c r="BB9" s="127"/>
      <c r="BC9" s="127"/>
      <c r="BD9" s="127"/>
      <c r="BE9" s="127"/>
      <c r="BF9" s="127"/>
      <c r="BG9" s="127"/>
      <c r="BH9" s="127"/>
      <c r="BI9" s="127"/>
      <c r="BJ9" s="127"/>
      <c r="BK9" s="127"/>
    </row>
    <row r="10" spans="1:65" customFormat="1" x14ac:dyDescent="0.25"/>
    <row r="11" spans="1:65" customFormat="1" x14ac:dyDescent="0.25"/>
    <row r="12" spans="1:65" customFormat="1" x14ac:dyDescent="0.25"/>
    <row r="13" spans="1:65" customFormat="1" x14ac:dyDescent="0.25"/>
    <row r="14" spans="1:65" customFormat="1" x14ac:dyDescent="0.25"/>
    <row r="15" spans="1:65" customFormat="1" x14ac:dyDescent="0.25"/>
    <row r="16" spans="1:65" customFormat="1" x14ac:dyDescent="0.25"/>
    <row r="17" customFormat="1" x14ac:dyDescent="0.25"/>
    <row r="18" customFormat="1" x14ac:dyDescent="0.25"/>
    <row r="19" customFormat="1" x14ac:dyDescent="0.25"/>
    <row r="20" customFormat="1" x14ac:dyDescent="0.25"/>
    <row r="21" customFormat="1" x14ac:dyDescent="0.25"/>
    <row r="22" customFormat="1" x14ac:dyDescent="0.25"/>
    <row r="23" customFormat="1" x14ac:dyDescent="0.25"/>
    <row r="24" customFormat="1" x14ac:dyDescent="0.25"/>
    <row r="25" customFormat="1" x14ac:dyDescent="0.25"/>
    <row r="26" customFormat="1" x14ac:dyDescent="0.25"/>
    <row r="27" customFormat="1" x14ac:dyDescent="0.25"/>
    <row r="28" customFormat="1" x14ac:dyDescent="0.25"/>
    <row r="29" customFormat="1" x14ac:dyDescent="0.25"/>
    <row r="30" customFormat="1" x14ac:dyDescent="0.25"/>
    <row r="31" customFormat="1" x14ac:dyDescent="0.25"/>
    <row r="32" customFormat="1" x14ac:dyDescent="0.25"/>
    <row r="33" customFormat="1" x14ac:dyDescent="0.25"/>
    <row r="34" customFormat="1" x14ac:dyDescent="0.25"/>
    <row r="35" customFormat="1" x14ac:dyDescent="0.25"/>
    <row r="36" customFormat="1" x14ac:dyDescent="0.25"/>
    <row r="37" customFormat="1" x14ac:dyDescent="0.25"/>
    <row r="38" customFormat="1" x14ac:dyDescent="0.25"/>
    <row r="39" customFormat="1" x14ac:dyDescent="0.25"/>
    <row r="40" customFormat="1" x14ac:dyDescent="0.25"/>
    <row r="41" customFormat="1" x14ac:dyDescent="0.25"/>
    <row r="42" customFormat="1" x14ac:dyDescent="0.25"/>
    <row r="43" customFormat="1" x14ac:dyDescent="0.25"/>
    <row r="44" customFormat="1" x14ac:dyDescent="0.25"/>
    <row r="45" customFormat="1" x14ac:dyDescent="0.25"/>
    <row r="46" customFormat="1" x14ac:dyDescent="0.25"/>
    <row r="47" customFormat="1" x14ac:dyDescent="0.25"/>
    <row r="48" customFormat="1" x14ac:dyDescent="0.25"/>
    <row r="49" customFormat="1" x14ac:dyDescent="0.25"/>
    <row r="50" customFormat="1" x14ac:dyDescent="0.25"/>
    <row r="51" customFormat="1" x14ac:dyDescent="0.25"/>
    <row r="52" customFormat="1" x14ac:dyDescent="0.25"/>
    <row r="53" customFormat="1" x14ac:dyDescent="0.25"/>
    <row r="54" customFormat="1" x14ac:dyDescent="0.25"/>
    <row r="55" customFormat="1" x14ac:dyDescent="0.25"/>
    <row r="56" customFormat="1" x14ac:dyDescent="0.25"/>
    <row r="57" customFormat="1" x14ac:dyDescent="0.25"/>
    <row r="58" customFormat="1" x14ac:dyDescent="0.25"/>
    <row r="59" customFormat="1" x14ac:dyDescent="0.25"/>
    <row r="60" customFormat="1" x14ac:dyDescent="0.25"/>
    <row r="61" customFormat="1" x14ac:dyDescent="0.25"/>
    <row r="62" customFormat="1" x14ac:dyDescent="0.25"/>
    <row r="63" customFormat="1" x14ac:dyDescent="0.25"/>
    <row r="64" customFormat="1" x14ac:dyDescent="0.25"/>
    <row r="65" customFormat="1" x14ac:dyDescent="0.25"/>
    <row r="66" customFormat="1" x14ac:dyDescent="0.25"/>
    <row r="67" customFormat="1" x14ac:dyDescent="0.25"/>
    <row r="68" customFormat="1" x14ac:dyDescent="0.25"/>
    <row r="69" customFormat="1" x14ac:dyDescent="0.25"/>
    <row r="70" customFormat="1" x14ac:dyDescent="0.25"/>
    <row r="71" customFormat="1" x14ac:dyDescent="0.25"/>
    <row r="72" customFormat="1" x14ac:dyDescent="0.25"/>
    <row r="73" customFormat="1" x14ac:dyDescent="0.25"/>
    <row r="74" customFormat="1" x14ac:dyDescent="0.25"/>
    <row r="75" customFormat="1" x14ac:dyDescent="0.25"/>
    <row r="76" customFormat="1" x14ac:dyDescent="0.25"/>
    <row r="77" customFormat="1" x14ac:dyDescent="0.25"/>
    <row r="78" customFormat="1" x14ac:dyDescent="0.25"/>
    <row r="79" customFormat="1" x14ac:dyDescent="0.25"/>
    <row r="80" customFormat="1" x14ac:dyDescent="0.25"/>
    <row r="81" customFormat="1" x14ac:dyDescent="0.25"/>
    <row r="82" customFormat="1" x14ac:dyDescent="0.25"/>
    <row r="83" customFormat="1" x14ac:dyDescent="0.25"/>
    <row r="84" customFormat="1" x14ac:dyDescent="0.25"/>
    <row r="85" customFormat="1" x14ac:dyDescent="0.25"/>
    <row r="86" customFormat="1" x14ac:dyDescent="0.25"/>
    <row r="87" customFormat="1" x14ac:dyDescent="0.25"/>
    <row r="88" customFormat="1" x14ac:dyDescent="0.25"/>
    <row r="89" customFormat="1" x14ac:dyDescent="0.25"/>
    <row r="90" customFormat="1" x14ac:dyDescent="0.25"/>
    <row r="91" customFormat="1" x14ac:dyDescent="0.25"/>
    <row r="92" customFormat="1" x14ac:dyDescent="0.25"/>
    <row r="93" customFormat="1" x14ac:dyDescent="0.25"/>
    <row r="94" customFormat="1" x14ac:dyDescent="0.25"/>
    <row r="95" customFormat="1" x14ac:dyDescent="0.25"/>
    <row r="96" customFormat="1" x14ac:dyDescent="0.25"/>
    <row r="97" customFormat="1" x14ac:dyDescent="0.25"/>
    <row r="98" customFormat="1" x14ac:dyDescent="0.25"/>
    <row r="99" customFormat="1" x14ac:dyDescent="0.25"/>
    <row r="100" customFormat="1" x14ac:dyDescent="0.25"/>
    <row r="101" customFormat="1" x14ac:dyDescent="0.25"/>
    <row r="102" customFormat="1" x14ac:dyDescent="0.25"/>
    <row r="103" customFormat="1" x14ac:dyDescent="0.25"/>
    <row r="104" customFormat="1" x14ac:dyDescent="0.25"/>
    <row r="105" customFormat="1" x14ac:dyDescent="0.25"/>
    <row r="106" customFormat="1" x14ac:dyDescent="0.25"/>
    <row r="107" customFormat="1" x14ac:dyDescent="0.25"/>
    <row r="108" customFormat="1" x14ac:dyDescent="0.25"/>
    <row r="109" customFormat="1" x14ac:dyDescent="0.25"/>
    <row r="110" customFormat="1" x14ac:dyDescent="0.25"/>
    <row r="111" customFormat="1" x14ac:dyDescent="0.25"/>
    <row r="112" customFormat="1" x14ac:dyDescent="0.25"/>
    <row r="113" customFormat="1" x14ac:dyDescent="0.25"/>
    <row r="114" customFormat="1" x14ac:dyDescent="0.25"/>
    <row r="115" customFormat="1" x14ac:dyDescent="0.25"/>
    <row r="116" customFormat="1" x14ac:dyDescent="0.25"/>
    <row r="117" customFormat="1" x14ac:dyDescent="0.25"/>
    <row r="118" customFormat="1" x14ac:dyDescent="0.25"/>
    <row r="119" customFormat="1" x14ac:dyDescent="0.25"/>
    <row r="120" customFormat="1" x14ac:dyDescent="0.25"/>
    <row r="121" customFormat="1" x14ac:dyDescent="0.25"/>
    <row r="122" customFormat="1" x14ac:dyDescent="0.25"/>
    <row r="123" customFormat="1" x14ac:dyDescent="0.25"/>
    <row r="124" customFormat="1" x14ac:dyDescent="0.25"/>
    <row r="125" customFormat="1" x14ac:dyDescent="0.25"/>
    <row r="126" customFormat="1" x14ac:dyDescent="0.25"/>
    <row r="127" customFormat="1" x14ac:dyDescent="0.25"/>
    <row r="128" customFormat="1" x14ac:dyDescent="0.25"/>
    <row r="129" customFormat="1" x14ac:dyDescent="0.25"/>
    <row r="130" customFormat="1" x14ac:dyDescent="0.25"/>
    <row r="131" customFormat="1" x14ac:dyDescent="0.25"/>
    <row r="132" customFormat="1" x14ac:dyDescent="0.25"/>
    <row r="133" customFormat="1" x14ac:dyDescent="0.25"/>
    <row r="134" customFormat="1" x14ac:dyDescent="0.25"/>
    <row r="135" customFormat="1" x14ac:dyDescent="0.25"/>
    <row r="136" customFormat="1" x14ac:dyDescent="0.25"/>
    <row r="137" customFormat="1" x14ac:dyDescent="0.25"/>
    <row r="138" customFormat="1" x14ac:dyDescent="0.25"/>
    <row r="139" customFormat="1" x14ac:dyDescent="0.25"/>
    <row r="140" customFormat="1" x14ac:dyDescent="0.25"/>
    <row r="141" customFormat="1" x14ac:dyDescent="0.25"/>
    <row r="142" customFormat="1" x14ac:dyDescent="0.25"/>
    <row r="143" customFormat="1" x14ac:dyDescent="0.25"/>
    <row r="144" customFormat="1" x14ac:dyDescent="0.25"/>
    <row r="145" customFormat="1" x14ac:dyDescent="0.25"/>
    <row r="146" customFormat="1" x14ac:dyDescent="0.25"/>
    <row r="147" customFormat="1" x14ac:dyDescent="0.25"/>
    <row r="148" customFormat="1" x14ac:dyDescent="0.25"/>
    <row r="149" customFormat="1" x14ac:dyDescent="0.25"/>
    <row r="150" customFormat="1" x14ac:dyDescent="0.25"/>
    <row r="151" customFormat="1" x14ac:dyDescent="0.25"/>
    <row r="152" customFormat="1" x14ac:dyDescent="0.25"/>
    <row r="153" customFormat="1" x14ac:dyDescent="0.25"/>
    <row r="154" customFormat="1" x14ac:dyDescent="0.25"/>
    <row r="155" customFormat="1" x14ac:dyDescent="0.25"/>
    <row r="156" customFormat="1" x14ac:dyDescent="0.25"/>
    <row r="157" customFormat="1" x14ac:dyDescent="0.25"/>
    <row r="158" customFormat="1" x14ac:dyDescent="0.25"/>
    <row r="159" customFormat="1" x14ac:dyDescent="0.25"/>
    <row r="160" customFormat="1" x14ac:dyDescent="0.25"/>
    <row r="161" customFormat="1" x14ac:dyDescent="0.25"/>
    <row r="162" customFormat="1" x14ac:dyDescent="0.25"/>
    <row r="163" customFormat="1" x14ac:dyDescent="0.25"/>
    <row r="164" customFormat="1" x14ac:dyDescent="0.25"/>
    <row r="165" customFormat="1" x14ac:dyDescent="0.25"/>
    <row r="166" customFormat="1" x14ac:dyDescent="0.25"/>
    <row r="167" customFormat="1" x14ac:dyDescent="0.25"/>
    <row r="168" customFormat="1" x14ac:dyDescent="0.25"/>
    <row r="169" customFormat="1" x14ac:dyDescent="0.25"/>
    <row r="170" customFormat="1" x14ac:dyDescent="0.25"/>
    <row r="171" customFormat="1" x14ac:dyDescent="0.25"/>
    <row r="172" customFormat="1" x14ac:dyDescent="0.25"/>
    <row r="173" customFormat="1" x14ac:dyDescent="0.25"/>
    <row r="174" customFormat="1" x14ac:dyDescent="0.25"/>
    <row r="175" customFormat="1" x14ac:dyDescent="0.25"/>
    <row r="176" customFormat="1" x14ac:dyDescent="0.25"/>
    <row r="177" customFormat="1" x14ac:dyDescent="0.25"/>
    <row r="178" customFormat="1" x14ac:dyDescent="0.25"/>
    <row r="179" customFormat="1" x14ac:dyDescent="0.25"/>
  </sheetData>
  <mergeCells count="8">
    <mergeCell ref="AK3:AN3"/>
    <mergeCell ref="B3:D3"/>
    <mergeCell ref="I3:J3"/>
    <mergeCell ref="L3:M3"/>
    <mergeCell ref="O3:P3"/>
    <mergeCell ref="R3:S3"/>
    <mergeCell ref="U3:V3"/>
    <mergeCell ref="F3:G3"/>
  </mergeCells>
  <pageMargins left="0.7" right="0.7" top="0.75" bottom="0.75" header="0.3" footer="0.3"/>
  <pageSetup scale="22" orientation="landscape" r:id="rId1"/>
  <headerFooter>
    <oddFooter>&amp;L&amp;1#&amp;"Calibri"&amp;14&amp;K000000Confidential</oddFooter>
  </headerFooter>
  <customProperties>
    <customPr name="_pios_id" r:id="rId2"/>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7">
    <tabColor rgb="FF92D050"/>
  </sheetPr>
  <dimension ref="A1:AB25"/>
  <sheetViews>
    <sheetView zoomScaleNormal="100" workbookViewId="0">
      <selection activeCell="U8" sqref="U8"/>
    </sheetView>
  </sheetViews>
  <sheetFormatPr defaultColWidth="8.88671875" defaultRowHeight="15.75" x14ac:dyDescent="0.25"/>
  <cols>
    <col min="1" max="1" width="9" style="6" bestFit="1" customWidth="1"/>
    <col min="2" max="2" width="9.5546875" style="6" customWidth="1"/>
    <col min="3" max="3" width="10.21875" style="6" hidden="1" customWidth="1"/>
    <col min="4" max="4" width="13.44140625" style="6" hidden="1" customWidth="1"/>
    <col min="5" max="6" width="11" style="6" hidden="1" customWidth="1"/>
    <col min="7" max="7" width="14.5546875" style="6" hidden="1" customWidth="1"/>
    <col min="8" max="8" width="11.5546875" style="6" customWidth="1"/>
    <col min="9" max="9" width="7.88671875" style="6" customWidth="1"/>
    <col min="10" max="10" width="9.5546875" style="6" hidden="1" customWidth="1"/>
    <col min="11" max="12" width="10.109375" style="6" hidden="1" customWidth="1"/>
    <col min="13" max="13" width="5.5546875" style="6" hidden="1" customWidth="1"/>
    <col min="14" max="14" width="12.88671875" style="6" hidden="1" customWidth="1"/>
    <col min="15" max="15" width="8.6640625" style="6" hidden="1" customWidth="1"/>
    <col min="16" max="16" width="12.109375" style="6" bestFit="1" customWidth="1"/>
    <col min="17" max="17" width="8.109375" style="6" bestFit="1" customWidth="1"/>
    <col min="18" max="18" width="13.109375" style="6" hidden="1" customWidth="1"/>
    <col min="19" max="19" width="9.5546875" style="6" hidden="1" customWidth="1"/>
    <col min="20" max="20" width="12.21875" style="6" bestFit="1" customWidth="1"/>
    <col min="21" max="21" width="10.77734375" style="6" customWidth="1"/>
    <col min="22" max="22" width="9.77734375" style="6" hidden="1" customWidth="1"/>
    <col min="23" max="23" width="9.88671875" style="6" hidden="1" customWidth="1"/>
    <col min="24" max="24" width="10" style="6" hidden="1" customWidth="1"/>
    <col min="25" max="25" width="8.6640625" style="6" hidden="1" customWidth="1"/>
    <col min="26" max="26" width="8.5546875" style="6" hidden="1" customWidth="1"/>
    <col min="27" max="27" width="10.21875" style="6" hidden="1" customWidth="1"/>
    <col min="28" max="28" width="10.109375" style="6" hidden="1" customWidth="1"/>
    <col min="29" max="29" width="5.6640625" style="6" customWidth="1"/>
    <col min="30" max="16384" width="8.88671875" style="6"/>
  </cols>
  <sheetData>
    <row r="1" spans="1:28" s="332" customFormat="1" x14ac:dyDescent="0.25">
      <c r="A1" s="348">
        <v>-1</v>
      </c>
      <c r="B1" s="348">
        <v>-2</v>
      </c>
      <c r="C1" s="348">
        <v>-3</v>
      </c>
      <c r="D1" s="348">
        <v>-4</v>
      </c>
      <c r="E1" s="348">
        <v>-5</v>
      </c>
      <c r="F1" s="348">
        <v>-6</v>
      </c>
      <c r="G1" s="348">
        <v>-7</v>
      </c>
      <c r="H1" s="348">
        <v>-8</v>
      </c>
      <c r="I1" s="348">
        <v>-9</v>
      </c>
      <c r="J1" s="348">
        <v>-10</v>
      </c>
      <c r="K1" s="348">
        <v>-11</v>
      </c>
      <c r="L1" s="348">
        <v>-12</v>
      </c>
      <c r="M1" s="348">
        <v>-13</v>
      </c>
      <c r="N1" s="348">
        <v>-14</v>
      </c>
      <c r="O1" s="348">
        <v>-15</v>
      </c>
      <c r="P1" s="348">
        <v>-16</v>
      </c>
      <c r="Q1" s="348">
        <v>-17</v>
      </c>
      <c r="R1" s="348">
        <v>-18</v>
      </c>
      <c r="S1" s="348">
        <v>-19</v>
      </c>
      <c r="T1" s="348">
        <v>-20</v>
      </c>
      <c r="U1" s="348">
        <v>-21</v>
      </c>
      <c r="V1" s="348">
        <v>-22</v>
      </c>
      <c r="W1" s="348">
        <v>-23</v>
      </c>
      <c r="X1" s="348">
        <v>-24</v>
      </c>
      <c r="Y1" s="348">
        <v>-25</v>
      </c>
      <c r="Z1" s="348">
        <v>-26</v>
      </c>
      <c r="AA1" s="348">
        <v>-27</v>
      </c>
      <c r="AB1" s="348">
        <v>-28</v>
      </c>
    </row>
    <row r="3" spans="1:28" x14ac:dyDescent="0.25">
      <c r="A3" s="332"/>
      <c r="B3" s="338" t="s">
        <v>500</v>
      </c>
      <c r="C3" s="338" t="s">
        <v>500</v>
      </c>
      <c r="D3" s="338" t="s">
        <v>500</v>
      </c>
      <c r="E3" s="338" t="s">
        <v>501</v>
      </c>
      <c r="F3" s="338"/>
      <c r="G3" s="338" t="s">
        <v>502</v>
      </c>
      <c r="H3" s="338" t="s">
        <v>503</v>
      </c>
      <c r="I3" s="338" t="s">
        <v>504</v>
      </c>
      <c r="J3" s="338"/>
      <c r="K3" s="338" t="s">
        <v>505</v>
      </c>
      <c r="L3" s="336" t="s">
        <v>588</v>
      </c>
      <c r="M3" s="336"/>
      <c r="N3" s="761" t="s">
        <v>506</v>
      </c>
      <c r="O3" s="761"/>
      <c r="P3" s="761" t="s">
        <v>507</v>
      </c>
      <c r="Q3" s="761"/>
      <c r="R3" s="761" t="s">
        <v>508</v>
      </c>
      <c r="S3" s="761"/>
      <c r="T3" s="761" t="s">
        <v>509</v>
      </c>
      <c r="U3" s="761"/>
      <c r="V3" s="339" t="s">
        <v>510</v>
      </c>
      <c r="W3" s="339" t="s">
        <v>67</v>
      </c>
      <c r="X3" s="339" t="s">
        <v>511</v>
      </c>
      <c r="Y3" s="339" t="s">
        <v>512</v>
      </c>
      <c r="Z3" s="339" t="s">
        <v>513</v>
      </c>
      <c r="AA3" s="339"/>
      <c r="AB3" s="339"/>
    </row>
    <row r="4" spans="1:28" x14ac:dyDescent="0.25">
      <c r="A4" s="77" t="s">
        <v>263</v>
      </c>
      <c r="B4" s="341" t="s">
        <v>90</v>
      </c>
      <c r="C4" s="341" t="s">
        <v>514</v>
      </c>
      <c r="D4" s="341" t="s">
        <v>515</v>
      </c>
      <c r="E4" s="342" t="s">
        <v>516</v>
      </c>
      <c r="F4" s="552" t="s">
        <v>404</v>
      </c>
      <c r="G4" s="341" t="s">
        <v>517</v>
      </c>
      <c r="H4" s="341" t="s">
        <v>518</v>
      </c>
      <c r="I4" s="341" t="s">
        <v>519</v>
      </c>
      <c r="J4" s="341" t="s">
        <v>520</v>
      </c>
      <c r="K4" s="341" t="s">
        <v>521</v>
      </c>
      <c r="L4" s="340" t="s">
        <v>589</v>
      </c>
      <c r="M4" s="340"/>
      <c r="N4" s="341" t="s">
        <v>11</v>
      </c>
      <c r="O4" s="341" t="s">
        <v>522</v>
      </c>
      <c r="P4" s="341" t="s">
        <v>11</v>
      </c>
      <c r="Q4" s="341" t="s">
        <v>522</v>
      </c>
      <c r="R4" s="341" t="s">
        <v>11</v>
      </c>
      <c r="S4" s="341" t="s">
        <v>522</v>
      </c>
      <c r="T4" s="341" t="s">
        <v>11</v>
      </c>
      <c r="U4" s="341" t="s">
        <v>522</v>
      </c>
      <c r="V4" s="343" t="s">
        <v>523</v>
      </c>
      <c r="W4" s="343" t="s">
        <v>110</v>
      </c>
      <c r="X4" s="343" t="s">
        <v>524</v>
      </c>
      <c r="Y4" s="343" t="s">
        <v>523</v>
      </c>
      <c r="Z4" s="343" t="s">
        <v>525</v>
      </c>
      <c r="AA4" s="343" t="s">
        <v>526</v>
      </c>
      <c r="AB4" s="343" t="s">
        <v>30</v>
      </c>
    </row>
    <row r="5" spans="1:28" x14ac:dyDescent="0.25">
      <c r="A5" s="356">
        <f>'Input Data'!C7</f>
        <v>44774</v>
      </c>
      <c r="B5" s="672">
        <v>68067</v>
      </c>
      <c r="C5" s="671" t="s">
        <v>748</v>
      </c>
      <c r="D5" s="671" t="s">
        <v>748</v>
      </c>
      <c r="E5" s="671" t="s">
        <v>748</v>
      </c>
      <c r="F5" s="671" t="s">
        <v>748</v>
      </c>
      <c r="G5" s="671" t="s">
        <v>748</v>
      </c>
      <c r="H5" s="490">
        <v>0</v>
      </c>
      <c r="I5" s="490">
        <v>0</v>
      </c>
      <c r="J5" s="490" t="s">
        <v>748</v>
      </c>
      <c r="K5" s="490" t="s">
        <v>748</v>
      </c>
      <c r="L5" s="490" t="s">
        <v>748</v>
      </c>
      <c r="M5" s="490" t="s">
        <v>748</v>
      </c>
      <c r="N5" s="490" t="s">
        <v>748</v>
      </c>
      <c r="O5" s="490" t="s">
        <v>748</v>
      </c>
      <c r="P5" s="672">
        <v>256</v>
      </c>
      <c r="Q5" s="490">
        <v>1380.22</v>
      </c>
      <c r="R5" s="490" t="s">
        <v>748</v>
      </c>
      <c r="S5" s="490" t="s">
        <v>748</v>
      </c>
      <c r="T5" s="672">
        <v>4724</v>
      </c>
      <c r="U5" s="490">
        <v>45921.87</v>
      </c>
      <c r="V5" s="490" t="s">
        <v>748</v>
      </c>
      <c r="W5" s="490" t="s">
        <v>748</v>
      </c>
      <c r="X5" s="490" t="s">
        <v>748</v>
      </c>
      <c r="Y5" s="490" t="s">
        <v>748</v>
      </c>
      <c r="Z5" s="490" t="s">
        <v>748</v>
      </c>
      <c r="AA5" s="490" t="s">
        <v>748</v>
      </c>
      <c r="AB5" s="490" t="s">
        <v>748</v>
      </c>
    </row>
    <row r="6" spans="1:28" x14ac:dyDescent="0.25">
      <c r="A6" s="356">
        <f>EOMONTH(A5,1)</f>
        <v>44834</v>
      </c>
      <c r="B6" s="672">
        <v>86339</v>
      </c>
      <c r="C6" s="671" t="s">
        <v>748</v>
      </c>
      <c r="D6" s="671" t="s">
        <v>748</v>
      </c>
      <c r="E6" s="671" t="s">
        <v>748</v>
      </c>
      <c r="F6" s="671" t="s">
        <v>748</v>
      </c>
      <c r="G6" s="671" t="s">
        <v>748</v>
      </c>
      <c r="H6" s="490">
        <v>0</v>
      </c>
      <c r="I6" s="490">
        <v>0</v>
      </c>
      <c r="J6" s="490" t="s">
        <v>748</v>
      </c>
      <c r="K6" s="490" t="s">
        <v>748</v>
      </c>
      <c r="L6" s="490" t="s">
        <v>748</v>
      </c>
      <c r="M6" s="490" t="s">
        <v>748</v>
      </c>
      <c r="N6" s="490" t="s">
        <v>748</v>
      </c>
      <c r="O6" s="490" t="s">
        <v>748</v>
      </c>
      <c r="P6" s="672">
        <v>0</v>
      </c>
      <c r="Q6" s="490">
        <v>0</v>
      </c>
      <c r="R6" s="490" t="s">
        <v>748</v>
      </c>
      <c r="S6" s="490" t="s">
        <v>748</v>
      </c>
      <c r="T6" s="672">
        <v>2568</v>
      </c>
      <c r="U6" s="490">
        <v>22811.8</v>
      </c>
      <c r="V6" s="490" t="s">
        <v>748</v>
      </c>
      <c r="W6" s="490" t="s">
        <v>748</v>
      </c>
      <c r="X6" s="490" t="s">
        <v>748</v>
      </c>
      <c r="Y6" s="490" t="s">
        <v>748</v>
      </c>
      <c r="Z6" s="490" t="s">
        <v>748</v>
      </c>
      <c r="AA6" s="490" t="s">
        <v>748</v>
      </c>
      <c r="AB6" s="490" t="s">
        <v>748</v>
      </c>
    </row>
    <row r="7" spans="1:28" x14ac:dyDescent="0.25">
      <c r="A7" s="356">
        <f>EOMONTH(A6,1)</f>
        <v>44865</v>
      </c>
      <c r="B7" s="673">
        <v>80730</v>
      </c>
      <c r="C7" s="671" t="s">
        <v>748</v>
      </c>
      <c r="D7" s="671" t="s">
        <v>748</v>
      </c>
      <c r="E7" s="671" t="s">
        <v>748</v>
      </c>
      <c r="F7" s="671" t="s">
        <v>748</v>
      </c>
      <c r="G7" s="671" t="s">
        <v>748</v>
      </c>
      <c r="H7" s="674">
        <v>0</v>
      </c>
      <c r="I7" s="674">
        <v>0</v>
      </c>
      <c r="J7" s="674">
        <v>0</v>
      </c>
      <c r="K7" s="674">
        <v>0</v>
      </c>
      <c r="L7" s="674">
        <v>0</v>
      </c>
      <c r="M7" s="675"/>
      <c r="N7" s="490" t="s">
        <v>748</v>
      </c>
      <c r="O7" s="490" t="s">
        <v>748</v>
      </c>
      <c r="P7" s="673">
        <v>168</v>
      </c>
      <c r="Q7" s="674">
        <v>1492.36</v>
      </c>
      <c r="R7" s="490" t="s">
        <v>748</v>
      </c>
      <c r="S7" s="490" t="s">
        <v>748</v>
      </c>
      <c r="T7" s="673">
        <v>276</v>
      </c>
      <c r="U7" s="674">
        <v>1901.84</v>
      </c>
      <c r="V7" s="490" t="s">
        <v>748</v>
      </c>
      <c r="W7" s="490" t="s">
        <v>748</v>
      </c>
      <c r="X7" s="490" t="s">
        <v>748</v>
      </c>
      <c r="Y7" s="490" t="s">
        <v>748</v>
      </c>
      <c r="Z7" s="490" t="s">
        <v>748</v>
      </c>
      <c r="AA7" s="490" t="s">
        <v>748</v>
      </c>
      <c r="AB7" s="490" t="s">
        <v>748</v>
      </c>
    </row>
    <row r="8" spans="1:28" x14ac:dyDescent="0.25">
      <c r="A8" s="43"/>
      <c r="B8" s="127"/>
      <c r="C8" s="127"/>
      <c r="D8" s="127"/>
      <c r="E8" s="127"/>
      <c r="F8" s="127"/>
      <c r="G8" s="127"/>
      <c r="H8" s="127"/>
      <c r="I8" s="127"/>
      <c r="J8" s="127"/>
      <c r="K8" s="127"/>
      <c r="L8" s="127"/>
      <c r="M8" s="127"/>
      <c r="N8" s="127"/>
      <c r="O8" s="127"/>
      <c r="P8" s="127"/>
      <c r="Q8" s="127"/>
      <c r="R8" s="127"/>
      <c r="S8" s="127"/>
      <c r="T8" s="127"/>
      <c r="U8" s="127"/>
      <c r="V8" s="127"/>
      <c r="W8" s="127"/>
      <c r="X8" s="127"/>
      <c r="Y8" s="127"/>
      <c r="Z8" s="127"/>
      <c r="AA8" s="127"/>
      <c r="AB8" s="127"/>
    </row>
    <row r="9" spans="1:28" x14ac:dyDescent="0.25">
      <c r="A9" s="43"/>
      <c r="B9" s="127"/>
      <c r="C9" s="127"/>
      <c r="D9" s="127"/>
      <c r="E9" s="127"/>
      <c r="F9" s="127"/>
      <c r="G9" s="127"/>
      <c r="H9" s="127"/>
      <c r="I9" s="127"/>
      <c r="J9" s="127"/>
      <c r="K9" s="127"/>
      <c r="L9" s="127"/>
      <c r="M9" s="127"/>
      <c r="N9" s="127"/>
      <c r="O9" s="127"/>
      <c r="P9" s="127"/>
      <c r="Q9" s="127"/>
      <c r="R9" s="127"/>
      <c r="S9" s="127"/>
      <c r="T9" s="127"/>
      <c r="U9" s="127"/>
      <c r="V9" s="127"/>
      <c r="W9" s="127"/>
      <c r="X9" s="127"/>
      <c r="Y9" s="127"/>
      <c r="Z9" s="127"/>
      <c r="AA9" s="127"/>
      <c r="AB9" s="127"/>
    </row>
    <row r="10" spans="1:28" x14ac:dyDescent="0.25">
      <c r="A10" s="43"/>
      <c r="B10" s="127"/>
      <c r="C10" s="127"/>
      <c r="D10" s="127"/>
      <c r="E10" s="127"/>
      <c r="F10" s="127"/>
      <c r="G10" s="127"/>
      <c r="H10" s="127"/>
      <c r="I10" s="127"/>
      <c r="J10" s="127"/>
      <c r="K10" s="127"/>
      <c r="L10" s="127"/>
      <c r="M10" s="127"/>
      <c r="N10" s="127"/>
      <c r="O10" s="127"/>
      <c r="P10" s="127"/>
      <c r="Q10" s="127"/>
      <c r="R10" s="127"/>
      <c r="S10" s="127"/>
      <c r="T10" s="127"/>
      <c r="U10" s="127"/>
      <c r="V10" s="127"/>
      <c r="W10" s="127"/>
      <c r="X10" s="127"/>
      <c r="Y10" s="127"/>
      <c r="Z10" s="127"/>
      <c r="AA10" s="127"/>
      <c r="AB10" s="127"/>
    </row>
    <row r="11" spans="1:28" x14ac:dyDescent="0.25">
      <c r="A11" s="43"/>
    </row>
    <row r="12" spans="1:28" x14ac:dyDescent="0.25">
      <c r="A12" s="43"/>
    </row>
    <row r="13" spans="1:28" x14ac:dyDescent="0.25">
      <c r="A13" s="43"/>
    </row>
    <row r="14" spans="1:28" x14ac:dyDescent="0.25">
      <c r="A14" s="43"/>
    </row>
    <row r="15" spans="1:28" x14ac:dyDescent="0.25">
      <c r="A15" s="43"/>
    </row>
    <row r="16" spans="1:28" x14ac:dyDescent="0.25">
      <c r="A16" s="43"/>
    </row>
    <row r="17" spans="1:1" x14ac:dyDescent="0.25">
      <c r="A17" s="43"/>
    </row>
    <row r="18" spans="1:1" x14ac:dyDescent="0.25">
      <c r="A18" s="43"/>
    </row>
    <row r="19" spans="1:1" x14ac:dyDescent="0.25">
      <c r="A19" s="43"/>
    </row>
    <row r="20" spans="1:1" x14ac:dyDescent="0.25">
      <c r="A20" s="43"/>
    </row>
    <row r="21" spans="1:1" x14ac:dyDescent="0.25">
      <c r="A21" s="43"/>
    </row>
    <row r="22" spans="1:1" x14ac:dyDescent="0.25">
      <c r="A22" s="43"/>
    </row>
    <row r="23" spans="1:1" x14ac:dyDescent="0.25">
      <c r="A23" s="43"/>
    </row>
    <row r="24" spans="1:1" x14ac:dyDescent="0.25">
      <c r="A24" s="43"/>
    </row>
    <row r="25" spans="1:1" x14ac:dyDescent="0.25">
      <c r="A25" s="43"/>
    </row>
  </sheetData>
  <mergeCells count="4">
    <mergeCell ref="P3:Q3"/>
    <mergeCell ref="R3:S3"/>
    <mergeCell ref="T3:U3"/>
    <mergeCell ref="N3:O3"/>
  </mergeCells>
  <pageMargins left="0.7" right="0.7" top="0.75" bottom="0.75" header="0.3" footer="0.3"/>
  <pageSetup scale="24" orientation="portrait" r:id="rId1"/>
  <headerFooter>
    <oddFooter>&amp;L&amp;1#&amp;"Calibri"&amp;14&amp;K000000Confidential</oddFooter>
  </headerFooter>
  <customProperties>
    <customPr name="_pios_id" r:id="rId2"/>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38</vt:i4>
      </vt:variant>
      <vt:variant>
        <vt:lpstr>Named Ranges</vt:lpstr>
      </vt:variant>
      <vt:variant>
        <vt:i4>27</vt:i4>
      </vt:variant>
    </vt:vector>
  </HeadingPairs>
  <TitlesOfParts>
    <vt:vector size="65" baseType="lpstr">
      <vt:lpstr>Typical Bill</vt:lpstr>
      <vt:lpstr>Databases &gt;</vt:lpstr>
      <vt:lpstr>Input Data</vt:lpstr>
      <vt:lpstr>Case Database</vt:lpstr>
      <vt:lpstr>Forecast</vt:lpstr>
      <vt:lpstr>Sales Volumes</vt:lpstr>
      <vt:lpstr>FT Data</vt:lpstr>
      <vt:lpstr>TS-2 Data</vt:lpstr>
      <vt:lpstr>FILING &gt;</vt:lpstr>
      <vt:lpstr>Cover Sheet</vt:lpstr>
      <vt:lpstr>Summary Sheet</vt:lpstr>
      <vt:lpstr>Exhibit A-1 Write-Up</vt:lpstr>
      <vt:lpstr>Ex A 1 of 2</vt:lpstr>
      <vt:lpstr>Ex A 2 of 2</vt:lpstr>
      <vt:lpstr>Exhibit B Write-Up</vt:lpstr>
      <vt:lpstr>Ex B-1 1 of 7</vt:lpstr>
      <vt:lpstr>Ex B-1 2 of 7</vt:lpstr>
      <vt:lpstr>Ex B-1 3 of 7</vt:lpstr>
      <vt:lpstr>Ex B-1 4 of 7</vt:lpstr>
      <vt:lpstr>Ex B-1 5 of 7</vt:lpstr>
      <vt:lpstr>Ex B-1 6 of 7</vt:lpstr>
      <vt:lpstr>Ex B-1 7 of 7</vt:lpstr>
      <vt:lpstr>Ex B-2 1 of 1</vt:lpstr>
      <vt:lpstr>Exhibit C Write-Up</vt:lpstr>
      <vt:lpstr>Ex C-1 1 of 3</vt:lpstr>
      <vt:lpstr>Ex C-1 2 of 3</vt:lpstr>
      <vt:lpstr>Ex C-1 3 of 3</vt:lpstr>
      <vt:lpstr>Exhibit D Write-Up</vt:lpstr>
      <vt:lpstr>Ex D-1 1 of 2</vt:lpstr>
      <vt:lpstr>Ex D-1 2 of 2</vt:lpstr>
      <vt:lpstr>Exhibit E Write-Up</vt:lpstr>
      <vt:lpstr>Ex E-1 1 of 1</vt:lpstr>
      <vt:lpstr>Ex E-1 2 of 2</vt:lpstr>
      <vt:lpstr>Exhibit F Write-Up</vt:lpstr>
      <vt:lpstr>Ex F-1 1 of 1</vt:lpstr>
      <vt:lpstr>Effective Rates</vt:lpstr>
      <vt:lpstr>FT Rate Summary</vt:lpstr>
      <vt:lpstr>Rate LGDS</vt:lpstr>
      <vt:lpstr>'Case Database'!Print_Area</vt:lpstr>
      <vt:lpstr>'Effective Rates'!Print_Area</vt:lpstr>
      <vt:lpstr>'Ex A 1 of 2'!Print_Area</vt:lpstr>
      <vt:lpstr>'Ex A 2 of 2'!Print_Area</vt:lpstr>
      <vt:lpstr>'Ex B-1 1 of 7'!Print_Area</vt:lpstr>
      <vt:lpstr>'Ex B-1 2 of 7'!Print_Area</vt:lpstr>
      <vt:lpstr>'Ex B-1 3 of 7'!Print_Area</vt:lpstr>
      <vt:lpstr>'Ex B-1 4 of 7'!Print_Area</vt:lpstr>
      <vt:lpstr>'Ex B-1 5 of 7'!Print_Area</vt:lpstr>
      <vt:lpstr>'Ex C-1 1 of 3'!Print_Area</vt:lpstr>
      <vt:lpstr>'Ex C-1 2 of 3'!Print_Area</vt:lpstr>
      <vt:lpstr>'Ex C-1 3 of 3'!Print_Area</vt:lpstr>
      <vt:lpstr>'Ex D-1 1 of 2'!Print_Area</vt:lpstr>
      <vt:lpstr>'Ex D-1 2 of 2'!Print_Area</vt:lpstr>
      <vt:lpstr>'Ex E-1 1 of 1'!Print_Area</vt:lpstr>
      <vt:lpstr>'Ex E-1 2 of 2'!Print_Area</vt:lpstr>
      <vt:lpstr>'Ex F-1 1 of 1'!Print_Area</vt:lpstr>
      <vt:lpstr>'Exhibit A-1 Write-Up'!Print_Area</vt:lpstr>
      <vt:lpstr>'Exhibit B Write-Up'!Print_Area</vt:lpstr>
      <vt:lpstr>'FT Data'!Print_Area</vt:lpstr>
      <vt:lpstr>'FT Rate Summary'!Print_Area</vt:lpstr>
      <vt:lpstr>'Input Data'!Print_Area</vt:lpstr>
      <vt:lpstr>'Rate LGDS'!Print_Area</vt:lpstr>
      <vt:lpstr>'Sales Volumes'!Print_Area</vt:lpstr>
      <vt:lpstr>'Summary Sheet'!Print_Area</vt:lpstr>
      <vt:lpstr>'Case Database'!Print_Titles</vt:lpstr>
      <vt:lpstr>'Sales Volumes'!Print_Titles</vt:lpstr>
    </vt:vector>
  </TitlesOfParts>
  <Company>LG&amp;E Energy Corp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 M. Conroy</dc:creator>
  <cp:lastModifiedBy>Sharp, Stephen</cp:lastModifiedBy>
  <cp:lastPrinted>2022-12-28T16:58:23Z</cp:lastPrinted>
  <dcterms:created xsi:type="dcterms:W3CDTF">2006-10-04T20:02:49Z</dcterms:created>
  <dcterms:modified xsi:type="dcterms:W3CDTF">2022-12-28T17:03:58Z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965de27-20ef-4eb5-94ff-abaf6a06cb9e_Enabled">
    <vt:lpwstr>true</vt:lpwstr>
  </property>
  <property fmtid="{D5CDD505-2E9C-101B-9397-08002B2CF9AE}" pid="3" name="MSIP_Label_e965de27-20ef-4eb5-94ff-abaf6a06cb9e_SetDate">
    <vt:lpwstr>2022-12-28T17:03:57Z</vt:lpwstr>
  </property>
  <property fmtid="{D5CDD505-2E9C-101B-9397-08002B2CF9AE}" pid="4" name="MSIP_Label_e965de27-20ef-4eb5-94ff-abaf6a06cb9e_Method">
    <vt:lpwstr>Privileged</vt:lpwstr>
  </property>
  <property fmtid="{D5CDD505-2E9C-101B-9397-08002B2CF9AE}" pid="5" name="MSIP_Label_e965de27-20ef-4eb5-94ff-abaf6a06cb9e_Name">
    <vt:lpwstr>e965de27-20ef-4eb5-94ff-abaf6a06cb9e</vt:lpwstr>
  </property>
  <property fmtid="{D5CDD505-2E9C-101B-9397-08002B2CF9AE}" pid="6" name="MSIP_Label_e965de27-20ef-4eb5-94ff-abaf6a06cb9e_SiteId">
    <vt:lpwstr>5ee3b0ba-a559-45ee-a69e-6d3e963a3e72</vt:lpwstr>
  </property>
  <property fmtid="{D5CDD505-2E9C-101B-9397-08002B2CF9AE}" pid="7" name="MSIP_Label_e965de27-20ef-4eb5-94ff-abaf6a06cb9e_ActionId">
    <vt:lpwstr>9c6cdc87-f278-4c98-a899-82543b99346c</vt:lpwstr>
  </property>
  <property fmtid="{D5CDD505-2E9C-101B-9397-08002B2CF9AE}" pid="8" name="MSIP_Label_e965de27-20ef-4eb5-94ff-abaf6a06cb9e_ContentBits">
    <vt:lpwstr>2</vt:lpwstr>
  </property>
</Properties>
</file>