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N\Documents\Bath County WD\First Request for Information\"/>
    </mc:Choice>
  </mc:AlternateContent>
  <xr:revisionPtr revIDLastSave="0" documentId="13_ncr:1_{D685117A-F54B-4569-89D5-CDC7ABCD7EA6}" xr6:coauthVersionLast="47" xr6:coauthVersionMax="47" xr10:uidLastSave="{00000000-0000-0000-0000-000000000000}"/>
  <bookViews>
    <workbookView xWindow="-120" yWindow="-120" windowWidth="20730" windowHeight="11160" xr2:uid="{56571EB3-4BD4-4F1C-8B8C-97BBECDCE35B}"/>
  </bookViews>
  <sheets>
    <sheet name="Salary" sheetId="1" r:id="rId1"/>
    <sheet name="Board Member Pay" sheetId="2" r:id="rId2"/>
    <sheet name="Benefits" sheetId="3" r:id="rId3"/>
    <sheet name="21 Retirement" sheetId="5" r:id="rId4"/>
    <sheet name="Purchase Water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3" l="1"/>
  <c r="G17" i="3"/>
  <c r="O16" i="3"/>
  <c r="N14" i="3"/>
  <c r="N13" i="3"/>
  <c r="P13" i="3" s="1"/>
  <c r="N12" i="3"/>
  <c r="P12" i="3" s="1"/>
  <c r="N11" i="3"/>
  <c r="P11" i="3" s="1"/>
  <c r="N10" i="3"/>
  <c r="P10" i="3" s="1"/>
  <c r="N9" i="3"/>
  <c r="P9" i="3" s="1"/>
  <c r="N8" i="3"/>
  <c r="P8" i="3" s="1"/>
  <c r="N7" i="3"/>
  <c r="P7" i="3" s="1"/>
  <c r="N6" i="3"/>
  <c r="P6" i="3" s="1"/>
  <c r="P14" i="3"/>
  <c r="N5" i="3"/>
  <c r="P5" i="3" s="1"/>
  <c r="N4" i="3"/>
  <c r="P4" i="3" s="1"/>
  <c r="N16" i="3" l="1"/>
  <c r="P16" i="3" s="1"/>
  <c r="F5" i="4" l="1"/>
  <c r="F10" i="4" l="1"/>
  <c r="H10" i="4" s="1"/>
  <c r="D10" i="4"/>
  <c r="D5" i="4"/>
  <c r="H5" i="4" s="1"/>
  <c r="F3" i="4"/>
  <c r="D3" i="4"/>
  <c r="B7" i="4"/>
  <c r="I13" i="3"/>
  <c r="E31" i="3"/>
  <c r="E30" i="3"/>
  <c r="E29" i="3"/>
  <c r="E27" i="3"/>
  <c r="E26" i="3"/>
  <c r="E25" i="3"/>
  <c r="E24" i="3"/>
  <c r="E23" i="3"/>
  <c r="E22" i="3"/>
  <c r="D32" i="3"/>
  <c r="D31" i="3"/>
  <c r="D30" i="3"/>
  <c r="D29" i="3"/>
  <c r="D27" i="3"/>
  <c r="D26" i="3"/>
  <c r="D25" i="3"/>
  <c r="D24" i="3"/>
  <c r="D23" i="3"/>
  <c r="D22" i="3"/>
  <c r="F13" i="1"/>
  <c r="F30" i="3"/>
  <c r="P13" i="5"/>
  <c r="F32" i="3" s="1"/>
  <c r="P12" i="5"/>
  <c r="F31" i="3" s="1"/>
  <c r="P11" i="5"/>
  <c r="P10" i="5"/>
  <c r="F29" i="3" s="1"/>
  <c r="P9" i="5"/>
  <c r="F28" i="3" s="1"/>
  <c r="P8" i="5"/>
  <c r="F27" i="3" s="1"/>
  <c r="P7" i="5"/>
  <c r="F26" i="3" s="1"/>
  <c r="P6" i="5"/>
  <c r="F25" i="3" s="1"/>
  <c r="P5" i="5"/>
  <c r="F24" i="3" s="1"/>
  <c r="P4" i="5"/>
  <c r="F23" i="3" s="1"/>
  <c r="M15" i="5"/>
  <c r="H3" i="5"/>
  <c r="H15" i="5" s="1"/>
  <c r="G15" i="5"/>
  <c r="N15" i="5"/>
  <c r="L15" i="5"/>
  <c r="K15" i="5"/>
  <c r="J15" i="5"/>
  <c r="I15" i="5"/>
  <c r="F15" i="5"/>
  <c r="E15" i="5"/>
  <c r="D15" i="5"/>
  <c r="C15" i="5"/>
  <c r="D33" i="3" l="1"/>
  <c r="E33" i="3"/>
  <c r="D7" i="4"/>
  <c r="D12" i="4" s="1"/>
  <c r="F7" i="4"/>
  <c r="F12" i="4" s="1"/>
  <c r="H3" i="4"/>
  <c r="P3" i="5"/>
  <c r="H12" i="4" l="1"/>
  <c r="H7" i="4"/>
  <c r="F22" i="3"/>
  <c r="F33" i="3" s="1"/>
  <c r="G33" i="3" s="1"/>
  <c r="P15" i="5"/>
  <c r="E20" i="1" l="1"/>
  <c r="E17" i="2"/>
  <c r="E15" i="2"/>
  <c r="E13" i="2"/>
  <c r="E14" i="2"/>
  <c r="E12" i="2"/>
  <c r="F14" i="3" l="1"/>
  <c r="D14" i="3"/>
  <c r="E12" i="3"/>
  <c r="G12" i="3" s="1"/>
  <c r="I12" i="3" s="1"/>
  <c r="E11" i="3"/>
  <c r="G11" i="3" s="1"/>
  <c r="I11" i="3" s="1"/>
  <c r="E10" i="3"/>
  <c r="G10" i="3" s="1"/>
  <c r="I10" i="3" s="1"/>
  <c r="E9" i="3"/>
  <c r="G9" i="3" s="1"/>
  <c r="I9" i="3" s="1"/>
  <c r="E8" i="3"/>
  <c r="G8" i="3" s="1"/>
  <c r="I8" i="3" s="1"/>
  <c r="E7" i="3"/>
  <c r="E6" i="3"/>
  <c r="G6" i="3" s="1"/>
  <c r="I6" i="3" s="1"/>
  <c r="E5" i="3"/>
  <c r="G5" i="3" s="1"/>
  <c r="I5" i="3" s="1"/>
  <c r="E4" i="3"/>
  <c r="G4" i="3" s="1"/>
  <c r="E9" i="2"/>
  <c r="E7" i="2"/>
  <c r="E6" i="2"/>
  <c r="E5" i="2"/>
  <c r="E4" i="2"/>
  <c r="E3" i="2"/>
  <c r="E11" i="1"/>
  <c r="E10" i="1"/>
  <c r="E9" i="1"/>
  <c r="E8" i="1"/>
  <c r="E7" i="1"/>
  <c r="E6" i="1"/>
  <c r="E5" i="1"/>
  <c r="E4" i="1"/>
  <c r="E3" i="1"/>
  <c r="E13" i="1" s="1"/>
  <c r="G13" i="1" s="1"/>
  <c r="G22" i="1" s="1"/>
  <c r="E14" i="3" l="1"/>
  <c r="I4" i="3"/>
  <c r="G7" i="3"/>
  <c r="I7" i="3" s="1"/>
  <c r="I14" i="3" l="1"/>
  <c r="G14" i="3"/>
  <c r="G16" i="3" s="1"/>
  <c r="J1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HLN</author>
  </authors>
  <commentList>
    <comment ref="I3" authorId="0" shapeId="0" xr:uid="{B2079E97-09AE-4371-A8AB-7DA4E0932AC3}">
      <text>
        <r>
          <rPr>
            <b/>
            <sz val="9"/>
            <color indexed="81"/>
            <rFont val="Tahoma"/>
            <family val="2"/>
          </rPr>
          <t>HLN:</t>
        </r>
        <r>
          <rPr>
            <sz val="9"/>
            <color indexed="81"/>
            <rFont val="Tahoma"/>
            <family val="2"/>
          </rPr>
          <t xml:space="preserve">
BLS - Bureau of Labor Statistics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HLN</author>
  </authors>
  <commentList>
    <comment ref="A3" authorId="0" shapeId="0" xr:uid="{D8ABF8CC-1B96-41D0-B3D9-C944E16850F8}">
      <text>
        <r>
          <rPr>
            <b/>
            <sz val="9"/>
            <color indexed="81"/>
            <rFont val="Tahoma"/>
            <charset val="1"/>
          </rPr>
          <t>HLN:</t>
        </r>
        <r>
          <rPr>
            <sz val="9"/>
            <color indexed="81"/>
            <rFont val="Tahoma"/>
            <charset val="1"/>
          </rPr>
          <t xml:space="preserve">
Manager Retired 6/21
New manager started 2021
</t>
        </r>
      </text>
    </comment>
  </commentList>
</comments>
</file>

<file path=xl/sharedStrings.xml><?xml version="1.0" encoding="utf-8"?>
<sst xmlns="http://schemas.openxmlformats.org/spreadsheetml/2006/main" count="124" uniqueCount="76">
  <si>
    <t>Employee Position</t>
  </si>
  <si>
    <t>Maintenance 1</t>
  </si>
  <si>
    <t>Maintenance 2</t>
  </si>
  <si>
    <t>Maintenance 3</t>
  </si>
  <si>
    <t>Maintenance 4</t>
  </si>
  <si>
    <t>Maintenance 5</t>
  </si>
  <si>
    <t>Maintenance 6</t>
  </si>
  <si>
    <t>Office 1</t>
  </si>
  <si>
    <t>Office 2</t>
  </si>
  <si>
    <t>Office 3</t>
  </si>
  <si>
    <t>Hourly Rate</t>
  </si>
  <si>
    <t>Projected Expenses - 2022</t>
  </si>
  <si>
    <t>Total Salary</t>
  </si>
  <si>
    <t>Board Member 2</t>
  </si>
  <si>
    <t>Board Member 1</t>
  </si>
  <si>
    <t>Board Member 3</t>
  </si>
  <si>
    <t>Board Member 4</t>
  </si>
  <si>
    <t>Board Member 5</t>
  </si>
  <si>
    <t>Per Month</t>
  </si>
  <si>
    <t>Overtime to date</t>
  </si>
  <si>
    <t>Salary Expense 2021</t>
  </si>
  <si>
    <t>Regular Time:</t>
  </si>
  <si>
    <t>Overtime</t>
  </si>
  <si>
    <t>Incentive Pay - Employees</t>
  </si>
  <si>
    <t>Difference 2021-2022</t>
  </si>
  <si>
    <t>Benefits</t>
  </si>
  <si>
    <t>Health Ins Premium - Monthly</t>
  </si>
  <si>
    <t>Annual Premium</t>
  </si>
  <si>
    <t>FEBCO Account</t>
  </si>
  <si>
    <t>Total Insurance Annually</t>
  </si>
  <si>
    <t>Health Insurance</t>
  </si>
  <si>
    <t>PSC Adjustment/BLS</t>
  </si>
  <si>
    <t>BLS - Avg Employer Contribution Rate</t>
  </si>
  <si>
    <t>DIFFERENCE</t>
  </si>
  <si>
    <t>2021 Payments</t>
  </si>
  <si>
    <t>4 Board Members - full year</t>
  </si>
  <si>
    <t>1 Board Member - Jan-March</t>
  </si>
  <si>
    <t>1 Board Member - May-Dec</t>
  </si>
  <si>
    <t>Difference</t>
  </si>
  <si>
    <t>Less Capitalized Labor</t>
  </si>
  <si>
    <t>Office 4 - retired 5-22</t>
  </si>
  <si>
    <t>District Portion - Retirement - 2021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</si>
  <si>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</si>
  <si>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</si>
  <si>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</si>
  <si>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</si>
  <si>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</si>
  <si>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</si>
  <si>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</si>
  <si>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</si>
  <si>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</si>
  <si>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</si>
  <si>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</si>
  <si>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</si>
  <si>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Maintenance 7</t>
  </si>
  <si>
    <t>Totals</t>
  </si>
  <si>
    <t>Change 2021-2022</t>
  </si>
  <si>
    <t>Office 4 - retired 5/22</t>
  </si>
  <si>
    <t>2021 Retirement Payments</t>
  </si>
  <si>
    <t>District Portion - Retirement - 1/1-6/30/2022</t>
  </si>
  <si>
    <t>District Portion - Retirement - 6/30-12/31/2022</t>
  </si>
  <si>
    <t>MUPB</t>
  </si>
  <si>
    <t>MT Sterling</t>
  </si>
  <si>
    <t>At Previous Rate</t>
  </si>
  <si>
    <t>At Current Rate</t>
  </si>
  <si>
    <t xml:space="preserve">Water Purchase </t>
  </si>
  <si>
    <t>Year 2021</t>
  </si>
  <si>
    <t>MUPB Capital Cost</t>
  </si>
  <si>
    <t xml:space="preserve">Office 4 </t>
  </si>
  <si>
    <t>Increase in Insurance Cost 2022 from 2021</t>
  </si>
  <si>
    <t>Net adjustment</t>
  </si>
  <si>
    <t>PSC Adjustment based on BLS for 2022</t>
  </si>
  <si>
    <t>Annual</t>
  </si>
  <si>
    <t>Total</t>
  </si>
  <si>
    <t>Totals/Change from Previous to Current:</t>
  </si>
  <si>
    <t xml:space="preserve">In orginal filing, there was a transposition error in the volume shown for Mt Sterling.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</si>
</sst>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9" fontId="0" fillId="0" borderId="0" xfId="2" applyFont="1"/>
    <xf numFmtId="44" fontId="0" fillId="0" borderId="0" xfId="1" applyFont="1"/>
    <xf numFmtId="44" fontId="0" fillId="0" borderId="0" xfId="0" applyNumberFormat="1"/>
    <xf numFmtId="0" fontId="0" fillId="0" borderId="1" xfId="0" applyBorder="1"/>
    <xf numFmtId="0" fontId="2" fillId="0" borderId="0" xfId="0" applyFont="1"/>
    <xf numFmtId="44" fontId="0" fillId="0" borderId="2" xfId="0" applyNumberFormat="1" applyBorder="1"/>
    <xf numFmtId="44" fontId="0" fillId="0" borderId="1" xfId="1" applyFont="1" applyBorder="1"/>
    <xf numFmtId="164" fontId="0" fillId="0" borderId="0" xfId="3" applyNumberFormat="1" applyFont="1"/>
    <xf numFmtId="43" fontId="0" fillId="0" borderId="0" xfId="0" applyNumberFormat="1"/>
    <xf numFmtId="43" fontId="0" fillId="0" borderId="0" xfId="3" applyFont="1"/>
    <xf numFmtId="0" fontId="4" fillId="0" borderId="0" xfId="0" applyFont="1"/>
    <xf numFmtId="0" fontId="8" fillId="0" borderId="0" xfId="0" applyFont="1"/>
    <xf numFmtId="2" fontId="0" fillId="0" borderId="0" xfId="0" applyNumberFormat="1"/>
    <xf numFmtId="0" fontId="2" fillId="0" borderId="1" xfId="0" applyFon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4" fontId="2" fillId="0" borderId="0" xfId="1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BA6BA-E8E3-47AE-84C6-54DDE5519E94}">
  <dimension ref="A1:G22"/>
  <sheetViews>
    <sheetView tabSelected="1" workbookViewId="0">
      <selection activeCell="G2" sqref="G2"/>
    </sheetView>
  </sheetViews>
  <sheetFormatPr defaultRowHeight="15" x14ac:dyDescent="0.25"/>
  <cols>
    <col min="5" max="5" width="12.5703125" bestFit="1" customWidth="1"/>
    <col min="6" max="6" width="10.5703125" bestFit="1" customWidth="1"/>
    <col min="7" max="7" width="12.5703125" bestFit="1" customWidth="1"/>
  </cols>
  <sheetData>
    <row r="1" spans="1:7" x14ac:dyDescent="0.25">
      <c r="A1" s="16" t="s">
        <v>11</v>
      </c>
      <c r="B1" s="6"/>
      <c r="C1" s="6"/>
    </row>
    <row r="2" spans="1:7" ht="30" x14ac:dyDescent="0.25">
      <c r="A2" t="s">
        <v>0</v>
      </c>
      <c r="D2" s="17" t="s">
        <v>10</v>
      </c>
      <c r="E2" s="17" t="s">
        <v>12</v>
      </c>
      <c r="F2" s="18" t="s">
        <v>19</v>
      </c>
      <c r="G2" s="21" t="s">
        <v>73</v>
      </c>
    </row>
    <row r="3" spans="1:7" x14ac:dyDescent="0.25">
      <c r="A3" t="s">
        <v>1</v>
      </c>
      <c r="D3">
        <v>21.12</v>
      </c>
      <c r="E3" s="4">
        <f>D3*2080</f>
        <v>43929.599999999999</v>
      </c>
      <c r="F3" s="4"/>
      <c r="G3" s="4"/>
    </row>
    <row r="4" spans="1:7" x14ac:dyDescent="0.25">
      <c r="A4" t="s">
        <v>2</v>
      </c>
      <c r="D4">
        <v>23.5</v>
      </c>
      <c r="E4" s="4">
        <f t="shared" ref="E4:E11" si="0">D4*2080</f>
        <v>48880</v>
      </c>
      <c r="F4" s="4"/>
      <c r="G4" s="4"/>
    </row>
    <row r="5" spans="1:7" x14ac:dyDescent="0.25">
      <c r="A5" t="s">
        <v>3</v>
      </c>
      <c r="D5">
        <v>17.5</v>
      </c>
      <c r="E5" s="4">
        <f t="shared" si="0"/>
        <v>36400</v>
      </c>
      <c r="F5" s="4"/>
      <c r="G5" s="4"/>
    </row>
    <row r="6" spans="1:7" x14ac:dyDescent="0.25">
      <c r="A6" t="s">
        <v>4</v>
      </c>
      <c r="D6">
        <v>16</v>
      </c>
      <c r="E6" s="4">
        <f t="shared" si="0"/>
        <v>33280</v>
      </c>
      <c r="F6" s="4"/>
      <c r="G6" s="4"/>
    </row>
    <row r="7" spans="1:7" x14ac:dyDescent="0.25">
      <c r="A7" t="s">
        <v>5</v>
      </c>
      <c r="D7">
        <v>12</v>
      </c>
      <c r="E7" s="4">
        <f t="shared" si="0"/>
        <v>24960</v>
      </c>
      <c r="F7" s="4"/>
      <c r="G7" s="4"/>
    </row>
    <row r="8" spans="1:7" x14ac:dyDescent="0.25">
      <c r="A8" t="s">
        <v>6</v>
      </c>
      <c r="D8">
        <v>12</v>
      </c>
      <c r="E8" s="4">
        <f t="shared" si="0"/>
        <v>24960</v>
      </c>
      <c r="F8" s="4"/>
      <c r="G8" s="4"/>
    </row>
    <row r="9" spans="1:7" x14ac:dyDescent="0.25">
      <c r="A9" t="s">
        <v>7</v>
      </c>
      <c r="D9">
        <v>21</v>
      </c>
      <c r="E9" s="4">
        <f t="shared" si="0"/>
        <v>43680</v>
      </c>
      <c r="F9" s="4"/>
      <c r="G9" s="4"/>
    </row>
    <row r="10" spans="1:7" x14ac:dyDescent="0.25">
      <c r="A10" t="s">
        <v>8</v>
      </c>
      <c r="D10">
        <v>16.73</v>
      </c>
      <c r="E10" s="4">
        <f t="shared" si="0"/>
        <v>34798.400000000001</v>
      </c>
      <c r="F10" s="4"/>
      <c r="G10" s="4"/>
    </row>
    <row r="11" spans="1:7" x14ac:dyDescent="0.25">
      <c r="A11" t="s">
        <v>9</v>
      </c>
      <c r="D11">
        <v>13.5</v>
      </c>
      <c r="E11" s="4">
        <f t="shared" si="0"/>
        <v>28080</v>
      </c>
      <c r="F11" s="4"/>
      <c r="G11" s="4"/>
    </row>
    <row r="12" spans="1:7" x14ac:dyDescent="0.25">
      <c r="A12" t="s">
        <v>57</v>
      </c>
      <c r="E12" s="9">
        <v>37686.870000000003</v>
      </c>
      <c r="F12" s="4"/>
      <c r="G12" s="4"/>
    </row>
    <row r="13" spans="1:7" x14ac:dyDescent="0.25">
      <c r="E13" s="4">
        <f>SUM(E3:E12)</f>
        <v>356654.87</v>
      </c>
      <c r="F13" s="4">
        <f>7672.95+1964.48</f>
        <v>9637.43</v>
      </c>
      <c r="G13" s="4">
        <f>E13+F13</f>
        <v>366292.3</v>
      </c>
    </row>
    <row r="14" spans="1:7" x14ac:dyDescent="0.25">
      <c r="E14" s="4"/>
      <c r="F14" s="4"/>
      <c r="G14" s="4"/>
    </row>
    <row r="15" spans="1:7" x14ac:dyDescent="0.25">
      <c r="A15" s="16" t="s">
        <v>20</v>
      </c>
      <c r="B15" s="6"/>
      <c r="E15" s="4"/>
      <c r="F15" s="4"/>
      <c r="G15" s="4"/>
    </row>
    <row r="16" spans="1:7" x14ac:dyDescent="0.25">
      <c r="A16" t="s">
        <v>21</v>
      </c>
      <c r="E16" s="4">
        <v>363396.8</v>
      </c>
      <c r="F16" s="4"/>
      <c r="G16" s="4"/>
    </row>
    <row r="17" spans="1:7" x14ac:dyDescent="0.25">
      <c r="A17" t="s">
        <v>22</v>
      </c>
      <c r="E17" s="4">
        <v>9192.81</v>
      </c>
      <c r="F17" s="4"/>
      <c r="G17" s="4"/>
    </row>
    <row r="18" spans="1:7" x14ac:dyDescent="0.25">
      <c r="A18" t="s">
        <v>23</v>
      </c>
      <c r="E18" s="4">
        <v>10361.25</v>
      </c>
      <c r="F18" s="4"/>
      <c r="G18" s="4"/>
    </row>
    <row r="19" spans="1:7" x14ac:dyDescent="0.25">
      <c r="A19" t="s">
        <v>39</v>
      </c>
      <c r="E19" s="9">
        <v>-12768</v>
      </c>
      <c r="F19" s="4"/>
      <c r="G19" s="4"/>
    </row>
    <row r="20" spans="1:7" x14ac:dyDescent="0.25">
      <c r="E20" s="4">
        <f>SUM(E16:E19)</f>
        <v>370182.86</v>
      </c>
      <c r="F20" s="4"/>
      <c r="G20" s="4"/>
    </row>
    <row r="21" spans="1:7" x14ac:dyDescent="0.25">
      <c r="E21" s="4"/>
      <c r="F21" s="4"/>
      <c r="G21" s="4"/>
    </row>
    <row r="22" spans="1:7" x14ac:dyDescent="0.25">
      <c r="A22" s="7" t="s">
        <v>24</v>
      </c>
      <c r="E22" s="4"/>
      <c r="F22" s="4"/>
      <c r="G22" s="19">
        <f>G13-E20</f>
        <v>-3890.5599999999977</v>
      </c>
    </row>
  </sheetData>
  <pageMargins left="0.7" right="0.7" top="0.75" bottom="0.75" header="0.3" footer="0.3"/>
  <pageSetup orientation="portrait" horizontalDpi="0" verticalDpi="0" r:id="rId1"/>
  <headerFooter>
    <oddHeader>&amp;RCase No. 2022-00404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6A41A-334C-4424-A304-E07F25E84D42}">
  <dimension ref="A1:F17"/>
  <sheetViews>
    <sheetView workbookViewId="0">
      <selection activeCell="E2" sqref="E2"/>
    </sheetView>
  </sheetViews>
  <sheetFormatPr defaultRowHeight="15" x14ac:dyDescent="0.25"/>
  <cols>
    <col min="4" max="4" width="10.28515625" bestFit="1" customWidth="1"/>
    <col min="5" max="5" width="11.5703125" bestFit="1" customWidth="1"/>
  </cols>
  <sheetData>
    <row r="1" spans="1:6" x14ac:dyDescent="0.25">
      <c r="A1" s="7" t="s">
        <v>11</v>
      </c>
    </row>
    <row r="2" spans="1:6" x14ac:dyDescent="0.25">
      <c r="D2" t="s">
        <v>18</v>
      </c>
      <c r="E2" s="20" t="s">
        <v>72</v>
      </c>
    </row>
    <row r="3" spans="1:6" x14ac:dyDescent="0.25">
      <c r="A3" t="s">
        <v>14</v>
      </c>
      <c r="D3" s="4">
        <v>300</v>
      </c>
      <c r="E3" s="4">
        <f>D3*12</f>
        <v>3600</v>
      </c>
      <c r="F3" s="4"/>
    </row>
    <row r="4" spans="1:6" x14ac:dyDescent="0.25">
      <c r="A4" t="s">
        <v>13</v>
      </c>
      <c r="D4" s="4">
        <v>300</v>
      </c>
      <c r="E4" s="4">
        <f t="shared" ref="E4:E7" si="0">D4*12</f>
        <v>3600</v>
      </c>
      <c r="F4" s="4"/>
    </row>
    <row r="5" spans="1:6" x14ac:dyDescent="0.25">
      <c r="A5" t="s">
        <v>15</v>
      </c>
      <c r="D5" s="4">
        <v>300</v>
      </c>
      <c r="E5" s="4">
        <f t="shared" si="0"/>
        <v>3600</v>
      </c>
      <c r="F5" s="4"/>
    </row>
    <row r="6" spans="1:6" x14ac:dyDescent="0.25">
      <c r="A6" t="s">
        <v>16</v>
      </c>
      <c r="D6" s="4">
        <v>300</v>
      </c>
      <c r="E6" s="4">
        <f t="shared" si="0"/>
        <v>3600</v>
      </c>
      <c r="F6" s="4"/>
    </row>
    <row r="7" spans="1:6" x14ac:dyDescent="0.25">
      <c r="A7" t="s">
        <v>17</v>
      </c>
      <c r="D7" s="4">
        <v>300</v>
      </c>
      <c r="E7" s="4">
        <f t="shared" si="0"/>
        <v>3600</v>
      </c>
      <c r="F7" s="4"/>
    </row>
    <row r="8" spans="1:6" x14ac:dyDescent="0.25">
      <c r="D8" s="4"/>
      <c r="E8" s="4"/>
      <c r="F8" s="4"/>
    </row>
    <row r="9" spans="1:6" x14ac:dyDescent="0.25">
      <c r="D9" s="4"/>
      <c r="E9" s="4">
        <f>SUM(E3:E8)</f>
        <v>18000</v>
      </c>
      <c r="F9" s="4"/>
    </row>
    <row r="10" spans="1:6" x14ac:dyDescent="0.25">
      <c r="D10" s="4"/>
      <c r="E10" s="4"/>
      <c r="F10" s="4"/>
    </row>
    <row r="11" spans="1:6" x14ac:dyDescent="0.25">
      <c r="A11" s="7" t="s">
        <v>34</v>
      </c>
      <c r="D11" s="4"/>
      <c r="E11" s="4"/>
      <c r="F11" s="4"/>
    </row>
    <row r="12" spans="1:6" x14ac:dyDescent="0.25">
      <c r="A12" t="s">
        <v>35</v>
      </c>
      <c r="D12" s="4"/>
      <c r="E12" s="4">
        <f>4*3600</f>
        <v>14400</v>
      </c>
      <c r="F12" s="4"/>
    </row>
    <row r="13" spans="1:6" x14ac:dyDescent="0.25">
      <c r="A13" t="s">
        <v>36</v>
      </c>
      <c r="D13" s="4"/>
      <c r="E13" s="4">
        <f>3*300</f>
        <v>900</v>
      </c>
      <c r="F13" s="4"/>
    </row>
    <row r="14" spans="1:6" x14ac:dyDescent="0.25">
      <c r="A14" t="s">
        <v>37</v>
      </c>
      <c r="D14" s="4"/>
      <c r="E14" s="9">
        <f>8*300</f>
        <v>2400</v>
      </c>
      <c r="F14" s="4"/>
    </row>
    <row r="15" spans="1:6" x14ac:dyDescent="0.25">
      <c r="D15" s="4"/>
      <c r="E15" s="4">
        <f>SUM(E12:E14)</f>
        <v>17700</v>
      </c>
      <c r="F15" s="4"/>
    </row>
    <row r="16" spans="1:6" x14ac:dyDescent="0.25">
      <c r="D16" s="4"/>
      <c r="E16" s="4"/>
      <c r="F16" s="4"/>
    </row>
    <row r="17" spans="1:6" x14ac:dyDescent="0.25">
      <c r="A17" s="7" t="s">
        <v>38</v>
      </c>
      <c r="D17" s="4"/>
      <c r="E17" s="19">
        <f>E9-E15</f>
        <v>300</v>
      </c>
      <c r="F17" s="4"/>
    </row>
  </sheetData>
  <pageMargins left="0.7" right="0.7" top="0.75" bottom="0.75" header="0.3" footer="0.3"/>
  <pageSetup orientation="portrait" horizontalDpi="0" verticalDpi="0" r:id="rId1"/>
  <headerFooter>
    <oddHeader>&amp;RCase No. 2022-00404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C835F-219E-4512-A3BC-DC9402F2D5E2}">
  <dimension ref="A1:S33"/>
  <sheetViews>
    <sheetView topLeftCell="A19" workbookViewId="0">
      <selection activeCell="G18" sqref="G18"/>
    </sheetView>
  </sheetViews>
  <sheetFormatPr defaultRowHeight="15" x14ac:dyDescent="0.25"/>
  <cols>
    <col min="3" max="3" width="6.140625" customWidth="1"/>
    <col min="4" max="4" width="13.85546875" customWidth="1"/>
    <col min="5" max="5" width="13.7109375" customWidth="1"/>
    <col min="6" max="6" width="13" customWidth="1"/>
    <col min="7" max="7" width="12.5703125" bestFit="1" customWidth="1"/>
    <col min="8" max="8" width="11.7109375" customWidth="1"/>
    <col min="9" max="9" width="13.42578125" customWidth="1"/>
    <col min="10" max="10" width="12.28515625" bestFit="1" customWidth="1"/>
    <col min="11" max="11" width="3.28515625" customWidth="1"/>
    <col min="14" max="14" width="12.5703125" bestFit="1" customWidth="1"/>
    <col min="15" max="15" width="11.5703125" bestFit="1" customWidth="1"/>
    <col min="16" max="16" width="12.5703125" bestFit="1" customWidth="1"/>
    <col min="17" max="17" width="11.5703125" customWidth="1"/>
    <col min="18" max="18" width="11" customWidth="1"/>
    <col min="19" max="19" width="10.42578125" customWidth="1"/>
  </cols>
  <sheetData>
    <row r="1" spans="1:19" x14ac:dyDescent="0.25">
      <c r="A1" t="s">
        <v>25</v>
      </c>
    </row>
    <row r="2" spans="1:19" x14ac:dyDescent="0.25">
      <c r="A2" t="s">
        <v>30</v>
      </c>
      <c r="C2" s="7">
        <v>2022</v>
      </c>
      <c r="L2" s="7">
        <v>2021</v>
      </c>
    </row>
    <row r="3" spans="1:19" ht="52.5" customHeight="1" x14ac:dyDescent="0.25">
      <c r="A3" s="1" t="s">
        <v>0</v>
      </c>
      <c r="B3" s="1"/>
      <c r="C3" s="1"/>
      <c r="D3" s="2" t="s">
        <v>26</v>
      </c>
      <c r="E3" s="2" t="s">
        <v>27</v>
      </c>
      <c r="F3" s="2" t="s">
        <v>28</v>
      </c>
      <c r="G3" s="2" t="s">
        <v>29</v>
      </c>
      <c r="H3" s="2" t="s">
        <v>32</v>
      </c>
      <c r="I3" s="2" t="s">
        <v>31</v>
      </c>
      <c r="J3" s="2" t="s">
        <v>33</v>
      </c>
      <c r="N3" s="2" t="s">
        <v>27</v>
      </c>
      <c r="O3" s="2" t="s">
        <v>28</v>
      </c>
      <c r="P3" s="2" t="s">
        <v>29</v>
      </c>
      <c r="Q3" s="2"/>
      <c r="R3" s="2"/>
      <c r="S3" s="2"/>
    </row>
    <row r="4" spans="1:19" x14ac:dyDescent="0.25">
      <c r="A4" t="s">
        <v>1</v>
      </c>
      <c r="D4" s="4">
        <v>1692.79</v>
      </c>
      <c r="E4" s="4">
        <f>D4*12</f>
        <v>20313.48</v>
      </c>
      <c r="F4" s="4">
        <v>5600</v>
      </c>
      <c r="G4" s="4">
        <f>E4+F4</f>
        <v>25913.48</v>
      </c>
      <c r="H4" s="3">
        <v>0.66</v>
      </c>
      <c r="I4" s="4">
        <f>G4*H4</f>
        <v>17102.896800000002</v>
      </c>
      <c r="J4" s="5"/>
      <c r="L4" t="s">
        <v>1</v>
      </c>
      <c r="N4" s="4">
        <f>730.16*6</f>
        <v>4380.96</v>
      </c>
      <c r="O4" s="4">
        <v>2800</v>
      </c>
      <c r="P4" s="4">
        <f>N4+O4</f>
        <v>7180.96</v>
      </c>
      <c r="Q4" s="3"/>
      <c r="R4" s="15"/>
    </row>
    <row r="5" spans="1:19" x14ac:dyDescent="0.25">
      <c r="A5" t="s">
        <v>2</v>
      </c>
      <c r="D5" s="4">
        <v>1984.08</v>
      </c>
      <c r="E5" s="4">
        <f t="shared" ref="E5:E12" si="0">D5*12</f>
        <v>23808.959999999999</v>
      </c>
      <c r="F5" s="4">
        <v>5600</v>
      </c>
      <c r="G5" s="4">
        <f t="shared" ref="G5:G12" si="1">E5+F5</f>
        <v>29408.959999999999</v>
      </c>
      <c r="H5" s="3">
        <v>0.66</v>
      </c>
      <c r="I5" s="4">
        <f t="shared" ref="I5:I12" si="2">G5*H5</f>
        <v>19409.9136</v>
      </c>
      <c r="J5" s="5"/>
      <c r="L5" t="s">
        <v>2</v>
      </c>
      <c r="N5" s="4">
        <f>(1453.61*6)+(1583.11*6)</f>
        <v>18220.32</v>
      </c>
      <c r="O5" s="4">
        <v>5600</v>
      </c>
      <c r="P5" s="4">
        <f t="shared" ref="P5:P14" si="3">N5+O5</f>
        <v>23820.32</v>
      </c>
      <c r="Q5" s="3"/>
      <c r="R5" s="15"/>
    </row>
    <row r="6" spans="1:19" x14ac:dyDescent="0.25">
      <c r="A6" t="s">
        <v>3</v>
      </c>
      <c r="D6" s="4">
        <v>1502</v>
      </c>
      <c r="E6" s="4">
        <f t="shared" si="0"/>
        <v>18024</v>
      </c>
      <c r="F6" s="4">
        <v>5600</v>
      </c>
      <c r="G6" s="4">
        <f t="shared" si="1"/>
        <v>23624</v>
      </c>
      <c r="H6" s="3">
        <v>0.66</v>
      </c>
      <c r="I6" s="4">
        <f t="shared" si="2"/>
        <v>15591.84</v>
      </c>
      <c r="J6" s="5"/>
      <c r="L6" t="s">
        <v>3</v>
      </c>
      <c r="N6" s="4">
        <f>(1305.09*6)+(1404.83*6)</f>
        <v>16259.519999999999</v>
      </c>
      <c r="O6" s="4">
        <v>5600</v>
      </c>
      <c r="P6" s="4">
        <f t="shared" si="3"/>
        <v>21859.519999999997</v>
      </c>
      <c r="Q6" s="3"/>
      <c r="R6" s="15"/>
    </row>
    <row r="7" spans="1:19" x14ac:dyDescent="0.25">
      <c r="A7" t="s">
        <v>4</v>
      </c>
      <c r="D7" s="4">
        <v>1502</v>
      </c>
      <c r="E7" s="4">
        <f t="shared" si="0"/>
        <v>18024</v>
      </c>
      <c r="F7" s="4">
        <v>5600</v>
      </c>
      <c r="G7" s="4">
        <f t="shared" si="1"/>
        <v>23624</v>
      </c>
      <c r="H7" s="3">
        <v>0.66</v>
      </c>
      <c r="I7" s="4">
        <f t="shared" si="2"/>
        <v>15591.84</v>
      </c>
      <c r="J7" s="5"/>
      <c r="L7" t="s">
        <v>4</v>
      </c>
      <c r="N7" s="4">
        <f>(1714.12*6)+(1855.32*6)</f>
        <v>21416.639999999999</v>
      </c>
      <c r="O7" s="4">
        <v>5600</v>
      </c>
      <c r="P7" s="4">
        <f t="shared" si="3"/>
        <v>27016.639999999999</v>
      </c>
      <c r="Q7" s="3"/>
      <c r="R7" s="15"/>
    </row>
    <row r="8" spans="1:19" x14ac:dyDescent="0.25">
      <c r="A8" t="s">
        <v>5</v>
      </c>
      <c r="D8" s="4">
        <v>265.13</v>
      </c>
      <c r="E8" s="4">
        <f t="shared" si="0"/>
        <v>3181.56</v>
      </c>
      <c r="F8" s="4">
        <v>2800</v>
      </c>
      <c r="G8" s="4">
        <f t="shared" si="1"/>
        <v>5981.5599999999995</v>
      </c>
      <c r="H8" s="3">
        <v>0.78</v>
      </c>
      <c r="I8" s="4">
        <f t="shared" si="2"/>
        <v>4665.6167999999998</v>
      </c>
      <c r="J8" s="5"/>
      <c r="L8" t="s">
        <v>5</v>
      </c>
      <c r="N8" s="4">
        <f>(745.8*6)+(803.55*6)</f>
        <v>9296.0999999999985</v>
      </c>
      <c r="O8" s="4">
        <v>5600</v>
      </c>
      <c r="P8" s="4">
        <f t="shared" si="3"/>
        <v>14896.099999999999</v>
      </c>
      <c r="Q8" s="3"/>
      <c r="R8" s="15"/>
    </row>
    <row r="9" spans="1:19" x14ac:dyDescent="0.25">
      <c r="A9" t="s">
        <v>6</v>
      </c>
      <c r="D9" s="4">
        <v>1175.74</v>
      </c>
      <c r="E9" s="4">
        <f t="shared" si="0"/>
        <v>14108.880000000001</v>
      </c>
      <c r="F9" s="4">
        <v>5600</v>
      </c>
      <c r="G9" s="4">
        <f t="shared" si="1"/>
        <v>19708.88</v>
      </c>
      <c r="H9" s="3">
        <v>0.66</v>
      </c>
      <c r="I9" s="4">
        <f t="shared" si="2"/>
        <v>13007.8608</v>
      </c>
      <c r="J9" s="5"/>
      <c r="L9" t="s">
        <v>6</v>
      </c>
      <c r="N9" s="4">
        <f>248.99*3</f>
        <v>746.97</v>
      </c>
      <c r="O9" s="4">
        <v>2800</v>
      </c>
      <c r="P9" s="4">
        <f t="shared" si="3"/>
        <v>3546.9700000000003</v>
      </c>
      <c r="Q9" s="3"/>
      <c r="R9" s="15"/>
    </row>
    <row r="10" spans="1:19" x14ac:dyDescent="0.25">
      <c r="A10" t="s">
        <v>7</v>
      </c>
      <c r="D10" s="4">
        <v>612.42999999999995</v>
      </c>
      <c r="E10" s="4">
        <f t="shared" si="0"/>
        <v>7349.16</v>
      </c>
      <c r="F10" s="4">
        <v>2800</v>
      </c>
      <c r="G10" s="4">
        <f t="shared" si="1"/>
        <v>10149.16</v>
      </c>
      <c r="H10" s="3">
        <v>0.78</v>
      </c>
      <c r="I10" s="4">
        <f t="shared" si="2"/>
        <v>7916.3447999999999</v>
      </c>
      <c r="J10" s="5"/>
      <c r="L10" t="s">
        <v>54</v>
      </c>
      <c r="N10" s="4">
        <f>248.99*3</f>
        <v>746.97</v>
      </c>
      <c r="O10" s="4">
        <v>2800</v>
      </c>
      <c r="P10" s="4">
        <f t="shared" si="3"/>
        <v>3546.9700000000003</v>
      </c>
      <c r="Q10" s="3"/>
      <c r="R10" s="15"/>
    </row>
    <row r="11" spans="1:19" x14ac:dyDescent="0.25">
      <c r="A11" t="s">
        <v>8</v>
      </c>
      <c r="D11" s="4">
        <v>1692.79</v>
      </c>
      <c r="E11" s="4">
        <f t="shared" si="0"/>
        <v>20313.48</v>
      </c>
      <c r="F11" s="4">
        <v>5600</v>
      </c>
      <c r="G11" s="4">
        <f t="shared" si="1"/>
        <v>25913.48</v>
      </c>
      <c r="H11" s="3">
        <v>0.66</v>
      </c>
      <c r="I11" s="4">
        <f t="shared" si="2"/>
        <v>17102.896800000002</v>
      </c>
      <c r="J11" s="5"/>
      <c r="L11" t="s">
        <v>7</v>
      </c>
      <c r="N11" s="4">
        <f>(730.16*6)</f>
        <v>4380.96</v>
      </c>
      <c r="O11" s="4">
        <v>2800</v>
      </c>
      <c r="P11" s="4">
        <f t="shared" si="3"/>
        <v>7180.96</v>
      </c>
      <c r="Q11" s="3"/>
      <c r="R11" s="15"/>
    </row>
    <row r="12" spans="1:19" x14ac:dyDescent="0.25">
      <c r="A12" t="s">
        <v>9</v>
      </c>
      <c r="D12" s="4">
        <v>700.13</v>
      </c>
      <c r="E12" s="4">
        <f t="shared" si="0"/>
        <v>8401.56</v>
      </c>
      <c r="F12" s="4">
        <v>2800</v>
      </c>
      <c r="G12" s="4">
        <f t="shared" si="1"/>
        <v>11201.56</v>
      </c>
      <c r="H12" s="3">
        <v>0.78</v>
      </c>
      <c r="I12" s="4">
        <f t="shared" si="2"/>
        <v>8737.2168000000001</v>
      </c>
      <c r="J12" s="5"/>
      <c r="L12" t="s">
        <v>8</v>
      </c>
      <c r="N12" s="4">
        <f>(1428.04*6)+(1554.96*6)</f>
        <v>17898</v>
      </c>
      <c r="O12" s="4">
        <v>5600</v>
      </c>
      <c r="P12" s="4">
        <f t="shared" si="3"/>
        <v>23498</v>
      </c>
      <c r="Q12" s="3"/>
      <c r="R12" s="15"/>
    </row>
    <row r="13" spans="1:19" x14ac:dyDescent="0.25">
      <c r="A13" t="s">
        <v>57</v>
      </c>
      <c r="D13" s="4"/>
      <c r="E13" s="4"/>
      <c r="F13" s="4"/>
      <c r="G13" s="4">
        <v>4494.8</v>
      </c>
      <c r="H13" s="3">
        <v>0.78</v>
      </c>
      <c r="I13" s="4">
        <f t="shared" ref="I13" si="4">G13*H13</f>
        <v>3505.9440000000004</v>
      </c>
      <c r="L13" t="s">
        <v>9</v>
      </c>
      <c r="N13" s="4">
        <f>(1949.22*6)+(2114.25*6)</f>
        <v>24380.82</v>
      </c>
      <c r="O13" s="4">
        <v>5600</v>
      </c>
      <c r="P13" s="4">
        <f t="shared" si="3"/>
        <v>29980.82</v>
      </c>
      <c r="Q13" s="3"/>
      <c r="R13" s="15"/>
    </row>
    <row r="14" spans="1:19" x14ac:dyDescent="0.25">
      <c r="D14" s="4">
        <f>SUM(D4:D13)</f>
        <v>11127.089999999998</v>
      </c>
      <c r="E14" s="4">
        <f t="shared" ref="E14:G14" si="5">SUM(E4:E13)</f>
        <v>133525.08000000002</v>
      </c>
      <c r="F14" s="4">
        <f t="shared" si="5"/>
        <v>42000</v>
      </c>
      <c r="G14" s="4">
        <f t="shared" si="5"/>
        <v>180019.88</v>
      </c>
      <c r="I14" s="5">
        <f>SUM(I4:I13)</f>
        <v>122632.3704</v>
      </c>
      <c r="J14" s="8">
        <f>I14-G14</f>
        <v>-57387.509600000005</v>
      </c>
      <c r="L14" t="s">
        <v>68</v>
      </c>
      <c r="N14" s="4">
        <f>655.49*5</f>
        <v>3277.45</v>
      </c>
      <c r="O14" s="4">
        <v>2800</v>
      </c>
      <c r="P14" s="4">
        <f t="shared" si="3"/>
        <v>6077.45</v>
      </c>
      <c r="Q14" s="3"/>
      <c r="R14" s="15"/>
    </row>
    <row r="15" spans="1:19" x14ac:dyDescent="0.25">
      <c r="N15" s="4"/>
      <c r="O15" s="4"/>
      <c r="P15" s="4"/>
    </row>
    <row r="16" spans="1:19" x14ac:dyDescent="0.25">
      <c r="A16" t="s">
        <v>69</v>
      </c>
      <c r="G16" s="5">
        <f>G14-P16</f>
        <v>11415.169999999984</v>
      </c>
      <c r="N16" s="4">
        <f>SUM(N4:N15)</f>
        <v>121004.71</v>
      </c>
      <c r="O16" s="4">
        <f>SUM(O4:O15)</f>
        <v>47600</v>
      </c>
      <c r="P16" s="4">
        <f>SUM(N16:O16)</f>
        <v>168604.71000000002</v>
      </c>
      <c r="R16" s="15"/>
      <c r="S16" s="15"/>
    </row>
    <row r="17" spans="1:7" x14ac:dyDescent="0.25">
      <c r="A17" t="s">
        <v>71</v>
      </c>
      <c r="G17" s="5">
        <f>J14</f>
        <v>-57387.509600000005</v>
      </c>
    </row>
    <row r="18" spans="1:7" x14ac:dyDescent="0.25">
      <c r="A18" t="s">
        <v>70</v>
      </c>
      <c r="G18" s="5">
        <f>G16+G17</f>
        <v>-45972.339600000021</v>
      </c>
    </row>
    <row r="21" spans="1:7" ht="51.75" x14ac:dyDescent="0.25">
      <c r="A21" s="1" t="s">
        <v>0</v>
      </c>
      <c r="D21" s="2" t="s">
        <v>59</v>
      </c>
      <c r="E21" s="2" t="s">
        <v>60</v>
      </c>
      <c r="F21" s="2" t="s">
        <v>41</v>
      </c>
      <c r="G21" s="2" t="s">
        <v>56</v>
      </c>
    </row>
    <row r="22" spans="1:7" x14ac:dyDescent="0.25">
      <c r="A22" t="s">
        <v>1</v>
      </c>
      <c r="D22" s="4">
        <f>(11839.03/12)*6</f>
        <v>5919.5150000000003</v>
      </c>
      <c r="E22" s="4">
        <f>(11768.74/12)*6</f>
        <v>5884.37</v>
      </c>
      <c r="F22" s="4">
        <f>'21 Retirement'!P3</f>
        <v>15499.29</v>
      </c>
    </row>
    <row r="23" spans="1:7" x14ac:dyDescent="0.25">
      <c r="A23" t="s">
        <v>2</v>
      </c>
      <c r="D23" s="4">
        <f>(13173.16/12)*6</f>
        <v>6586.58</v>
      </c>
      <c r="E23" s="4">
        <f>(13094.95/12)*6</f>
        <v>6547.4750000000004</v>
      </c>
      <c r="F23" s="4">
        <f>'21 Retirement'!P4</f>
        <v>11649.54</v>
      </c>
    </row>
    <row r="24" spans="1:7" x14ac:dyDescent="0.25">
      <c r="A24" t="s">
        <v>3</v>
      </c>
      <c r="D24" s="4">
        <f>(9809.8/12)*6</f>
        <v>4904.8999999999996</v>
      </c>
      <c r="E24" s="4">
        <f>(9751.56/12)*6</f>
        <v>4875.78</v>
      </c>
      <c r="F24" s="4">
        <f>'21 Retirement'!P5</f>
        <v>11460.739999999998</v>
      </c>
    </row>
    <row r="25" spans="1:7" x14ac:dyDescent="0.25">
      <c r="A25" t="s">
        <v>4</v>
      </c>
      <c r="D25" s="4">
        <f>(8968.96/12)*6</f>
        <v>4484.4799999999996</v>
      </c>
      <c r="E25" s="4">
        <f>(8915.71/12)*6</f>
        <v>4457.8549999999996</v>
      </c>
      <c r="F25" s="4">
        <f>'21 Retirement'!P6</f>
        <v>8253.3099999999977</v>
      </c>
    </row>
    <row r="26" spans="1:7" x14ac:dyDescent="0.25">
      <c r="A26" t="s">
        <v>5</v>
      </c>
      <c r="D26" s="4">
        <f>(6726.72/12)*6</f>
        <v>3363.3600000000006</v>
      </c>
      <c r="E26" s="4">
        <f>(6686.78/12)*6</f>
        <v>3343.3900000000003</v>
      </c>
      <c r="F26" s="4">
        <f>'21 Retirement'!P7</f>
        <v>7924.4899999999989</v>
      </c>
    </row>
    <row r="27" spans="1:7" x14ac:dyDescent="0.25">
      <c r="A27" t="s">
        <v>6</v>
      </c>
      <c r="D27" s="4">
        <f>(6726.72/12)*6</f>
        <v>3363.3600000000006</v>
      </c>
      <c r="E27" s="4">
        <f>(6686.78/12)*6</f>
        <v>3343.3900000000003</v>
      </c>
      <c r="F27" s="4">
        <f>'21 Retirement'!P8</f>
        <v>5577.09</v>
      </c>
    </row>
    <row r="28" spans="1:7" x14ac:dyDescent="0.25">
      <c r="A28" t="s">
        <v>54</v>
      </c>
      <c r="D28" s="4"/>
      <c r="E28" s="4"/>
      <c r="F28" s="4">
        <f>'21 Retirement'!P9</f>
        <v>1203.05</v>
      </c>
    </row>
    <row r="29" spans="1:7" x14ac:dyDescent="0.25">
      <c r="A29" t="s">
        <v>7</v>
      </c>
      <c r="D29" s="4">
        <f>(11771.76/12)*6</f>
        <v>5885.88</v>
      </c>
      <c r="E29" s="4">
        <f>(11701.87/12)*6</f>
        <v>5850.9350000000004</v>
      </c>
      <c r="F29" s="4">
        <f>'21 Retirement'!P10</f>
        <v>10757.74</v>
      </c>
    </row>
    <row r="30" spans="1:7" x14ac:dyDescent="0.25">
      <c r="A30" t="s">
        <v>8</v>
      </c>
      <c r="D30" s="4">
        <f>(9378.17/12)*6</f>
        <v>4689.085</v>
      </c>
      <c r="E30" s="4">
        <f>(9322.49/12)*6</f>
        <v>4661.2449999999999</v>
      </c>
      <c r="F30" s="4">
        <f>'21 Retirement'!P11</f>
        <v>8029.9800000000005</v>
      </c>
    </row>
    <row r="31" spans="1:7" x14ac:dyDescent="0.25">
      <c r="A31" t="s">
        <v>9</v>
      </c>
      <c r="D31" s="4">
        <f>(7567.56/12)*6</f>
        <v>3783.7799999999997</v>
      </c>
      <c r="E31" s="4">
        <f>(7522.63/12)*6</f>
        <v>3761.3150000000005</v>
      </c>
      <c r="F31" s="4">
        <f>'21 Retirement'!P12</f>
        <v>1823.26</v>
      </c>
    </row>
    <row r="32" spans="1:7" x14ac:dyDescent="0.25">
      <c r="A32" t="s">
        <v>40</v>
      </c>
      <c r="D32" s="9">
        <f>1157.63+1114.24+1148.09+1110.77+1549.87</f>
        <v>6080.5999999999995</v>
      </c>
      <c r="E32" s="9"/>
      <c r="F32" s="9">
        <f>'21 Retirement'!P13</f>
        <v>14429.36</v>
      </c>
    </row>
    <row r="33" spans="4:7" x14ac:dyDescent="0.25">
      <c r="D33" s="4">
        <f>SUM(D22:D32)</f>
        <v>49061.54</v>
      </c>
      <c r="E33" s="4">
        <f>SUM(E22:E32)</f>
        <v>42725.755000000005</v>
      </c>
      <c r="F33" s="4">
        <f>SUM(F22:F32)</f>
        <v>96607.849999999991</v>
      </c>
      <c r="G33" s="5">
        <f>(D33+E33)-F33</f>
        <v>-4820.5549999999785</v>
      </c>
    </row>
  </sheetData>
  <pageMargins left="0.25" right="0.25" top="0.75" bottom="0.75" header="0.3" footer="0.3"/>
  <pageSetup scale="90" orientation="landscape" horizontalDpi="0" verticalDpi="0" r:id="rId1"/>
  <headerFooter>
    <oddHeader>&amp;RCase No. 2022-00404</oddHeader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30082-3B13-4362-82F2-4E31F2FC16D1}">
  <dimension ref="A1:P15"/>
  <sheetViews>
    <sheetView workbookViewId="0">
      <selection activeCell="A2" sqref="A2"/>
    </sheetView>
  </sheetViews>
  <sheetFormatPr defaultRowHeight="15" x14ac:dyDescent="0.25"/>
  <cols>
    <col min="2" max="2" width="12.28515625" customWidth="1"/>
  </cols>
  <sheetData>
    <row r="1" spans="1:16" x14ac:dyDescent="0.25">
      <c r="A1" t="s">
        <v>58</v>
      </c>
    </row>
    <row r="2" spans="1:16" x14ac:dyDescent="0.25"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P2" t="s">
        <v>55</v>
      </c>
    </row>
    <row r="3" spans="1:16" x14ac:dyDescent="0.25">
      <c r="A3" t="s">
        <v>1</v>
      </c>
      <c r="C3">
        <v>1132.45</v>
      </c>
      <c r="D3">
        <v>1068.3900000000001</v>
      </c>
      <c r="E3">
        <v>1633.42</v>
      </c>
      <c r="F3">
        <v>1081.73</v>
      </c>
      <c r="G3">
        <v>1066.72</v>
      </c>
      <c r="H3">
        <f>1482.01+591.7</f>
        <v>2073.71</v>
      </c>
      <c r="I3">
        <v>1023.36</v>
      </c>
      <c r="J3">
        <v>1534.74</v>
      </c>
      <c r="K3">
        <v>1020.73</v>
      </c>
      <c r="L3">
        <v>1014.53</v>
      </c>
      <c r="M3">
        <v>1212.97</v>
      </c>
      <c r="N3">
        <v>1636.54</v>
      </c>
      <c r="P3">
        <f>SUM(C3:N3)</f>
        <v>15499.29</v>
      </c>
    </row>
    <row r="4" spans="1:16" x14ac:dyDescent="0.25">
      <c r="A4" t="s">
        <v>2</v>
      </c>
      <c r="C4">
        <v>812.55</v>
      </c>
      <c r="D4">
        <v>797.05</v>
      </c>
      <c r="E4">
        <v>1145.2</v>
      </c>
      <c r="F4">
        <v>784.07</v>
      </c>
      <c r="G4">
        <v>767.32</v>
      </c>
      <c r="H4">
        <v>790.2</v>
      </c>
      <c r="I4">
        <v>971.05</v>
      </c>
      <c r="J4">
        <v>1361.81</v>
      </c>
      <c r="K4">
        <v>952.28</v>
      </c>
      <c r="L4">
        <v>867.42</v>
      </c>
      <c r="M4">
        <v>1077.67</v>
      </c>
      <c r="N4">
        <v>1322.92</v>
      </c>
      <c r="P4">
        <f t="shared" ref="P4:P13" si="0">SUM(C4:N4)</f>
        <v>11649.54</v>
      </c>
    </row>
    <row r="5" spans="1:16" x14ac:dyDescent="0.25">
      <c r="A5" t="s">
        <v>3</v>
      </c>
      <c r="C5">
        <v>850.26</v>
      </c>
      <c r="D5">
        <v>938.52</v>
      </c>
      <c r="E5">
        <v>1502.97</v>
      </c>
      <c r="F5">
        <v>943.09</v>
      </c>
      <c r="G5">
        <v>883.6</v>
      </c>
      <c r="H5">
        <v>934.79</v>
      </c>
      <c r="I5">
        <v>735.74</v>
      </c>
      <c r="J5">
        <v>1083.3900000000001</v>
      </c>
      <c r="K5">
        <v>749.21</v>
      </c>
      <c r="L5">
        <v>755.46</v>
      </c>
      <c r="M5">
        <v>925.4</v>
      </c>
      <c r="N5">
        <v>1158.31</v>
      </c>
      <c r="P5">
        <f t="shared" si="0"/>
        <v>11460.739999999998</v>
      </c>
    </row>
    <row r="6" spans="1:16" x14ac:dyDescent="0.25">
      <c r="A6" t="s">
        <v>4</v>
      </c>
      <c r="C6">
        <v>676.99</v>
      </c>
      <c r="D6">
        <v>629.41</v>
      </c>
      <c r="E6">
        <v>1037.47</v>
      </c>
      <c r="F6">
        <v>631.82000000000005</v>
      </c>
      <c r="G6">
        <v>683.3</v>
      </c>
      <c r="H6">
        <v>701.11</v>
      </c>
      <c r="I6">
        <v>425.27</v>
      </c>
      <c r="J6">
        <v>877.22</v>
      </c>
      <c r="K6">
        <v>590.74</v>
      </c>
      <c r="L6">
        <v>558.94000000000005</v>
      </c>
      <c r="M6">
        <v>641.16</v>
      </c>
      <c r="N6">
        <v>799.88</v>
      </c>
      <c r="P6">
        <f t="shared" si="0"/>
        <v>8253.3099999999977</v>
      </c>
    </row>
    <row r="7" spans="1:16" x14ac:dyDescent="0.25">
      <c r="A7" t="s">
        <v>5</v>
      </c>
      <c r="C7">
        <v>556.05999999999995</v>
      </c>
      <c r="D7">
        <v>534.30999999999995</v>
      </c>
      <c r="E7">
        <v>229.53</v>
      </c>
      <c r="F7">
        <v>648.66</v>
      </c>
      <c r="G7">
        <v>597.11</v>
      </c>
      <c r="H7">
        <v>248.3</v>
      </c>
      <c r="I7">
        <v>668.02</v>
      </c>
      <c r="J7">
        <v>1099.83</v>
      </c>
      <c r="K7">
        <v>718.81</v>
      </c>
      <c r="L7">
        <v>697.13</v>
      </c>
      <c r="M7">
        <v>896.87</v>
      </c>
      <c r="N7">
        <v>1029.8599999999999</v>
      </c>
      <c r="P7">
        <f t="shared" si="0"/>
        <v>7924.4899999999989</v>
      </c>
    </row>
    <row r="8" spans="1:16" x14ac:dyDescent="0.25">
      <c r="A8" t="s">
        <v>6</v>
      </c>
      <c r="C8">
        <v>338.06</v>
      </c>
      <c r="E8">
        <v>832.54</v>
      </c>
      <c r="F8">
        <v>575.58000000000004</v>
      </c>
      <c r="G8">
        <v>494.19</v>
      </c>
      <c r="H8">
        <v>668.6</v>
      </c>
      <c r="I8">
        <v>540.62</v>
      </c>
      <c r="J8">
        <v>827.9</v>
      </c>
      <c r="K8">
        <v>594.17999999999995</v>
      </c>
      <c r="L8">
        <v>705.42</v>
      </c>
      <c r="P8">
        <f t="shared" si="0"/>
        <v>5577.09</v>
      </c>
    </row>
    <row r="9" spans="1:16" x14ac:dyDescent="0.25">
      <c r="A9" t="s">
        <v>54</v>
      </c>
      <c r="E9">
        <v>181.89</v>
      </c>
      <c r="F9">
        <v>516.38</v>
      </c>
      <c r="H9">
        <v>504.78</v>
      </c>
      <c r="P9">
        <f t="shared" si="0"/>
        <v>1203.05</v>
      </c>
    </row>
    <row r="10" spans="1:16" x14ac:dyDescent="0.25">
      <c r="A10" t="s">
        <v>7</v>
      </c>
      <c r="C10">
        <v>794.94</v>
      </c>
      <c r="D10">
        <v>832.91</v>
      </c>
      <c r="E10">
        <v>1205.5899999999999</v>
      </c>
      <c r="F10">
        <v>804.57</v>
      </c>
      <c r="G10">
        <v>804.57</v>
      </c>
      <c r="H10">
        <v>1172.9100000000001</v>
      </c>
      <c r="I10">
        <v>704.21</v>
      </c>
      <c r="J10">
        <v>1062.8800000000001</v>
      </c>
      <c r="K10">
        <v>719.52</v>
      </c>
      <c r="L10">
        <v>705.31</v>
      </c>
      <c r="M10">
        <v>871.05</v>
      </c>
      <c r="N10">
        <v>1079.28</v>
      </c>
      <c r="P10">
        <f t="shared" si="0"/>
        <v>10757.74</v>
      </c>
    </row>
    <row r="11" spans="1:16" x14ac:dyDescent="0.25">
      <c r="A11" t="s">
        <v>8</v>
      </c>
      <c r="C11">
        <v>624.63</v>
      </c>
      <c r="D11">
        <v>637.48</v>
      </c>
      <c r="E11">
        <v>937.19</v>
      </c>
      <c r="F11">
        <v>642.36</v>
      </c>
      <c r="G11">
        <v>636.5</v>
      </c>
      <c r="H11">
        <v>618.92999999999995</v>
      </c>
      <c r="I11">
        <v>517.44000000000005</v>
      </c>
      <c r="J11">
        <v>776.16</v>
      </c>
      <c r="K11">
        <v>560.55999999999995</v>
      </c>
      <c r="L11">
        <v>546.54999999999995</v>
      </c>
      <c r="M11">
        <v>693.09</v>
      </c>
      <c r="N11">
        <v>839.09</v>
      </c>
      <c r="P11">
        <f t="shared" si="0"/>
        <v>8029.9800000000005</v>
      </c>
    </row>
    <row r="12" spans="1:16" x14ac:dyDescent="0.25">
      <c r="A12" t="s">
        <v>9</v>
      </c>
      <c r="E12">
        <v>461.95</v>
      </c>
      <c r="F12">
        <v>453.29</v>
      </c>
      <c r="G12">
        <v>448.96</v>
      </c>
      <c r="H12">
        <v>459.06</v>
      </c>
      <c r="P12">
        <f t="shared" si="0"/>
        <v>1823.26</v>
      </c>
    </row>
    <row r="13" spans="1:16" x14ac:dyDescent="0.25">
      <c r="A13" t="s">
        <v>40</v>
      </c>
      <c r="C13">
        <v>981.02</v>
      </c>
      <c r="D13">
        <v>1006.6</v>
      </c>
      <c r="E13">
        <v>1506.48</v>
      </c>
      <c r="F13">
        <v>986.08</v>
      </c>
      <c r="G13">
        <v>1013.43</v>
      </c>
      <c r="H13">
        <v>1074.21</v>
      </c>
      <c r="I13">
        <v>1136.8599999999999</v>
      </c>
      <c r="J13">
        <v>1644.03</v>
      </c>
      <c r="K13">
        <v>1089.21</v>
      </c>
      <c r="L13">
        <v>1089.21</v>
      </c>
      <c r="M13">
        <v>1268.4100000000001</v>
      </c>
      <c r="N13">
        <v>1633.82</v>
      </c>
      <c r="P13">
        <f t="shared" si="0"/>
        <v>14429.36</v>
      </c>
    </row>
    <row r="15" spans="1:16" x14ac:dyDescent="0.25">
      <c r="C15">
        <f>SUM(C3:C14)</f>
        <v>6766.9599999999991</v>
      </c>
      <c r="D15">
        <f>SUM(D3:D14)</f>
        <v>6444.67</v>
      </c>
      <c r="E15">
        <f>SUM(E3:E14)</f>
        <v>10674.230000000001</v>
      </c>
      <c r="F15">
        <f t="shared" ref="F15:N15" si="1">SUM(F3:F14)</f>
        <v>8067.63</v>
      </c>
      <c r="G15">
        <f t="shared" si="1"/>
        <v>7395.7</v>
      </c>
      <c r="H15">
        <f t="shared" si="1"/>
        <v>9246.6</v>
      </c>
      <c r="I15">
        <f t="shared" si="1"/>
        <v>6722.5699999999988</v>
      </c>
      <c r="J15">
        <f t="shared" si="1"/>
        <v>10267.960000000001</v>
      </c>
      <c r="K15">
        <f t="shared" si="1"/>
        <v>6995.2399999999989</v>
      </c>
      <c r="L15">
        <f t="shared" si="1"/>
        <v>6939.9699999999993</v>
      </c>
      <c r="M15">
        <f t="shared" si="1"/>
        <v>7586.6200000000008</v>
      </c>
      <c r="N15">
        <f t="shared" si="1"/>
        <v>9499.7000000000007</v>
      </c>
      <c r="P15">
        <f>SUM(P3:P14)</f>
        <v>96607.849999999991</v>
      </c>
    </row>
  </sheetData>
  <phoneticPr fontId="5" type="noConversion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3A63F-E316-4557-87AE-896E369F290C}">
  <dimension ref="A1:M18"/>
  <sheetViews>
    <sheetView workbookViewId="0">
      <selection activeCell="A16" sqref="A16"/>
    </sheetView>
  </sheetViews>
  <sheetFormatPr defaultRowHeight="15" x14ac:dyDescent="0.25"/>
  <cols>
    <col min="1" max="1" width="15" bestFit="1" customWidth="1"/>
    <col min="2" max="2" width="12.5703125" bestFit="1" customWidth="1"/>
    <col min="4" max="4" width="15.85546875" bestFit="1" customWidth="1"/>
    <col min="6" max="6" width="13.42578125" bestFit="1" customWidth="1"/>
    <col min="8" max="8" width="11.28515625" bestFit="1" customWidth="1"/>
    <col min="13" max="13" width="11.5703125" bestFit="1" customWidth="1"/>
  </cols>
  <sheetData>
    <row r="1" spans="1:13" x14ac:dyDescent="0.25">
      <c r="A1" t="s">
        <v>65</v>
      </c>
    </row>
    <row r="2" spans="1:13" x14ac:dyDescent="0.25">
      <c r="B2" s="6" t="s">
        <v>66</v>
      </c>
      <c r="C2" s="6"/>
      <c r="D2" s="6" t="s">
        <v>63</v>
      </c>
      <c r="E2" s="6"/>
      <c r="F2" s="6" t="s">
        <v>64</v>
      </c>
      <c r="G2" s="6"/>
      <c r="H2" s="6" t="s">
        <v>38</v>
      </c>
    </row>
    <row r="3" spans="1:13" x14ac:dyDescent="0.25">
      <c r="A3" t="s">
        <v>61</v>
      </c>
      <c r="B3" s="10">
        <v>461013000</v>
      </c>
      <c r="D3" s="11">
        <f>(B3/1000)*1.595</f>
        <v>735315.73499999999</v>
      </c>
      <c r="F3" s="11">
        <f>(B3/1000)*1.678</f>
        <v>773579.81400000001</v>
      </c>
      <c r="H3" s="11">
        <f>F3-D3</f>
        <v>38264.079000000027</v>
      </c>
    </row>
    <row r="4" spans="1:13" x14ac:dyDescent="0.25">
      <c r="B4" s="10"/>
      <c r="D4" s="11"/>
      <c r="E4" s="14"/>
      <c r="F4" s="11"/>
      <c r="G4" s="14"/>
      <c r="H4" s="11"/>
    </row>
    <row r="5" spans="1:13" x14ac:dyDescent="0.25">
      <c r="A5" t="s">
        <v>62</v>
      </c>
      <c r="B5" s="10">
        <v>20686000</v>
      </c>
      <c r="C5" s="13"/>
      <c r="D5" s="11">
        <f>(B5/1000)*3.17</f>
        <v>65574.62</v>
      </c>
      <c r="F5" s="11">
        <f>(B5/1000)*3.4</f>
        <v>70332.399999999994</v>
      </c>
      <c r="H5" s="11">
        <f>F5-D5</f>
        <v>4757.7799999999988</v>
      </c>
    </row>
    <row r="6" spans="1:13" x14ac:dyDescent="0.25">
      <c r="B6" s="10"/>
    </row>
    <row r="7" spans="1:13" x14ac:dyDescent="0.25">
      <c r="A7" t="s">
        <v>73</v>
      </c>
      <c r="B7" s="10">
        <f>SUM(B3:B6)</f>
        <v>481699000</v>
      </c>
      <c r="D7" s="11">
        <f>SUM(D3:D6)</f>
        <v>800890.35499999998</v>
      </c>
      <c r="F7" s="11">
        <f>SUM(F3:F6)</f>
        <v>843912.21400000004</v>
      </c>
      <c r="H7" s="11">
        <f>F7-D7</f>
        <v>43021.859000000055</v>
      </c>
    </row>
    <row r="8" spans="1:13" x14ac:dyDescent="0.25">
      <c r="B8" s="10"/>
    </row>
    <row r="9" spans="1:13" x14ac:dyDescent="0.25">
      <c r="B9" s="10"/>
    </row>
    <row r="10" spans="1:13" x14ac:dyDescent="0.25">
      <c r="A10" t="s">
        <v>67</v>
      </c>
      <c r="B10" s="10"/>
      <c r="D10" s="12">
        <f>19054.48*12</f>
        <v>228653.76</v>
      </c>
      <c r="E10" s="12"/>
      <c r="F10" s="12">
        <f>18171.23*12</f>
        <v>218054.76</v>
      </c>
      <c r="G10" s="12"/>
      <c r="H10" s="12">
        <f>F10-D10</f>
        <v>-10599</v>
      </c>
    </row>
    <row r="11" spans="1:13" x14ac:dyDescent="0.25">
      <c r="B11" s="10"/>
    </row>
    <row r="12" spans="1:13" x14ac:dyDescent="0.25">
      <c r="A12" t="s">
        <v>74</v>
      </c>
      <c r="D12" s="11">
        <f>D10+D7</f>
        <v>1029544.115</v>
      </c>
      <c r="F12" s="11">
        <f>F10+F7</f>
        <v>1061966.9739999999</v>
      </c>
      <c r="H12" s="11">
        <f>F12-D12</f>
        <v>32422.858999999939</v>
      </c>
    </row>
    <row r="15" spans="1:13" x14ac:dyDescent="0.25">
      <c r="A15" t="s">
        <v>75</v>
      </c>
    </row>
    <row r="16" spans="1:13" x14ac:dyDescent="0.25">
      <c r="A16" s="13"/>
      <c r="B16" s="13"/>
      <c r="M16" s="11"/>
    </row>
    <row r="17" spans="2:13" x14ac:dyDescent="0.25">
      <c r="B17" s="13"/>
    </row>
    <row r="18" spans="2:13" x14ac:dyDescent="0.25">
      <c r="M18" s="11"/>
    </row>
  </sheetData>
  <pageMargins left="0.7" right="0.7" top="0.75" bottom="0.75" header="0.3" footer="0.3"/>
  <pageSetup orientation="landscape" horizontalDpi="0" verticalDpi="0" r:id="rId1"/>
  <headerFooter>
    <oddHeader>&amp;RCase No. 2022-00404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Salary</vt:lpstr>
      <vt:lpstr>Board Member Pay</vt:lpstr>
      <vt:lpstr>Benefits</vt:lpstr>
      <vt:lpstr>21 Retirement</vt:lpstr>
      <vt:lpstr>Purchase Water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HLN</dc:creator>
  <cp:lastModifiedBy>HLN</cp:lastModifiedBy>
  <cp:lastPrinted>2022-12-05T18:51:44Z</cp:lastPrinted>
  <dcterms:created xsi:type="dcterms:W3CDTF">2022-08-31T17:10:39Z</dcterms:created>
  <dcterms:modified xsi:type="dcterms:W3CDTF">2023-02-10T16:18:40Z</dcterms:modified>
</cp:coreProperties>
</file>