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N\Documents\Bath County WD\"/>
    </mc:Choice>
  </mc:AlternateContent>
  <xr:revisionPtr revIDLastSave="0" documentId="13_ncr:1_{F9A6AE09-5C37-47FC-AC43-50D9DED9FB2C}" xr6:coauthVersionLast="47" xr6:coauthVersionMax="47" xr10:uidLastSave="{00000000-0000-0000-0000-000000000000}"/>
  <bookViews>
    <workbookView xWindow="-120" yWindow="-120" windowWidth="20730" windowHeight="11160" activeTab="5" xr2:uid="{698DC659-3057-4217-9796-D118A82B2B21}"/>
  </bookViews>
  <sheets>
    <sheet name="Usage Totals" sheetId="9" r:id="rId1"/>
    <sheet name="Five Eights Inch Meters" sheetId="1" r:id="rId2"/>
    <sheet name="1 Inch Meters" sheetId="2" r:id="rId3"/>
    <sheet name="2 Inch Meter" sheetId="4" r:id="rId4"/>
    <sheet name="Wholesale" sheetId="7" r:id="rId5"/>
    <sheet name="Total 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7" l="1"/>
  <c r="E15" i="9"/>
  <c r="C15" i="9"/>
  <c r="E13" i="9"/>
  <c r="C13" i="9"/>
  <c r="E11" i="9"/>
  <c r="C11" i="9"/>
  <c r="C10" i="9"/>
  <c r="E10" i="9"/>
  <c r="E9" i="9"/>
  <c r="C9" i="9"/>
  <c r="G55" i="7"/>
  <c r="E47" i="7"/>
  <c r="E54" i="7" s="1"/>
  <c r="D47" i="7"/>
  <c r="D54" i="7" s="1"/>
  <c r="D56" i="7" s="1"/>
  <c r="F45" i="7"/>
  <c r="G45" i="7" s="1"/>
  <c r="G47" i="7" s="1"/>
  <c r="E30" i="7"/>
  <c r="E37" i="7" s="1"/>
  <c r="D30" i="7"/>
  <c r="D37" i="7" s="1"/>
  <c r="D39" i="7" s="1"/>
  <c r="F28" i="7"/>
  <c r="G28" i="7" s="1"/>
  <c r="G30" i="7" s="1"/>
  <c r="F12" i="4"/>
  <c r="E12" i="4"/>
  <c r="E11" i="4"/>
  <c r="D12" i="4"/>
  <c r="D11" i="4"/>
  <c r="H14" i="2"/>
  <c r="G14" i="2"/>
  <c r="G13" i="2"/>
  <c r="F14" i="2"/>
  <c r="F13" i="2"/>
  <c r="F12" i="2"/>
  <c r="E14" i="2"/>
  <c r="E13" i="2"/>
  <c r="E12" i="2"/>
  <c r="E11" i="2"/>
  <c r="D14" i="2"/>
  <c r="D13" i="2"/>
  <c r="D12" i="2"/>
  <c r="D11" i="2"/>
  <c r="E29" i="1"/>
  <c r="J18" i="1"/>
  <c r="E30" i="1"/>
  <c r="G30" i="1"/>
  <c r="K16" i="1"/>
  <c r="L15" i="1"/>
  <c r="J16" i="1"/>
  <c r="I15" i="1"/>
  <c r="J15" i="1"/>
  <c r="I16" i="1"/>
  <c r="G16" i="1"/>
  <c r="G15" i="1"/>
  <c r="G14" i="1"/>
  <c r="E16" i="1"/>
  <c r="E15" i="1"/>
  <c r="E14" i="1"/>
  <c r="E11" i="1"/>
  <c r="D16" i="1"/>
  <c r="D15" i="1"/>
  <c r="D14" i="1"/>
  <c r="D11" i="1"/>
  <c r="W24" i="9"/>
  <c r="Z24" i="9"/>
  <c r="Y24" i="9"/>
  <c r="Q55" i="9"/>
  <c r="P55" i="9"/>
  <c r="Z21" i="9"/>
  <c r="Y21" i="9"/>
  <c r="W22" i="9"/>
  <c r="U25" i="9"/>
  <c r="U24" i="9"/>
  <c r="N55" i="9"/>
  <c r="Q52" i="9"/>
  <c r="Q25" i="9"/>
  <c r="Q15" i="9"/>
  <c r="N53" i="9"/>
  <c r="E56" i="7" l="1"/>
  <c r="G54" i="7"/>
  <c r="G56" i="7" s="1"/>
  <c r="C9" i="8" s="1"/>
  <c r="F47" i="7"/>
  <c r="E39" i="7"/>
  <c r="G37" i="7"/>
  <c r="G39" i="7" s="1"/>
  <c r="F30" i="7"/>
  <c r="L56" i="9" l="1"/>
  <c r="L55" i="9"/>
  <c r="P52" i="9"/>
  <c r="P15" i="9"/>
  <c r="P25" i="9"/>
  <c r="H56" i="9"/>
  <c r="G56" i="9"/>
  <c r="H26" i="9"/>
  <c r="G26" i="9"/>
  <c r="H16" i="9"/>
  <c r="E13" i="1" s="1"/>
  <c r="G16" i="9"/>
  <c r="D13" i="1" s="1"/>
  <c r="G13" i="1" s="1"/>
  <c r="H11" i="9"/>
  <c r="G11" i="9"/>
  <c r="H8" i="9"/>
  <c r="G8" i="9"/>
  <c r="E59" i="9"/>
  <c r="C59" i="9"/>
  <c r="C60" i="9" s="1"/>
  <c r="E57" i="9"/>
  <c r="F16" i="1"/>
  <c r="F14" i="1"/>
  <c r="F11" i="1"/>
  <c r="H14" i="1"/>
  <c r="F13" i="1" l="1"/>
  <c r="H59" i="9"/>
  <c r="E12" i="1"/>
  <c r="G59" i="9"/>
  <c r="D12" i="1"/>
  <c r="H15" i="1"/>
  <c r="F15" i="1"/>
  <c r="H13" i="1"/>
  <c r="I14" i="1"/>
  <c r="H16" i="1"/>
  <c r="F12" i="1" l="1"/>
  <c r="G12" i="1" s="1"/>
  <c r="D18" i="1"/>
  <c r="D25" i="1" s="1"/>
  <c r="E18" i="1"/>
  <c r="F11" i="7"/>
  <c r="F13" i="7" s="1"/>
  <c r="E13" i="7"/>
  <c r="E20" i="7" s="1"/>
  <c r="D13" i="7"/>
  <c r="E14" i="4"/>
  <c r="D14" i="4"/>
  <c r="D21" i="4" s="1"/>
  <c r="G21" i="4" s="1"/>
  <c r="F11" i="4"/>
  <c r="H11" i="4" s="1"/>
  <c r="H13" i="2"/>
  <c r="F11" i="2"/>
  <c r="J11" i="2" s="1"/>
  <c r="E16" i="2"/>
  <c r="D16" i="2"/>
  <c r="D23" i="2" s="1"/>
  <c r="L11" i="1"/>
  <c r="L16" i="1" l="1"/>
  <c r="K18" i="1"/>
  <c r="G29" i="1" s="1"/>
  <c r="H18" i="1"/>
  <c r="E27" i="1" s="1"/>
  <c r="G27" i="1" s="1"/>
  <c r="I18" i="1"/>
  <c r="E28" i="1" s="1"/>
  <c r="G28" i="1" s="1"/>
  <c r="F18" i="1"/>
  <c r="E25" i="1" s="1"/>
  <c r="G25" i="1"/>
  <c r="D32" i="1"/>
  <c r="L12" i="1"/>
  <c r="D20" i="7"/>
  <c r="D22" i="7" s="1"/>
  <c r="G20" i="7"/>
  <c r="G22" i="7" s="1"/>
  <c r="E22" i="7"/>
  <c r="G11" i="7"/>
  <c r="G13" i="7" s="1"/>
  <c r="G12" i="4"/>
  <c r="G14" i="4" s="1"/>
  <c r="E22" i="4" s="1"/>
  <c r="G22" i="4" s="1"/>
  <c r="F14" i="4"/>
  <c r="E21" i="4" s="1"/>
  <c r="D24" i="4"/>
  <c r="D28" i="2"/>
  <c r="G23" i="2"/>
  <c r="J13" i="2"/>
  <c r="I14" i="2"/>
  <c r="I16" i="2" s="1"/>
  <c r="E26" i="2" s="1"/>
  <c r="G26" i="2" s="1"/>
  <c r="F16" i="2"/>
  <c r="E23" i="2" s="1"/>
  <c r="G12" i="2"/>
  <c r="G16" i="2" s="1"/>
  <c r="E24" i="2" s="1"/>
  <c r="G24" i="2" s="1"/>
  <c r="H16" i="2"/>
  <c r="E25" i="2" s="1"/>
  <c r="G25" i="2" s="1"/>
  <c r="L13" i="1"/>
  <c r="G18" i="1"/>
  <c r="E26" i="1" s="1"/>
  <c r="G26" i="1" s="1"/>
  <c r="H12" i="4" l="1"/>
  <c r="L14" i="1"/>
  <c r="L18" i="1" s="1"/>
  <c r="G32" i="1"/>
  <c r="E32" i="1"/>
  <c r="G24" i="4"/>
  <c r="C5" i="8" s="1"/>
  <c r="E24" i="4"/>
  <c r="J12" i="2"/>
  <c r="E28" i="2"/>
  <c r="G28" i="2"/>
  <c r="C4" i="8" s="1"/>
  <c r="J14" i="2"/>
  <c r="H14" i="4" l="1"/>
  <c r="C3" i="8"/>
  <c r="J16" i="2"/>
  <c r="C7" i="8" l="1"/>
  <c r="C1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HLN</author>
  </authors>
  <commentList>
    <comment ref="D11" authorId="0" shapeId="0" xr:uid="{325D10A3-9945-4988-B288-680AC0A28586}">
      <text>
        <r>
          <rPr>
            <b/>
            <sz val="9"/>
            <color indexed="81"/>
            <rFont val="Tahoma"/>
            <family val="2"/>
          </rPr>
          <t>HLN:</t>
        </r>
        <r>
          <rPr>
            <sz val="9"/>
            <color indexed="81"/>
            <rFont val="Tahoma"/>
            <family val="2"/>
          </rPr>
          <t xml:space="preserve">
City of Edmonton</t>
        </r>
      </text>
    </comment>
    <comment ref="D28" authorId="0" shapeId="0" xr:uid="{4FC79DC8-27EE-4373-9287-ECAF5407DF65}">
      <text>
        <r>
          <rPr>
            <b/>
            <sz val="9"/>
            <color indexed="81"/>
            <rFont val="Tahoma"/>
            <family val="2"/>
          </rPr>
          <t>HLN:</t>
        </r>
        <r>
          <rPr>
            <sz val="9"/>
            <color indexed="81"/>
            <rFont val="Tahoma"/>
            <family val="2"/>
          </rPr>
          <t xml:space="preserve">
City of Edmonton</t>
        </r>
      </text>
    </comment>
    <comment ref="D45" authorId="0" shapeId="0" xr:uid="{F66C9D58-882F-4393-B140-118F445FA20A}">
      <text>
        <r>
          <rPr>
            <b/>
            <sz val="9"/>
            <color indexed="81"/>
            <rFont val="Tahoma"/>
            <family val="2"/>
          </rPr>
          <t>HLN:</t>
        </r>
        <r>
          <rPr>
            <sz val="9"/>
            <color indexed="81"/>
            <rFont val="Tahoma"/>
            <family val="2"/>
          </rPr>
          <t xml:space="preserve">
City of Edmonton</t>
        </r>
      </text>
    </comment>
  </commentList>
</comments>
</file>

<file path=xl/sharedStrings.xml><?xml version="1.0" encoding="utf-8"?>
<sst xmlns="http://schemas.openxmlformats.org/spreadsheetml/2006/main" count="290" uniqueCount="111">
  <si>
    <t>Revenue from Present Rates</t>
  </si>
  <si>
    <t>USAGE TABLE</t>
  </si>
  <si>
    <t>Usage by Rate Increment</t>
  </si>
  <si>
    <t>Class:</t>
  </si>
  <si>
    <t>Bills</t>
  </si>
  <si>
    <t xml:space="preserve">Gallons </t>
  </si>
  <si>
    <t>Total</t>
  </si>
  <si>
    <t>REVENUE TABLE</t>
  </si>
  <si>
    <t>Revenue by Rate Increment</t>
  </si>
  <si>
    <t>Gallons</t>
  </si>
  <si>
    <t>Rates</t>
  </si>
  <si>
    <t>Revenue</t>
  </si>
  <si>
    <t>Totals</t>
  </si>
  <si>
    <t>1 inch meter - residential, commercial, agricultural</t>
  </si>
  <si>
    <t>Next 5,000 Gallons</t>
  </si>
  <si>
    <t>Next 5,000</t>
  </si>
  <si>
    <t>2 inch meter - residential, commercial, agricultural</t>
  </si>
  <si>
    <t>Per 1,000 Gallons</t>
  </si>
  <si>
    <t>5/8 Inch</t>
  </si>
  <si>
    <t>1 Inch</t>
  </si>
  <si>
    <t>2 Inch</t>
  </si>
  <si>
    <t>Wholesale</t>
  </si>
  <si>
    <t>Revenue from Rates (Column 5)</t>
  </si>
  <si>
    <t>Per 1,000 gallons</t>
  </si>
  <si>
    <t>subtotal</t>
  </si>
  <si>
    <t>total</t>
  </si>
  <si>
    <t>5/8 inch meter &amp; 3/4 inch meter- residential, commercial, agricultural</t>
  </si>
  <si>
    <t>REVENUE TABLE - Present Rates</t>
  </si>
  <si>
    <t>Test Period from 01/01/2021 to 12/31/2021</t>
  </si>
  <si>
    <t>First 2,000 Minimum Bill</t>
  </si>
  <si>
    <t>Next 3,000 Gallons</t>
  </si>
  <si>
    <t>Next 10,000 Gallons</t>
  </si>
  <si>
    <t>Next 30,000 Gallons</t>
  </si>
  <si>
    <t>Over 50,000 Gallons</t>
  </si>
  <si>
    <t>First 2,000</t>
  </si>
  <si>
    <t>Next 3,000</t>
  </si>
  <si>
    <t xml:space="preserve">Next 10,000 </t>
  </si>
  <si>
    <t>Next 30,000</t>
  </si>
  <si>
    <t>Over 50,000</t>
  </si>
  <si>
    <t>Usage Breakdown by Units</t>
  </si>
  <si>
    <t>Meter Size - 5/8 Inch</t>
  </si>
  <si>
    <t>Usage Range</t>
  </si>
  <si>
    <t>Srv Months</t>
  </si>
  <si>
    <t>Usage</t>
  </si>
  <si>
    <t>0-1000</t>
  </si>
  <si>
    <t>1000-2000</t>
  </si>
  <si>
    <t>2000-3000</t>
  </si>
  <si>
    <t>Negative</t>
  </si>
  <si>
    <t>3000-4000</t>
  </si>
  <si>
    <t>4000-5000</t>
  </si>
  <si>
    <t>5000-6000</t>
  </si>
  <si>
    <t>6000-7000</t>
  </si>
  <si>
    <t>7000-8000</t>
  </si>
  <si>
    <t>8000-9000</t>
  </si>
  <si>
    <t>9000-10000</t>
  </si>
  <si>
    <t>10000-11000</t>
  </si>
  <si>
    <t>11000-12000</t>
  </si>
  <si>
    <t>12000-13000</t>
  </si>
  <si>
    <t>13000-14000</t>
  </si>
  <si>
    <t>14000-15000</t>
  </si>
  <si>
    <t>15000-16000</t>
  </si>
  <si>
    <t>16000-17000</t>
  </si>
  <si>
    <t>17000-18000</t>
  </si>
  <si>
    <t>18000-19000</t>
  </si>
  <si>
    <t>19000-20000</t>
  </si>
  <si>
    <t>20000-21000</t>
  </si>
  <si>
    <t>21000-22000</t>
  </si>
  <si>
    <t>22000-23000</t>
  </si>
  <si>
    <t>23000-24000</t>
  </si>
  <si>
    <t>24000-25000</t>
  </si>
  <si>
    <t>25000-26000</t>
  </si>
  <si>
    <t>26000-27000</t>
  </si>
  <si>
    <t>27000-28000</t>
  </si>
  <si>
    <t>28000-29000</t>
  </si>
  <si>
    <t>29000-30000</t>
  </si>
  <si>
    <t>30000-31000</t>
  </si>
  <si>
    <t>31000-32000</t>
  </si>
  <si>
    <t>32000-33000</t>
  </si>
  <si>
    <t>33000-34000</t>
  </si>
  <si>
    <t>34000-35000</t>
  </si>
  <si>
    <t>35000-36000</t>
  </si>
  <si>
    <t>36000-37000</t>
  </si>
  <si>
    <t>37000-38000</t>
  </si>
  <si>
    <t>38000-39000</t>
  </si>
  <si>
    <t>39000-40000</t>
  </si>
  <si>
    <t>40000-41000</t>
  </si>
  <si>
    <t>41000-42000</t>
  </si>
  <si>
    <t>42000-43000</t>
  </si>
  <si>
    <t>43000-44000</t>
  </si>
  <si>
    <t>44000-45000</t>
  </si>
  <si>
    <t>45000-46000</t>
  </si>
  <si>
    <t>46000-47000</t>
  </si>
  <si>
    <t>47000-48000</t>
  </si>
  <si>
    <t>48000-49000</t>
  </si>
  <si>
    <t>49000-50000</t>
  </si>
  <si>
    <t>50000-51000</t>
  </si>
  <si>
    <t>50000 &amp; Over</t>
  </si>
  <si>
    <t>Usage Block Totals</t>
  </si>
  <si>
    <t>No. Cust</t>
  </si>
  <si>
    <t>Meter Size - 1 Inch</t>
  </si>
  <si>
    <t>Meter Size - 2 Inch</t>
  </si>
  <si>
    <t>50000 &amp; over</t>
  </si>
  <si>
    <t>First 10,000 Minimum Bill</t>
  </si>
  <si>
    <t>First 10,000</t>
  </si>
  <si>
    <t>Next 10,000</t>
  </si>
  <si>
    <t>First 50,000 Minimum Bill</t>
  </si>
  <si>
    <t>First 50,000</t>
  </si>
  <si>
    <t>Wholesale Master Meter - Sharpsburg</t>
  </si>
  <si>
    <t>Wholesale Master Meter - Frenchburg</t>
  </si>
  <si>
    <t>Wholesale Master Meter - Owingsville</t>
  </si>
  <si>
    <t>Debt Service Payment,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</si>
</sst>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2" applyFont="1"/>
    <xf numFmtId="0" fontId="2" fillId="0" borderId="0" xfId="0" applyFont="1"/>
    <xf numFmtId="44" fontId="0" fillId="0" borderId="0" xfId="0" applyNumberFormat="1"/>
    <xf numFmtId="44" fontId="0" fillId="0" borderId="1" xfId="0" applyNumberFormat="1" applyBorder="1"/>
    <xf numFmtId="164" fontId="0" fillId="0" borderId="0" xfId="1" applyNumberFormat="1" applyFont="1"/>
    <xf numFmtId="10" fontId="0" fillId="0" borderId="0" xfId="3" applyNumberFormat="1" applyFont="1"/>
    <xf numFmtId="165" fontId="0" fillId="0" borderId="0" xfId="2" applyNumberFormat="1" applyFont="1"/>
    <xf numFmtId="0" fontId="0" fillId="0" borderId="0" xfId="0" applyBorder="1"/>
    <xf numFmtId="44" fontId="0" fillId="0" borderId="0" xfId="2" applyFont="1" applyBorder="1"/>
    <xf numFmtId="44" fontId="0" fillId="0" borderId="0" xfId="0" applyNumberFormat="1" applyBorder="1"/>
    <xf numFmtId="44" fontId="0" fillId="0" borderId="1" xfId="2" applyFont="1" applyBorder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0" fillId="0" borderId="1" xfId="0" applyBorder="1"/>
    <xf numFmtId="164" fontId="0" fillId="0" borderId="2" xfId="1" applyNumberFormat="1" applyFont="1" applyBorder="1"/>
    <xf numFmtId="0" fontId="0" fillId="0" borderId="2" xfId="0" applyBorder="1"/>
    <xf numFmtId="44" fontId="0" fillId="0" borderId="2" xfId="2" applyFont="1" applyBorder="1"/>
    <xf numFmtId="164" fontId="0" fillId="0" borderId="0" xfId="0" applyNumberFormat="1"/>
    <xf numFmtId="164" fontId="0" fillId="0" borderId="0" xfId="1" applyNumberFormat="1" applyFont="1" applyBorder="1"/>
    <xf numFmtId="0" fontId="0" fillId="0" borderId="0" xfId="0" applyFill="1" applyBorder="1"/>
    <xf numFmtId="0" fontId="0" fillId="0" borderId="1" xfId="0" applyFill="1" applyBorder="1"/>
    <xf numFmtId="1" fontId="0" fillId="0" borderId="0" xfId="0" applyNumberFormat="1"/>
    <xf numFmtId="0" fontId="0" fillId="2" borderId="0" xfId="0" applyFill="1"/>
    <xf numFmtId="0" fontId="2" fillId="2" borderId="0" xfId="0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24BBD-F281-4B45-9CF1-933752E30A5D}">
  <dimension ref="A1:AI134"/>
  <sheetViews>
    <sheetView workbookViewId="0">
      <selection activeCell="E16" sqref="E16"/>
    </sheetView>
  </sheetViews>
  <sheetFormatPr defaultRowHeight="15" x14ac:dyDescent="0.25"/>
  <cols>
    <col min="1" max="1" width="13.5703125" customWidth="1"/>
    <col min="5" max="5" width="12.42578125" customWidth="1"/>
    <col min="8" max="8" width="10" bestFit="1" customWidth="1"/>
    <col min="10" max="10" width="17.42578125" bestFit="1" customWidth="1"/>
  </cols>
  <sheetData>
    <row r="1" spans="1:35" x14ac:dyDescent="0.25">
      <c r="A1" t="s">
        <v>39</v>
      </c>
    </row>
    <row r="2" spans="1:35" x14ac:dyDescent="0.25">
      <c r="A2" t="s">
        <v>40</v>
      </c>
      <c r="J2" t="s">
        <v>99</v>
      </c>
      <c r="S2" t="s">
        <v>100</v>
      </c>
    </row>
    <row r="3" spans="1:35" x14ac:dyDescent="0.25">
      <c r="G3" t="s">
        <v>97</v>
      </c>
      <c r="P3" t="s">
        <v>97</v>
      </c>
      <c r="Y3" t="s">
        <v>97</v>
      </c>
    </row>
    <row r="4" spans="1:35" x14ac:dyDescent="0.25">
      <c r="A4" s="16" t="s">
        <v>41</v>
      </c>
      <c r="B4" s="16"/>
      <c r="C4" s="16" t="s">
        <v>42</v>
      </c>
      <c r="D4" s="16"/>
      <c r="E4" s="16" t="s">
        <v>43</v>
      </c>
      <c r="F4" s="16"/>
      <c r="G4" s="16" t="s">
        <v>98</v>
      </c>
      <c r="H4" s="16" t="s">
        <v>43</v>
      </c>
      <c r="J4" s="16" t="s">
        <v>41</v>
      </c>
      <c r="K4" s="16"/>
      <c r="L4" s="16" t="s">
        <v>42</v>
      </c>
      <c r="M4" s="16"/>
      <c r="N4" s="16" t="s">
        <v>43</v>
      </c>
      <c r="O4" s="16"/>
      <c r="P4" s="16" t="s">
        <v>98</v>
      </c>
      <c r="Q4" s="16" t="s">
        <v>43</v>
      </c>
      <c r="S4" s="16" t="s">
        <v>41</v>
      </c>
      <c r="T4" s="16"/>
      <c r="U4" s="16" t="s">
        <v>42</v>
      </c>
      <c r="V4" s="16"/>
      <c r="W4" s="16" t="s">
        <v>43</v>
      </c>
      <c r="X4" s="16"/>
      <c r="Y4" s="16" t="s">
        <v>98</v>
      </c>
      <c r="Z4" s="16" t="s">
        <v>43</v>
      </c>
      <c r="AB4" s="8"/>
      <c r="AC4" s="8"/>
      <c r="AD4" s="8"/>
      <c r="AE4" s="8"/>
      <c r="AF4" s="8"/>
      <c r="AG4" s="8"/>
      <c r="AH4" s="8"/>
      <c r="AI4" s="8"/>
    </row>
    <row r="5" spans="1:35" x14ac:dyDescent="0.25">
      <c r="A5" t="s">
        <v>47</v>
      </c>
      <c r="C5">
        <v>3</v>
      </c>
      <c r="J5" t="s">
        <v>44</v>
      </c>
      <c r="L5">
        <v>57</v>
      </c>
      <c r="N5">
        <v>0</v>
      </c>
      <c r="S5" t="s">
        <v>44</v>
      </c>
      <c r="U5">
        <v>11</v>
      </c>
      <c r="W5">
        <v>0</v>
      </c>
    </row>
    <row r="6" spans="1:35" x14ac:dyDescent="0.25">
      <c r="A6" t="s">
        <v>44</v>
      </c>
      <c r="C6">
        <v>5141</v>
      </c>
      <c r="E6">
        <v>0</v>
      </c>
      <c r="J6" s="8" t="s">
        <v>45</v>
      </c>
      <c r="L6">
        <v>77</v>
      </c>
      <c r="N6">
        <v>77000</v>
      </c>
      <c r="S6" s="8" t="s">
        <v>45</v>
      </c>
      <c r="U6">
        <v>2</v>
      </c>
      <c r="W6">
        <v>2000</v>
      </c>
    </row>
    <row r="7" spans="1:35" x14ac:dyDescent="0.25">
      <c r="A7" s="8" t="s">
        <v>45</v>
      </c>
      <c r="B7" s="8"/>
      <c r="C7" s="8">
        <v>6976</v>
      </c>
      <c r="D7" s="8"/>
      <c r="E7" s="8">
        <v>6976000</v>
      </c>
      <c r="J7" s="8" t="s">
        <v>46</v>
      </c>
      <c r="L7">
        <v>99</v>
      </c>
      <c r="N7">
        <v>198000</v>
      </c>
      <c r="S7" s="8" t="s">
        <v>46</v>
      </c>
      <c r="U7">
        <v>1</v>
      </c>
      <c r="W7">
        <v>2000</v>
      </c>
    </row>
    <row r="8" spans="1:35" x14ac:dyDescent="0.25">
      <c r="A8" s="16" t="s">
        <v>46</v>
      </c>
      <c r="B8" s="16"/>
      <c r="C8" s="16">
        <v>8604</v>
      </c>
      <c r="D8" s="16"/>
      <c r="E8" s="16">
        <v>17208000</v>
      </c>
      <c r="F8" s="16"/>
      <c r="G8" s="16">
        <f>SUM(C5:C8)</f>
        <v>20724</v>
      </c>
      <c r="H8" s="16">
        <f>SUM(E5:E8)</f>
        <v>24184000</v>
      </c>
      <c r="J8" t="s">
        <v>48</v>
      </c>
      <c r="L8">
        <v>85</v>
      </c>
      <c r="N8">
        <v>255000</v>
      </c>
      <c r="S8" s="22" t="s">
        <v>50</v>
      </c>
      <c r="U8">
        <v>1</v>
      </c>
      <c r="W8">
        <v>5000</v>
      </c>
    </row>
    <row r="9" spans="1:35" x14ac:dyDescent="0.25">
      <c r="A9" t="s">
        <v>48</v>
      </c>
      <c r="C9">
        <f>7716+2</f>
        <v>7718</v>
      </c>
      <c r="E9">
        <f>23148000+6000</f>
        <v>23154000</v>
      </c>
      <c r="J9" s="8" t="s">
        <v>49</v>
      </c>
      <c r="L9">
        <v>41</v>
      </c>
      <c r="N9">
        <v>164000</v>
      </c>
      <c r="S9" s="22" t="s">
        <v>53</v>
      </c>
      <c r="U9">
        <v>2</v>
      </c>
      <c r="W9">
        <v>16000</v>
      </c>
    </row>
    <row r="10" spans="1:35" x14ac:dyDescent="0.25">
      <c r="A10" s="8" t="s">
        <v>49</v>
      </c>
      <c r="B10" s="8"/>
      <c r="C10" s="8">
        <f>6015+2</f>
        <v>6017</v>
      </c>
      <c r="D10" s="8"/>
      <c r="E10" s="8">
        <f>24060000+8000</f>
        <v>24068000</v>
      </c>
      <c r="J10" s="22" t="s">
        <v>50</v>
      </c>
      <c r="L10">
        <v>35</v>
      </c>
      <c r="N10">
        <v>175000</v>
      </c>
      <c r="S10" s="22" t="s">
        <v>54</v>
      </c>
      <c r="U10">
        <v>2</v>
      </c>
      <c r="W10">
        <v>18000</v>
      </c>
    </row>
    <row r="11" spans="1:35" x14ac:dyDescent="0.25">
      <c r="A11" s="23" t="s">
        <v>50</v>
      </c>
      <c r="B11" s="16"/>
      <c r="C11" s="16">
        <f>3997+2</f>
        <v>3999</v>
      </c>
      <c r="D11" s="16"/>
      <c r="E11" s="23">
        <f>19985000+10000</f>
        <v>19995000</v>
      </c>
      <c r="F11" s="16"/>
      <c r="G11" s="16">
        <f>SUM(C9:C11)</f>
        <v>17734</v>
      </c>
      <c r="H11" s="16">
        <f>SUM(E9:E11)</f>
        <v>67217000</v>
      </c>
      <c r="J11" s="22" t="s">
        <v>51</v>
      </c>
      <c r="L11">
        <v>21</v>
      </c>
      <c r="N11">
        <v>126000</v>
      </c>
      <c r="S11" s="22" t="s">
        <v>55</v>
      </c>
      <c r="U11">
        <v>1</v>
      </c>
      <c r="W11">
        <v>10000</v>
      </c>
    </row>
    <row r="12" spans="1:35" x14ac:dyDescent="0.25">
      <c r="A12" s="22" t="s">
        <v>51</v>
      </c>
      <c r="C12">
        <v>2500</v>
      </c>
      <c r="E12" s="22">
        <v>15000000</v>
      </c>
      <c r="J12" s="22" t="s">
        <v>52</v>
      </c>
      <c r="L12">
        <v>14</v>
      </c>
      <c r="N12">
        <v>98000</v>
      </c>
      <c r="S12" s="22" t="s">
        <v>56</v>
      </c>
      <c r="U12">
        <v>1</v>
      </c>
      <c r="W12">
        <v>11000</v>
      </c>
    </row>
    <row r="13" spans="1:35" x14ac:dyDescent="0.25">
      <c r="A13" s="22" t="s">
        <v>52</v>
      </c>
      <c r="C13">
        <f>1745+3</f>
        <v>1748</v>
      </c>
      <c r="E13" s="22">
        <f>12215000+21000</f>
        <v>12236000</v>
      </c>
      <c r="J13" s="22" t="s">
        <v>53</v>
      </c>
      <c r="L13">
        <v>16</v>
      </c>
      <c r="N13">
        <v>128000</v>
      </c>
      <c r="S13" s="22" t="s">
        <v>57</v>
      </c>
      <c r="U13">
        <v>3</v>
      </c>
      <c r="W13">
        <v>36000</v>
      </c>
    </row>
    <row r="14" spans="1:35" x14ac:dyDescent="0.25">
      <c r="A14" s="22" t="s">
        <v>53</v>
      </c>
      <c r="C14">
        <v>1213</v>
      </c>
      <c r="E14" s="22">
        <v>9704000</v>
      </c>
      <c r="J14" s="8" t="s">
        <v>54</v>
      </c>
      <c r="L14">
        <v>8</v>
      </c>
      <c r="N14">
        <v>72000</v>
      </c>
      <c r="S14" s="22" t="s">
        <v>58</v>
      </c>
      <c r="U14">
        <v>3</v>
      </c>
      <c r="W14">
        <v>39000</v>
      </c>
    </row>
    <row r="15" spans="1:35" x14ac:dyDescent="0.25">
      <c r="A15" s="8" t="s">
        <v>54</v>
      </c>
      <c r="B15" s="8"/>
      <c r="C15" s="8">
        <f>794+1</f>
        <v>795</v>
      </c>
      <c r="D15" s="8"/>
      <c r="E15" s="22">
        <f>7146000+9000</f>
        <v>7155000</v>
      </c>
      <c r="J15" s="23" t="s">
        <v>55</v>
      </c>
      <c r="K15" s="16"/>
      <c r="L15" s="16">
        <v>11</v>
      </c>
      <c r="M15" s="16"/>
      <c r="N15" s="16">
        <v>110000</v>
      </c>
      <c r="O15" s="16"/>
      <c r="P15" s="16">
        <f>SUM(L5:L15)</f>
        <v>464</v>
      </c>
      <c r="Q15" s="16">
        <f>SUM(N5:N15)</f>
        <v>1403000</v>
      </c>
      <c r="S15" s="22" t="s">
        <v>60</v>
      </c>
      <c r="U15">
        <v>2</v>
      </c>
      <c r="W15">
        <v>30000</v>
      </c>
    </row>
    <row r="16" spans="1:35" x14ac:dyDescent="0.25">
      <c r="A16" s="23" t="s">
        <v>55</v>
      </c>
      <c r="B16" s="16"/>
      <c r="C16" s="16">
        <v>600</v>
      </c>
      <c r="D16" s="16"/>
      <c r="E16" s="16">
        <v>6000000</v>
      </c>
      <c r="F16" s="16"/>
      <c r="G16" s="16">
        <f>SUM(C12:C16)</f>
        <v>6856</v>
      </c>
      <c r="H16" s="16">
        <f>SUM(E12:E16)</f>
        <v>50095000</v>
      </c>
      <c r="J16" s="22" t="s">
        <v>56</v>
      </c>
      <c r="L16" s="22">
        <v>11</v>
      </c>
      <c r="N16" s="22">
        <v>121000</v>
      </c>
      <c r="S16" s="22" t="s">
        <v>61</v>
      </c>
      <c r="U16">
        <v>1</v>
      </c>
      <c r="W16">
        <v>16000</v>
      </c>
    </row>
    <row r="17" spans="1:26" x14ac:dyDescent="0.25">
      <c r="A17" s="22" t="s">
        <v>56</v>
      </c>
      <c r="C17">
        <v>370</v>
      </c>
      <c r="E17" s="22">
        <v>4070000</v>
      </c>
      <c r="J17" s="22" t="s">
        <v>57</v>
      </c>
      <c r="L17" s="22">
        <v>9</v>
      </c>
      <c r="N17" s="22">
        <v>108000</v>
      </c>
      <c r="S17" s="22" t="s">
        <v>62</v>
      </c>
      <c r="U17">
        <v>1</v>
      </c>
      <c r="W17">
        <v>17000</v>
      </c>
    </row>
    <row r="18" spans="1:26" x14ac:dyDescent="0.25">
      <c r="A18" s="22" t="s">
        <v>57</v>
      </c>
      <c r="C18">
        <v>290</v>
      </c>
      <c r="E18" s="22">
        <v>2480000</v>
      </c>
      <c r="J18" s="22" t="s">
        <v>58</v>
      </c>
      <c r="L18" s="22">
        <v>7</v>
      </c>
      <c r="N18" s="22">
        <v>91000</v>
      </c>
      <c r="S18" s="22" t="s">
        <v>66</v>
      </c>
      <c r="U18">
        <v>1</v>
      </c>
      <c r="W18">
        <v>21000</v>
      </c>
    </row>
    <row r="19" spans="1:26" x14ac:dyDescent="0.25">
      <c r="A19" s="22" t="s">
        <v>58</v>
      </c>
      <c r="C19">
        <v>238</v>
      </c>
      <c r="E19" s="22">
        <v>3094000</v>
      </c>
      <c r="J19" s="22" t="s">
        <v>59</v>
      </c>
      <c r="L19" s="22">
        <v>2</v>
      </c>
      <c r="N19" s="22">
        <v>28000</v>
      </c>
      <c r="S19" s="22" t="s">
        <v>67</v>
      </c>
      <c r="U19">
        <v>1</v>
      </c>
      <c r="W19">
        <v>22000</v>
      </c>
    </row>
    <row r="20" spans="1:26" x14ac:dyDescent="0.25">
      <c r="A20" s="22" t="s">
        <v>59</v>
      </c>
      <c r="C20">
        <v>168</v>
      </c>
      <c r="E20" s="22">
        <v>2352000</v>
      </c>
      <c r="J20" s="22" t="s">
        <v>60</v>
      </c>
      <c r="L20" s="22">
        <v>2</v>
      </c>
      <c r="N20" s="22">
        <v>30000</v>
      </c>
      <c r="S20" s="22" t="s">
        <v>73</v>
      </c>
      <c r="U20">
        <v>1</v>
      </c>
      <c r="W20">
        <v>28000</v>
      </c>
    </row>
    <row r="21" spans="1:26" x14ac:dyDescent="0.25">
      <c r="A21" s="22" t="s">
        <v>60</v>
      </c>
      <c r="C21">
        <v>154</v>
      </c>
      <c r="E21" s="22">
        <v>2310000</v>
      </c>
      <c r="J21" s="22" t="s">
        <v>61</v>
      </c>
      <c r="L21" s="22">
        <v>3</v>
      </c>
      <c r="N21" s="22">
        <v>48000</v>
      </c>
      <c r="S21" s="23" t="s">
        <v>94</v>
      </c>
      <c r="T21" s="16"/>
      <c r="U21" s="16">
        <v>1</v>
      </c>
      <c r="V21" s="16"/>
      <c r="W21" s="16">
        <v>49000</v>
      </c>
      <c r="X21" s="16"/>
      <c r="Y21" s="16">
        <f>SUM(U5:U21)</f>
        <v>35</v>
      </c>
      <c r="Z21" s="16">
        <f>SUM(W5:W21)</f>
        <v>322000</v>
      </c>
    </row>
    <row r="22" spans="1:26" x14ac:dyDescent="0.25">
      <c r="A22" s="22" t="s">
        <v>61</v>
      </c>
      <c r="C22">
        <v>132</v>
      </c>
      <c r="E22" s="22">
        <v>2112000</v>
      </c>
      <c r="J22" s="22" t="s">
        <v>62</v>
      </c>
      <c r="L22" s="22">
        <v>2</v>
      </c>
      <c r="N22" s="22">
        <v>34000</v>
      </c>
      <c r="S22" s="22" t="s">
        <v>101</v>
      </c>
      <c r="U22" s="22">
        <v>13</v>
      </c>
      <c r="W22">
        <f>(61+141+190+191+210+211+216+220+230+232+233+234+349)*1000</f>
        <v>2718000</v>
      </c>
    </row>
    <row r="23" spans="1:26" x14ac:dyDescent="0.25">
      <c r="A23" s="22" t="s">
        <v>62</v>
      </c>
      <c r="C23">
        <v>95</v>
      </c>
      <c r="E23" s="22">
        <v>1615000</v>
      </c>
      <c r="J23" s="22" t="s">
        <v>63</v>
      </c>
      <c r="L23" s="22">
        <v>3</v>
      </c>
      <c r="N23" s="22">
        <v>54000</v>
      </c>
      <c r="S23" s="22"/>
    </row>
    <row r="24" spans="1:26" x14ac:dyDescent="0.25">
      <c r="A24" s="22" t="s">
        <v>63</v>
      </c>
      <c r="C24">
        <v>96</v>
      </c>
      <c r="E24" s="22">
        <v>1728000</v>
      </c>
      <c r="J24" s="8" t="s">
        <v>64</v>
      </c>
      <c r="L24" s="22">
        <v>1</v>
      </c>
      <c r="N24" s="22">
        <v>19000</v>
      </c>
      <c r="U24">
        <f>SUM(U5:U23)</f>
        <v>48</v>
      </c>
      <c r="W24">
        <f>SUM(W5:W23)</f>
        <v>3040000</v>
      </c>
      <c r="Y24">
        <f>Y21+U22</f>
        <v>48</v>
      </c>
      <c r="Z24">
        <f>Z21+W22</f>
        <v>3040000</v>
      </c>
    </row>
    <row r="25" spans="1:26" x14ac:dyDescent="0.25">
      <c r="A25" s="8" t="s">
        <v>64</v>
      </c>
      <c r="B25" s="8"/>
      <c r="C25" s="8">
        <v>55</v>
      </c>
      <c r="D25" s="8"/>
      <c r="E25" s="8">
        <v>1045000</v>
      </c>
      <c r="J25" s="23" t="s">
        <v>65</v>
      </c>
      <c r="K25" s="16"/>
      <c r="L25" s="16">
        <v>1</v>
      </c>
      <c r="M25" s="16"/>
      <c r="N25" s="16">
        <v>20000</v>
      </c>
      <c r="O25" s="16"/>
      <c r="P25" s="16">
        <f>SUM(L16:L25)</f>
        <v>41</v>
      </c>
      <c r="Q25" s="16">
        <f>SUM(N16:N25)</f>
        <v>553000</v>
      </c>
      <c r="U25">
        <f>U24/12</f>
        <v>4</v>
      </c>
    </row>
    <row r="26" spans="1:26" x14ac:dyDescent="0.25">
      <c r="A26" s="23" t="s">
        <v>65</v>
      </c>
      <c r="B26" s="16"/>
      <c r="C26" s="16">
        <v>64</v>
      </c>
      <c r="D26" s="16"/>
      <c r="E26" s="23">
        <v>1280000</v>
      </c>
      <c r="F26" s="16"/>
      <c r="G26" s="16">
        <f>SUM(C17:C26)</f>
        <v>1662</v>
      </c>
      <c r="H26" s="16">
        <f>SUM(E17:E26)</f>
        <v>22086000</v>
      </c>
      <c r="J26" s="22" t="s">
        <v>66</v>
      </c>
      <c r="L26" s="22">
        <v>3</v>
      </c>
      <c r="N26" s="22">
        <v>63000</v>
      </c>
    </row>
    <row r="27" spans="1:26" x14ac:dyDescent="0.25">
      <c r="A27" s="22" t="s">
        <v>66</v>
      </c>
      <c r="C27">
        <v>70</v>
      </c>
      <c r="E27" s="22">
        <v>1470000</v>
      </c>
      <c r="J27" s="22" t="s">
        <v>67</v>
      </c>
      <c r="L27" s="22">
        <v>1</v>
      </c>
      <c r="N27" s="22">
        <v>22000</v>
      </c>
    </row>
    <row r="28" spans="1:26" x14ac:dyDescent="0.25">
      <c r="A28" s="22" t="s">
        <v>67</v>
      </c>
      <c r="C28">
        <v>41</v>
      </c>
      <c r="E28" s="22">
        <v>902000</v>
      </c>
      <c r="J28" s="22" t="s">
        <v>68</v>
      </c>
      <c r="L28" s="22">
        <v>2</v>
      </c>
      <c r="N28" s="22">
        <v>46000</v>
      </c>
    </row>
    <row r="29" spans="1:26" x14ac:dyDescent="0.25">
      <c r="A29" s="22" t="s">
        <v>68</v>
      </c>
      <c r="C29">
        <v>45</v>
      </c>
      <c r="E29" s="22">
        <v>1035000</v>
      </c>
      <c r="J29" s="22" t="s">
        <v>69</v>
      </c>
      <c r="L29" s="22">
        <v>4</v>
      </c>
      <c r="N29" s="22">
        <v>96000</v>
      </c>
    </row>
    <row r="30" spans="1:26" x14ac:dyDescent="0.25">
      <c r="A30" s="22" t="s">
        <v>69</v>
      </c>
      <c r="C30">
        <v>30</v>
      </c>
      <c r="E30" s="22">
        <v>720000</v>
      </c>
      <c r="J30" s="22" t="s">
        <v>70</v>
      </c>
      <c r="L30" s="22">
        <v>1</v>
      </c>
      <c r="N30" s="22">
        <v>25000</v>
      </c>
    </row>
    <row r="31" spans="1:26" x14ac:dyDescent="0.25">
      <c r="A31" s="22" t="s">
        <v>70</v>
      </c>
      <c r="C31">
        <v>35</v>
      </c>
      <c r="E31" s="22">
        <v>875000</v>
      </c>
      <c r="J31" s="22" t="s">
        <v>71</v>
      </c>
      <c r="L31" s="22">
        <v>2</v>
      </c>
      <c r="N31" s="22">
        <v>52000</v>
      </c>
    </row>
    <row r="32" spans="1:26" x14ac:dyDescent="0.25">
      <c r="A32" s="22" t="s">
        <v>71</v>
      </c>
      <c r="C32">
        <v>25</v>
      </c>
      <c r="E32" s="22">
        <v>650000</v>
      </c>
      <c r="J32" s="22" t="s">
        <v>72</v>
      </c>
      <c r="L32" s="22">
        <v>2</v>
      </c>
      <c r="N32" s="22">
        <v>54000</v>
      </c>
    </row>
    <row r="33" spans="1:14" x14ac:dyDescent="0.25">
      <c r="A33" s="22" t="s">
        <v>72</v>
      </c>
      <c r="C33">
        <v>19</v>
      </c>
      <c r="E33" s="22">
        <v>513000</v>
      </c>
      <c r="J33" s="22" t="s">
        <v>73</v>
      </c>
      <c r="L33" s="22">
        <v>3</v>
      </c>
      <c r="N33" s="22">
        <v>84000</v>
      </c>
    </row>
    <row r="34" spans="1:14" x14ac:dyDescent="0.25">
      <c r="A34" s="22" t="s">
        <v>73</v>
      </c>
      <c r="C34">
        <v>18</v>
      </c>
      <c r="E34" s="22">
        <v>504000</v>
      </c>
      <c r="J34" s="22" t="s">
        <v>74</v>
      </c>
      <c r="L34" s="22">
        <v>1</v>
      </c>
      <c r="N34" s="22">
        <v>29000</v>
      </c>
    </row>
    <row r="35" spans="1:14" x14ac:dyDescent="0.25">
      <c r="A35" s="22" t="s">
        <v>74</v>
      </c>
      <c r="C35">
        <v>11</v>
      </c>
      <c r="E35" s="22">
        <v>319000</v>
      </c>
      <c r="J35" s="22" t="s">
        <v>75</v>
      </c>
      <c r="L35" s="22">
        <v>3</v>
      </c>
      <c r="N35" s="22">
        <v>90000</v>
      </c>
    </row>
    <row r="36" spans="1:14" x14ac:dyDescent="0.25">
      <c r="A36" s="22" t="s">
        <v>75</v>
      </c>
      <c r="C36">
        <v>24</v>
      </c>
      <c r="E36" s="22">
        <v>720000</v>
      </c>
      <c r="J36" s="22" t="s">
        <v>76</v>
      </c>
      <c r="L36" s="22">
        <v>2</v>
      </c>
      <c r="N36" s="22">
        <v>62000</v>
      </c>
    </row>
    <row r="37" spans="1:14" x14ac:dyDescent="0.25">
      <c r="A37" s="22" t="s">
        <v>76</v>
      </c>
      <c r="C37">
        <v>16</v>
      </c>
      <c r="E37" s="22">
        <v>496000</v>
      </c>
      <c r="J37" s="22" t="s">
        <v>77</v>
      </c>
      <c r="L37" s="22">
        <v>2</v>
      </c>
      <c r="N37" s="22">
        <v>64000</v>
      </c>
    </row>
    <row r="38" spans="1:14" x14ac:dyDescent="0.25">
      <c r="A38" s="22" t="s">
        <v>77</v>
      </c>
      <c r="C38">
        <v>16</v>
      </c>
      <c r="E38" s="22">
        <v>512000</v>
      </c>
      <c r="J38" s="22" t="s">
        <v>78</v>
      </c>
      <c r="L38" s="22">
        <v>2</v>
      </c>
      <c r="N38" s="22">
        <v>66000</v>
      </c>
    </row>
    <row r="39" spans="1:14" x14ac:dyDescent="0.25">
      <c r="A39" s="22" t="s">
        <v>78</v>
      </c>
      <c r="C39">
        <v>13</v>
      </c>
      <c r="E39" s="22">
        <v>429000</v>
      </c>
      <c r="J39" s="22" t="s">
        <v>79</v>
      </c>
      <c r="L39" s="22">
        <v>2</v>
      </c>
      <c r="N39" s="22">
        <v>68000</v>
      </c>
    </row>
    <row r="40" spans="1:14" x14ac:dyDescent="0.25">
      <c r="A40" s="22" t="s">
        <v>79</v>
      </c>
      <c r="C40">
        <v>10</v>
      </c>
      <c r="E40" s="22">
        <v>340000</v>
      </c>
      <c r="J40" s="22" t="s">
        <v>80</v>
      </c>
      <c r="L40" s="22">
        <v>1</v>
      </c>
      <c r="N40" s="22">
        <v>35000</v>
      </c>
    </row>
    <row r="41" spans="1:14" x14ac:dyDescent="0.25">
      <c r="A41" s="22" t="s">
        <v>80</v>
      </c>
      <c r="C41">
        <v>3</v>
      </c>
      <c r="E41" s="22">
        <v>105000</v>
      </c>
      <c r="J41" s="22" t="s">
        <v>81</v>
      </c>
      <c r="L41" s="22">
        <v>2</v>
      </c>
      <c r="N41" s="22">
        <v>72000</v>
      </c>
    </row>
    <row r="42" spans="1:14" x14ac:dyDescent="0.25">
      <c r="A42" s="22" t="s">
        <v>81</v>
      </c>
      <c r="C42">
        <v>8</v>
      </c>
      <c r="E42" s="22">
        <v>288000</v>
      </c>
      <c r="J42" s="22" t="s">
        <v>82</v>
      </c>
      <c r="L42" s="22">
        <v>3</v>
      </c>
      <c r="N42" s="22">
        <v>111000</v>
      </c>
    </row>
    <row r="43" spans="1:14" x14ac:dyDescent="0.25">
      <c r="A43" s="22" t="s">
        <v>82</v>
      </c>
      <c r="C43">
        <v>6</v>
      </c>
      <c r="E43" s="22">
        <v>222000</v>
      </c>
      <c r="J43" s="22" t="s">
        <v>83</v>
      </c>
      <c r="L43" s="22">
        <v>2</v>
      </c>
      <c r="N43" s="22">
        <v>76000</v>
      </c>
    </row>
    <row r="44" spans="1:14" x14ac:dyDescent="0.25">
      <c r="A44" s="22" t="s">
        <v>83</v>
      </c>
      <c r="C44">
        <v>5</v>
      </c>
      <c r="E44" s="22">
        <v>190000</v>
      </c>
      <c r="J44" s="22" t="s">
        <v>84</v>
      </c>
      <c r="L44" s="22">
        <v>1</v>
      </c>
      <c r="N44" s="22">
        <v>39000</v>
      </c>
    </row>
    <row r="45" spans="1:14" x14ac:dyDescent="0.25">
      <c r="A45" s="22" t="s">
        <v>84</v>
      </c>
      <c r="C45">
        <v>3</v>
      </c>
      <c r="E45" s="22">
        <v>117000</v>
      </c>
      <c r="J45" s="22" t="s">
        <v>85</v>
      </c>
      <c r="L45" s="22">
        <v>2</v>
      </c>
      <c r="N45" s="22">
        <v>80000</v>
      </c>
    </row>
    <row r="46" spans="1:14" x14ac:dyDescent="0.25">
      <c r="A46" s="22" t="s">
        <v>85</v>
      </c>
      <c r="C46">
        <v>9</v>
      </c>
      <c r="E46" s="22">
        <v>360000</v>
      </c>
      <c r="J46" s="22" t="s">
        <v>86</v>
      </c>
      <c r="L46" s="22">
        <v>1</v>
      </c>
      <c r="N46" s="22">
        <v>41000</v>
      </c>
    </row>
    <row r="47" spans="1:14" x14ac:dyDescent="0.25">
      <c r="A47" s="22" t="s">
        <v>86</v>
      </c>
      <c r="C47">
        <v>4</v>
      </c>
      <c r="E47" s="22">
        <v>164000</v>
      </c>
      <c r="J47" s="22" t="s">
        <v>88</v>
      </c>
      <c r="L47" s="22">
        <v>2</v>
      </c>
      <c r="N47" s="22">
        <v>86000</v>
      </c>
    </row>
    <row r="48" spans="1:14" x14ac:dyDescent="0.25">
      <c r="A48" s="22" t="s">
        <v>87</v>
      </c>
      <c r="C48">
        <v>5</v>
      </c>
      <c r="E48" s="22">
        <v>210000</v>
      </c>
      <c r="J48" s="22" t="s">
        <v>89</v>
      </c>
      <c r="L48" s="22">
        <v>2</v>
      </c>
      <c r="N48" s="22">
        <v>88000</v>
      </c>
    </row>
    <row r="49" spans="1:17" x14ac:dyDescent="0.25">
      <c r="A49" s="22" t="s">
        <v>88</v>
      </c>
      <c r="C49">
        <v>3</v>
      </c>
      <c r="E49" s="22">
        <v>129000</v>
      </c>
      <c r="J49" s="22" t="s">
        <v>90</v>
      </c>
      <c r="L49" s="22">
        <v>1</v>
      </c>
      <c r="N49" s="22">
        <v>45000</v>
      </c>
    </row>
    <row r="50" spans="1:17" x14ac:dyDescent="0.25">
      <c r="A50" s="22" t="s">
        <v>89</v>
      </c>
      <c r="C50">
        <v>6</v>
      </c>
      <c r="E50" s="22">
        <v>264000</v>
      </c>
      <c r="J50" s="22" t="s">
        <v>91</v>
      </c>
      <c r="L50" s="22">
        <v>2</v>
      </c>
      <c r="N50" s="22">
        <v>92000</v>
      </c>
    </row>
    <row r="51" spans="1:17" x14ac:dyDescent="0.25">
      <c r="A51" s="22" t="s">
        <v>90</v>
      </c>
      <c r="C51">
        <v>5</v>
      </c>
      <c r="E51" s="22">
        <v>225000</v>
      </c>
      <c r="J51" s="22" t="s">
        <v>92</v>
      </c>
      <c r="L51" s="22">
        <v>1</v>
      </c>
      <c r="N51" s="22">
        <v>47000</v>
      </c>
    </row>
    <row r="52" spans="1:17" x14ac:dyDescent="0.25">
      <c r="A52" s="22" t="s">
        <v>91</v>
      </c>
      <c r="C52">
        <v>3</v>
      </c>
      <c r="E52" s="22">
        <v>138000</v>
      </c>
      <c r="J52" s="23" t="s">
        <v>93</v>
      </c>
      <c r="K52" s="16"/>
      <c r="L52" s="16">
        <v>1</v>
      </c>
      <c r="M52" s="16"/>
      <c r="N52" s="16">
        <v>48000</v>
      </c>
      <c r="O52" s="16"/>
      <c r="P52" s="16">
        <f>SUM(L26:L52)</f>
        <v>51</v>
      </c>
      <c r="Q52" s="16">
        <f>SUM(N26:N52)</f>
        <v>1681000</v>
      </c>
    </row>
    <row r="53" spans="1:17" x14ac:dyDescent="0.25">
      <c r="A53" s="22" t="s">
        <v>92</v>
      </c>
      <c r="C53">
        <v>6</v>
      </c>
      <c r="E53" s="22">
        <v>282000</v>
      </c>
      <c r="J53" s="22" t="s">
        <v>96</v>
      </c>
      <c r="L53">
        <v>51</v>
      </c>
      <c r="N53">
        <f>(52+53+54+55+114+177+61+124+126+65+67+204+69+140+73+156+80+87+182+96+99+108+218+112+117+121+123+129+264+136+138+142+151+152+184+196+206+211+218)*1000</f>
        <v>5060000</v>
      </c>
    </row>
    <row r="54" spans="1:17" x14ac:dyDescent="0.25">
      <c r="A54" s="22" t="s">
        <v>93</v>
      </c>
      <c r="C54">
        <v>6</v>
      </c>
      <c r="E54" s="22">
        <v>288000</v>
      </c>
    </row>
    <row r="55" spans="1:17" x14ac:dyDescent="0.25">
      <c r="A55" s="8" t="s">
        <v>94</v>
      </c>
      <c r="B55" s="8"/>
      <c r="C55" s="8">
        <v>2</v>
      </c>
      <c r="D55" s="8"/>
      <c r="E55" s="22">
        <v>98000</v>
      </c>
      <c r="L55">
        <f>SUM(L5:L54)</f>
        <v>607</v>
      </c>
      <c r="N55">
        <f>SUM(N5:N54)</f>
        <v>8697000</v>
      </c>
      <c r="P55">
        <f>P15+P25+P52+L53</f>
        <v>607</v>
      </c>
      <c r="Q55">
        <f>Q15+Q25+Q52+N53</f>
        <v>8697000</v>
      </c>
    </row>
    <row r="56" spans="1:17" x14ac:dyDescent="0.25">
      <c r="A56" s="16" t="s">
        <v>95</v>
      </c>
      <c r="B56" s="16"/>
      <c r="C56" s="23">
        <v>2</v>
      </c>
      <c r="D56" s="16"/>
      <c r="E56" s="16">
        <v>100000</v>
      </c>
      <c r="F56" s="16"/>
      <c r="G56" s="16">
        <f>SUM(C27:C56)</f>
        <v>449</v>
      </c>
      <c r="H56" s="16">
        <f>SUM(E27:E56)</f>
        <v>12665000</v>
      </c>
      <c r="L56" s="24">
        <f>L55/12</f>
        <v>50.583333333333336</v>
      </c>
    </row>
    <row r="57" spans="1:17" x14ac:dyDescent="0.25">
      <c r="A57" s="22" t="s">
        <v>96</v>
      </c>
      <c r="C57" s="22">
        <v>45</v>
      </c>
      <c r="E57">
        <f>(153+104+53+138+141+290+151+171+176+181+207+216+225+239+243+244+250+258+264+275+286+298+299+315+316+329+331+332+343+347+348+355+360+374+378+384+389+422+427+428+453)*1000</f>
        <v>11493000</v>
      </c>
    </row>
    <row r="58" spans="1:17" x14ac:dyDescent="0.25">
      <c r="C58" s="22"/>
    </row>
    <row r="59" spans="1:17" x14ac:dyDescent="0.25">
      <c r="C59" s="22">
        <f>SUM(C5:C58)</f>
        <v>47470</v>
      </c>
      <c r="E59" s="22">
        <f>SUM(E5:E58)</f>
        <v>187740000</v>
      </c>
      <c r="G59">
        <f>G8+G11+G16+G26+G56+C57</f>
        <v>47470</v>
      </c>
      <c r="H59">
        <f>H8+H11+H16+H26+H56+E57</f>
        <v>187740000</v>
      </c>
    </row>
    <row r="60" spans="1:17" x14ac:dyDescent="0.25">
      <c r="C60" s="22">
        <f>C59/12</f>
        <v>3955.8333333333335</v>
      </c>
    </row>
    <row r="61" spans="1:17" x14ac:dyDescent="0.25">
      <c r="C61" s="22"/>
    </row>
    <row r="62" spans="1:17" x14ac:dyDescent="0.25">
      <c r="C62" s="22"/>
    </row>
    <row r="63" spans="1:17" x14ac:dyDescent="0.25">
      <c r="C63" s="22"/>
    </row>
    <row r="64" spans="1:17" x14ac:dyDescent="0.25">
      <c r="C64" s="22"/>
    </row>
    <row r="65" spans="3:3" x14ac:dyDescent="0.25">
      <c r="C65" s="22"/>
    </row>
    <row r="66" spans="3:3" x14ac:dyDescent="0.25">
      <c r="C66" s="22"/>
    </row>
    <row r="67" spans="3:3" x14ac:dyDescent="0.25">
      <c r="C67" s="22"/>
    </row>
    <row r="68" spans="3:3" x14ac:dyDescent="0.25">
      <c r="C68" s="22"/>
    </row>
    <row r="69" spans="3:3" x14ac:dyDescent="0.25">
      <c r="C69" s="22"/>
    </row>
    <row r="70" spans="3:3" x14ac:dyDescent="0.25">
      <c r="C70" s="22"/>
    </row>
    <row r="71" spans="3:3" x14ac:dyDescent="0.25">
      <c r="C71" s="22"/>
    </row>
    <row r="72" spans="3:3" x14ac:dyDescent="0.25">
      <c r="C72" s="22"/>
    </row>
    <row r="73" spans="3:3" x14ac:dyDescent="0.25">
      <c r="C73" s="22"/>
    </row>
    <row r="74" spans="3:3" x14ac:dyDescent="0.25">
      <c r="C74" s="22"/>
    </row>
    <row r="75" spans="3:3" x14ac:dyDescent="0.25">
      <c r="C75" s="22"/>
    </row>
    <row r="76" spans="3:3" x14ac:dyDescent="0.25">
      <c r="C76" s="22"/>
    </row>
    <row r="77" spans="3:3" x14ac:dyDescent="0.25">
      <c r="C77" s="22"/>
    </row>
    <row r="78" spans="3:3" x14ac:dyDescent="0.25">
      <c r="C78" s="22"/>
    </row>
    <row r="79" spans="3:3" x14ac:dyDescent="0.25">
      <c r="C79" s="22"/>
    </row>
    <row r="80" spans="3:3" x14ac:dyDescent="0.25">
      <c r="C80" s="22"/>
    </row>
    <row r="81" spans="3:3" x14ac:dyDescent="0.25">
      <c r="C81" s="22"/>
    </row>
    <row r="82" spans="3:3" x14ac:dyDescent="0.25">
      <c r="C82" s="22"/>
    </row>
    <row r="83" spans="3:3" x14ac:dyDescent="0.25">
      <c r="C83" s="22"/>
    </row>
    <row r="84" spans="3:3" x14ac:dyDescent="0.25">
      <c r="C84" s="22"/>
    </row>
    <row r="85" spans="3:3" x14ac:dyDescent="0.25">
      <c r="C85" s="22"/>
    </row>
    <row r="86" spans="3:3" x14ac:dyDescent="0.25">
      <c r="C86" s="22"/>
    </row>
    <row r="87" spans="3:3" x14ac:dyDescent="0.25">
      <c r="C87" s="22"/>
    </row>
    <row r="88" spans="3:3" x14ac:dyDescent="0.25">
      <c r="C88" s="22"/>
    </row>
    <row r="89" spans="3:3" x14ac:dyDescent="0.25">
      <c r="C89" s="22"/>
    </row>
    <row r="90" spans="3:3" x14ac:dyDescent="0.25">
      <c r="C90" s="22"/>
    </row>
    <row r="91" spans="3:3" x14ac:dyDescent="0.25">
      <c r="C91" s="22"/>
    </row>
    <row r="92" spans="3:3" x14ac:dyDescent="0.25">
      <c r="C92" s="22"/>
    </row>
    <row r="93" spans="3:3" x14ac:dyDescent="0.25">
      <c r="C93" s="22"/>
    </row>
    <row r="94" spans="3:3" x14ac:dyDescent="0.25">
      <c r="C94" s="22"/>
    </row>
    <row r="95" spans="3:3" x14ac:dyDescent="0.25">
      <c r="C95" s="22"/>
    </row>
    <row r="96" spans="3:3" x14ac:dyDescent="0.25">
      <c r="C96" s="22"/>
    </row>
    <row r="97" spans="3:3" x14ac:dyDescent="0.25">
      <c r="C97" s="22"/>
    </row>
    <row r="98" spans="3:3" x14ac:dyDescent="0.25">
      <c r="C98" s="22"/>
    </row>
    <row r="99" spans="3:3" x14ac:dyDescent="0.25">
      <c r="C99" s="22"/>
    </row>
    <row r="100" spans="3:3" x14ac:dyDescent="0.25">
      <c r="C100" s="22"/>
    </row>
    <row r="101" spans="3:3" x14ac:dyDescent="0.25">
      <c r="C101" s="22"/>
    </row>
    <row r="102" spans="3:3" x14ac:dyDescent="0.25">
      <c r="C102" s="22"/>
    </row>
    <row r="103" spans="3:3" x14ac:dyDescent="0.25">
      <c r="C103" s="22"/>
    </row>
    <row r="104" spans="3:3" x14ac:dyDescent="0.25">
      <c r="C104" s="22"/>
    </row>
    <row r="105" spans="3:3" x14ac:dyDescent="0.25">
      <c r="C105" s="22"/>
    </row>
    <row r="106" spans="3:3" x14ac:dyDescent="0.25">
      <c r="C106" s="22"/>
    </row>
    <row r="107" spans="3:3" x14ac:dyDescent="0.25">
      <c r="C107" s="22"/>
    </row>
    <row r="108" spans="3:3" x14ac:dyDescent="0.25">
      <c r="C108" s="22"/>
    </row>
    <row r="109" spans="3:3" x14ac:dyDescent="0.25">
      <c r="C109" s="22"/>
    </row>
    <row r="110" spans="3:3" x14ac:dyDescent="0.25">
      <c r="C110" s="22"/>
    </row>
    <row r="111" spans="3:3" x14ac:dyDescent="0.25">
      <c r="C111" s="22"/>
    </row>
    <row r="112" spans="3:3" x14ac:dyDescent="0.25">
      <c r="C112" s="22"/>
    </row>
    <row r="113" spans="3:3" x14ac:dyDescent="0.25">
      <c r="C113" s="22"/>
    </row>
    <row r="114" spans="3:3" x14ac:dyDescent="0.25">
      <c r="C114" s="22"/>
    </row>
    <row r="115" spans="3:3" x14ac:dyDescent="0.25">
      <c r="C115" s="22"/>
    </row>
    <row r="116" spans="3:3" x14ac:dyDescent="0.25">
      <c r="C116" s="22"/>
    </row>
    <row r="117" spans="3:3" x14ac:dyDescent="0.25">
      <c r="C117" s="22"/>
    </row>
    <row r="118" spans="3:3" x14ac:dyDescent="0.25">
      <c r="C118" s="22"/>
    </row>
    <row r="119" spans="3:3" x14ac:dyDescent="0.25">
      <c r="C119" s="22"/>
    </row>
    <row r="120" spans="3:3" x14ac:dyDescent="0.25">
      <c r="C120" s="22"/>
    </row>
    <row r="121" spans="3:3" x14ac:dyDescent="0.25">
      <c r="C121" s="22"/>
    </row>
    <row r="122" spans="3:3" x14ac:dyDescent="0.25">
      <c r="C122" s="22"/>
    </row>
    <row r="123" spans="3:3" x14ac:dyDescent="0.25">
      <c r="C123" s="22"/>
    </row>
    <row r="124" spans="3:3" x14ac:dyDescent="0.25">
      <c r="C124" s="22"/>
    </row>
    <row r="125" spans="3:3" x14ac:dyDescent="0.25">
      <c r="C125" s="22"/>
    </row>
    <row r="126" spans="3:3" x14ac:dyDescent="0.25">
      <c r="C126" s="22"/>
    </row>
    <row r="127" spans="3:3" x14ac:dyDescent="0.25">
      <c r="C127" s="22"/>
    </row>
    <row r="128" spans="3:3" x14ac:dyDescent="0.25">
      <c r="C128" s="22"/>
    </row>
    <row r="129" spans="3:3" x14ac:dyDescent="0.25">
      <c r="C129" s="22"/>
    </row>
    <row r="130" spans="3:3" x14ac:dyDescent="0.25">
      <c r="C130" s="22"/>
    </row>
    <row r="131" spans="3:3" x14ac:dyDescent="0.25">
      <c r="C131" s="22"/>
    </row>
    <row r="132" spans="3:3" x14ac:dyDescent="0.25">
      <c r="C132" s="22"/>
    </row>
    <row r="133" spans="3:3" x14ac:dyDescent="0.25">
      <c r="C133" s="22"/>
    </row>
    <row r="134" spans="3:3" x14ac:dyDescent="0.25">
      <c r="C134" s="22"/>
    </row>
  </sheetData>
  <phoneticPr fontId="7" type="noConversion"/>
  <pageMargins left="0.25" right="0.25" top="0.75" bottom="0.75" header="0.3" footer="0.3"/>
  <pageSetup orientation="portrait" horizontalDpi="0" verticalDpi="0" r:id="rId1"/>
  <headerFooter>
    <oddHeader>&amp;RCase No. 2022-00404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F0E2B-3FBD-429A-830D-73EB89560CE7}">
  <dimension ref="A1:L32"/>
  <sheetViews>
    <sheetView topLeftCell="A15" workbookViewId="0">
      <selection activeCell="F31" sqref="F31"/>
    </sheetView>
  </sheetViews>
  <sheetFormatPr defaultRowHeight="15" x14ac:dyDescent="0.25"/>
  <cols>
    <col min="4" max="4" width="10.7109375" bestFit="1" customWidth="1"/>
    <col min="5" max="5" width="15.28515625" bestFit="1" customWidth="1"/>
    <col min="6" max="6" width="14.28515625" bestFit="1" customWidth="1"/>
    <col min="7" max="7" width="15.28515625" bestFit="1" customWidth="1"/>
    <col min="8" max="8" width="14.28515625" bestFit="1" customWidth="1"/>
    <col min="9" max="9" width="13.28515625" bestFit="1" customWidth="1"/>
    <col min="10" max="10" width="13.28515625" customWidth="1"/>
    <col min="11" max="11" width="12.42578125" bestFit="1" customWidth="1"/>
    <col min="12" max="12" width="15.28515625" bestFit="1" customWidth="1"/>
  </cols>
  <sheetData>
    <row r="1" spans="1:12" ht="15.75" x14ac:dyDescent="0.25">
      <c r="A1" s="12" t="s">
        <v>0</v>
      </c>
    </row>
    <row r="2" spans="1:12" ht="15.75" x14ac:dyDescent="0.25">
      <c r="A2" s="12" t="s">
        <v>28</v>
      </c>
    </row>
    <row r="4" spans="1:12" x14ac:dyDescent="0.25">
      <c r="A4" s="13" t="s">
        <v>1</v>
      </c>
    </row>
    <row r="5" spans="1:12" x14ac:dyDescent="0.25">
      <c r="A5" t="s">
        <v>2</v>
      </c>
    </row>
    <row r="7" spans="1:12" x14ac:dyDescent="0.25">
      <c r="A7" t="s">
        <v>3</v>
      </c>
      <c r="B7" s="2" t="s">
        <v>26</v>
      </c>
    </row>
    <row r="9" spans="1:12" x14ac:dyDescent="0.25">
      <c r="A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K9">
        <v>8</v>
      </c>
      <c r="L9">
        <v>9</v>
      </c>
    </row>
    <row r="10" spans="1:12" x14ac:dyDescent="0.25">
      <c r="D10" s="14" t="s">
        <v>4</v>
      </c>
      <c r="E10" s="14" t="s">
        <v>5</v>
      </c>
      <c r="F10" s="14" t="s">
        <v>34</v>
      </c>
      <c r="G10" s="14" t="s">
        <v>35</v>
      </c>
      <c r="H10" s="14" t="s">
        <v>15</v>
      </c>
      <c r="I10" s="14" t="s">
        <v>36</v>
      </c>
      <c r="J10" s="14" t="s">
        <v>37</v>
      </c>
      <c r="K10" s="14" t="s">
        <v>38</v>
      </c>
      <c r="L10" s="14" t="s">
        <v>6</v>
      </c>
    </row>
    <row r="11" spans="1:12" x14ac:dyDescent="0.25">
      <c r="A11" t="s">
        <v>29</v>
      </c>
      <c r="D11" s="5">
        <f>'Usage Totals'!G8</f>
        <v>20724</v>
      </c>
      <c r="E11" s="5">
        <f>'Usage Totals'!H8</f>
        <v>24184000</v>
      </c>
      <c r="F11" s="5">
        <f>E11</f>
        <v>24184000</v>
      </c>
      <c r="G11" s="5"/>
      <c r="H11" s="5"/>
      <c r="I11" s="5"/>
      <c r="J11" s="5"/>
      <c r="K11" s="5"/>
      <c r="L11" s="5">
        <f t="shared" ref="L11:L16" si="0">SUM(F11:K11)</f>
        <v>24184000</v>
      </c>
    </row>
    <row r="12" spans="1:12" x14ac:dyDescent="0.25">
      <c r="A12" t="s">
        <v>30</v>
      </c>
      <c r="D12" s="5">
        <f>'Usage Totals'!G11</f>
        <v>17734</v>
      </c>
      <c r="E12" s="5">
        <f>'Usage Totals'!H11</f>
        <v>67217000</v>
      </c>
      <c r="F12" s="5">
        <f>D12*2000</f>
        <v>35468000</v>
      </c>
      <c r="G12" s="5">
        <f>E12-F12</f>
        <v>31749000</v>
      </c>
      <c r="H12" s="5"/>
      <c r="I12" s="5"/>
      <c r="J12" s="5"/>
      <c r="K12" s="5"/>
      <c r="L12" s="5">
        <f t="shared" si="0"/>
        <v>67217000</v>
      </c>
    </row>
    <row r="13" spans="1:12" x14ac:dyDescent="0.25">
      <c r="A13" t="s">
        <v>14</v>
      </c>
      <c r="D13" s="5">
        <f>'Usage Totals'!G16</f>
        <v>6856</v>
      </c>
      <c r="E13" s="5">
        <f>'Usage Totals'!H16</f>
        <v>50095000</v>
      </c>
      <c r="F13" s="5">
        <f>D13*2000</f>
        <v>13712000</v>
      </c>
      <c r="G13" s="5">
        <f>D13*3000</f>
        <v>20568000</v>
      </c>
      <c r="H13" s="5">
        <f>E13-(F13+G13)</f>
        <v>15815000</v>
      </c>
      <c r="I13" s="5"/>
      <c r="J13" s="5"/>
      <c r="K13" s="5"/>
      <c r="L13" s="5">
        <f t="shared" si="0"/>
        <v>50095000</v>
      </c>
    </row>
    <row r="14" spans="1:12" x14ac:dyDescent="0.25">
      <c r="A14" t="s">
        <v>31</v>
      </c>
      <c r="D14" s="5">
        <f>'Usage Totals'!G26</f>
        <v>1662</v>
      </c>
      <c r="E14" s="5">
        <f>'Usage Totals'!H26</f>
        <v>22086000</v>
      </c>
      <c r="F14" s="5">
        <f>D14*2000</f>
        <v>3324000</v>
      </c>
      <c r="G14" s="5">
        <f>D14*3000</f>
        <v>4986000</v>
      </c>
      <c r="H14" s="5">
        <f>D14*5000</f>
        <v>8310000</v>
      </c>
      <c r="I14" s="5">
        <f>E14-SUM(F14:H14)</f>
        <v>5466000</v>
      </c>
      <c r="J14" s="5"/>
      <c r="K14" s="5"/>
      <c r="L14" s="5">
        <f t="shared" si="0"/>
        <v>22086000</v>
      </c>
    </row>
    <row r="15" spans="1:12" x14ac:dyDescent="0.25">
      <c r="A15" t="s">
        <v>32</v>
      </c>
      <c r="D15" s="5">
        <f>'Usage Totals'!G56</f>
        <v>449</v>
      </c>
      <c r="E15" s="5">
        <f>'Usage Totals'!H56</f>
        <v>12665000</v>
      </c>
      <c r="F15" s="5">
        <f>D15*2000</f>
        <v>898000</v>
      </c>
      <c r="G15" s="5">
        <f>D15*3000</f>
        <v>1347000</v>
      </c>
      <c r="H15" s="5">
        <f>D15*5000</f>
        <v>2245000</v>
      </c>
      <c r="I15" s="5">
        <f>D15*10000</f>
        <v>4490000</v>
      </c>
      <c r="J15" s="5">
        <f>E15-SUM(F15:I15)</f>
        <v>3685000</v>
      </c>
      <c r="K15" s="5"/>
      <c r="L15" s="5">
        <f t="shared" si="0"/>
        <v>12665000</v>
      </c>
    </row>
    <row r="16" spans="1:12" x14ac:dyDescent="0.25">
      <c r="A16" t="s">
        <v>33</v>
      </c>
      <c r="D16" s="15">
        <f>'Usage Totals'!C57</f>
        <v>45</v>
      </c>
      <c r="E16" s="15">
        <f>'Usage Totals'!E57</f>
        <v>11493000</v>
      </c>
      <c r="F16" s="15">
        <f>D16*2000</f>
        <v>90000</v>
      </c>
      <c r="G16" s="15">
        <f>D16*3000</f>
        <v>135000</v>
      </c>
      <c r="H16" s="15">
        <f>D16*5000</f>
        <v>225000</v>
      </c>
      <c r="I16" s="15">
        <f>D16*10000</f>
        <v>450000</v>
      </c>
      <c r="J16" s="15">
        <f>D16*30000</f>
        <v>1350000</v>
      </c>
      <c r="K16" s="15">
        <f>E16-SUM(F16:J16)</f>
        <v>9243000</v>
      </c>
      <c r="L16" s="15">
        <f t="shared" si="0"/>
        <v>11493000</v>
      </c>
    </row>
    <row r="17" spans="1:12" x14ac:dyDescent="0.25"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t="s">
        <v>12</v>
      </c>
      <c r="D18" s="5">
        <f>SUM(D11:D17)</f>
        <v>47470</v>
      </c>
      <c r="E18" s="5">
        <f>SUM(E11:E17)</f>
        <v>187740000</v>
      </c>
      <c r="F18" s="5">
        <f>SUM(F11:F17)</f>
        <v>77676000</v>
      </c>
      <c r="G18" s="5">
        <f t="shared" ref="G18:L18" si="1">SUM(G11:G17)</f>
        <v>58785000</v>
      </c>
      <c r="H18" s="5">
        <f t="shared" si="1"/>
        <v>26595000</v>
      </c>
      <c r="I18" s="5">
        <f t="shared" si="1"/>
        <v>10406000</v>
      </c>
      <c r="J18" s="5">
        <f t="shared" si="1"/>
        <v>5035000</v>
      </c>
      <c r="K18" s="5">
        <f t="shared" si="1"/>
        <v>9243000</v>
      </c>
      <c r="L18" s="5">
        <f t="shared" si="1"/>
        <v>187740000</v>
      </c>
    </row>
    <row r="20" spans="1:12" x14ac:dyDescent="0.25">
      <c r="A20" s="13" t="s">
        <v>7</v>
      </c>
    </row>
    <row r="21" spans="1:12" x14ac:dyDescent="0.25">
      <c r="A21" t="s">
        <v>8</v>
      </c>
    </row>
    <row r="22" spans="1:12" x14ac:dyDescent="0.25">
      <c r="E22" s="20"/>
    </row>
    <row r="23" spans="1:12" x14ac:dyDescent="0.25">
      <c r="A23">
        <v>1</v>
      </c>
      <c r="D23">
        <v>2</v>
      </c>
      <c r="E23">
        <v>3</v>
      </c>
      <c r="F23">
        <v>4</v>
      </c>
      <c r="G23">
        <v>5</v>
      </c>
    </row>
    <row r="24" spans="1:12" x14ac:dyDescent="0.25">
      <c r="D24" s="14" t="s">
        <v>4</v>
      </c>
      <c r="E24" s="14" t="s">
        <v>9</v>
      </c>
      <c r="F24" s="14" t="s">
        <v>10</v>
      </c>
      <c r="G24" s="14" t="s">
        <v>11</v>
      </c>
    </row>
    <row r="25" spans="1:12" x14ac:dyDescent="0.25">
      <c r="A25" t="s">
        <v>29</v>
      </c>
      <c r="D25" s="5">
        <f>D18</f>
        <v>47470</v>
      </c>
      <c r="E25" s="5">
        <f>F18</f>
        <v>77676000</v>
      </c>
      <c r="F25" s="1">
        <v>16.920000000000002</v>
      </c>
      <c r="G25" s="1">
        <f>D25*F25</f>
        <v>803192.4</v>
      </c>
    </row>
    <row r="26" spans="1:12" x14ac:dyDescent="0.25">
      <c r="A26" t="s">
        <v>30</v>
      </c>
      <c r="D26" s="5"/>
      <c r="E26" s="5">
        <f>G18</f>
        <v>58785000</v>
      </c>
      <c r="F26" s="1">
        <v>6.61</v>
      </c>
      <c r="G26" s="1">
        <f>(E26/1000)*F26</f>
        <v>388568.85000000003</v>
      </c>
    </row>
    <row r="27" spans="1:12" x14ac:dyDescent="0.25">
      <c r="A27" t="s">
        <v>14</v>
      </c>
      <c r="D27" s="5"/>
      <c r="E27" s="5">
        <f>H18</f>
        <v>26595000</v>
      </c>
      <c r="F27" s="1">
        <v>5.18</v>
      </c>
      <c r="G27" s="1">
        <f>(E27/1000)*F27</f>
        <v>137762.1</v>
      </c>
    </row>
    <row r="28" spans="1:12" x14ac:dyDescent="0.25">
      <c r="A28" t="s">
        <v>31</v>
      </c>
      <c r="D28" s="5"/>
      <c r="E28" s="5">
        <f>I18</f>
        <v>10406000</v>
      </c>
      <c r="F28" s="1">
        <v>4.5199999999999996</v>
      </c>
      <c r="G28" s="1">
        <f>(E28/1000)*F28</f>
        <v>47035.119999999995</v>
      </c>
    </row>
    <row r="29" spans="1:12" x14ac:dyDescent="0.25">
      <c r="A29" t="s">
        <v>32</v>
      </c>
      <c r="D29" s="21"/>
      <c r="E29" s="21">
        <f>J18</f>
        <v>5035000</v>
      </c>
      <c r="F29" s="9">
        <v>4.3</v>
      </c>
      <c r="G29" s="9">
        <f>(E29/1000)*F29</f>
        <v>21650.5</v>
      </c>
    </row>
    <row r="30" spans="1:12" x14ac:dyDescent="0.25">
      <c r="A30" t="s">
        <v>33</v>
      </c>
      <c r="D30" s="15"/>
      <c r="E30" s="15">
        <f>K18</f>
        <v>9243000</v>
      </c>
      <c r="F30" s="11">
        <v>4.18</v>
      </c>
      <c r="G30" s="11">
        <f>(E30/1000)*F30</f>
        <v>38635.74</v>
      </c>
    </row>
    <row r="31" spans="1:12" x14ac:dyDescent="0.25">
      <c r="D31" s="5"/>
      <c r="E31" s="5"/>
    </row>
    <row r="32" spans="1:12" x14ac:dyDescent="0.25">
      <c r="A32" t="s">
        <v>12</v>
      </c>
      <c r="D32" s="5">
        <f>SUM(D25:D30)</f>
        <v>47470</v>
      </c>
      <c r="E32" s="5">
        <f>SUM(E25:E30)</f>
        <v>187740000</v>
      </c>
      <c r="G32" s="1">
        <f>SUM(G25:G30)</f>
        <v>1436844.7100000002</v>
      </c>
    </row>
  </sheetData>
  <pageMargins left="0.25" right="0.25" top="0.75" bottom="0.75" header="0.3" footer="0.3"/>
  <pageSetup scale="85" orientation="landscape" horizontalDpi="0" verticalDpi="0" r:id="rId1"/>
  <headerFooter>
    <oddHeader>&amp;RCase No. 2022-00404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A46E6-6660-49DE-A581-ABEF4FD68C6A}">
  <dimension ref="A1:J28"/>
  <sheetViews>
    <sheetView topLeftCell="A9" workbookViewId="0">
      <selection activeCell="A23" sqref="A23:A26"/>
    </sheetView>
  </sheetViews>
  <sheetFormatPr defaultRowHeight="15" x14ac:dyDescent="0.25"/>
  <cols>
    <col min="4" max="4" width="9.28515625" bestFit="1" customWidth="1"/>
    <col min="5" max="6" width="13.28515625" bestFit="1" customWidth="1"/>
    <col min="7" max="7" width="14.42578125" bestFit="1" customWidth="1"/>
    <col min="8" max="8" width="13.28515625" bestFit="1" customWidth="1"/>
    <col min="9" max="9" width="12.42578125" bestFit="1" customWidth="1"/>
    <col min="10" max="10" width="13.28515625" bestFit="1" customWidth="1"/>
  </cols>
  <sheetData>
    <row r="1" spans="1:10" ht="15.75" x14ac:dyDescent="0.25">
      <c r="A1" s="12" t="s">
        <v>0</v>
      </c>
    </row>
    <row r="2" spans="1:10" ht="15.75" x14ac:dyDescent="0.25">
      <c r="A2" s="12" t="s">
        <v>28</v>
      </c>
    </row>
    <row r="4" spans="1:10" x14ac:dyDescent="0.25">
      <c r="A4" s="13" t="s">
        <v>1</v>
      </c>
    </row>
    <row r="5" spans="1:10" x14ac:dyDescent="0.25">
      <c r="A5" t="s">
        <v>2</v>
      </c>
    </row>
    <row r="7" spans="1:10" x14ac:dyDescent="0.25">
      <c r="A7" t="s">
        <v>3</v>
      </c>
      <c r="B7" s="2" t="s">
        <v>13</v>
      </c>
    </row>
    <row r="9" spans="1:10" x14ac:dyDescent="0.25">
      <c r="A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</row>
    <row r="10" spans="1:10" x14ac:dyDescent="0.25">
      <c r="D10" s="14" t="s">
        <v>4</v>
      </c>
      <c r="E10" s="14" t="s">
        <v>5</v>
      </c>
      <c r="F10" s="14" t="s">
        <v>103</v>
      </c>
      <c r="G10" s="14" t="s">
        <v>104</v>
      </c>
      <c r="H10" s="14" t="s">
        <v>37</v>
      </c>
      <c r="I10" s="14" t="s">
        <v>38</v>
      </c>
      <c r="J10" s="14" t="s">
        <v>6</v>
      </c>
    </row>
    <row r="11" spans="1:10" x14ac:dyDescent="0.25">
      <c r="A11" t="s">
        <v>102</v>
      </c>
      <c r="D11" s="5">
        <f>'Usage Totals'!P15</f>
        <v>464</v>
      </c>
      <c r="E11" s="5">
        <f>'Usage Totals'!Q15</f>
        <v>1403000</v>
      </c>
      <c r="F11" s="5">
        <f>E11</f>
        <v>1403000</v>
      </c>
      <c r="G11" s="5"/>
      <c r="H11" s="5"/>
      <c r="I11" s="5"/>
      <c r="J11" s="5">
        <f>SUM(F11:I11)</f>
        <v>1403000</v>
      </c>
    </row>
    <row r="12" spans="1:10" x14ac:dyDescent="0.25">
      <c r="A12" t="s">
        <v>31</v>
      </c>
      <c r="D12" s="5">
        <f>'Usage Totals'!P25</f>
        <v>41</v>
      </c>
      <c r="E12" s="5">
        <f>'Usage Totals'!Q25</f>
        <v>553000</v>
      </c>
      <c r="F12" s="5">
        <f>D12*10000</f>
        <v>410000</v>
      </c>
      <c r="G12" s="5">
        <f>E12-F12</f>
        <v>143000</v>
      </c>
      <c r="H12" s="5"/>
      <c r="I12" s="5"/>
      <c r="J12" s="5">
        <f>SUM(F12:I12)</f>
        <v>553000</v>
      </c>
    </row>
    <row r="13" spans="1:10" x14ac:dyDescent="0.25">
      <c r="A13" t="s">
        <v>32</v>
      </c>
      <c r="D13" s="5">
        <f>'Usage Totals'!P52</f>
        <v>51</v>
      </c>
      <c r="E13" s="5">
        <f>'Usage Totals'!Q52</f>
        <v>1681000</v>
      </c>
      <c r="F13" s="5">
        <f>D13*10000</f>
        <v>510000</v>
      </c>
      <c r="G13" s="5">
        <f>D13*10000</f>
        <v>510000</v>
      </c>
      <c r="H13" s="5">
        <f>E13-(F13+G13)</f>
        <v>661000</v>
      </c>
      <c r="I13" s="5"/>
      <c r="J13" s="5">
        <f>SUM(F13:I13)</f>
        <v>1681000</v>
      </c>
    </row>
    <row r="14" spans="1:10" x14ac:dyDescent="0.25">
      <c r="A14" t="s">
        <v>33</v>
      </c>
      <c r="D14" s="15">
        <f>'Usage Totals'!L53</f>
        <v>51</v>
      </c>
      <c r="E14" s="15">
        <f>'Usage Totals'!N53</f>
        <v>5060000</v>
      </c>
      <c r="F14" s="15">
        <f>D14*10000</f>
        <v>510000</v>
      </c>
      <c r="G14" s="15">
        <f>D14*10000</f>
        <v>510000</v>
      </c>
      <c r="H14" s="15">
        <f>D14*30000</f>
        <v>1530000</v>
      </c>
      <c r="I14" s="15">
        <f>E14-SUM(F14:H14)</f>
        <v>2510000</v>
      </c>
      <c r="J14" s="15">
        <f>SUM(F14:I14)</f>
        <v>5060000</v>
      </c>
    </row>
    <row r="15" spans="1:10" x14ac:dyDescent="0.25">
      <c r="D15" s="5"/>
      <c r="E15" s="5"/>
      <c r="F15" s="5"/>
      <c r="G15" s="5"/>
      <c r="H15" s="5"/>
      <c r="I15" s="5"/>
      <c r="J15" s="5"/>
    </row>
    <row r="16" spans="1:10" x14ac:dyDescent="0.25">
      <c r="A16" t="s">
        <v>12</v>
      </c>
      <c r="D16" s="5">
        <f t="shared" ref="D16:J16" si="0">SUM(D11:D15)</f>
        <v>607</v>
      </c>
      <c r="E16" s="5">
        <f t="shared" si="0"/>
        <v>8697000</v>
      </c>
      <c r="F16" s="5">
        <f t="shared" si="0"/>
        <v>2833000</v>
      </c>
      <c r="G16" s="5">
        <f t="shared" si="0"/>
        <v>1163000</v>
      </c>
      <c r="H16" s="5">
        <f t="shared" si="0"/>
        <v>2191000</v>
      </c>
      <c r="I16" s="5">
        <f t="shared" si="0"/>
        <v>2510000</v>
      </c>
      <c r="J16" s="5">
        <f t="shared" si="0"/>
        <v>8697000</v>
      </c>
    </row>
    <row r="18" spans="1:7" x14ac:dyDescent="0.25">
      <c r="A18" s="13" t="s">
        <v>7</v>
      </c>
    </row>
    <row r="19" spans="1:7" x14ac:dyDescent="0.25">
      <c r="A19" t="s">
        <v>8</v>
      </c>
    </row>
    <row r="21" spans="1:7" x14ac:dyDescent="0.25">
      <c r="A21">
        <v>1</v>
      </c>
      <c r="D21">
        <v>2</v>
      </c>
      <c r="E21">
        <v>3</v>
      </c>
      <c r="F21">
        <v>4</v>
      </c>
      <c r="G21">
        <v>5</v>
      </c>
    </row>
    <row r="22" spans="1:7" x14ac:dyDescent="0.25">
      <c r="D22" s="14" t="s">
        <v>4</v>
      </c>
      <c r="E22" s="14" t="s">
        <v>9</v>
      </c>
      <c r="F22" s="14" t="s">
        <v>10</v>
      </c>
      <c r="G22" s="14" t="s">
        <v>11</v>
      </c>
    </row>
    <row r="23" spans="1:7" x14ac:dyDescent="0.25">
      <c r="A23" t="s">
        <v>102</v>
      </c>
      <c r="D23" s="5">
        <f>D16</f>
        <v>607</v>
      </c>
      <c r="E23" s="5">
        <f>F16</f>
        <v>2833000</v>
      </c>
      <c r="F23" s="1">
        <v>62.65</v>
      </c>
      <c r="G23" s="1">
        <f>D23*F23</f>
        <v>38028.549999999996</v>
      </c>
    </row>
    <row r="24" spans="1:7" x14ac:dyDescent="0.25">
      <c r="A24" t="s">
        <v>31</v>
      </c>
      <c r="D24" s="5"/>
      <c r="E24" s="5">
        <f>G16</f>
        <v>1163000</v>
      </c>
      <c r="F24" s="1">
        <v>4.5199999999999996</v>
      </c>
      <c r="G24" s="1">
        <f>(E24/1000)*F24</f>
        <v>5256.7599999999993</v>
      </c>
    </row>
    <row r="25" spans="1:7" x14ac:dyDescent="0.25">
      <c r="A25" t="s">
        <v>32</v>
      </c>
      <c r="D25" s="5"/>
      <c r="E25" s="5">
        <f>H16</f>
        <v>2191000</v>
      </c>
      <c r="F25" s="1">
        <v>4.3</v>
      </c>
      <c r="G25" s="1">
        <f>(E25/1000)*F25</f>
        <v>9421.2999999999993</v>
      </c>
    </row>
    <row r="26" spans="1:7" x14ac:dyDescent="0.25">
      <c r="A26" t="s">
        <v>33</v>
      </c>
      <c r="D26" s="15"/>
      <c r="E26" s="15">
        <f>I16</f>
        <v>2510000</v>
      </c>
      <c r="F26" s="11">
        <v>4.18</v>
      </c>
      <c r="G26" s="11">
        <f>(E26/1000)*F26</f>
        <v>10491.8</v>
      </c>
    </row>
    <row r="28" spans="1:7" x14ac:dyDescent="0.25">
      <c r="A28" t="s">
        <v>12</v>
      </c>
      <c r="D28" s="5">
        <f>SUM(D23:D27)</f>
        <v>607</v>
      </c>
      <c r="E28" s="5">
        <f>SUM(E23:E27)</f>
        <v>8697000</v>
      </c>
      <c r="G28" s="1">
        <f>SUM(G23:G27)</f>
        <v>63198.41</v>
      </c>
    </row>
  </sheetData>
  <pageMargins left="0.7" right="0.7" top="0.75" bottom="0.75" header="0.3" footer="0.3"/>
  <pageSetup orientation="landscape" horizontalDpi="0" verticalDpi="0" r:id="rId1"/>
  <headerFooter>
    <oddHeader>&amp;RCase No. 2022-00404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9A851-CB7B-41BD-BDB0-1498BD7D627A}">
  <dimension ref="A1:H24"/>
  <sheetViews>
    <sheetView topLeftCell="A6" workbookViewId="0">
      <selection activeCell="A21" sqref="A21:A22"/>
    </sheetView>
  </sheetViews>
  <sheetFormatPr defaultRowHeight="15" x14ac:dyDescent="0.25"/>
  <cols>
    <col min="4" max="4" width="9.28515625" bestFit="1" customWidth="1"/>
    <col min="5" max="5" width="14.28515625" bestFit="1" customWidth="1"/>
    <col min="6" max="7" width="13.28515625" bestFit="1" customWidth="1"/>
    <col min="8" max="9" width="14.28515625" bestFit="1" customWidth="1"/>
  </cols>
  <sheetData>
    <row r="1" spans="1:8" ht="15.75" x14ac:dyDescent="0.25">
      <c r="A1" s="12" t="s">
        <v>0</v>
      </c>
    </row>
    <row r="2" spans="1:8" ht="15.75" x14ac:dyDescent="0.25">
      <c r="A2" s="12" t="s">
        <v>28</v>
      </c>
    </row>
    <row r="4" spans="1:8" x14ac:dyDescent="0.25">
      <c r="A4" s="13" t="s">
        <v>1</v>
      </c>
    </row>
    <row r="5" spans="1:8" x14ac:dyDescent="0.25">
      <c r="A5" t="s">
        <v>2</v>
      </c>
    </row>
    <row r="7" spans="1:8" x14ac:dyDescent="0.25">
      <c r="A7" t="s">
        <v>3</v>
      </c>
      <c r="B7" s="2" t="s">
        <v>16</v>
      </c>
    </row>
    <row r="9" spans="1:8" x14ac:dyDescent="0.25">
      <c r="A9">
        <v>1</v>
      </c>
      <c r="D9">
        <v>2</v>
      </c>
      <c r="E9">
        <v>3</v>
      </c>
      <c r="F9">
        <v>4</v>
      </c>
      <c r="G9">
        <v>5</v>
      </c>
      <c r="H9">
        <v>6</v>
      </c>
    </row>
    <row r="10" spans="1:8" x14ac:dyDescent="0.25">
      <c r="D10" s="14" t="s">
        <v>4</v>
      </c>
      <c r="E10" s="14" t="s">
        <v>5</v>
      </c>
      <c r="F10" s="14" t="s">
        <v>106</v>
      </c>
      <c r="G10" s="14" t="s">
        <v>38</v>
      </c>
      <c r="H10" s="14" t="s">
        <v>6</v>
      </c>
    </row>
    <row r="11" spans="1:8" x14ac:dyDescent="0.25">
      <c r="A11" t="s">
        <v>105</v>
      </c>
      <c r="D11" s="5">
        <f>'Usage Totals'!Y21</f>
        <v>35</v>
      </c>
      <c r="E11" s="5">
        <f>'Usage Totals'!Z21</f>
        <v>322000</v>
      </c>
      <c r="F11" s="5">
        <f>E11</f>
        <v>322000</v>
      </c>
      <c r="G11" s="5"/>
      <c r="H11" s="5">
        <f>SUM(F11:G11)</f>
        <v>322000</v>
      </c>
    </row>
    <row r="12" spans="1:8" x14ac:dyDescent="0.25">
      <c r="A12" t="s">
        <v>33</v>
      </c>
      <c r="D12" s="15">
        <f>'Usage Totals'!U22</f>
        <v>13</v>
      </c>
      <c r="E12" s="15">
        <f>'Usage Totals'!W22</f>
        <v>2718000</v>
      </c>
      <c r="F12" s="15">
        <f>D12*50000</f>
        <v>650000</v>
      </c>
      <c r="G12" s="15">
        <f>E12-SUM(F12:F12)</f>
        <v>2068000</v>
      </c>
      <c r="H12" s="15">
        <f>SUM(F12:G12)</f>
        <v>2718000</v>
      </c>
    </row>
    <row r="13" spans="1:8" x14ac:dyDescent="0.25">
      <c r="D13" s="5"/>
      <c r="E13" s="5"/>
      <c r="F13" s="5"/>
      <c r="G13" s="5"/>
      <c r="H13" s="5"/>
    </row>
    <row r="14" spans="1:8" x14ac:dyDescent="0.25">
      <c r="A14" t="s">
        <v>12</v>
      </c>
      <c r="D14" s="5">
        <f t="shared" ref="D14:F14" si="0">SUM(D11:D13)</f>
        <v>48</v>
      </c>
      <c r="E14" s="5">
        <f t="shared" si="0"/>
        <v>3040000</v>
      </c>
      <c r="F14" s="5">
        <f t="shared" si="0"/>
        <v>972000</v>
      </c>
      <c r="G14" s="5">
        <f>SUM(G11:G13)</f>
        <v>2068000</v>
      </c>
      <c r="H14" s="5">
        <f>SUM(H11:H13)</f>
        <v>3040000</v>
      </c>
    </row>
    <row r="16" spans="1:8" x14ac:dyDescent="0.25">
      <c r="A16" s="13" t="s">
        <v>7</v>
      </c>
    </row>
    <row r="17" spans="1:7" x14ac:dyDescent="0.25">
      <c r="A17" t="s">
        <v>8</v>
      </c>
    </row>
    <row r="19" spans="1:7" x14ac:dyDescent="0.25">
      <c r="A19">
        <v>1</v>
      </c>
      <c r="D19">
        <v>2</v>
      </c>
      <c r="E19">
        <v>3</v>
      </c>
      <c r="F19">
        <v>4</v>
      </c>
      <c r="G19">
        <v>5</v>
      </c>
    </row>
    <row r="20" spans="1:7" x14ac:dyDescent="0.25">
      <c r="D20" s="14" t="s">
        <v>4</v>
      </c>
      <c r="E20" s="14" t="s">
        <v>9</v>
      </c>
      <c r="F20" s="14" t="s">
        <v>10</v>
      </c>
      <c r="G20" s="14" t="s">
        <v>11</v>
      </c>
    </row>
    <row r="21" spans="1:7" x14ac:dyDescent="0.25">
      <c r="A21" t="s">
        <v>105</v>
      </c>
      <c r="D21" s="5">
        <f>D14</f>
        <v>48</v>
      </c>
      <c r="E21" s="5">
        <f>F14</f>
        <v>972000</v>
      </c>
      <c r="F21" s="1">
        <v>236.85</v>
      </c>
      <c r="G21" s="1">
        <f>D21*F21</f>
        <v>11368.8</v>
      </c>
    </row>
    <row r="22" spans="1:7" x14ac:dyDescent="0.25">
      <c r="A22" t="s">
        <v>33</v>
      </c>
      <c r="D22" s="15"/>
      <c r="E22" s="15">
        <f>G14</f>
        <v>2068000</v>
      </c>
      <c r="F22" s="11">
        <v>4.18</v>
      </c>
      <c r="G22" s="11">
        <f>(E22/1000)*F22</f>
        <v>8644.24</v>
      </c>
    </row>
    <row r="23" spans="1:7" x14ac:dyDescent="0.25">
      <c r="D23" s="5"/>
      <c r="E23" s="5"/>
    </row>
    <row r="24" spans="1:7" x14ac:dyDescent="0.25">
      <c r="A24" t="s">
        <v>12</v>
      </c>
      <c r="D24" s="5">
        <f>SUM(D21:D23)</f>
        <v>48</v>
      </c>
      <c r="E24" s="5">
        <f>SUM(E21:E23)</f>
        <v>3040000</v>
      </c>
      <c r="G24" s="1">
        <f>SUM(G21:G23)</f>
        <v>20013.04</v>
      </c>
    </row>
  </sheetData>
  <pageMargins left="0.7" right="0.7" top="0.75" bottom="0.75" header="0.3" footer="0.3"/>
  <pageSetup orientation="landscape" horizontalDpi="0" verticalDpi="0" r:id="rId1"/>
  <headerFooter>
    <oddHeader>&amp;RCase No. 2022-00404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3EB60-924D-45C1-9272-535838E82FA3}">
  <dimension ref="A1:G56"/>
  <sheetViews>
    <sheetView topLeftCell="A27" workbookViewId="0">
      <selection activeCell="A41" sqref="A41:G41"/>
    </sheetView>
  </sheetViews>
  <sheetFormatPr defaultRowHeight="15" x14ac:dyDescent="0.25"/>
  <cols>
    <col min="4" max="4" width="9.28515625" customWidth="1"/>
    <col min="5" max="5" width="12.5703125" bestFit="1" customWidth="1"/>
    <col min="6" max="6" width="16" bestFit="1" customWidth="1"/>
    <col min="7" max="7" width="12.5703125" bestFit="1" customWidth="1"/>
  </cols>
  <sheetData>
    <row r="1" spans="1:7" ht="15.75" x14ac:dyDescent="0.25">
      <c r="A1" s="12" t="s">
        <v>0</v>
      </c>
    </row>
    <row r="2" spans="1:7" ht="15.75" x14ac:dyDescent="0.25">
      <c r="A2" s="12" t="s">
        <v>28</v>
      </c>
    </row>
    <row r="4" spans="1:7" x14ac:dyDescent="0.25">
      <c r="A4" s="13" t="s">
        <v>1</v>
      </c>
    </row>
    <row r="5" spans="1:7" x14ac:dyDescent="0.25">
      <c r="A5" t="s">
        <v>2</v>
      </c>
    </row>
    <row r="7" spans="1:7" x14ac:dyDescent="0.25">
      <c r="A7" s="25" t="s">
        <v>3</v>
      </c>
      <c r="B7" s="26" t="s">
        <v>107</v>
      </c>
      <c r="C7" s="25"/>
      <c r="D7" s="25"/>
      <c r="E7" s="25"/>
      <c r="F7" s="25"/>
      <c r="G7" s="25"/>
    </row>
    <row r="9" spans="1:7" x14ac:dyDescent="0.25">
      <c r="A9">
        <v>1</v>
      </c>
      <c r="D9">
        <v>2</v>
      </c>
      <c r="E9">
        <v>3</v>
      </c>
      <c r="F9">
        <v>4</v>
      </c>
      <c r="G9">
        <v>5</v>
      </c>
    </row>
    <row r="10" spans="1:7" x14ac:dyDescent="0.25">
      <c r="D10" s="14" t="s">
        <v>4</v>
      </c>
      <c r="E10" s="14" t="s">
        <v>5</v>
      </c>
      <c r="F10" s="14" t="s">
        <v>23</v>
      </c>
      <c r="G10" s="14" t="s">
        <v>6</v>
      </c>
    </row>
    <row r="11" spans="1:7" x14ac:dyDescent="0.25">
      <c r="A11" t="s">
        <v>17</v>
      </c>
      <c r="D11" s="5">
        <v>12</v>
      </c>
      <c r="E11" s="5">
        <v>89425000</v>
      </c>
      <c r="F11" s="5">
        <f>E11</f>
        <v>89425000</v>
      </c>
      <c r="G11" s="5">
        <f>SUM(F11:F11)</f>
        <v>89425000</v>
      </c>
    </row>
    <row r="12" spans="1:7" x14ac:dyDescent="0.25">
      <c r="D12" s="5"/>
      <c r="E12" s="5"/>
      <c r="F12" s="5"/>
      <c r="G12" s="5"/>
    </row>
    <row r="13" spans="1:7" x14ac:dyDescent="0.25">
      <c r="A13" t="s">
        <v>12</v>
      </c>
      <c r="D13" s="17">
        <f>SUM(D11:D12)</f>
        <v>12</v>
      </c>
      <c r="E13" s="17">
        <f>SUM(E11:E12)</f>
        <v>89425000</v>
      </c>
      <c r="F13" s="17">
        <f>SUM(F11:F12)</f>
        <v>89425000</v>
      </c>
      <c r="G13" s="17">
        <f>SUM(G11:G12)</f>
        <v>89425000</v>
      </c>
    </row>
    <row r="15" spans="1:7" x14ac:dyDescent="0.25">
      <c r="A15" s="13" t="s">
        <v>7</v>
      </c>
    </row>
    <row r="16" spans="1:7" x14ac:dyDescent="0.25">
      <c r="A16" t="s">
        <v>8</v>
      </c>
    </row>
    <row r="18" spans="1:7" x14ac:dyDescent="0.25">
      <c r="A18">
        <v>1</v>
      </c>
      <c r="D18">
        <v>2</v>
      </c>
      <c r="E18">
        <v>3</v>
      </c>
      <c r="F18">
        <v>4</v>
      </c>
      <c r="G18">
        <v>5</v>
      </c>
    </row>
    <row r="19" spans="1:7" x14ac:dyDescent="0.25">
      <c r="D19" s="14" t="s">
        <v>4</v>
      </c>
      <c r="E19" s="14" t="s">
        <v>9</v>
      </c>
      <c r="F19" s="14" t="s">
        <v>10</v>
      </c>
      <c r="G19" s="14" t="s">
        <v>11</v>
      </c>
    </row>
    <row r="20" spans="1:7" x14ac:dyDescent="0.25">
      <c r="A20" t="s">
        <v>17</v>
      </c>
      <c r="D20" s="5">
        <f>D13</f>
        <v>12</v>
      </c>
      <c r="E20" s="5">
        <f>E13</f>
        <v>89425000</v>
      </c>
      <c r="F20" s="7">
        <v>3.89</v>
      </c>
      <c r="G20" s="1">
        <f>(E20/1000)*F20</f>
        <v>347863.25</v>
      </c>
    </row>
    <row r="21" spans="1:7" x14ac:dyDescent="0.25">
      <c r="D21" s="5"/>
      <c r="E21" s="5"/>
    </row>
    <row r="22" spans="1:7" x14ac:dyDescent="0.25">
      <c r="A22" t="s">
        <v>12</v>
      </c>
      <c r="D22" s="17">
        <f>SUM(D20:D21)</f>
        <v>12</v>
      </c>
      <c r="E22" s="17">
        <f>SUM(E20:E21)</f>
        <v>89425000</v>
      </c>
      <c r="F22" s="18"/>
      <c r="G22" s="19">
        <f>SUM(G20:G20)</f>
        <v>347863.25</v>
      </c>
    </row>
    <row r="24" spans="1:7" x14ac:dyDescent="0.25">
      <c r="A24" s="25" t="s">
        <v>3</v>
      </c>
      <c r="B24" s="26" t="s">
        <v>108</v>
      </c>
      <c r="C24" s="25"/>
      <c r="D24" s="25"/>
      <c r="E24" s="25"/>
      <c r="F24" s="25"/>
      <c r="G24" s="25"/>
    </row>
    <row r="26" spans="1:7" x14ac:dyDescent="0.25">
      <c r="A26">
        <v>1</v>
      </c>
      <c r="D26">
        <v>2</v>
      </c>
      <c r="E26">
        <v>3</v>
      </c>
      <c r="F26">
        <v>4</v>
      </c>
      <c r="G26">
        <v>5</v>
      </c>
    </row>
    <row r="27" spans="1:7" x14ac:dyDescent="0.25">
      <c r="D27" s="14" t="s">
        <v>4</v>
      </c>
      <c r="E27" s="14" t="s">
        <v>5</v>
      </c>
      <c r="F27" s="14" t="s">
        <v>23</v>
      </c>
      <c r="G27" s="14" t="s">
        <v>6</v>
      </c>
    </row>
    <row r="28" spans="1:7" x14ac:dyDescent="0.25">
      <c r="A28" t="s">
        <v>17</v>
      </c>
      <c r="D28" s="5">
        <v>12</v>
      </c>
      <c r="E28" s="5">
        <v>0</v>
      </c>
      <c r="F28" s="5">
        <f>E28</f>
        <v>0</v>
      </c>
      <c r="G28" s="5">
        <f>SUM(F28:F28)</f>
        <v>0</v>
      </c>
    </row>
    <row r="29" spans="1:7" x14ac:dyDescent="0.25">
      <c r="D29" s="5"/>
      <c r="E29" s="5"/>
      <c r="F29" s="5"/>
      <c r="G29" s="5"/>
    </row>
    <row r="30" spans="1:7" x14ac:dyDescent="0.25">
      <c r="A30" t="s">
        <v>12</v>
      </c>
      <c r="D30" s="17">
        <f>SUM(D28:D29)</f>
        <v>12</v>
      </c>
      <c r="E30" s="17">
        <f>SUM(E28:E29)</f>
        <v>0</v>
      </c>
      <c r="F30" s="17">
        <f>SUM(F28:F29)</f>
        <v>0</v>
      </c>
      <c r="G30" s="17">
        <f>SUM(G28:G29)</f>
        <v>0</v>
      </c>
    </row>
    <row r="32" spans="1:7" x14ac:dyDescent="0.25">
      <c r="A32" s="13" t="s">
        <v>7</v>
      </c>
    </row>
    <row r="33" spans="1:7" x14ac:dyDescent="0.25">
      <c r="A33" t="s">
        <v>8</v>
      </c>
    </row>
    <row r="35" spans="1:7" x14ac:dyDescent="0.25">
      <c r="A35">
        <v>1</v>
      </c>
      <c r="D35">
        <v>2</v>
      </c>
      <c r="E35">
        <v>3</v>
      </c>
      <c r="F35">
        <v>4</v>
      </c>
      <c r="G35">
        <v>5</v>
      </c>
    </row>
    <row r="36" spans="1:7" x14ac:dyDescent="0.25">
      <c r="D36" s="14" t="s">
        <v>4</v>
      </c>
      <c r="E36" s="14" t="s">
        <v>9</v>
      </c>
      <c r="F36" s="14" t="s">
        <v>10</v>
      </c>
      <c r="G36" s="14" t="s">
        <v>11</v>
      </c>
    </row>
    <row r="37" spans="1:7" x14ac:dyDescent="0.25">
      <c r="A37" t="s">
        <v>17</v>
      </c>
      <c r="D37" s="5">
        <f>D30</f>
        <v>12</v>
      </c>
      <c r="E37" s="5">
        <f>E30</f>
        <v>0</v>
      </c>
      <c r="F37" s="7">
        <v>3.44</v>
      </c>
      <c r="G37" s="1">
        <f>(E37/1000)*F37</f>
        <v>0</v>
      </c>
    </row>
    <row r="38" spans="1:7" x14ac:dyDescent="0.25">
      <c r="D38" s="5"/>
      <c r="E38" s="5"/>
    </row>
    <row r="39" spans="1:7" x14ac:dyDescent="0.25">
      <c r="A39" t="s">
        <v>12</v>
      </c>
      <c r="D39" s="17">
        <f>SUM(D37:D38)</f>
        <v>12</v>
      </c>
      <c r="E39" s="17">
        <f>SUM(E37:E38)</f>
        <v>0</v>
      </c>
      <c r="F39" s="18"/>
      <c r="G39" s="19">
        <f>SUM(G37:G37)</f>
        <v>0</v>
      </c>
    </row>
    <row r="41" spans="1:7" x14ac:dyDescent="0.25">
      <c r="A41" s="25" t="s">
        <v>3</v>
      </c>
      <c r="B41" s="26" t="s">
        <v>109</v>
      </c>
      <c r="C41" s="25"/>
      <c r="D41" s="25"/>
      <c r="E41" s="25"/>
      <c r="F41" s="25"/>
      <c r="G41" s="25"/>
    </row>
    <row r="43" spans="1:7" x14ac:dyDescent="0.25">
      <c r="A43">
        <v>1</v>
      </c>
      <c r="D43">
        <v>2</v>
      </c>
      <c r="E43">
        <v>3</v>
      </c>
      <c r="F43">
        <v>4</v>
      </c>
      <c r="G43">
        <v>5</v>
      </c>
    </row>
    <row r="44" spans="1:7" x14ac:dyDescent="0.25">
      <c r="D44" s="14" t="s">
        <v>4</v>
      </c>
      <c r="E44" s="14" t="s">
        <v>5</v>
      </c>
      <c r="F44" s="14" t="s">
        <v>23</v>
      </c>
      <c r="G44" s="14" t="s">
        <v>6</v>
      </c>
    </row>
    <row r="45" spans="1:7" x14ac:dyDescent="0.25">
      <c r="A45" t="s">
        <v>17</v>
      </c>
      <c r="D45" s="5">
        <v>12</v>
      </c>
      <c r="E45" s="5">
        <f>62696000+61105000</f>
        <v>123801000</v>
      </c>
      <c r="F45" s="5">
        <f>E45</f>
        <v>123801000</v>
      </c>
      <c r="G45" s="5">
        <f>SUM(F45:F45)</f>
        <v>123801000</v>
      </c>
    </row>
    <row r="46" spans="1:7" x14ac:dyDescent="0.25">
      <c r="D46" s="5"/>
      <c r="E46" s="5"/>
      <c r="F46" s="5"/>
      <c r="G46" s="5"/>
    </row>
    <row r="47" spans="1:7" x14ac:dyDescent="0.25">
      <c r="A47" t="s">
        <v>12</v>
      </c>
      <c r="D47" s="17">
        <f>SUM(D45:D46)</f>
        <v>12</v>
      </c>
      <c r="E47" s="17">
        <f>SUM(E45:E46)</f>
        <v>123801000</v>
      </c>
      <c r="F47" s="17">
        <f>SUM(F45:F46)</f>
        <v>123801000</v>
      </c>
      <c r="G47" s="17">
        <f>SUM(G45:G46)</f>
        <v>123801000</v>
      </c>
    </row>
    <row r="49" spans="1:7" x14ac:dyDescent="0.25">
      <c r="A49" s="13" t="s">
        <v>7</v>
      </c>
    </row>
    <row r="50" spans="1:7" x14ac:dyDescent="0.25">
      <c r="A50" t="s">
        <v>8</v>
      </c>
    </row>
    <row r="52" spans="1:7" x14ac:dyDescent="0.25">
      <c r="A52">
        <v>1</v>
      </c>
      <c r="D52">
        <v>2</v>
      </c>
      <c r="E52">
        <v>3</v>
      </c>
      <c r="F52">
        <v>4</v>
      </c>
      <c r="G52">
        <v>5</v>
      </c>
    </row>
    <row r="53" spans="1:7" x14ac:dyDescent="0.25">
      <c r="D53" s="14" t="s">
        <v>4</v>
      </c>
      <c r="E53" s="14" t="s">
        <v>9</v>
      </c>
      <c r="F53" s="14" t="s">
        <v>10</v>
      </c>
      <c r="G53" s="14" t="s">
        <v>11</v>
      </c>
    </row>
    <row r="54" spans="1:7" x14ac:dyDescent="0.25">
      <c r="A54" t="s">
        <v>17</v>
      </c>
      <c r="D54" s="5">
        <f>D47</f>
        <v>12</v>
      </c>
      <c r="E54" s="5">
        <f>E47</f>
        <v>123801000</v>
      </c>
      <c r="F54" s="7">
        <v>3.03</v>
      </c>
      <c r="G54" s="1">
        <f>(E54/1000)*F54</f>
        <v>375117.02999999997</v>
      </c>
    </row>
    <row r="55" spans="1:7" x14ac:dyDescent="0.25">
      <c r="A55" t="s">
        <v>110</v>
      </c>
      <c r="D55" s="5"/>
      <c r="E55" s="5"/>
      <c r="F55" s="1">
        <v>4733.91</v>
      </c>
      <c r="G55" s="3">
        <f>F55*12</f>
        <v>56806.92</v>
      </c>
    </row>
    <row r="56" spans="1:7" x14ac:dyDescent="0.25">
      <c r="A56" t="s">
        <v>12</v>
      </c>
      <c r="D56" s="17">
        <f>SUM(D54:D55)</f>
        <v>12</v>
      </c>
      <c r="E56" s="17">
        <f>SUM(E54:E55)</f>
        <v>123801000</v>
      </c>
      <c r="F56" s="18"/>
      <c r="G56" s="19">
        <f>SUM(G54:G55)</f>
        <v>431923.94999999995</v>
      </c>
    </row>
  </sheetData>
  <pageMargins left="0.7" right="0.7" top="0.75" bottom="0.75" header="0.3" footer="0.3"/>
  <pageSetup orientation="landscape" horizontalDpi="0" verticalDpi="0" r:id="rId1"/>
  <headerFooter>
    <oddHeader>&amp;RCase No. 2022-00404</oddHeader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27F0-A1DD-4DA2-ABE5-DD3AD908ADEA}">
  <dimension ref="A1:O15"/>
  <sheetViews>
    <sheetView tabSelected="1" workbookViewId="0">
      <selection activeCell="C11" sqref="C11"/>
    </sheetView>
  </sheetViews>
  <sheetFormatPr defaultRowHeight="15" x14ac:dyDescent="0.25"/>
  <cols>
    <col min="3" max="3" width="14.28515625" bestFit="1" customWidth="1"/>
    <col min="6" max="7" width="14.28515625" bestFit="1" customWidth="1"/>
    <col min="9" max="12" width="14.28515625" bestFit="1" customWidth="1"/>
    <col min="15" max="15" width="13.42578125" bestFit="1" customWidth="1"/>
  </cols>
  <sheetData>
    <row r="1" spans="1:15" ht="15.75" x14ac:dyDescent="0.25">
      <c r="A1" s="12" t="s">
        <v>27</v>
      </c>
      <c r="F1" s="8"/>
      <c r="G1" s="8"/>
      <c r="H1" s="8"/>
      <c r="I1" s="8"/>
      <c r="J1" s="8"/>
      <c r="K1" s="8"/>
    </row>
    <row r="2" spans="1:15" x14ac:dyDescent="0.25">
      <c r="C2" s="16" t="s">
        <v>22</v>
      </c>
      <c r="F2" s="8"/>
      <c r="G2" s="8"/>
      <c r="H2" s="8"/>
      <c r="I2" s="8"/>
      <c r="J2" s="8"/>
      <c r="K2" s="8"/>
    </row>
    <row r="3" spans="1:15" x14ac:dyDescent="0.25">
      <c r="A3" t="s">
        <v>18</v>
      </c>
      <c r="C3" s="3">
        <f>'Five Eights Inch Meters'!G32</f>
        <v>1436844.7100000002</v>
      </c>
      <c r="F3" s="9"/>
      <c r="G3" s="9"/>
      <c r="H3" s="8"/>
      <c r="I3" s="10"/>
      <c r="J3" s="10"/>
      <c r="K3" s="10"/>
      <c r="L3" s="1"/>
      <c r="O3" s="3"/>
    </row>
    <row r="4" spans="1:15" x14ac:dyDescent="0.25">
      <c r="A4" t="s">
        <v>19</v>
      </c>
      <c r="C4" s="3">
        <f>'1 Inch Meters'!G28</f>
        <v>63198.41</v>
      </c>
      <c r="F4" s="8"/>
      <c r="G4" s="9"/>
      <c r="H4" s="8"/>
      <c r="I4" s="10"/>
      <c r="J4" s="10"/>
      <c r="K4" s="10"/>
      <c r="L4" s="1"/>
    </row>
    <row r="5" spans="1:15" x14ac:dyDescent="0.25">
      <c r="A5" t="s">
        <v>20</v>
      </c>
      <c r="C5" s="3">
        <f>'2 Inch Meter'!G24</f>
        <v>20013.04</v>
      </c>
      <c r="F5" s="8"/>
      <c r="G5" s="9"/>
      <c r="H5" s="8"/>
      <c r="I5" s="10"/>
      <c r="J5" s="10"/>
      <c r="K5" s="10"/>
      <c r="L5" s="1"/>
    </row>
    <row r="6" spans="1:15" x14ac:dyDescent="0.25">
      <c r="C6" s="4"/>
      <c r="F6" s="8"/>
      <c r="G6" s="9"/>
      <c r="H6" s="8"/>
      <c r="I6" s="10"/>
      <c r="J6" s="10"/>
      <c r="K6" s="10"/>
      <c r="L6" s="9"/>
      <c r="O6" s="3"/>
    </row>
    <row r="7" spans="1:15" x14ac:dyDescent="0.25">
      <c r="B7" t="s">
        <v>24</v>
      </c>
      <c r="C7" s="3">
        <f>SUM(C3:C6)</f>
        <v>1520056.1600000001</v>
      </c>
      <c r="F7" s="8"/>
      <c r="G7" s="9"/>
      <c r="H7" s="8"/>
      <c r="I7" s="10"/>
      <c r="J7" s="10"/>
      <c r="K7" s="10"/>
      <c r="L7" s="1"/>
    </row>
    <row r="8" spans="1:15" x14ac:dyDescent="0.25">
      <c r="C8" s="3"/>
      <c r="F8" s="8"/>
      <c r="G8" s="9"/>
      <c r="H8" s="8"/>
      <c r="I8" s="10"/>
      <c r="J8" s="10"/>
      <c r="K8" s="10"/>
    </row>
    <row r="9" spans="1:15" x14ac:dyDescent="0.25">
      <c r="A9" t="s">
        <v>21</v>
      </c>
      <c r="C9" s="4">
        <f>Wholesale!G22+Wholesale!G39+Wholesale!G56</f>
        <v>779787.2</v>
      </c>
      <c r="F9" s="8"/>
      <c r="G9" s="9"/>
      <c r="H9" s="8"/>
      <c r="I9" s="10"/>
      <c r="J9" s="10"/>
      <c r="K9" s="10"/>
    </row>
    <row r="10" spans="1:15" x14ac:dyDescent="0.25">
      <c r="F10" s="8"/>
      <c r="G10" s="9"/>
      <c r="H10" s="8"/>
      <c r="I10" s="10"/>
      <c r="J10" s="10"/>
      <c r="K10" s="10"/>
    </row>
    <row r="11" spans="1:15" x14ac:dyDescent="0.25">
      <c r="B11" t="s">
        <v>25</v>
      </c>
      <c r="C11" s="3">
        <f>C7+C9</f>
        <v>2299843.3600000003</v>
      </c>
      <c r="G11" s="1"/>
      <c r="J11" s="10"/>
    </row>
    <row r="12" spans="1:15" x14ac:dyDescent="0.25">
      <c r="G12" s="1"/>
    </row>
    <row r="13" spans="1:15" x14ac:dyDescent="0.25">
      <c r="C13" s="3"/>
    </row>
    <row r="15" spans="1:15" x14ac:dyDescent="0.25">
      <c r="C15" s="6"/>
    </row>
  </sheetData>
  <pageMargins left="0.7" right="0.7" top="0.75" bottom="0.75" header="0.3" footer="0.3"/>
  <pageSetup orientation="portrait" horizontalDpi="0" verticalDpi="0" r:id="rId1"/>
  <headerFooter>
    <oddHeader>&amp;RCase No. 2022-00404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Usage Totals</vt:lpstr>
      <vt:lpstr>Five Eights Inch Meters</vt:lpstr>
      <vt:lpstr>1 Inch Meters</vt:lpstr>
      <vt:lpstr>2 Inch Meter</vt:lpstr>
      <vt:lpstr>Wholesale</vt:lpstr>
      <vt:lpstr>Total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HLN</dc:creator>
  <cp:lastModifiedBy>HLN</cp:lastModifiedBy>
  <cp:lastPrinted>2022-12-05T19:20:26Z</cp:lastPrinted>
  <dcterms:created xsi:type="dcterms:W3CDTF">2021-04-20T18:18:00Z</dcterms:created>
  <dcterms:modified xsi:type="dcterms:W3CDTF">2022-12-05T19:20:47Z</dcterms:modified>
</cp:coreProperties>
</file>