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Bath County WD\"/>
    </mc:Choice>
  </mc:AlternateContent>
  <xr:revisionPtr revIDLastSave="0" documentId="8_{4DC3310B-D50F-4D17-A73A-D00870B765A6}" xr6:coauthVersionLast="47" xr6:coauthVersionMax="47" xr10:uidLastSave="{00000000-0000-0000-0000-000000000000}"/>
  <bookViews>
    <workbookView xWindow="-120" yWindow="-120" windowWidth="20730" windowHeight="11160" xr2:uid="{8786C4EA-1E1B-4DF8-9979-3B57946F7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K6" i="1"/>
  <c r="J6" i="1"/>
  <c r="I6" i="1"/>
  <c r="O5" i="1"/>
  <c r="M5" i="1"/>
  <c r="K5" i="1"/>
  <c r="I5" i="1"/>
  <c r="G5" i="1"/>
  <c r="B5" i="1"/>
  <c r="O4" i="1"/>
  <c r="M4" i="1"/>
  <c r="K4" i="1"/>
  <c r="I4" i="1"/>
  <c r="G4" i="1"/>
  <c r="B4" i="1"/>
  <c r="P3" i="1"/>
  <c r="P8" i="1" s="1"/>
  <c r="O3" i="1"/>
  <c r="O8" i="1" s="1"/>
  <c r="O10" i="1" s="1"/>
  <c r="N3" i="1"/>
  <c r="N8" i="1" s="1"/>
  <c r="M3" i="1"/>
  <c r="M8" i="1" s="1"/>
  <c r="M10" i="1" s="1"/>
  <c r="L3" i="1"/>
  <c r="L8" i="1" s="1"/>
  <c r="K3" i="1"/>
  <c r="K8" i="1" s="1"/>
  <c r="K10" i="1" s="1"/>
  <c r="J3" i="1"/>
  <c r="J8" i="1" s="1"/>
  <c r="I3" i="1"/>
  <c r="I8" i="1" s="1"/>
  <c r="I10" i="1" s="1"/>
  <c r="H3" i="1"/>
  <c r="H8" i="1" s="1"/>
  <c r="G3" i="1"/>
  <c r="G8" i="1" s="1"/>
  <c r="G10" i="1" s="1"/>
  <c r="D3" i="1"/>
  <c r="D8" i="1" s="1"/>
  <c r="B3" i="1"/>
  <c r="B8" i="1" s="1"/>
  <c r="G12" i="1" l="1"/>
  <c r="G13" i="1" s="1"/>
</calcChain>
</file>

<file path=xl/sharedStrings.xml><?xml version="1.0" encoding="utf-8"?>
<sst xmlns="http://schemas.openxmlformats.org/spreadsheetml/2006/main" count="22" uniqueCount="14">
  <si>
    <t>Loan</t>
  </si>
  <si>
    <t>2021 Interest Paid</t>
  </si>
  <si>
    <t>Principal Paid</t>
  </si>
  <si>
    <t>Interest</t>
  </si>
  <si>
    <t>Principal</t>
  </si>
  <si>
    <t>KIA F16-011</t>
  </si>
  <si>
    <t>2004 RD</t>
  </si>
  <si>
    <t>2009 RD</t>
  </si>
  <si>
    <t>KIA Fund B</t>
  </si>
  <si>
    <t>Total P&amp;I</t>
  </si>
  <si>
    <t>Total 5 Yr</t>
  </si>
  <si>
    <t>Average</t>
  </si>
  <si>
    <t>NOTE:</t>
  </si>
  <si>
    <t>KIA Interest Includes KIA Service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</si>
</sst>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2" fillId="0" borderId="0" xfId="1" applyFont="1"/>
    <xf numFmtId="44" fontId="2" fillId="2" borderId="0" xfId="1" applyFont="1" applyFill="1"/>
    <xf numFmtId="44" fontId="0" fillId="2" borderId="0" xfId="1" applyFont="1" applyFill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4348-3BD1-4156-B01A-D6E6DC63EE2F}">
  <dimension ref="A1:P15"/>
  <sheetViews>
    <sheetView tabSelected="1" workbookViewId="0">
      <selection activeCell="C7" sqref="C7"/>
    </sheetView>
  </sheetViews>
  <sheetFormatPr defaultRowHeight="15" x14ac:dyDescent="0.25"/>
  <cols>
    <col min="2" max="2" width="13.42578125" customWidth="1"/>
    <col min="4" max="4" width="13.140625" bestFit="1" customWidth="1"/>
    <col min="7" max="7" width="12.5703125" bestFit="1" customWidth="1"/>
    <col min="8" max="16" width="11.5703125" bestFit="1" customWidth="1"/>
  </cols>
  <sheetData>
    <row r="1" spans="1:16" x14ac:dyDescent="0.25">
      <c r="A1" t="s">
        <v>0</v>
      </c>
      <c r="B1" t="s">
        <v>1</v>
      </c>
      <c r="D1" t="s">
        <v>2</v>
      </c>
      <c r="G1" s="1">
        <v>2022</v>
      </c>
      <c r="H1" s="1"/>
      <c r="I1" s="1">
        <v>2023</v>
      </c>
      <c r="J1" s="1"/>
      <c r="K1" s="1">
        <v>2024</v>
      </c>
      <c r="L1" s="1"/>
      <c r="M1" s="1">
        <v>2025</v>
      </c>
      <c r="N1" s="1"/>
      <c r="O1" s="1">
        <v>2026</v>
      </c>
      <c r="P1" s="1"/>
    </row>
    <row r="2" spans="1:16" x14ac:dyDescent="0.25">
      <c r="G2" t="s">
        <v>3</v>
      </c>
      <c r="H2" t="s">
        <v>4</v>
      </c>
      <c r="I2" t="s">
        <v>3</v>
      </c>
      <c r="J2" t="s">
        <v>4</v>
      </c>
      <c r="K2" t="s">
        <v>3</v>
      </c>
      <c r="L2" t="s">
        <v>4</v>
      </c>
      <c r="M2" t="s">
        <v>3</v>
      </c>
      <c r="N2" t="s">
        <v>4</v>
      </c>
      <c r="O2" t="s">
        <v>3</v>
      </c>
      <c r="P2" t="s">
        <v>4</v>
      </c>
    </row>
    <row r="3" spans="1:16" x14ac:dyDescent="0.25">
      <c r="A3" t="s">
        <v>5</v>
      </c>
      <c r="B3" s="2">
        <f>2023.52+1963.88+674.51+654.62</f>
        <v>5316.53</v>
      </c>
      <c r="C3" s="2"/>
      <c r="D3" s="2">
        <f>15902.65+15962.29</f>
        <v>31864.940000000002</v>
      </c>
      <c r="E3" s="2"/>
      <c r="F3" s="2"/>
      <c r="G3" s="2">
        <f>1963.88+1904.02+654.62+634.67</f>
        <v>5157.1900000000005</v>
      </c>
      <c r="H3" s="2">
        <f>15962.29+16022.15</f>
        <v>31984.440000000002</v>
      </c>
      <c r="I3" s="2">
        <f>1843.94+1783.63+614.64+594.55</f>
        <v>4836.76</v>
      </c>
      <c r="J3" s="2">
        <f>16082.23+16142.54</f>
        <v>32224.77</v>
      </c>
      <c r="K3" s="2">
        <f>1723.1+1662.33+574.37+554.11</f>
        <v>4513.91</v>
      </c>
      <c r="L3" s="2">
        <f>16203.07+16263.84</f>
        <v>32466.91</v>
      </c>
      <c r="M3" s="2">
        <f>1601.34+1540.12+533.78+513.38</f>
        <v>4188.62</v>
      </c>
      <c r="N3" s="2">
        <f>16324.83+16386.05</f>
        <v>32710.879999999997</v>
      </c>
      <c r="O3" s="2">
        <f>1478.68+1417+492.89+472.33</f>
        <v>3860.9</v>
      </c>
      <c r="P3" s="2">
        <f>16447.49+16509.17</f>
        <v>32956.660000000003</v>
      </c>
    </row>
    <row r="4" spans="1:16" x14ac:dyDescent="0.25">
      <c r="A4" t="s">
        <v>6</v>
      </c>
      <c r="B4" s="2">
        <f>8793.75+8585.94</f>
        <v>17379.690000000002</v>
      </c>
      <c r="C4" s="2"/>
      <c r="D4" s="2">
        <v>9500</v>
      </c>
      <c r="E4" s="2"/>
      <c r="F4" s="2"/>
      <c r="G4" s="2">
        <f>8585.94+8367.19</f>
        <v>16953.13</v>
      </c>
      <c r="H4" s="2">
        <v>10000</v>
      </c>
      <c r="I4" s="2">
        <f>8367.19+8137.5</f>
        <v>16504.690000000002</v>
      </c>
      <c r="J4" s="2">
        <v>10500</v>
      </c>
      <c r="K4" s="2">
        <f>8137.5+7896.88</f>
        <v>16034.380000000001</v>
      </c>
      <c r="L4" s="2">
        <v>11000</v>
      </c>
      <c r="M4" s="2">
        <f>7896.88+7645.31</f>
        <v>15542.19</v>
      </c>
      <c r="N4" s="2">
        <v>11500</v>
      </c>
      <c r="O4" s="2">
        <f>7645.31+7382.81</f>
        <v>15028.12</v>
      </c>
      <c r="P4" s="2">
        <v>12000</v>
      </c>
    </row>
    <row r="5" spans="1:16" x14ac:dyDescent="0.25">
      <c r="A5" t="s">
        <v>7</v>
      </c>
      <c r="B5" s="3">
        <f>2600.63+2541.25</f>
        <v>5141.88</v>
      </c>
      <c r="C5" s="2"/>
      <c r="D5" s="3">
        <v>5000</v>
      </c>
      <c r="E5" s="2"/>
      <c r="F5" s="2"/>
      <c r="G5" s="2">
        <f>2541.25+2481.88</f>
        <v>5023.13</v>
      </c>
      <c r="H5" s="2">
        <v>5000</v>
      </c>
      <c r="I5" s="2">
        <f>2481.88+2416.56</f>
        <v>4898.4400000000005</v>
      </c>
      <c r="J5" s="2">
        <v>5500</v>
      </c>
      <c r="K5" s="2">
        <f>2416.56+2351.25</f>
        <v>4767.8099999999995</v>
      </c>
      <c r="L5" s="2">
        <v>5500</v>
      </c>
      <c r="M5" s="2">
        <f>2351.25+2285.94</f>
        <v>4637.1900000000005</v>
      </c>
      <c r="N5" s="2">
        <v>5500</v>
      </c>
      <c r="O5" s="2">
        <f>2285.94+2214.69</f>
        <v>4500.63</v>
      </c>
      <c r="P5" s="2">
        <v>6000</v>
      </c>
    </row>
    <row r="6" spans="1:16" x14ac:dyDescent="0.25">
      <c r="A6" t="s">
        <v>8</v>
      </c>
      <c r="B6" s="4"/>
      <c r="C6" s="5"/>
      <c r="D6" s="4"/>
      <c r="E6" s="2"/>
      <c r="F6" s="2"/>
      <c r="G6" s="5"/>
      <c r="H6" s="5"/>
      <c r="I6" s="2">
        <f>4002.93+3964.21+640.47+634.27</f>
        <v>9241.8799999999992</v>
      </c>
      <c r="J6" s="2">
        <f>6194.97+6233.69</f>
        <v>12428.66</v>
      </c>
      <c r="K6" s="2">
        <f>3925.25+3886.05+528.04+621.77</f>
        <v>8961.11</v>
      </c>
      <c r="L6" s="2">
        <f>6272.65+6311.86</f>
        <v>12584.509999999998</v>
      </c>
      <c r="M6" s="2">
        <f>3846.6+3806.9+615.45+609.1</f>
        <v>8878.0500000000011</v>
      </c>
      <c r="N6" s="2">
        <f>6351.31+6391</f>
        <v>12742.310000000001</v>
      </c>
      <c r="O6" s="2">
        <f>3766.96+3726.77+602.71+596.28</f>
        <v>8692.7199999999993</v>
      </c>
      <c r="P6" s="2">
        <f>6430.95+6471.14</f>
        <v>12902.09</v>
      </c>
    </row>
    <row r="7" spans="1:16" x14ac:dyDescent="0.25">
      <c r="B7" s="3"/>
      <c r="C7" s="2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B8" s="2">
        <f>SUM(B3:B5)</f>
        <v>27838.100000000002</v>
      </c>
      <c r="C8" s="2"/>
      <c r="D8" s="2">
        <f>SUM(D3:D5)</f>
        <v>46364.94</v>
      </c>
      <c r="E8" s="2"/>
      <c r="F8" s="2"/>
      <c r="G8" s="2">
        <f>SUM(G3:G6)</f>
        <v>27133.45</v>
      </c>
      <c r="H8" s="2">
        <f t="shared" ref="H8:P8" si="0">SUM(H3:H6)</f>
        <v>46984.44</v>
      </c>
      <c r="I8" s="2">
        <f t="shared" si="0"/>
        <v>35481.770000000004</v>
      </c>
      <c r="J8" s="2">
        <f t="shared" si="0"/>
        <v>60653.430000000008</v>
      </c>
      <c r="K8" s="2">
        <f t="shared" si="0"/>
        <v>34277.21</v>
      </c>
      <c r="L8" s="2">
        <f t="shared" si="0"/>
        <v>61551.42</v>
      </c>
      <c r="M8" s="2">
        <f>SUM(M3:M6)</f>
        <v>33246.050000000003</v>
      </c>
      <c r="N8" s="2">
        <f t="shared" si="0"/>
        <v>62453.19</v>
      </c>
      <c r="O8" s="2">
        <f t="shared" si="0"/>
        <v>32082.370000000003</v>
      </c>
      <c r="P8" s="2">
        <f t="shared" si="0"/>
        <v>63858.75</v>
      </c>
    </row>
    <row r="9" spans="1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B10" s="2"/>
      <c r="C10" s="2"/>
      <c r="D10" s="2"/>
      <c r="E10" s="2"/>
      <c r="F10" s="2" t="s">
        <v>9</v>
      </c>
      <c r="G10" s="2">
        <f>G8+H8</f>
        <v>74117.89</v>
      </c>
      <c r="H10" s="2"/>
      <c r="I10" s="2">
        <f>I8+J8</f>
        <v>96135.200000000012</v>
      </c>
      <c r="J10" s="2"/>
      <c r="K10" s="2">
        <f>K8+L8</f>
        <v>95828.63</v>
      </c>
      <c r="L10" s="2"/>
      <c r="M10" s="2">
        <f>M8+N8</f>
        <v>95699.24</v>
      </c>
      <c r="N10" s="2"/>
      <c r="O10" s="2">
        <f>O8+P8</f>
        <v>95941.119999999995</v>
      </c>
      <c r="P10" s="2"/>
    </row>
    <row r="11" spans="1:16" x14ac:dyDescent="0.25">
      <c r="B11" s="2"/>
      <c r="C11" s="2"/>
      <c r="D11" s="2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B12" s="2"/>
      <c r="C12" s="2"/>
      <c r="D12" s="2"/>
      <c r="E12" s="2"/>
      <c r="F12" s="2" t="s">
        <v>10</v>
      </c>
      <c r="G12" s="2">
        <f>G10+I10+K10+M10+O10</f>
        <v>457722.08</v>
      </c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B13" s="2"/>
      <c r="C13" s="2"/>
      <c r="D13" s="2"/>
      <c r="E13" s="2"/>
      <c r="F13" s="2" t="s">
        <v>11</v>
      </c>
      <c r="G13" s="2">
        <f>G12/5</f>
        <v>91544.415999999997</v>
      </c>
      <c r="H13" s="2"/>
      <c r="I13" s="2"/>
      <c r="J13" s="2"/>
      <c r="K13" s="2"/>
      <c r="L13" s="2"/>
      <c r="M13" s="2"/>
      <c r="N13" s="2"/>
      <c r="O13" s="2"/>
      <c r="P13" s="2"/>
    </row>
    <row r="15" spans="1:16" x14ac:dyDescent="0.25">
      <c r="A15" t="s">
        <v>12</v>
      </c>
      <c r="B15" t="s">
        <v>13</v>
      </c>
    </row>
  </sheetData>
  <mergeCells count="5"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dcterms:created xsi:type="dcterms:W3CDTF">2022-12-05T19:09:34Z</dcterms:created>
  <dcterms:modified xsi:type="dcterms:W3CDTF">2022-12-05T19:10:23Z</dcterms:modified>
</cp:coreProperties>
</file>