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O:\Regulatory\CCN\2022_MC5_BR12_Solar_Batt\03_DataRequests\DR02\SC\SC 17-28 RTO\SC2-26 RRProfiles, Expansion error\26b Corrected RTO Study and Workpapers\"/>
    </mc:Choice>
  </mc:AlternateContent>
  <xr:revisionPtr revIDLastSave="0" documentId="13_ncr:1_{7BF25209-0981-462E-9EEC-8ED4BAF30FA3}" xr6:coauthVersionLast="47" xr6:coauthVersionMax="47" xr10:uidLastSave="{00000000-0000-0000-0000-000000000000}"/>
  <bookViews>
    <workbookView xWindow="41880" yWindow="3240" windowWidth="28800" windowHeight="15440" tabRatio="599" activeTab="1" xr2:uid="{00000000-000D-0000-FFFF-FFFF00000000}"/>
  </bookViews>
  <sheets>
    <sheet name="Chart1" sheetId="31" r:id="rId1"/>
    <sheet name="PJM Summary (Rolled Up)" sheetId="15" r:id="rId2"/>
    <sheet name="PJM Details" sheetId="1" r:id="rId3"/>
    <sheet name="PJM Chart" sheetId="16" r:id="rId4"/>
    <sheet name="GenNetMeters" sheetId="9" r:id="rId5"/>
    <sheet name="Spinning Calculation" sheetId="10" r:id="rId6"/>
    <sheet name="20-21 PJM Load Ratio Analysis" sheetId="29" r:id="rId7"/>
    <sheet name="PJM TCIC Calc" sheetId="30" r:id="rId8"/>
  </sheets>
  <externalReferences>
    <externalReference r:id="rId9"/>
  </externalReferences>
  <definedNames>
    <definedName name="_AMO_UniqueIdentifier" hidden="1">"'b17d2798-f875-490f-9dad-45d1793e6ce2'"</definedName>
    <definedName name="AS_HIST" localSheetId="1">#REF!</definedName>
    <definedName name="AS_HIST">#REF!</definedName>
    <definedName name="Data" localSheetId="6">#REF!</definedName>
    <definedName name="Data">#REF!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4" i="15" l="1"/>
  <c r="B145" i="15"/>
  <c r="B146" i="15"/>
  <c r="B147" i="15"/>
  <c r="B148" i="15"/>
  <c r="B149" i="15"/>
  <c r="B150" i="15"/>
  <c r="B151" i="15"/>
  <c r="B152" i="15"/>
  <c r="B153" i="15"/>
  <c r="B154" i="15"/>
  <c r="B155" i="15"/>
  <c r="B156" i="15"/>
  <c r="B157" i="15"/>
  <c r="B158" i="15"/>
  <c r="B143" i="15"/>
  <c r="H143" i="15" s="1"/>
  <c r="E143" i="15" a="1"/>
  <c r="E143" i="15" s="1"/>
  <c r="C143" i="15" a="1"/>
  <c r="C143" i="15" s="1"/>
  <c r="D143" i="15" a="1"/>
  <c r="D143" i="15" s="1"/>
  <c r="C121" i="15" a="1"/>
  <c r="C121" i="15" s="1"/>
  <c r="J158" i="15"/>
  <c r="H158" i="15"/>
  <c r="R62" i="15"/>
  <c r="Q62" i="15"/>
  <c r="P62" i="15"/>
  <c r="O62" i="15"/>
  <c r="N62" i="15"/>
  <c r="M62" i="15"/>
  <c r="L62" i="15"/>
  <c r="K62" i="15"/>
  <c r="J62" i="15"/>
  <c r="I62" i="15"/>
  <c r="H62" i="15"/>
  <c r="G62" i="15"/>
  <c r="F62" i="15"/>
  <c r="E62" i="15"/>
  <c r="D62" i="15"/>
  <c r="C62" i="15"/>
  <c r="I158" i="15" l="1"/>
  <c r="H145" i="15"/>
  <c r="H147" i="15"/>
  <c r="H149" i="15"/>
  <c r="H151" i="15"/>
  <c r="H153" i="15"/>
  <c r="H155" i="15"/>
  <c r="H157" i="15"/>
  <c r="I145" i="15"/>
  <c r="I147" i="15"/>
  <c r="I149" i="15"/>
  <c r="I151" i="15"/>
  <c r="I153" i="15"/>
  <c r="I155" i="15"/>
  <c r="I157" i="15"/>
  <c r="H144" i="15"/>
  <c r="H146" i="15"/>
  <c r="H148" i="15"/>
  <c r="H150" i="15"/>
  <c r="H152" i="15"/>
  <c r="H154" i="15"/>
  <c r="H156" i="15"/>
  <c r="J145" i="15"/>
  <c r="J147" i="15"/>
  <c r="J149" i="15"/>
  <c r="J151" i="15"/>
  <c r="J153" i="15"/>
  <c r="J155" i="15"/>
  <c r="J157" i="15"/>
  <c r="I144" i="15"/>
  <c r="I146" i="15"/>
  <c r="I148" i="15"/>
  <c r="I150" i="15"/>
  <c r="I152" i="15"/>
  <c r="I154" i="15"/>
  <c r="I156" i="15"/>
  <c r="J144" i="15"/>
  <c r="J146" i="15"/>
  <c r="J148" i="15"/>
  <c r="J150" i="15"/>
  <c r="J152" i="15"/>
  <c r="J154" i="15"/>
  <c r="J156" i="15"/>
  <c r="E159" i="15" l="1"/>
  <c r="J143" i="15"/>
  <c r="J159" i="15" s="1"/>
  <c r="D159" i="15"/>
  <c r="I143" i="15"/>
  <c r="I159" i="15" s="1"/>
  <c r="H159" i="15"/>
  <c r="C159" i="15"/>
  <c r="R75" i="15" l="1"/>
  <c r="D52" i="15"/>
  <c r="E52" i="15"/>
  <c r="F52" i="15"/>
  <c r="G52" i="15"/>
  <c r="H52" i="15"/>
  <c r="I52" i="15"/>
  <c r="J52" i="15"/>
  <c r="K52" i="15"/>
  <c r="L52" i="15"/>
  <c r="M52" i="15"/>
  <c r="N52" i="15"/>
  <c r="O52" i="15"/>
  <c r="P52" i="15"/>
  <c r="Q52" i="15"/>
  <c r="R52" i="15"/>
  <c r="D25" i="15"/>
  <c r="E25" i="15"/>
  <c r="F25" i="15"/>
  <c r="G25" i="15"/>
  <c r="H25" i="15"/>
  <c r="I25" i="15"/>
  <c r="J25" i="15"/>
  <c r="K25" i="15"/>
  <c r="L25" i="15"/>
  <c r="M25" i="15"/>
  <c r="N25" i="15"/>
  <c r="O25" i="15"/>
  <c r="P25" i="15"/>
  <c r="Q25" i="15"/>
  <c r="R25" i="15"/>
  <c r="C25" i="15"/>
  <c r="D98" i="15"/>
  <c r="D108" i="15" s="1"/>
  <c r="E98" i="15"/>
  <c r="E108" i="15" s="1"/>
  <c r="F98" i="15"/>
  <c r="F108" i="15" s="1"/>
  <c r="G98" i="15"/>
  <c r="G108" i="15" s="1"/>
  <c r="H98" i="15"/>
  <c r="H108" i="15" s="1"/>
  <c r="I98" i="15"/>
  <c r="I108" i="15" s="1"/>
  <c r="J98" i="15"/>
  <c r="J108" i="15" s="1"/>
  <c r="K98" i="15"/>
  <c r="K108" i="15" s="1"/>
  <c r="L98" i="15"/>
  <c r="L108" i="15" s="1"/>
  <c r="M98" i="15"/>
  <c r="M108" i="15" s="1"/>
  <c r="N98" i="15"/>
  <c r="N108" i="15" s="1"/>
  <c r="O98" i="15"/>
  <c r="O108" i="15" s="1"/>
  <c r="P98" i="15"/>
  <c r="P108" i="15" s="1"/>
  <c r="Q98" i="15"/>
  <c r="Q108" i="15" s="1"/>
  <c r="R98" i="15"/>
  <c r="R108" i="15" s="1"/>
  <c r="C98" i="15"/>
  <c r="C108" i="15" s="1"/>
  <c r="F143" i="15" s="1" a="1"/>
  <c r="B121" i="15" a="1"/>
  <c r="B121" i="15" s="1"/>
  <c r="R100" i="15"/>
  <c r="Q100" i="15"/>
  <c r="P100" i="15"/>
  <c r="O100" i="15"/>
  <c r="N100" i="15"/>
  <c r="M100" i="15"/>
  <c r="L100" i="15"/>
  <c r="K100" i="15"/>
  <c r="J100" i="15"/>
  <c r="I100" i="15"/>
  <c r="H100" i="15"/>
  <c r="G100" i="15"/>
  <c r="F100" i="15"/>
  <c r="E100" i="15"/>
  <c r="D100" i="15"/>
  <c r="C100" i="15"/>
  <c r="R99" i="15"/>
  <c r="Q99" i="15"/>
  <c r="P99" i="15"/>
  <c r="O99" i="15"/>
  <c r="N99" i="15"/>
  <c r="M99" i="15"/>
  <c r="L99" i="15"/>
  <c r="K99" i="15"/>
  <c r="J99" i="15"/>
  <c r="I99" i="15"/>
  <c r="H99" i="15"/>
  <c r="G99" i="15"/>
  <c r="F99" i="15"/>
  <c r="E99" i="15"/>
  <c r="D99" i="15"/>
  <c r="C99" i="15"/>
  <c r="D75" i="15"/>
  <c r="E75" i="15"/>
  <c r="F75" i="15"/>
  <c r="G75" i="15"/>
  <c r="H75" i="15"/>
  <c r="I75" i="15"/>
  <c r="J75" i="15"/>
  <c r="J84" i="15" s="1"/>
  <c r="K75" i="15"/>
  <c r="L75" i="15"/>
  <c r="M75" i="15"/>
  <c r="N75" i="15"/>
  <c r="O75" i="15"/>
  <c r="P75" i="15"/>
  <c r="Q75" i="15"/>
  <c r="C75" i="15"/>
  <c r="R77" i="15"/>
  <c r="Q77" i="15"/>
  <c r="P77" i="15"/>
  <c r="O77" i="15"/>
  <c r="N77" i="15"/>
  <c r="M77" i="15"/>
  <c r="L77" i="15"/>
  <c r="K77" i="15"/>
  <c r="J77" i="15"/>
  <c r="I77" i="15"/>
  <c r="H77" i="15"/>
  <c r="G77" i="15"/>
  <c r="F77" i="15"/>
  <c r="E77" i="15"/>
  <c r="D77" i="15"/>
  <c r="C77" i="15"/>
  <c r="R76" i="15"/>
  <c r="Q76" i="15"/>
  <c r="P76" i="15"/>
  <c r="O76" i="15"/>
  <c r="N76" i="15"/>
  <c r="M76" i="15"/>
  <c r="L76" i="15"/>
  <c r="K76" i="15"/>
  <c r="J76" i="15"/>
  <c r="I76" i="15"/>
  <c r="H76" i="15"/>
  <c r="G76" i="15"/>
  <c r="F76" i="15"/>
  <c r="E76" i="15"/>
  <c r="D76" i="15"/>
  <c r="C76" i="15"/>
  <c r="D53" i="15"/>
  <c r="E53" i="15"/>
  <c r="F53" i="15"/>
  <c r="G53" i="15"/>
  <c r="H53" i="15"/>
  <c r="I53" i="15"/>
  <c r="J53" i="15"/>
  <c r="K53" i="15"/>
  <c r="L53" i="15"/>
  <c r="M53" i="15"/>
  <c r="N53" i="15"/>
  <c r="O53" i="15"/>
  <c r="P53" i="15"/>
  <c r="Q53" i="15"/>
  <c r="R53" i="15"/>
  <c r="D54" i="15"/>
  <c r="E54" i="15"/>
  <c r="F54" i="15"/>
  <c r="G54" i="15"/>
  <c r="H54" i="15"/>
  <c r="I54" i="15"/>
  <c r="J54" i="15"/>
  <c r="K54" i="15"/>
  <c r="L54" i="15"/>
  <c r="M54" i="15"/>
  <c r="N54" i="15"/>
  <c r="O54" i="15"/>
  <c r="P54" i="15"/>
  <c r="Q54" i="15"/>
  <c r="R54" i="15"/>
  <c r="C54" i="15"/>
  <c r="C53" i="15"/>
  <c r="C6" i="15"/>
  <c r="C43" i="15" s="1"/>
  <c r="F143" i="15" l="1"/>
  <c r="K158" i="15"/>
  <c r="K151" i="15"/>
  <c r="K156" i="15"/>
  <c r="K155" i="15"/>
  <c r="K144" i="15"/>
  <c r="K157" i="15"/>
  <c r="K145" i="15"/>
  <c r="K153" i="15"/>
  <c r="K148" i="15"/>
  <c r="K150" i="15"/>
  <c r="K152" i="15"/>
  <c r="K146" i="15"/>
  <c r="K147" i="15"/>
  <c r="K149" i="15"/>
  <c r="K154" i="15"/>
  <c r="M84" i="15"/>
  <c r="E84" i="15"/>
  <c r="K84" i="15"/>
  <c r="R84" i="15"/>
  <c r="C84" i="15"/>
  <c r="Q84" i="15"/>
  <c r="P84" i="15"/>
  <c r="H84" i="15"/>
  <c r="G84" i="15"/>
  <c r="I84" i="15"/>
  <c r="O84" i="15"/>
  <c r="N84" i="15"/>
  <c r="F84" i="15"/>
  <c r="L84" i="15"/>
  <c r="D84" i="15"/>
  <c r="C66" i="15"/>
  <c r="C89" i="15"/>
  <c r="K143" i="15" l="1"/>
  <c r="K159" i="15" s="1"/>
  <c r="F159" i="15"/>
  <c r="T84" i="15"/>
  <c r="J5" i="9"/>
  <c r="J6" i="9" s="1"/>
  <c r="J7" i="9" s="1"/>
  <c r="J8" i="9" s="1"/>
  <c r="J9" i="9" s="1"/>
  <c r="J10" i="9" s="1"/>
  <c r="J11" i="9" s="1"/>
  <c r="J12" i="9" s="1"/>
  <c r="J13" i="9" s="1"/>
  <c r="J14" i="9" s="1"/>
  <c r="J15" i="9" s="1"/>
  <c r="J16" i="9" s="1"/>
  <c r="J17" i="9" s="1"/>
  <c r="J18" i="9" s="1"/>
  <c r="J19" i="9" s="1"/>
  <c r="J20" i="9" s="1"/>
  <c r="J21" i="9" s="1"/>
  <c r="J22" i="9" s="1"/>
  <c r="J23" i="9" s="1"/>
  <c r="J24" i="9" s="1"/>
  <c r="J25" i="9" s="1"/>
  <c r="J4" i="9"/>
  <c r="V2" i="30"/>
  <c r="W2" i="30" s="1"/>
  <c r="G7" i="1"/>
  <c r="H7" i="1" s="1"/>
  <c r="I7" i="1" s="1"/>
  <c r="J7" i="1" s="1"/>
  <c r="K7" i="1" s="1"/>
  <c r="L7" i="1" s="1"/>
  <c r="M7" i="1" s="1"/>
  <c r="N7" i="1" s="1"/>
  <c r="O7" i="1" s="1"/>
  <c r="P7" i="1" s="1"/>
  <c r="Q7" i="1" s="1"/>
  <c r="R7" i="1" s="1"/>
  <c r="S7" i="1" s="1"/>
  <c r="T7" i="1" s="1"/>
  <c r="U7" i="1" s="1"/>
  <c r="S88" i="1" l="1"/>
  <c r="S89" i="1" s="1"/>
  <c r="T88" i="1"/>
  <c r="T89" i="1" s="1"/>
  <c r="U88" i="1"/>
  <c r="U89" i="1" s="1"/>
  <c r="U90" i="1" s="1"/>
  <c r="S70" i="1"/>
  <c r="S71" i="1" s="1"/>
  <c r="T70" i="1"/>
  <c r="T71" i="1" s="1"/>
  <c r="T72" i="1" s="1"/>
  <c r="Q19" i="15" s="1"/>
  <c r="U70" i="1"/>
  <c r="U71" i="1" s="1"/>
  <c r="S37" i="1"/>
  <c r="P10" i="15" s="1"/>
  <c r="T37" i="1"/>
  <c r="Q10" i="15" s="1"/>
  <c r="U37" i="1"/>
  <c r="R10" i="15" s="1"/>
  <c r="T23" i="1"/>
  <c r="U23" i="1" s="1"/>
  <c r="T24" i="1"/>
  <c r="U24" i="1" s="1"/>
  <c r="T25" i="1"/>
  <c r="U25" i="1" s="1"/>
  <c r="T26" i="1"/>
  <c r="U26" i="1" s="1"/>
  <c r="S27" i="1"/>
  <c r="S29" i="1" s="1"/>
  <c r="S14" i="1"/>
  <c r="S15" i="1" s="1"/>
  <c r="P8" i="15" s="1"/>
  <c r="T14" i="1"/>
  <c r="T15" i="1" s="1"/>
  <c r="Q8" i="15" s="1"/>
  <c r="U14" i="1"/>
  <c r="U15" i="1" s="1"/>
  <c r="R8" i="15" s="1"/>
  <c r="S8" i="1"/>
  <c r="P6" i="15" s="1"/>
  <c r="T8" i="1"/>
  <c r="U8" i="1"/>
  <c r="R6" i="15" s="1"/>
  <c r="S9" i="1"/>
  <c r="P7" i="15" s="1"/>
  <c r="T9" i="1"/>
  <c r="Q7" i="15" s="1"/>
  <c r="U9" i="1"/>
  <c r="R7" i="15" s="1"/>
  <c r="M46" i="1"/>
  <c r="N46" i="1" s="1"/>
  <c r="O46" i="1" s="1"/>
  <c r="P46" i="1" s="1"/>
  <c r="Q46" i="1" s="1"/>
  <c r="R46" i="1" s="1"/>
  <c r="O11" i="15" s="1"/>
  <c r="R47" i="15" l="1"/>
  <c r="R93" i="15"/>
  <c r="R70" i="15"/>
  <c r="Q45" i="15"/>
  <c r="Q91" i="15"/>
  <c r="Q68" i="15"/>
  <c r="R44" i="15"/>
  <c r="R90" i="15"/>
  <c r="R67" i="15"/>
  <c r="Q44" i="15"/>
  <c r="Q90" i="15"/>
  <c r="Q67" i="15"/>
  <c r="Q56" i="15"/>
  <c r="Q102" i="15"/>
  <c r="Q79" i="15"/>
  <c r="O48" i="15"/>
  <c r="O94" i="15"/>
  <c r="O71" i="15"/>
  <c r="P45" i="15"/>
  <c r="P91" i="15"/>
  <c r="P68" i="15"/>
  <c r="R43" i="15"/>
  <c r="R89" i="15"/>
  <c r="R66" i="15"/>
  <c r="R45" i="15"/>
  <c r="R91" i="15"/>
  <c r="R68" i="15"/>
  <c r="Q47" i="15"/>
  <c r="Q93" i="15"/>
  <c r="Q70" i="15"/>
  <c r="P47" i="15"/>
  <c r="P93" i="15"/>
  <c r="P70" i="15"/>
  <c r="P44" i="15"/>
  <c r="P90" i="15"/>
  <c r="P67" i="15"/>
  <c r="P43" i="15"/>
  <c r="P89" i="15"/>
  <c r="P66" i="15"/>
  <c r="T90" i="1"/>
  <c r="S46" i="1"/>
  <c r="T27" i="1"/>
  <c r="T29" i="1" s="1"/>
  <c r="U72" i="1"/>
  <c r="R19" i="15" s="1"/>
  <c r="T10" i="1"/>
  <c r="Q6" i="15"/>
  <c r="S90" i="1"/>
  <c r="S72" i="1"/>
  <c r="P19" i="15" s="1"/>
  <c r="U27" i="1"/>
  <c r="U29" i="1" s="1"/>
  <c r="S10" i="1"/>
  <c r="U10" i="1"/>
  <c r="R88" i="1"/>
  <c r="R89" i="1" s="1"/>
  <c r="Q88" i="1"/>
  <c r="P88" i="1"/>
  <c r="P89" i="1" s="1"/>
  <c r="O88" i="1"/>
  <c r="O89" i="1" s="1"/>
  <c r="N88" i="1"/>
  <c r="N89" i="1" s="1"/>
  <c r="M88" i="1"/>
  <c r="M89" i="1" s="1"/>
  <c r="L88" i="1"/>
  <c r="L89" i="1" s="1"/>
  <c r="K88" i="1"/>
  <c r="K89" i="1" s="1"/>
  <c r="K90" i="1" s="1"/>
  <c r="J88" i="1"/>
  <c r="J89" i="1" s="1"/>
  <c r="I88" i="1"/>
  <c r="I89" i="1" s="1"/>
  <c r="H88" i="1"/>
  <c r="H89" i="1" s="1"/>
  <c r="G88" i="1"/>
  <c r="G89" i="1" s="1"/>
  <c r="F88" i="1"/>
  <c r="F89" i="1" s="1"/>
  <c r="P56" i="15" l="1"/>
  <c r="P102" i="15"/>
  <c r="P79" i="15"/>
  <c r="Q43" i="15"/>
  <c r="Q89" i="15"/>
  <c r="Q66" i="15"/>
  <c r="R56" i="15"/>
  <c r="R79" i="15"/>
  <c r="R102" i="15"/>
  <c r="T46" i="1"/>
  <c r="P11" i="15"/>
  <c r="Q89" i="1"/>
  <c r="Q90" i="1" s="1"/>
  <c r="R90" i="1"/>
  <c r="J90" i="1"/>
  <c r="I90" i="1"/>
  <c r="L90" i="1"/>
  <c r="M90" i="1"/>
  <c r="F90" i="1"/>
  <c r="N90" i="1"/>
  <c r="G90" i="1"/>
  <c r="O90" i="1"/>
  <c r="P90" i="1"/>
  <c r="H90" i="1"/>
  <c r="P48" i="15" l="1"/>
  <c r="P94" i="15"/>
  <c r="P71" i="15"/>
  <c r="U46" i="1"/>
  <c r="R11" i="15" s="1"/>
  <c r="Q11" i="15"/>
  <c r="U4" i="15"/>
  <c r="U2" i="30"/>
  <c r="T2" i="30"/>
  <c r="R14" i="1" s="1"/>
  <c r="S2" i="30"/>
  <c r="Q14" i="1" s="1"/>
  <c r="R2" i="30"/>
  <c r="P14" i="1" s="1"/>
  <c r="F14" i="1"/>
  <c r="G14" i="1"/>
  <c r="H14" i="1"/>
  <c r="I14" i="1"/>
  <c r="J14" i="1"/>
  <c r="K14" i="1"/>
  <c r="L14" i="1"/>
  <c r="M14" i="1"/>
  <c r="N14" i="1"/>
  <c r="O14" i="1"/>
  <c r="H2" i="30"/>
  <c r="I2" i="30"/>
  <c r="J2" i="30"/>
  <c r="K2" i="30"/>
  <c r="L2" i="30"/>
  <c r="M2" i="30"/>
  <c r="N2" i="30"/>
  <c r="O2" i="30"/>
  <c r="P2" i="30"/>
  <c r="Q2" i="30"/>
  <c r="G2" i="30"/>
  <c r="E12" i="30"/>
  <c r="E11" i="30"/>
  <c r="E10" i="30"/>
  <c r="E9" i="30"/>
  <c r="E8" i="30"/>
  <c r="E7" i="30"/>
  <c r="E6" i="30"/>
  <c r="E5" i="30"/>
  <c r="E4" i="30"/>
  <c r="E3" i="30"/>
  <c r="E2" i="30"/>
  <c r="R48" i="15" l="1"/>
  <c r="R94" i="15"/>
  <c r="R71" i="15"/>
  <c r="Q48" i="15"/>
  <c r="Q94" i="15"/>
  <c r="Q71" i="15"/>
  <c r="G61" i="1"/>
  <c r="H61" i="1" s="1"/>
  <c r="I61" i="1" s="1"/>
  <c r="J61" i="1" s="1"/>
  <c r="K61" i="1" s="1"/>
  <c r="L61" i="1" s="1"/>
  <c r="M61" i="1" s="1"/>
  <c r="N61" i="1" s="1"/>
  <c r="O61" i="1" s="1"/>
  <c r="P61" i="1" s="1"/>
  <c r="Q61" i="1" s="1"/>
  <c r="R61" i="1" s="1"/>
  <c r="S61" i="1" s="1"/>
  <c r="T61" i="1" l="1"/>
  <c r="S63" i="1"/>
  <c r="P18" i="15" s="1"/>
  <c r="R8" i="1"/>
  <c r="R9" i="1"/>
  <c r="O7" i="15" s="1"/>
  <c r="R15" i="1"/>
  <c r="O8" i="15" s="1"/>
  <c r="R37" i="1"/>
  <c r="O10" i="15" s="1"/>
  <c r="R63" i="1"/>
  <c r="O18" i="15" s="1"/>
  <c r="R70" i="1"/>
  <c r="R71" i="1" s="1"/>
  <c r="E52" i="1"/>
  <c r="D52" i="1"/>
  <c r="E50" i="1"/>
  <c r="D50" i="1"/>
  <c r="E51" i="1"/>
  <c r="D51" i="1"/>
  <c r="O55" i="15" l="1"/>
  <c r="O78" i="15"/>
  <c r="O101" i="15"/>
  <c r="O45" i="15"/>
  <c r="O91" i="15"/>
  <c r="O68" i="15"/>
  <c r="O44" i="15"/>
  <c r="O90" i="15"/>
  <c r="O67" i="15"/>
  <c r="O47" i="15"/>
  <c r="O70" i="15"/>
  <c r="O93" i="15"/>
  <c r="P55" i="15"/>
  <c r="P101" i="15"/>
  <c r="P103" i="15" s="1"/>
  <c r="P78" i="15"/>
  <c r="P80" i="15" s="1"/>
  <c r="P57" i="15"/>
  <c r="P20" i="15"/>
  <c r="U61" i="1"/>
  <c r="U63" i="1" s="1"/>
  <c r="R18" i="15" s="1"/>
  <c r="T63" i="1"/>
  <c r="Q18" i="15" s="1"/>
  <c r="R10" i="1"/>
  <c r="O6" i="15"/>
  <c r="R72" i="1"/>
  <c r="O19" i="15" s="1"/>
  <c r="O56" i="15" l="1"/>
  <c r="O57" i="15" s="1"/>
  <c r="O102" i="15"/>
  <c r="O79" i="15"/>
  <c r="O43" i="15"/>
  <c r="O89" i="15"/>
  <c r="O66" i="15"/>
  <c r="Q55" i="15"/>
  <c r="Q57" i="15" s="1"/>
  <c r="Q101" i="15"/>
  <c r="Q103" i="15" s="1"/>
  <c r="Q78" i="15"/>
  <c r="Q80" i="15" s="1"/>
  <c r="O103" i="15"/>
  <c r="R55" i="15"/>
  <c r="R57" i="15" s="1"/>
  <c r="R78" i="15"/>
  <c r="R80" i="15" s="1"/>
  <c r="R101" i="15"/>
  <c r="R103" i="15" s="1"/>
  <c r="O80" i="15"/>
  <c r="Q20" i="15"/>
  <c r="R20" i="15"/>
  <c r="O20" i="15"/>
  <c r="F15" i="1" l="1"/>
  <c r="G15" i="1"/>
  <c r="H15" i="1"/>
  <c r="I15" i="1"/>
  <c r="J15" i="1"/>
  <c r="K15" i="1"/>
  <c r="L15" i="1"/>
  <c r="M15" i="1"/>
  <c r="N15" i="1"/>
  <c r="O15" i="1"/>
  <c r="P15" i="1"/>
  <c r="Q15" i="1"/>
  <c r="N23" i="1" l="1"/>
  <c r="O23" i="1" s="1"/>
  <c r="N24" i="1"/>
  <c r="O24" i="1" s="1"/>
  <c r="P24" i="1" s="1"/>
  <c r="Q24" i="1" s="1"/>
  <c r="R24" i="1" s="1"/>
  <c r="N25" i="1"/>
  <c r="O25" i="1" s="1"/>
  <c r="P25" i="1" s="1"/>
  <c r="Q25" i="1" s="1"/>
  <c r="R25" i="1" s="1"/>
  <c r="N26" i="1"/>
  <c r="O26" i="1" s="1"/>
  <c r="P26" i="1" s="1"/>
  <c r="Q26" i="1" s="1"/>
  <c r="R26" i="1" s="1"/>
  <c r="M27" i="1"/>
  <c r="M29" i="1" s="1"/>
  <c r="L23" i="1"/>
  <c r="L24" i="1"/>
  <c r="L25" i="1"/>
  <c r="L26" i="1"/>
  <c r="K27" i="1"/>
  <c r="L27" i="1" l="1"/>
  <c r="L29" i="1" s="1"/>
  <c r="P23" i="1"/>
  <c r="O27" i="1"/>
  <c r="O29" i="1" s="1"/>
  <c r="N27" i="1"/>
  <c r="N29" i="1" s="1"/>
  <c r="Q23" i="1" l="1"/>
  <c r="P27" i="1"/>
  <c r="P29" i="1" s="1"/>
  <c r="B12" i="10"/>
  <c r="B2" i="10"/>
  <c r="M37" i="1"/>
  <c r="N37" i="1"/>
  <c r="O37" i="1"/>
  <c r="P37" i="1"/>
  <c r="Q37" i="1"/>
  <c r="Q27" i="1" l="1"/>
  <c r="Q29" i="1" s="1"/>
  <c r="R23" i="1"/>
  <c r="R27" i="1" s="1"/>
  <c r="R29" i="1" s="1"/>
  <c r="J8" i="15"/>
  <c r="K8" i="15"/>
  <c r="L8" i="15"/>
  <c r="M8" i="15"/>
  <c r="N8" i="15"/>
  <c r="J10" i="15"/>
  <c r="K10" i="15"/>
  <c r="L10" i="15"/>
  <c r="M10" i="15"/>
  <c r="N10" i="15"/>
  <c r="C8" i="15"/>
  <c r="D8" i="15"/>
  <c r="E8" i="15"/>
  <c r="F8" i="15"/>
  <c r="G8" i="15"/>
  <c r="H8" i="15"/>
  <c r="I8" i="15"/>
  <c r="G45" i="15" l="1"/>
  <c r="G91" i="15"/>
  <c r="G68" i="15"/>
  <c r="F45" i="15"/>
  <c r="F91" i="15"/>
  <c r="F68" i="15"/>
  <c r="E45" i="15"/>
  <c r="E91" i="15"/>
  <c r="E68" i="15"/>
  <c r="M45" i="15"/>
  <c r="M91" i="15"/>
  <c r="M68" i="15"/>
  <c r="J45" i="15"/>
  <c r="J91" i="15"/>
  <c r="J68" i="15"/>
  <c r="J47" i="15"/>
  <c r="J93" i="15"/>
  <c r="J70" i="15"/>
  <c r="N45" i="15"/>
  <c r="N91" i="15"/>
  <c r="N68" i="15"/>
  <c r="D45" i="15"/>
  <c r="D91" i="15"/>
  <c r="D68" i="15"/>
  <c r="C45" i="15"/>
  <c r="C91" i="15"/>
  <c r="C68" i="15"/>
  <c r="L45" i="15"/>
  <c r="L91" i="15"/>
  <c r="L68" i="15"/>
  <c r="N47" i="15"/>
  <c r="N93" i="15"/>
  <c r="N70" i="15"/>
  <c r="K45" i="15"/>
  <c r="K91" i="15"/>
  <c r="K68" i="15"/>
  <c r="I45" i="15"/>
  <c r="I91" i="15"/>
  <c r="I68" i="15"/>
  <c r="M47" i="15"/>
  <c r="M93" i="15"/>
  <c r="M70" i="15"/>
  <c r="H45" i="15"/>
  <c r="H91" i="15"/>
  <c r="H68" i="15"/>
  <c r="L47" i="15"/>
  <c r="L93" i="15"/>
  <c r="L70" i="15"/>
  <c r="K47" i="15"/>
  <c r="K93" i="15"/>
  <c r="K70" i="15"/>
  <c r="F9" i="1"/>
  <c r="G9" i="1"/>
  <c r="H9" i="1"/>
  <c r="I9" i="1"/>
  <c r="J9" i="1"/>
  <c r="K9" i="1"/>
  <c r="L9" i="1"/>
  <c r="M9" i="1"/>
  <c r="N9" i="1"/>
  <c r="O9" i="1"/>
  <c r="P9" i="1"/>
  <c r="Q9" i="1"/>
  <c r="M70" i="1" l="1"/>
  <c r="M71" i="1" s="1"/>
  <c r="M72" i="1" s="1"/>
  <c r="J19" i="15" s="1"/>
  <c r="L7" i="15"/>
  <c r="O8" i="1"/>
  <c r="Q70" i="1"/>
  <c r="Q71" i="1" s="1"/>
  <c r="Q72" i="1" s="1"/>
  <c r="N19" i="15" s="1"/>
  <c r="K7" i="15"/>
  <c r="N8" i="1"/>
  <c r="J7" i="15"/>
  <c r="M8" i="1"/>
  <c r="O70" i="1"/>
  <c r="O71" i="1" s="1"/>
  <c r="O72" i="1" s="1"/>
  <c r="L19" i="15" s="1"/>
  <c r="M7" i="15"/>
  <c r="P8" i="1"/>
  <c r="N7" i="15"/>
  <c r="Q8" i="1"/>
  <c r="N6" i="15" s="1"/>
  <c r="P70" i="1"/>
  <c r="P71" i="1" s="1"/>
  <c r="P72" i="1" s="1"/>
  <c r="M19" i="15" s="1"/>
  <c r="N70" i="1"/>
  <c r="N71" i="1" s="1"/>
  <c r="N72" i="1" s="1"/>
  <c r="K19" i="15" s="1"/>
  <c r="L56" i="15" l="1"/>
  <c r="L79" i="15"/>
  <c r="L102" i="15"/>
  <c r="J56" i="15"/>
  <c r="J79" i="15"/>
  <c r="J102" i="15"/>
  <c r="K44" i="15"/>
  <c r="K90" i="15"/>
  <c r="K67" i="15"/>
  <c r="K56" i="15"/>
  <c r="K79" i="15"/>
  <c r="K102" i="15"/>
  <c r="J44" i="15"/>
  <c r="J90" i="15"/>
  <c r="J67" i="15"/>
  <c r="M56" i="15"/>
  <c r="M79" i="15"/>
  <c r="M102" i="15"/>
  <c r="N43" i="15"/>
  <c r="N89" i="15"/>
  <c r="N66" i="15"/>
  <c r="N44" i="15"/>
  <c r="N90" i="15"/>
  <c r="N67" i="15"/>
  <c r="N56" i="15"/>
  <c r="N79" i="15"/>
  <c r="N102" i="15"/>
  <c r="M44" i="15"/>
  <c r="M90" i="15"/>
  <c r="M67" i="15"/>
  <c r="L44" i="15"/>
  <c r="L90" i="15"/>
  <c r="L67" i="15"/>
  <c r="M6" i="15"/>
  <c r="P10" i="1"/>
  <c r="L6" i="15"/>
  <c r="O10" i="1"/>
  <c r="J6" i="15"/>
  <c r="M10" i="1"/>
  <c r="K6" i="15"/>
  <c r="N10" i="1"/>
  <c r="Q10" i="1"/>
  <c r="L43" i="15" l="1"/>
  <c r="L89" i="15"/>
  <c r="L66" i="15"/>
  <c r="K43" i="15"/>
  <c r="K89" i="15"/>
  <c r="K66" i="15"/>
  <c r="J43" i="15"/>
  <c r="J89" i="15"/>
  <c r="J66" i="15"/>
  <c r="M43" i="15"/>
  <c r="M89" i="15"/>
  <c r="M66" i="15"/>
  <c r="H7" i="15"/>
  <c r="I7" i="15"/>
  <c r="L70" i="1"/>
  <c r="I44" i="15" l="1"/>
  <c r="I90" i="15"/>
  <c r="I67" i="15"/>
  <c r="H44" i="15"/>
  <c r="H90" i="15"/>
  <c r="H67" i="15"/>
  <c r="K70" i="1"/>
  <c r="K71" i="1" s="1"/>
  <c r="K72" i="1" s="1"/>
  <c r="L71" i="1"/>
  <c r="L72" i="1" s="1"/>
  <c r="I19" i="15" s="1"/>
  <c r="I56" i="15" l="1"/>
  <c r="I79" i="15"/>
  <c r="I102" i="15"/>
  <c r="H19" i="15"/>
  <c r="H56" i="15" l="1"/>
  <c r="H102" i="15"/>
  <c r="H79" i="15"/>
  <c r="K37" i="1"/>
  <c r="H10" i="15" s="1"/>
  <c r="L37" i="1"/>
  <c r="I10" i="15" s="1"/>
  <c r="K29" i="1"/>
  <c r="K8" i="1"/>
  <c r="K10" i="1" s="1"/>
  <c r="L8" i="1"/>
  <c r="L10" i="1" s="1"/>
  <c r="I47" i="15" l="1"/>
  <c r="I93" i="15"/>
  <c r="I70" i="15"/>
  <c r="H47" i="15"/>
  <c r="H93" i="15"/>
  <c r="H70" i="15"/>
  <c r="I6" i="15"/>
  <c r="H6" i="15"/>
  <c r="H43" i="15" l="1"/>
  <c r="H89" i="15"/>
  <c r="H66" i="15"/>
  <c r="I43" i="15"/>
  <c r="I89" i="15"/>
  <c r="I66" i="15"/>
  <c r="H11" i="15"/>
  <c r="H48" i="15" l="1"/>
  <c r="H94" i="15"/>
  <c r="H71" i="15"/>
  <c r="I11" i="15"/>
  <c r="I48" i="15" l="1"/>
  <c r="I94" i="15"/>
  <c r="I71" i="15"/>
  <c r="J11" i="15"/>
  <c r="J48" i="15" l="1"/>
  <c r="J94" i="15"/>
  <c r="J71" i="15"/>
  <c r="K11" i="15"/>
  <c r="K48" i="15" l="1"/>
  <c r="K94" i="15"/>
  <c r="K71" i="15"/>
  <c r="L11" i="15"/>
  <c r="L48" i="15" l="1"/>
  <c r="L94" i="15"/>
  <c r="L71" i="15"/>
  <c r="M11" i="15"/>
  <c r="M48" i="15" l="1"/>
  <c r="M94" i="15"/>
  <c r="M71" i="15"/>
  <c r="N11" i="15"/>
  <c r="C11" i="15"/>
  <c r="D11" i="15"/>
  <c r="E11" i="15"/>
  <c r="F11" i="15"/>
  <c r="G11" i="15"/>
  <c r="F48" i="15" l="1"/>
  <c r="F94" i="15"/>
  <c r="F71" i="15"/>
  <c r="N48" i="15"/>
  <c r="N94" i="15"/>
  <c r="N71" i="15"/>
  <c r="E48" i="15"/>
  <c r="E94" i="15"/>
  <c r="E71" i="15"/>
  <c r="D48" i="15"/>
  <c r="D94" i="15"/>
  <c r="D71" i="15"/>
  <c r="C48" i="15"/>
  <c r="C94" i="15"/>
  <c r="C71" i="15"/>
  <c r="G48" i="15"/>
  <c r="G71" i="15"/>
  <c r="G94" i="15"/>
  <c r="F70" i="1"/>
  <c r="F71" i="1" s="1"/>
  <c r="G70" i="1"/>
  <c r="G71" i="1" s="1"/>
  <c r="G72" i="1" s="1"/>
  <c r="D19" i="15" s="1"/>
  <c r="H70" i="1"/>
  <c r="I70" i="1"/>
  <c r="J70" i="1"/>
  <c r="J71" i="1" s="1"/>
  <c r="J72" i="1" s="1"/>
  <c r="G19" i="15" s="1"/>
  <c r="G56" i="15" l="1"/>
  <c r="G79" i="15"/>
  <c r="G102" i="15"/>
  <c r="D56" i="15"/>
  <c r="D79" i="15"/>
  <c r="D102" i="15"/>
  <c r="I71" i="1"/>
  <c r="I72" i="1" s="1"/>
  <c r="F19" i="15" s="1"/>
  <c r="H71" i="1"/>
  <c r="H72" i="1" s="1"/>
  <c r="E19" i="15" s="1"/>
  <c r="F72" i="1"/>
  <c r="C19" i="15" s="1"/>
  <c r="E26" i="1"/>
  <c r="G26" i="1" s="1"/>
  <c r="H26" i="1" s="1"/>
  <c r="I26" i="1" s="1"/>
  <c r="J26" i="1" s="1"/>
  <c r="E25" i="1"/>
  <c r="G25" i="1" s="1"/>
  <c r="H25" i="1" s="1"/>
  <c r="I25" i="1" s="1"/>
  <c r="J25" i="1" s="1"/>
  <c r="E24" i="1"/>
  <c r="E23" i="1"/>
  <c r="E56" i="15" l="1"/>
  <c r="E79" i="15"/>
  <c r="E102" i="15"/>
  <c r="F56" i="15"/>
  <c r="F79" i="15"/>
  <c r="F102" i="15"/>
  <c r="C56" i="15"/>
  <c r="C79" i="15"/>
  <c r="C102" i="15"/>
  <c r="G24" i="1"/>
  <c r="H24" i="1" s="1"/>
  <c r="I24" i="1" s="1"/>
  <c r="J24" i="1" s="1"/>
  <c r="G23" i="1" l="1"/>
  <c r="F27" i="1"/>
  <c r="C7" i="15"/>
  <c r="D7" i="15"/>
  <c r="E7" i="15"/>
  <c r="F7" i="15"/>
  <c r="G7" i="15"/>
  <c r="G44" i="15" l="1"/>
  <c r="G67" i="15"/>
  <c r="G90" i="15"/>
  <c r="F44" i="15"/>
  <c r="F90" i="15"/>
  <c r="F67" i="15"/>
  <c r="E44" i="15"/>
  <c r="E90" i="15"/>
  <c r="E67" i="15"/>
  <c r="D44" i="15"/>
  <c r="D90" i="15"/>
  <c r="D67" i="15"/>
  <c r="C44" i="15"/>
  <c r="C90" i="15"/>
  <c r="C67" i="15"/>
  <c r="H23" i="1"/>
  <c r="G27" i="1"/>
  <c r="F29" i="1"/>
  <c r="G29" i="1" l="1"/>
  <c r="I23" i="1"/>
  <c r="H27" i="1"/>
  <c r="F37" i="1"/>
  <c r="C10" i="15" s="1"/>
  <c r="G37" i="1"/>
  <c r="D10" i="15" s="1"/>
  <c r="H37" i="1"/>
  <c r="E10" i="15" s="1"/>
  <c r="I37" i="1"/>
  <c r="F10" i="15" s="1"/>
  <c r="J37" i="1"/>
  <c r="G10" i="15" s="1"/>
  <c r="D47" i="15" l="1"/>
  <c r="D93" i="15"/>
  <c r="D70" i="15"/>
  <c r="E47" i="15"/>
  <c r="E93" i="15"/>
  <c r="E70" i="15"/>
  <c r="C47" i="15"/>
  <c r="C93" i="15"/>
  <c r="C70" i="15"/>
  <c r="G47" i="15"/>
  <c r="G93" i="15"/>
  <c r="G70" i="15"/>
  <c r="F47" i="15"/>
  <c r="F93" i="15"/>
  <c r="F70" i="15"/>
  <c r="H29" i="1"/>
  <c r="J23" i="1"/>
  <c r="J27" i="1" s="1"/>
  <c r="I27" i="1"/>
  <c r="I29" i="1" l="1"/>
  <c r="J29" i="1"/>
  <c r="B14" i="10" l="1"/>
  <c r="D15" i="10" l="1"/>
  <c r="C14" i="10" l="1"/>
  <c r="C5" i="10"/>
  <c r="C16" i="10"/>
  <c r="C8" i="10"/>
  <c r="C9" i="10"/>
  <c r="C18" i="10" l="1"/>
  <c r="C20" i="10" s="1"/>
  <c r="C12" i="10" l="1"/>
  <c r="C22" i="10" s="1"/>
  <c r="C24" i="10" s="1"/>
  <c r="F48" i="9"/>
  <c r="G48" i="9"/>
  <c r="K3" i="9" s="1"/>
  <c r="H48" i="9"/>
  <c r="K5" i="9" l="1"/>
  <c r="M25" i="9"/>
  <c r="M22" i="9"/>
  <c r="M24" i="9"/>
  <c r="M19" i="9"/>
  <c r="U19" i="1" s="1"/>
  <c r="U21" i="1" s="1"/>
  <c r="U31" i="1" s="1"/>
  <c r="R9" i="15" s="1"/>
  <c r="M20" i="9"/>
  <c r="M21" i="9"/>
  <c r="M23" i="9"/>
  <c r="M16" i="9"/>
  <c r="R19" i="1" s="1"/>
  <c r="R21" i="1" s="1"/>
  <c r="R31" i="1" s="1"/>
  <c r="O9" i="15" s="1"/>
  <c r="M17" i="9"/>
  <c r="S19" i="1" s="1"/>
  <c r="S21" i="1" s="1"/>
  <c r="S31" i="1" s="1"/>
  <c r="P9" i="15" s="1"/>
  <c r="M18" i="9"/>
  <c r="T19" i="1" s="1"/>
  <c r="T21" i="1" s="1"/>
  <c r="T31" i="1" s="1"/>
  <c r="Q9" i="15" s="1"/>
  <c r="M3" i="9"/>
  <c r="M10" i="9"/>
  <c r="L19" i="1" s="1"/>
  <c r="M5" i="9"/>
  <c r="G19" i="1" s="1"/>
  <c r="M7" i="9"/>
  <c r="I19" i="1" s="1"/>
  <c r="M9" i="9"/>
  <c r="K19" i="1" s="1"/>
  <c r="M12" i="9"/>
  <c r="N19" i="1" s="1"/>
  <c r="N21" i="1" s="1"/>
  <c r="N31" i="1" s="1"/>
  <c r="K9" i="15" s="1"/>
  <c r="M15" i="9"/>
  <c r="Q19" i="1" s="1"/>
  <c r="Q21" i="1" s="1"/>
  <c r="Q31" i="1" s="1"/>
  <c r="N9" i="15" s="1"/>
  <c r="M6" i="9"/>
  <c r="H19" i="1" s="1"/>
  <c r="M8" i="9"/>
  <c r="J19" i="1" s="1"/>
  <c r="M11" i="9"/>
  <c r="M19" i="1" s="1"/>
  <c r="M21" i="1" s="1"/>
  <c r="M31" i="1" s="1"/>
  <c r="J9" i="15" s="1"/>
  <c r="M14" i="9"/>
  <c r="P19" i="1" s="1"/>
  <c r="P21" i="1" s="1"/>
  <c r="P31" i="1" s="1"/>
  <c r="M9" i="15" s="1"/>
  <c r="M4" i="9"/>
  <c r="F19" i="1" s="1"/>
  <c r="M13" i="9"/>
  <c r="O19" i="1" s="1"/>
  <c r="O21" i="1" s="1"/>
  <c r="O31" i="1" s="1"/>
  <c r="L9" i="15" s="1"/>
  <c r="C15" i="10"/>
  <c r="L46" i="15" l="1"/>
  <c r="L49" i="15" s="1"/>
  <c r="L92" i="15"/>
  <c r="L95" i="15" s="1"/>
  <c r="L69" i="15"/>
  <c r="L72" i="15" s="1"/>
  <c r="R46" i="15"/>
  <c r="R49" i="15" s="1"/>
  <c r="R92" i="15"/>
  <c r="R95" i="15" s="1"/>
  <c r="R105" i="15" s="1"/>
  <c r="R115" i="15" s="1"/>
  <c r="R69" i="15"/>
  <c r="R72" i="15" s="1"/>
  <c r="R82" i="15" s="1"/>
  <c r="R114" i="15" s="1"/>
  <c r="P46" i="15"/>
  <c r="P49" i="15" s="1"/>
  <c r="P59" i="15" s="1"/>
  <c r="P113" i="15" s="1"/>
  <c r="P92" i="15"/>
  <c r="P95" i="15" s="1"/>
  <c r="P105" i="15" s="1"/>
  <c r="P115" i="15" s="1"/>
  <c r="P69" i="15"/>
  <c r="P72" i="15" s="1"/>
  <c r="P82" i="15" s="1"/>
  <c r="P114" i="15" s="1"/>
  <c r="M46" i="15"/>
  <c r="M49" i="15" s="1"/>
  <c r="M92" i="15"/>
  <c r="M95" i="15" s="1"/>
  <c r="M69" i="15"/>
  <c r="M72" i="15" s="1"/>
  <c r="J46" i="15"/>
  <c r="J49" i="15" s="1"/>
  <c r="J92" i="15"/>
  <c r="J95" i="15" s="1"/>
  <c r="J69" i="15"/>
  <c r="J72" i="15" s="1"/>
  <c r="Q46" i="15"/>
  <c r="Q49" i="15" s="1"/>
  <c r="Q59" i="15" s="1"/>
  <c r="Q113" i="15" s="1"/>
  <c r="Q92" i="15"/>
  <c r="Q95" i="15" s="1"/>
  <c r="Q105" i="15" s="1"/>
  <c r="Q115" i="15" s="1"/>
  <c r="Q69" i="15"/>
  <c r="Q72" i="15" s="1"/>
  <c r="Q82" i="15" s="1"/>
  <c r="Q114" i="15" s="1"/>
  <c r="N46" i="15"/>
  <c r="N49" i="15" s="1"/>
  <c r="N92" i="15"/>
  <c r="N95" i="15" s="1"/>
  <c r="N69" i="15"/>
  <c r="N72" i="15" s="1"/>
  <c r="K46" i="15"/>
  <c r="K49" i="15" s="1"/>
  <c r="K92" i="15"/>
  <c r="K95" i="15" s="1"/>
  <c r="K69" i="15"/>
  <c r="K72" i="15" s="1"/>
  <c r="O46" i="15"/>
  <c r="O49" i="15" s="1"/>
  <c r="O59" i="15" s="1"/>
  <c r="O113" i="15" s="1"/>
  <c r="O69" i="15"/>
  <c r="O72" i="15" s="1"/>
  <c r="O82" i="15" s="1"/>
  <c r="O114" i="15" s="1"/>
  <c r="O92" i="15"/>
  <c r="O95" i="15" s="1"/>
  <c r="O105" i="15" s="1"/>
  <c r="O115" i="15" s="1"/>
  <c r="K12" i="15"/>
  <c r="L12" i="15"/>
  <c r="M12" i="15"/>
  <c r="R59" i="15"/>
  <c r="R113" i="15" s="1"/>
  <c r="R12" i="15"/>
  <c r="R22" i="15" s="1"/>
  <c r="R112" i="15" s="1"/>
  <c r="J12" i="15"/>
  <c r="Q12" i="15"/>
  <c r="Q22" i="15" s="1"/>
  <c r="Q112" i="15" s="1"/>
  <c r="N12" i="15"/>
  <c r="P12" i="15"/>
  <c r="P22" i="15" s="1"/>
  <c r="P112" i="15" s="1"/>
  <c r="O12" i="15"/>
  <c r="O22" i="15" s="1"/>
  <c r="O112" i="15" s="1"/>
  <c r="L21" i="1"/>
  <c r="K21" i="1"/>
  <c r="H21" i="1"/>
  <c r="K31" i="1" l="1"/>
  <c r="H9" i="15" s="1"/>
  <c r="L31" i="1"/>
  <c r="I9" i="15" s="1"/>
  <c r="F21" i="1"/>
  <c r="I21" i="1"/>
  <c r="G21" i="1"/>
  <c r="J21" i="1"/>
  <c r="H31" i="1"/>
  <c r="E42" i="1"/>
  <c r="I8" i="1"/>
  <c r="I10" i="1" s="1"/>
  <c r="J8" i="1"/>
  <c r="J10" i="1" s="1"/>
  <c r="F8" i="1"/>
  <c r="F10" i="1" s="1"/>
  <c r="H8" i="1"/>
  <c r="H10" i="1" s="1"/>
  <c r="G8" i="1"/>
  <c r="G10" i="1" s="1"/>
  <c r="H46" i="15" l="1"/>
  <c r="H49" i="15" s="1"/>
  <c r="H92" i="15"/>
  <c r="H95" i="15" s="1"/>
  <c r="H69" i="15"/>
  <c r="H72" i="15" s="1"/>
  <c r="I46" i="15"/>
  <c r="I49" i="15" s="1"/>
  <c r="I92" i="15"/>
  <c r="I95" i="15" s="1"/>
  <c r="I69" i="15"/>
  <c r="I72" i="15" s="1"/>
  <c r="E9" i="15"/>
  <c r="G31" i="1"/>
  <c r="D9" i="15" s="1"/>
  <c r="I31" i="1"/>
  <c r="F9" i="15" s="1"/>
  <c r="J31" i="1"/>
  <c r="G9" i="15" s="1"/>
  <c r="F31" i="1"/>
  <c r="C9" i="15" s="1"/>
  <c r="E6" i="15"/>
  <c r="G6" i="15"/>
  <c r="D6" i="15"/>
  <c r="F6" i="15"/>
  <c r="E46" i="15" l="1"/>
  <c r="E92" i="15"/>
  <c r="E69" i="15"/>
  <c r="G43" i="15"/>
  <c r="G89" i="15"/>
  <c r="G66" i="15"/>
  <c r="E43" i="15"/>
  <c r="E49" i="15" s="1"/>
  <c r="E89" i="15"/>
  <c r="E66" i="15"/>
  <c r="C46" i="15"/>
  <c r="C92" i="15"/>
  <c r="C95" i="15" s="1"/>
  <c r="C69" i="15"/>
  <c r="C72" i="15" s="1"/>
  <c r="F43" i="15"/>
  <c r="F49" i="15" s="1"/>
  <c r="F89" i="15"/>
  <c r="F95" i="15" s="1"/>
  <c r="F66" i="15"/>
  <c r="F72" i="15" s="1"/>
  <c r="D46" i="15"/>
  <c r="D92" i="15"/>
  <c r="D69" i="15"/>
  <c r="D43" i="15"/>
  <c r="D89" i="15"/>
  <c r="D95" i="15" s="1"/>
  <c r="D66" i="15"/>
  <c r="D72" i="15" s="1"/>
  <c r="G46" i="15"/>
  <c r="G92" i="15"/>
  <c r="G69" i="15"/>
  <c r="F46" i="15"/>
  <c r="F92" i="15"/>
  <c r="F69" i="15"/>
  <c r="G12" i="15"/>
  <c r="C12" i="15"/>
  <c r="D12" i="15"/>
  <c r="F12" i="15"/>
  <c r="E12" i="15"/>
  <c r="I12" i="15"/>
  <c r="H12" i="15"/>
  <c r="G72" i="15" l="1"/>
  <c r="G95" i="15"/>
  <c r="G49" i="15"/>
  <c r="D49" i="15"/>
  <c r="E72" i="15"/>
  <c r="E95" i="15"/>
  <c r="C49" i="15"/>
  <c r="F63" i="1" l="1"/>
  <c r="C18" i="15" s="1"/>
  <c r="C55" i="15" l="1"/>
  <c r="C78" i="15"/>
  <c r="C80" i="15" s="1"/>
  <c r="C82" i="15" s="1"/>
  <c r="C101" i="15"/>
  <c r="C103" i="15" s="1"/>
  <c r="C105" i="15" s="1"/>
  <c r="C20" i="15"/>
  <c r="C22" i="15" s="1"/>
  <c r="C115" i="15" l="1"/>
  <c r="C114" i="15"/>
  <c r="C112" i="15"/>
  <c r="G63" i="1"/>
  <c r="D18" i="15" s="1"/>
  <c r="D55" i="15" l="1"/>
  <c r="D78" i="15"/>
  <c r="D80" i="15" s="1"/>
  <c r="D82" i="15" s="1"/>
  <c r="D101" i="15"/>
  <c r="D103" i="15" s="1"/>
  <c r="D105" i="15" s="1"/>
  <c r="H63" i="1"/>
  <c r="E18" i="15" s="1"/>
  <c r="D20" i="15"/>
  <c r="D22" i="15" s="1"/>
  <c r="D115" i="15" l="1"/>
  <c r="E55" i="15"/>
  <c r="E78" i="15"/>
  <c r="E80" i="15" s="1"/>
  <c r="E101" i="15"/>
  <c r="E103" i="15" s="1"/>
  <c r="E105" i="15" s="1"/>
  <c r="E115" i="15" s="1"/>
  <c r="D114" i="15"/>
  <c r="D112" i="15"/>
  <c r="D57" i="15"/>
  <c r="D59" i="15" s="1"/>
  <c r="E20" i="15"/>
  <c r="E22" i="15" s="1"/>
  <c r="E112" i="15" s="1"/>
  <c r="I63" i="1"/>
  <c r="F18" i="15" s="1"/>
  <c r="E82" i="15" l="1"/>
  <c r="F55" i="15"/>
  <c r="F78" i="15"/>
  <c r="F80" i="15" s="1"/>
  <c r="F82" i="15" s="1"/>
  <c r="F101" i="15"/>
  <c r="F103" i="15" s="1"/>
  <c r="F105" i="15" s="1"/>
  <c r="F115" i="15" s="1"/>
  <c r="D113" i="15"/>
  <c r="E57" i="15"/>
  <c r="E59" i="15" s="1"/>
  <c r="E113" i="15" s="1"/>
  <c r="F20" i="15"/>
  <c r="F22" i="15" s="1"/>
  <c r="F112" i="15" s="1"/>
  <c r="J63" i="1"/>
  <c r="G18" i="15" s="1"/>
  <c r="K63" i="1"/>
  <c r="H18" i="15" s="1"/>
  <c r="E114" i="15" l="1"/>
  <c r="G55" i="15"/>
  <c r="G78" i="15"/>
  <c r="G80" i="15" s="1"/>
  <c r="G82" i="15" s="1"/>
  <c r="G114" i="15" s="1"/>
  <c r="G101" i="15"/>
  <c r="G103" i="15" s="1"/>
  <c r="G105" i="15" s="1"/>
  <c r="G115" i="15" s="1"/>
  <c r="F114" i="15"/>
  <c r="H55" i="15"/>
  <c r="H101" i="15"/>
  <c r="H103" i="15" s="1"/>
  <c r="H105" i="15" s="1"/>
  <c r="H115" i="15" s="1"/>
  <c r="H78" i="15"/>
  <c r="H80" i="15" s="1"/>
  <c r="H82" i="15" s="1"/>
  <c r="H114" i="15" s="1"/>
  <c r="F57" i="15"/>
  <c r="F59" i="15" s="1"/>
  <c r="F113" i="15" s="1"/>
  <c r="M63" i="1"/>
  <c r="J18" i="15" s="1"/>
  <c r="L63" i="1"/>
  <c r="I18" i="15" s="1"/>
  <c r="H20" i="15"/>
  <c r="H22" i="15" s="1"/>
  <c r="H112" i="15" s="1"/>
  <c r="G20" i="15"/>
  <c r="G22" i="15" s="1"/>
  <c r="G112" i="15" s="1"/>
  <c r="J55" i="15" l="1"/>
  <c r="J101" i="15"/>
  <c r="J103" i="15" s="1"/>
  <c r="J105" i="15" s="1"/>
  <c r="J115" i="15" s="1"/>
  <c r="J78" i="15"/>
  <c r="J80" i="15" s="1"/>
  <c r="J82" i="15" s="1"/>
  <c r="J114" i="15" s="1"/>
  <c r="I55" i="15"/>
  <c r="I101" i="15"/>
  <c r="I103" i="15" s="1"/>
  <c r="I105" i="15" s="1"/>
  <c r="I115" i="15" s="1"/>
  <c r="I78" i="15"/>
  <c r="I80" i="15" s="1"/>
  <c r="I82" i="15" s="1"/>
  <c r="G57" i="15"/>
  <c r="G59" i="15" s="1"/>
  <c r="H57" i="15"/>
  <c r="H59" i="15" s="1"/>
  <c r="H113" i="15" s="1"/>
  <c r="J20" i="15"/>
  <c r="J22" i="15" s="1"/>
  <c r="J112" i="15" s="1"/>
  <c r="N63" i="1"/>
  <c r="K18" i="15" s="1"/>
  <c r="I20" i="15"/>
  <c r="I22" i="15" s="1"/>
  <c r="I112" i="15" s="1"/>
  <c r="I114" i="15" l="1"/>
  <c r="K55" i="15"/>
  <c r="K78" i="15"/>
  <c r="K80" i="15" s="1"/>
  <c r="K82" i="15" s="1"/>
  <c r="K114" i="15" s="1"/>
  <c r="K101" i="15"/>
  <c r="K103" i="15" s="1"/>
  <c r="K105" i="15" s="1"/>
  <c r="K115" i="15" s="1"/>
  <c r="G113" i="15"/>
  <c r="J57" i="15"/>
  <c r="J59" i="15" s="1"/>
  <c r="J113" i="15" s="1"/>
  <c r="I57" i="15"/>
  <c r="I59" i="15" s="1"/>
  <c r="I113" i="15" s="1"/>
  <c r="K20" i="15"/>
  <c r="K22" i="15" s="1"/>
  <c r="K112" i="15" s="1"/>
  <c r="O63" i="1"/>
  <c r="L18" i="15" s="1"/>
  <c r="L55" i="15" l="1"/>
  <c r="L78" i="15"/>
  <c r="L80" i="15" s="1"/>
  <c r="L82" i="15" s="1"/>
  <c r="L114" i="15" s="1"/>
  <c r="L101" i="15"/>
  <c r="L103" i="15" s="1"/>
  <c r="L105" i="15" s="1"/>
  <c r="L115" i="15" s="1"/>
  <c r="K57" i="15"/>
  <c r="K59" i="15" s="1"/>
  <c r="K113" i="15" s="1"/>
  <c r="P63" i="1"/>
  <c r="M18" i="15" s="1"/>
  <c r="L20" i="15"/>
  <c r="L22" i="15" s="1"/>
  <c r="L112" i="15" s="1"/>
  <c r="M55" i="15" l="1"/>
  <c r="M78" i="15"/>
  <c r="M80" i="15" s="1"/>
  <c r="M82" i="15" s="1"/>
  <c r="M114" i="15" s="1"/>
  <c r="M101" i="15"/>
  <c r="M103" i="15" s="1"/>
  <c r="M105" i="15" s="1"/>
  <c r="M115" i="15" s="1"/>
  <c r="L57" i="15"/>
  <c r="L59" i="15" s="1"/>
  <c r="L113" i="15" s="1"/>
  <c r="Q63" i="1"/>
  <c r="N18" i="15" s="1"/>
  <c r="M20" i="15"/>
  <c r="M22" i="15" s="1"/>
  <c r="M112" i="15" s="1"/>
  <c r="N55" i="15" l="1"/>
  <c r="N78" i="15"/>
  <c r="N80" i="15" s="1"/>
  <c r="N82" i="15" s="1"/>
  <c r="T82" i="15" s="1"/>
  <c r="N101" i="15"/>
  <c r="N103" i="15" s="1"/>
  <c r="N105" i="15" s="1"/>
  <c r="T105" i="15" s="1"/>
  <c r="M57" i="15"/>
  <c r="M59" i="15" s="1"/>
  <c r="M113" i="15" s="1"/>
  <c r="N20" i="15"/>
  <c r="N22" i="15" s="1"/>
  <c r="T22" i="15" s="1"/>
  <c r="N115" i="15" l="1"/>
  <c r="T115" i="15" s="1"/>
  <c r="F121" i="15" a="1"/>
  <c r="N114" i="15"/>
  <c r="T114" i="15" s="1"/>
  <c r="E121" i="15" a="1"/>
  <c r="N112" i="15"/>
  <c r="T112" i="15" s="1"/>
  <c r="N57" i="15"/>
  <c r="N59" i="15" s="1"/>
  <c r="O123" i="15" l="1"/>
  <c r="O131" i="15"/>
  <c r="O125" i="15"/>
  <c r="O133" i="15"/>
  <c r="O126" i="15"/>
  <c r="O134" i="15"/>
  <c r="H126" i="15"/>
  <c r="H134" i="15"/>
  <c r="H123" i="15"/>
  <c r="O127" i="15"/>
  <c r="O135" i="15"/>
  <c r="H127" i="15"/>
  <c r="H135" i="15"/>
  <c r="O122" i="15"/>
  <c r="H122" i="15"/>
  <c r="O124" i="15"/>
  <c r="H132" i="15"/>
  <c r="H125" i="15"/>
  <c r="O128" i="15"/>
  <c r="O136" i="15"/>
  <c r="H128" i="15"/>
  <c r="H136" i="15"/>
  <c r="O130" i="15"/>
  <c r="H130" i="15"/>
  <c r="O132" i="15"/>
  <c r="H124" i="15"/>
  <c r="H133" i="15"/>
  <c r="O129" i="15"/>
  <c r="H129" i="15"/>
  <c r="H131" i="15"/>
  <c r="F121" i="15"/>
  <c r="R126" i="15"/>
  <c r="R134" i="15"/>
  <c r="R124" i="15"/>
  <c r="R132" i="15"/>
  <c r="R127" i="15"/>
  <c r="R135" i="15"/>
  <c r="K127" i="15"/>
  <c r="K135" i="15"/>
  <c r="K129" i="15"/>
  <c r="R122" i="15"/>
  <c r="R130" i="15"/>
  <c r="K122" i="15"/>
  <c r="K130" i="15"/>
  <c r="K136" i="15"/>
  <c r="R131" i="15"/>
  <c r="K134" i="15"/>
  <c r="K124" i="15"/>
  <c r="R125" i="15"/>
  <c r="R133" i="15"/>
  <c r="K125" i="15"/>
  <c r="K133" i="15"/>
  <c r="K123" i="15"/>
  <c r="K131" i="15"/>
  <c r="K132" i="15"/>
  <c r="R128" i="15"/>
  <c r="R136" i="15"/>
  <c r="K128" i="15"/>
  <c r="R123" i="15"/>
  <c r="K126" i="15"/>
  <c r="R129" i="15"/>
  <c r="E121" i="15"/>
  <c r="Q129" i="15"/>
  <c r="Q127" i="15"/>
  <c r="Q135" i="15"/>
  <c r="Q122" i="15"/>
  <c r="Q130" i="15"/>
  <c r="J122" i="15"/>
  <c r="J130" i="15"/>
  <c r="J129" i="15"/>
  <c r="J127" i="15"/>
  <c r="J135" i="15"/>
  <c r="Q125" i="15"/>
  <c r="Q133" i="15"/>
  <c r="J125" i="15"/>
  <c r="J133" i="15"/>
  <c r="Q126" i="15"/>
  <c r="Q128" i="15"/>
  <c r="Q136" i="15"/>
  <c r="J128" i="15"/>
  <c r="J136" i="15"/>
  <c r="Q134" i="15"/>
  <c r="J126" i="15"/>
  <c r="Q124" i="15"/>
  <c r="Q132" i="15"/>
  <c r="J124" i="15"/>
  <c r="J132" i="15"/>
  <c r="Q123" i="15"/>
  <c r="Q131" i="15"/>
  <c r="J123" i="15"/>
  <c r="J131" i="15"/>
  <c r="J134" i="15"/>
  <c r="N113" i="15"/>
  <c r="K121" i="15" l="1"/>
  <c r="K137" i="15" s="1"/>
  <c r="R121" i="15"/>
  <c r="F137" i="15"/>
  <c r="Q121" i="15"/>
  <c r="E137" i="15"/>
  <c r="J121" i="15"/>
  <c r="J137" i="15" s="1"/>
  <c r="Q137" i="15"/>
  <c r="R137" i="15"/>
  <c r="H121" i="15"/>
  <c r="H137" i="15" s="1"/>
  <c r="O121" i="15"/>
  <c r="O137" i="15" s="1"/>
  <c r="C137" i="15"/>
  <c r="C52" i="15" l="1"/>
  <c r="C57" i="15" s="1"/>
  <c r="C59" i="15" s="1"/>
  <c r="C113" i="15" l="1"/>
  <c r="T113" i="15" s="1"/>
  <c r="T59" i="15"/>
  <c r="D121" i="15" a="1"/>
  <c r="P122" i="15" l="1"/>
  <c r="I132" i="15"/>
  <c r="P124" i="15"/>
  <c r="I123" i="15"/>
  <c r="P126" i="15"/>
  <c r="I136" i="15"/>
  <c r="I135" i="15"/>
  <c r="D121" i="15"/>
  <c r="P136" i="15"/>
  <c r="P123" i="15"/>
  <c r="I129" i="15"/>
  <c r="I133" i="15"/>
  <c r="P133" i="15"/>
  <c r="P135" i="15"/>
  <c r="P129" i="15"/>
  <c r="P132" i="15"/>
  <c r="I131" i="15"/>
  <c r="I134" i="15"/>
  <c r="P127" i="15"/>
  <c r="I128" i="15"/>
  <c r="P134" i="15"/>
  <c r="P130" i="15"/>
  <c r="I130" i="15"/>
  <c r="I127" i="15"/>
  <c r="P128" i="15"/>
  <c r="P125" i="15"/>
  <c r="I122" i="15"/>
  <c r="I124" i="15"/>
  <c r="I125" i="15"/>
  <c r="P131" i="15"/>
  <c r="I126" i="15"/>
  <c r="I121" i="15" l="1"/>
  <c r="I137" i="15" s="1"/>
  <c r="P121" i="15"/>
  <c r="P137" i="15" s="1"/>
  <c r="D13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Sebourn</author>
  </authors>
  <commentList>
    <comment ref="L2" authorId="0" shapeId="0" xr:uid="{00000000-0006-0000-0B00-000001000000}">
      <text>
        <r>
          <rPr>
            <b/>
            <sz val="9"/>
            <color indexed="81"/>
            <rFont val="Tahoma"/>
            <family val="2"/>
          </rPr>
          <t>CHW:</t>
        </r>
        <r>
          <rPr>
            <sz val="9"/>
            <color indexed="81"/>
            <rFont val="Tahoma"/>
            <family val="2"/>
          </rPr>
          <t xml:space="preserve">
Revenue requirements profile based on 
- overnight construction
- 7 year tax life 
- 16 year book life
See support file at "I:\Projects\0308_2022RFP\01_Screening\20220816_RevenueRequirementProfiles_0302D06.xlsx"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tc={1DD3B70C-D717-4C74-B926-3BCB284C2A81}</author>
  </authors>
  <commentList>
    <comment ref="A8" authorId="0" shapeId="0" xr:uid="{00000000-0006-0000-0C00-000001000000}">
      <text>
        <t>[Threaded comment]
Your version of Excel allows you to read this threaded comment; however, any edits to it will get removed if the file is opened in a newer version of Excel. Learn more: https://go.microsoft.com/fwlink/?linkid=870924
Comment:
    PJM Manual 12 - 4.4.3</t>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<sst xmlns="http://schemas.openxmlformats.org/spreadsheetml/2006/main" count="425" uniqueCount="256">
  <si>
    <t>LKE Admin Charges in PJM</t>
  </si>
  <si>
    <t>LKE Energy for Load</t>
  </si>
  <si>
    <t>LKE PJM Admin Fees ($M)</t>
  </si>
  <si>
    <t>PJM Backbone XM Expansion</t>
  </si>
  <si>
    <t>PJM Transmission Revenue Allocation</t>
  </si>
  <si>
    <t>PJM Annual XM Revenue Requirement ($M)</t>
  </si>
  <si>
    <t>LKE Annual XM Revenue Requirement ($M)</t>
  </si>
  <si>
    <t>PJM Revenue Firm PTP ($M)</t>
  </si>
  <si>
    <t>LKE Allocation ($M)</t>
  </si>
  <si>
    <t>Benefits</t>
  </si>
  <si>
    <t>LKE Current FERC Fees</t>
  </si>
  <si>
    <t>Inflation Rate</t>
  </si>
  <si>
    <t>Inflation</t>
  </si>
  <si>
    <t>Depancaking</t>
  </si>
  <si>
    <t>Total</t>
  </si>
  <si>
    <t>Detail #</t>
  </si>
  <si>
    <t>LKE Elimination of TVA RC Cost ($M)</t>
  </si>
  <si>
    <t>LKE Elimination of ITO Cost ($M)</t>
  </si>
  <si>
    <t>Increased travel cost to participate in PJM meetings</t>
  </si>
  <si>
    <t>LKE Lost XM Revenue from 3rd Parties</t>
  </si>
  <si>
    <t>LKE Elimination of TEE Group Admin Charge ($M)</t>
  </si>
  <si>
    <t>Notes:</t>
  </si>
  <si>
    <t xml:space="preserve">Regulatory environment - As a result of RTO membership realignment since 2006, more customer choice states and deregulated/IPP generation </t>
  </si>
  <si>
    <t xml:space="preserve">    - more likely to alter long term LKE business model </t>
  </si>
  <si>
    <t xml:space="preserve">   -  enhanced potential for "zero sum" policy conflicts with PPL.</t>
  </si>
  <si>
    <t>Analysis does not include potential Cost/Benefits of cost sharing of LKE Transmission Expansion other than "Backbone" identified above</t>
  </si>
  <si>
    <t>Analysis assumes we continue employing same planning reserve margin  we do today</t>
  </si>
  <si>
    <t>Analysis does not include potential volatility of Congestion Cost/FTR&amp;ARRs values</t>
  </si>
  <si>
    <t>Analysis does not include potential cost/benefit due to allocation of the over collection of marginal losses</t>
  </si>
  <si>
    <t>Assumes no additional cost due to regional transmission cost sharing in SERPT region for Order 1000 compliance.</t>
  </si>
  <si>
    <t>PJM Admin Charges ($/Mwh)</t>
  </si>
  <si>
    <t>Updated rev req ratio</t>
  </si>
  <si>
    <t>Based on PJM posted Revenue Revenue Requirements posted 6/1/2017</t>
  </si>
  <si>
    <t>Based on recent Attachment O</t>
  </si>
  <si>
    <t>Yellow highlights indicate Needs updated.</t>
  </si>
  <si>
    <t>Implementation Cost</t>
  </si>
  <si>
    <t>MISO Generator Interconnection Agreement:
7.5 Metering Data. At Interconnection Customer’s expense, the metered data shall be telemetered to one or more locations designated by Transmission Provider and Transmission Owner and one or more locations designated by Interconnection Customer. Such telemetered data shall be used, under normal operating conditions, as the official measurement of the amount of energy delivered from the Generating Facility to the Point of Interconnection.</t>
  </si>
  <si>
    <r>
      <t xml:space="preserve">PJM Manual 1; Section 5.3.8 Generation Billing Metering
</t>
    </r>
    <r>
      <rPr>
        <b/>
        <sz val="11"/>
        <color theme="1"/>
        <rFont val="Calibri"/>
        <family val="2"/>
        <scheme val="minor"/>
      </rPr>
      <t>Any generation unit participating in the PJM Energy Market is required to have a metering system capable of recording generation net MWh output.</t>
    </r>
    <r>
      <rPr>
        <sz val="11"/>
        <color theme="1"/>
        <rFont val="Calibri"/>
        <family val="2"/>
        <scheme val="minor"/>
      </rPr>
      <t xml:space="preserve"> When metering limitations require variance from this standard, the metering system must be mutually agreed upon by the parties involved.
All metered generator data values are to be supplied to the required parties in “net” form. “Net” or “net wholesale injection” is defined as “gross” output minus all unit station light and power components. When “net” measured values are not available due to metering system limitations, “gross” measured values may sometimes be used in conjunction with an approved “gross” to “net” calculation method.  Any such use of a “gross” to “net” calculation must be approved by PJM.
</t>
    </r>
  </si>
  <si>
    <t>NGCC</t>
  </si>
  <si>
    <t>Cane Run 7</t>
  </si>
  <si>
    <t>Cane Run</t>
  </si>
  <si>
    <t>Coal</t>
  </si>
  <si>
    <t>Trimble 2</t>
  </si>
  <si>
    <t>Trimble</t>
  </si>
  <si>
    <t>Ghent 1</t>
  </si>
  <si>
    <t>Ghent</t>
  </si>
  <si>
    <t>Ghent 3</t>
  </si>
  <si>
    <t>Ghent 2</t>
  </si>
  <si>
    <t>Ghent 4</t>
  </si>
  <si>
    <t>Mill Creek 4</t>
  </si>
  <si>
    <t>Mill Creek</t>
  </si>
  <si>
    <t>Brown 3</t>
  </si>
  <si>
    <t>Brown</t>
  </si>
  <si>
    <t>Mill Creek 3</t>
  </si>
  <si>
    <t>Trimble 1</t>
  </si>
  <si>
    <t>Mill Creek 2</t>
  </si>
  <si>
    <t>Mill Creek 1</t>
  </si>
  <si>
    <t>Peaking</t>
  </si>
  <si>
    <t>Trimble 10</t>
  </si>
  <si>
    <t>Trimble 9</t>
  </si>
  <si>
    <t>Trimble 8</t>
  </si>
  <si>
    <t>Trimble 7</t>
  </si>
  <si>
    <t>Trimble 6</t>
  </si>
  <si>
    <t>Trimble 5</t>
  </si>
  <si>
    <t>Brown 2</t>
  </si>
  <si>
    <t>Paddys Run 13</t>
  </si>
  <si>
    <t>Paddys Run</t>
  </si>
  <si>
    <t>Brown 7</t>
  </si>
  <si>
    <t>Brown 6</t>
  </si>
  <si>
    <t>Brown 11</t>
  </si>
  <si>
    <t>Brown 10</t>
  </si>
  <si>
    <t>Brown 9</t>
  </si>
  <si>
    <t>Brown 8</t>
  </si>
  <si>
    <t>Brown 5</t>
  </si>
  <si>
    <t>Brown 1</t>
  </si>
  <si>
    <t>Paddys Run 12</t>
  </si>
  <si>
    <t>Haefling 2</t>
  </si>
  <si>
    <t>Haefling</t>
  </si>
  <si>
    <t>Haefling 1</t>
  </si>
  <si>
    <t>Zorn 1</t>
  </si>
  <si>
    <t>Zorn</t>
  </si>
  <si>
    <t>Cane Run 11</t>
  </si>
  <si>
    <t>Paddys Run 11</t>
  </si>
  <si>
    <t>Hydro</t>
  </si>
  <si>
    <t>Ohio Falls 7</t>
  </si>
  <si>
    <t>Ohio Falls</t>
  </si>
  <si>
    <t>Ohio Falls 6</t>
  </si>
  <si>
    <t>Ohio Falls 3</t>
  </si>
  <si>
    <t>Ohio Falls 1</t>
  </si>
  <si>
    <t>Ohio Falls 5</t>
  </si>
  <si>
    <t>Dix Dam 3</t>
  </si>
  <si>
    <t>Dix Dam</t>
  </si>
  <si>
    <t>Dix Dam 2</t>
  </si>
  <si>
    <t>Dix Dam 1</t>
  </si>
  <si>
    <t>Ohio Falls 8</t>
  </si>
  <si>
    <t>Ohio Falls 4</t>
  </si>
  <si>
    <t>Ohio Falls 2</t>
  </si>
  <si>
    <t>High</t>
  </si>
  <si>
    <t>Low</t>
  </si>
  <si>
    <t>Generator Nameplate</t>
  </si>
  <si>
    <t>Unit Type</t>
  </si>
  <si>
    <t>Unit Name</t>
  </si>
  <si>
    <t>Unit number</t>
  </si>
  <si>
    <t>Station Name</t>
  </si>
  <si>
    <t>Revenue quality NET metering upgrades</t>
  </si>
  <si>
    <t>Generation Unit net output metering ($M)</t>
  </si>
  <si>
    <t>Updated based on "Low" estimate in GenNetMeters sheet.</t>
  </si>
  <si>
    <t>Computer hardware/ software?</t>
  </si>
  <si>
    <t>Costs</t>
  </si>
  <si>
    <t>LKE Estimate from PJM TCIC Spreadsheet</t>
  </si>
  <si>
    <t>Adjusted Down 4% for LKE Added Load in PJM</t>
  </si>
  <si>
    <t>LKE currently carries 75MW Regulating reserves</t>
  </si>
  <si>
    <t>http://www.pjm.com/-/media/documents/manuals/m13.ashx</t>
  </si>
  <si>
    <t>The PJM RTO’s Regulating Requirement is 525 effective MW during non-ramp hours and 800 effective MW during ramp hours.</t>
  </si>
  <si>
    <t>PJM</t>
  </si>
  <si>
    <t>LKE</t>
  </si>
  <si>
    <t>http://www.pjm.com/-/media/documents/manuals/m10.ashx</t>
  </si>
  <si>
    <t>Reserves</t>
  </si>
  <si>
    <t>Contingency Reserve</t>
  </si>
  <si>
    <t>Regulating Reserve</t>
  </si>
  <si>
    <t>Forced Outage Rate (FOR) error and overlaps contingencies.</t>
  </si>
  <si>
    <t>LKE Projected average Day-ahead Scheduling Reserve requirement + Regulating Reserve</t>
  </si>
  <si>
    <t>LKE Load (MWh)</t>
  </si>
  <si>
    <t>PJM Load (MWh)</t>
  </si>
  <si>
    <t>LKE Mean Load and Load Ratio share of LFE error component based on Mean Load</t>
  </si>
  <si>
    <t>LKE Mean Load and Load Ratio share of Day-ahead Scheduling Reserve based on Mean Load</t>
  </si>
  <si>
    <t>Energy Uplift (BOR) balancing operating reserves</t>
  </si>
  <si>
    <t>Reduced to align with what is charged to LG&amp;E/KU customers only</t>
  </si>
  <si>
    <t>Rates Allocation Factor</t>
  </si>
  <si>
    <t>Paid by 3rd Parties</t>
  </si>
  <si>
    <t>Net Paid by LG&amp;E/KU Customers</t>
  </si>
  <si>
    <t>LGEE transmission Expense for OSS ($)</t>
  </si>
  <si>
    <t>Total Lost XM Revenue</t>
  </si>
  <si>
    <t>LKE Staffing</t>
  </si>
  <si>
    <t>LKE Staffing &amp; Meter Performance</t>
  </si>
  <si>
    <t>LKE Internal Staffing, Meter Upgrade, Implementation</t>
  </si>
  <si>
    <t>Total of Avoided Fees</t>
  </si>
  <si>
    <t>Total for admin &amp; BOR</t>
  </si>
  <si>
    <t xml:space="preserve">Updated - See PJM Detail #1 </t>
  </si>
  <si>
    <t>Trading/Dispatch</t>
  </si>
  <si>
    <t>Accounting</t>
  </si>
  <si>
    <t>Simpsonville Ops</t>
  </si>
  <si>
    <t>Legal/Fed Policy</t>
  </si>
  <si>
    <t>Headcount change</t>
  </si>
  <si>
    <t>LKE Lost Joint Party Settlement Revenue</t>
  </si>
  <si>
    <t>Charges based on 26A</t>
  </si>
  <si>
    <t>Total (net of 26A)</t>
  </si>
  <si>
    <t>Capital Cost</t>
  </si>
  <si>
    <t>$M</t>
  </si>
  <si>
    <t>Rev. Req. profile</t>
  </si>
  <si>
    <t>Rev Req</t>
  </si>
  <si>
    <t>Updated to 2016 actual ($59 mil PTP) from PJM Annual Report, then escalated</t>
  </si>
  <si>
    <t>See PJM detail #5.  Based on current Joint Party Settlement annual payment</t>
  </si>
  <si>
    <t>PJM Capacity Auction Benefits</t>
  </si>
  <si>
    <t>PJM Admin Fee Cost</t>
  </si>
  <si>
    <t>PJM Energy Uplift (BOR) Cost</t>
  </si>
  <si>
    <t>PJM Transmission Expansion Cost</t>
  </si>
  <si>
    <t>LG&amp;E/KU Lost Joint Party Settlement Revenue</t>
  </si>
  <si>
    <t>LG&amp;E/KU Lost Transmission Revenue</t>
  </si>
  <si>
    <t>Zero'd out on 6/5/2018 per Chris Balmer</t>
  </si>
  <si>
    <t>Min</t>
  </si>
  <si>
    <t>LKE Peak Load and max DASR based on peak.</t>
  </si>
  <si>
    <t>LKE Projected total Operating Reserve requirements (based on mean load) for Contingency Reserve + Regulating Reserve + LFE error</t>
  </si>
  <si>
    <t>Less 100MW of quick-start</t>
  </si>
  <si>
    <t>See pages 19 and 20 of PJM Manual 13 V64.</t>
  </si>
  <si>
    <t>See Page 22 of Manual 10 V35.</t>
  </si>
  <si>
    <t>($) from Business Plan OSS Income Sheet (transmission expense)</t>
  </si>
  <si>
    <t>PJM BA’s hourly regulating reserve requirement is either 525MW or 800MW depending on the season and time of day. [low]</t>
  </si>
  <si>
    <t>PJM BA’s hourly regulating reserve requirement is either 525MW or 800MW depending on the season and time of day. [High]</t>
  </si>
  <si>
    <t>Median</t>
  </si>
  <si>
    <t>Mean</t>
  </si>
  <si>
    <t>Range</t>
  </si>
  <si>
    <t>Max</t>
  </si>
  <si>
    <t>LGE % of Combined Load</t>
  </si>
  <si>
    <t>Combined Load (MWh)</t>
  </si>
  <si>
    <t>All Data</t>
  </si>
  <si>
    <t>Bins</t>
  </si>
  <si>
    <t>*All data is exclusive of municiple load</t>
  </si>
  <si>
    <t>Did not change from previous analysis</t>
  </si>
  <si>
    <t>Just included for internal comparison</t>
  </si>
  <si>
    <t>Revenue quality meter added during IMEA pseudo-tie</t>
  </si>
  <si>
    <t>3 x $100,000. One meter needed for each GSU connection</t>
  </si>
  <si>
    <t>Energy Market Benefits</t>
  </si>
  <si>
    <t>LKE's % of Coinc. Peak</t>
  </si>
  <si>
    <t>I:\Recurring\RTOAnalysis\2021Analysis\PROSYM\20210929_out_unityr.xlsx</t>
  </si>
  <si>
    <t>Net Benefits/(Costs)</t>
  </si>
  <si>
    <t>Updated 10/6/2021</t>
  </si>
  <si>
    <t>LKE Elimination of De-Pancaking</t>
  </si>
  <si>
    <t>Avoided Fees (FERC, TVA RC, ITO, TEE)</t>
  </si>
  <si>
    <t>PJM Capacity Market Benefits/(Costs)</t>
  </si>
  <si>
    <t>20211006 Capacity Calculation - PJM_D04.xlsx</t>
  </si>
  <si>
    <t>min</t>
  </si>
  <si>
    <t>max</t>
  </si>
  <si>
    <t>Mid</t>
  </si>
  <si>
    <t>Updated in 2021 based upon 2020 data.</t>
  </si>
  <si>
    <t>Updated 9-26-2022 - Based on current Joint Party Settlement annual payment escalated 2%/year (per the agreement)</t>
  </si>
  <si>
    <t>NOT USED</t>
  </si>
  <si>
    <t>Updated 9/27/2022 based on FERC Form 1 actual for 2021 increased 2% per year</t>
  </si>
  <si>
    <t>$/MW Load for the EKPC Zone from the Future Monthly Zonal Charges Tab</t>
  </si>
  <si>
    <t>Assumed LG&amp;E/KU Peak Load</t>
  </si>
  <si>
    <t>Annual XM Cost</t>
  </si>
  <si>
    <t>Does not include impact of EKPC projects which are all 100% assigned to EKPC</t>
  </si>
  <si>
    <t>Updated 9/26/2022</t>
  </si>
  <si>
    <t>Updated 9/27/22 from 2022 MOD-032 data</t>
  </si>
  <si>
    <t>Update 9/27/2022 based on PJM TCIC spreadsheet dated 4/2022 and same methodology as previous analysis See PJM TCIC Calc worksheet</t>
  </si>
  <si>
    <t xml:space="preserve"> Based on PJM tcic spreadsheet from Apr 2022 using EKPC as proxy. Detail #2</t>
  </si>
  <si>
    <t xml:space="preserve">2021 RTO Analysis Mid-Case </t>
  </si>
  <si>
    <t/>
  </si>
  <si>
    <t>Updated 10/5/2022 - based on 2023 BP thru 2032, then constant</t>
  </si>
  <si>
    <t>Assume 26A charges DO NOT go away for PJM - Basedon 2023BP 26A charges</t>
  </si>
  <si>
    <t>Depancaking - High Case</t>
  </si>
  <si>
    <t>Updated from 2023 BP for 3rd party sales</t>
  </si>
  <si>
    <t>Updated 10/5/2022 - based on 2023 BP Vacated Order thru 2032, then constant</t>
  </si>
  <si>
    <t>Assume 26A charges DO NOT go away for PJM - Basedon 2023BP vacated order 26A charges</t>
  </si>
  <si>
    <t>Updated - based on 2023 BP, PJM detail #7</t>
  </si>
  <si>
    <t>Updated - based on 2023 BP, PJM detail #8</t>
  </si>
  <si>
    <t>Updated from IMM 2021 report then escalated</t>
  </si>
  <si>
    <t>Based on PJM's avg cost per MWh ($0.15) charged to load, 2019 through 2021 SOM reports (Updated 10/17/22)</t>
  </si>
  <si>
    <t>Rough Estimated Cost (2022$)</t>
  </si>
  <si>
    <t>Updated for 2022</t>
  </si>
  <si>
    <t>Updated based on 2023 BP - 10/17/2022 See detail #4</t>
  </si>
  <si>
    <t>Contingency Reserve Requirement Avg of 2020 and 2021 hourly values in Data Miner</t>
  </si>
  <si>
    <t>Unchanged for 2022</t>
  </si>
  <si>
    <t>Effective January 1, 2022 the Underforecasted LFE error component of the Day-ahead Scheduling Reserve is 2.03%.</t>
  </si>
  <si>
    <t>Effective January 1, 2022 the FOR error component of the Day-ahead Scheduling Reserve is 2.38% for PJM.</t>
  </si>
  <si>
    <t>Updated to 20-21 load</t>
  </si>
  <si>
    <t>Effective January 1, 2022 the Day-ahead Scheduling Reserve for RFC and EKPC regions of PJM is 4.40% times Peak Load Forecast for RFC plus EKPC.</t>
  </si>
  <si>
    <t>LKE Current requirement for 2022 for TEE CRSG (MW)</t>
  </si>
  <si>
    <t>LKE load would pay for operating reserves on a load ratio share in a market (estimated LKE contribution as % of PJM 2020-21 load)</t>
  </si>
  <si>
    <t>Used 97 in 2021 analysis and used 119 in 2020 analysis</t>
  </si>
  <si>
    <t>Updated with data from Sales Analysis and Forecasting 10/19/2022</t>
  </si>
  <si>
    <t>LG&amp;E/KU Internal Implementation</t>
  </si>
  <si>
    <t>Gen Rev meters and soft/hardware, PJM detail #3</t>
  </si>
  <si>
    <t>Avoided Capacity Savings</t>
  </si>
  <si>
    <t>PJM Energy Market Benefits/(Costs)</t>
  </si>
  <si>
    <t>PJM Membership Cost Analysis - Case 1:  Mid Fuel; No CO2 Reductions Regulations ($M)</t>
  </si>
  <si>
    <t>Case2</t>
  </si>
  <si>
    <t>Case3</t>
  </si>
  <si>
    <t>Case4</t>
  </si>
  <si>
    <t>PJM Membership Cost Analysis - Case 2:  Mid Fuel; With CO2 Reductions Regulations ($M)</t>
  </si>
  <si>
    <t>PJM Membership Cost Analysis - Case 3:  High Fuel; No CO2 Reductions Regulations ($M)</t>
  </si>
  <si>
    <t>PJM Membership Cost Analysis - Case 4:  High Fuel; With CO2 Reductions Regulations ($M)</t>
  </si>
  <si>
    <t>Case 1 - Mid Fuel/No CO2 Regs.</t>
  </si>
  <si>
    <t>Case 2 - Mid Fuel/With CO2 Regs.</t>
  </si>
  <si>
    <t>Case 3 - High Fuel/No CO2 Regs.</t>
  </si>
  <si>
    <t>Case 4 - High Fuel/With CO2 Regs.</t>
  </si>
  <si>
    <r>
      <t>Case 1 - Mid Fuel/No CO</t>
    </r>
    <r>
      <rPr>
        <vertAlign val="subscript"/>
        <sz val="11"/>
        <color theme="1"/>
        <rFont val="Calibri"/>
        <family val="2"/>
      </rPr>
      <t>2</t>
    </r>
    <r>
      <rPr>
        <sz val="11"/>
        <color theme="1"/>
        <rFont val="Calibri"/>
        <family val="2"/>
        <scheme val="minor"/>
      </rPr>
      <t xml:space="preserve"> Regs.</t>
    </r>
  </si>
  <si>
    <r>
      <t>Case 4 - High Fuel/With CO</t>
    </r>
    <r>
      <rPr>
        <vertAlign val="subscript"/>
        <sz val="11"/>
        <color theme="1"/>
        <rFont val="Calibri"/>
        <family val="2"/>
      </rPr>
      <t>2</t>
    </r>
    <r>
      <rPr>
        <sz val="11"/>
        <color theme="1"/>
        <rFont val="Calibri"/>
        <family val="2"/>
        <scheme val="minor"/>
      </rPr>
      <t xml:space="preserve"> Regs.</t>
    </r>
  </si>
  <si>
    <t>Case 1</t>
  </si>
  <si>
    <t>Case 2</t>
  </si>
  <si>
    <t>Case 3</t>
  </si>
  <si>
    <t>Case 4</t>
  </si>
  <si>
    <t>PV</t>
  </si>
  <si>
    <t>WACC</t>
  </si>
  <si>
    <t>Inflation index to 2020</t>
  </si>
  <si>
    <t>Real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</si>
</sst>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0.0"/>
    <numFmt numFmtId="165" formatCode="0.0%"/>
    <numFmt numFmtId="166" formatCode="&quot;$&quot;#,##0"/>
    <numFmt numFmtId="167" formatCode="_(* #,##0_);_(* \(#,##0\);_(* &quot;-&quot;??_);_(@_)"/>
    <numFmt numFmtId="168" formatCode="_(&quot;$&quot;* #,##0_);_(&quot;$&quot;* \(#,##0\);_(&quot;$&quot;* &quot;-&quot;??_);_(@_)"/>
    <numFmt numFmtId="169" formatCode="0.000%"/>
    <numFmt numFmtId="170" formatCode="_(* #,##0.000_);_(* \(#,##0.000\);_(* &quot;-&quot;??_);_(@_)"/>
    <numFmt numFmtId="171" formatCode="_(* #,##0.0_);_(* \(#,##0.0\);_(* &quot;-&quot;??_);_(@_)"/>
    <numFmt numFmtId="172" formatCode="_(* #,##0.0_);_(* \(#,##0.0\);_(* &quot;-&quot;?_);_(@_)"/>
    <numFmt numFmtId="173" formatCode="&quot;$&quot;#,##0.00"/>
  </numFmts>
  <fonts count="22" x14ac:knownFonts="1">
    <font>
      <sz val="11"/>
      <color theme="1"/>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b/>
      <sz val="11"/>
      <color theme="1"/>
      <name val="Calibri"/>
      <family val="2"/>
      <scheme val="minor"/>
    </font>
    <font>
      <b/>
      <sz val="11"/>
      <color rgb="FFFF0000"/>
      <name val="Calibri"/>
      <family val="2"/>
      <scheme val="minor"/>
    </font>
    <font>
      <b/>
      <u/>
      <sz val="12"/>
      <color theme="1"/>
      <name val="Calibri"/>
      <family val="2"/>
      <scheme val="minor"/>
    </font>
    <font>
      <b/>
      <sz val="12"/>
      <color theme="1"/>
      <name val="Calibri"/>
      <family val="2"/>
      <scheme val="minor"/>
    </font>
    <font>
      <u/>
      <sz val="11"/>
      <color theme="10"/>
      <name val="Calibri"/>
      <family val="2"/>
      <scheme val="minor"/>
    </font>
    <font>
      <sz val="11"/>
      <color rgb="FF0070C0"/>
      <name val="Calibri"/>
      <family val="2"/>
      <scheme val="minor"/>
    </font>
    <font>
      <sz val="9"/>
      <color indexed="81"/>
      <name val="Tahoma"/>
      <family val="2"/>
    </font>
    <font>
      <b/>
      <sz val="9"/>
      <color indexed="81"/>
      <name val="Tahoma"/>
      <family val="2"/>
    </font>
    <font>
      <i/>
      <sz val="12"/>
      <color theme="1"/>
      <name val="Calibri"/>
      <family val="2"/>
      <scheme val="minor"/>
    </font>
    <font>
      <sz val="8"/>
      <name val="Calibri"/>
      <family val="2"/>
      <scheme val="minor"/>
    </font>
    <font>
      <sz val="11"/>
      <name val="Calibri"/>
      <family val="2"/>
      <scheme val="minor"/>
    </font>
    <font>
      <sz val="11"/>
      <color rgb="FF4F81BD"/>
      <name val="Calibri"/>
      <family val="2"/>
      <scheme val="minor"/>
    </font>
    <font>
      <b/>
      <u/>
      <sz val="11"/>
      <color theme="1"/>
      <name val="Calibri"/>
      <family val="2"/>
      <scheme val="minor"/>
    </font>
    <font>
      <i/>
      <sz val="11"/>
      <color theme="1"/>
      <name val="Calibri"/>
      <family val="2"/>
      <scheme val="minor"/>
    </font>
    <font>
      <b/>
      <sz val="11"/>
      <name val="Calibri"/>
      <family val="2"/>
      <scheme val="minor"/>
    </font>
    <font>
      <i/>
      <sz val="11"/>
      <color rgb="FF0070C0"/>
      <name val="Calibri"/>
      <family val="2"/>
      <scheme val="minor"/>
    </font>
    <font>
      <sz val="11"/>
      <color rgb="FF00B0F0"/>
      <name val="Calibri"/>
      <family val="2"/>
      <scheme val="minor"/>
    </font>
    <font>
      <vertAlign val="subscript"/>
      <sz val="11"/>
      <color theme="1"/>
      <name val="Calibri"/>
      <family val="2"/>
    </font>
  </fonts>
  <fills count="17">
    <fill>
      <patternFill patternType="none"/>
    </fill>
    <fill>
      <patternFill patternType="gray125"/>
    </fill>
    <fill>
      <patternFill patternType="solid">
        <fgColor theme="8"/>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66"/>
        <bgColor indexed="64"/>
      </patternFill>
    </fill>
    <fill>
      <patternFill patternType="solid">
        <fgColor rgb="FF00FF0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rgb="FF6DFFFC"/>
        <bgColor indexed="64"/>
      </patternFill>
    </fill>
    <fill>
      <patternFill patternType="solid">
        <fgColor rgb="FF00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cellStyleXfs>
  <cellXfs count="251">
    <xf numFmtId="0" fontId="0" fillId="0" borderId="0" xfId="0"/>
    <xf numFmtId="165" fontId="0" fillId="0" borderId="0" xfId="2" applyNumberFormat="1" applyFont="1" applyAlignment="1">
      <alignment horizontal="center" vertical="center"/>
    </xf>
    <xf numFmtId="165" fontId="2" fillId="2" borderId="0" xfId="3" applyNumberFormat="1" applyAlignment="1">
      <alignment horizontal="center" vertical="center"/>
    </xf>
    <xf numFmtId="0" fontId="2" fillId="2" borderId="0" xfId="3" applyAlignment="1">
      <alignment horizontal="center" vertical="center"/>
    </xf>
    <xf numFmtId="0" fontId="0" fillId="0" borderId="0" xfId="0" applyBorder="1"/>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14" fontId="0" fillId="0" borderId="0" xfId="0" applyNumberFormat="1"/>
    <xf numFmtId="0" fontId="4" fillId="0" borderId="0" xfId="0" applyFont="1"/>
    <xf numFmtId="0" fontId="0" fillId="3" borderId="0" xfId="0" applyFill="1"/>
    <xf numFmtId="0" fontId="0" fillId="0" borderId="0" xfId="0"/>
    <xf numFmtId="164" fontId="0" fillId="3" borderId="0" xfId="0" applyNumberFormat="1" applyFill="1" applyBorder="1" applyAlignment="1">
      <alignment horizontal="center" vertical="center"/>
    </xf>
    <xf numFmtId="0" fontId="5" fillId="0" borderId="0" xfId="0" applyFont="1"/>
    <xf numFmtId="0" fontId="0" fillId="0" borderId="0" xfId="0" applyFill="1"/>
    <xf numFmtId="164" fontId="0" fillId="0" borderId="0" xfId="0" applyNumberFormat="1" applyFill="1" applyAlignment="1">
      <alignment horizontal="center" vertical="center"/>
    </xf>
    <xf numFmtId="0" fontId="0" fillId="0" borderId="0" xfId="0" applyFill="1" applyBorder="1"/>
    <xf numFmtId="0" fontId="0" fillId="4" borderId="0" xfId="0" applyFill="1"/>
    <xf numFmtId="0" fontId="0" fillId="0" borderId="0" xfId="0" applyBorder="1" applyAlignment="1">
      <alignment horizontal="center" vertical="center"/>
    </xf>
    <xf numFmtId="38" fontId="0" fillId="0" borderId="0" xfId="0" applyNumberFormat="1" applyFill="1"/>
    <xf numFmtId="0" fontId="0" fillId="0" borderId="0" xfId="0" applyFill="1" applyBorder="1" applyAlignment="1">
      <alignment horizontal="center" vertical="center"/>
    </xf>
    <xf numFmtId="10" fontId="0" fillId="0" borderId="0" xfId="0" applyNumberFormat="1" applyFill="1" applyBorder="1"/>
    <xf numFmtId="0" fontId="0" fillId="0" borderId="0" xfId="0" applyFill="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Alignment="1">
      <alignment horizontal="center"/>
    </xf>
    <xf numFmtId="0" fontId="0" fillId="5" borderId="0" xfId="0" applyFill="1"/>
    <xf numFmtId="38" fontId="0" fillId="5" borderId="0" xfId="0" applyNumberFormat="1" applyFill="1"/>
    <xf numFmtId="0" fontId="0" fillId="5" borderId="0" xfId="0" applyFill="1" applyBorder="1" applyAlignment="1">
      <alignment horizontal="center" vertical="center"/>
    </xf>
    <xf numFmtId="0" fontId="0" fillId="5" borderId="0" xfId="0" applyFill="1" applyAlignment="1">
      <alignment horizontal="center" vertical="center"/>
    </xf>
    <xf numFmtId="0" fontId="0" fillId="5" borderId="0" xfId="0" applyFill="1" applyBorder="1"/>
    <xf numFmtId="168" fontId="0" fillId="0" borderId="0" xfId="6" applyNumberFormat="1" applyFont="1" applyAlignment="1">
      <alignment horizontal="center"/>
    </xf>
    <xf numFmtId="1" fontId="0" fillId="0" borderId="0" xfId="0" applyNumberFormat="1"/>
    <xf numFmtId="1" fontId="0" fillId="0" borderId="0" xfId="0" applyNumberFormat="1" applyAlignment="1">
      <alignment horizontal="center"/>
    </xf>
    <xf numFmtId="0" fontId="0" fillId="0" borderId="0" xfId="0" applyAlignment="1">
      <alignment horizontal="left"/>
    </xf>
    <xf numFmtId="0" fontId="0" fillId="0" borderId="0" xfId="0" applyAlignment="1">
      <alignment horizontal="center" wrapText="1"/>
    </xf>
    <xf numFmtId="1" fontId="0" fillId="6" borderId="0" xfId="0" applyNumberFormat="1" applyFill="1" applyAlignment="1">
      <alignment horizontal="center"/>
    </xf>
    <xf numFmtId="1" fontId="0" fillId="8" borderId="0" xfId="0" applyNumberFormat="1" applyFill="1" applyAlignment="1">
      <alignment horizontal="center"/>
    </xf>
    <xf numFmtId="1" fontId="0" fillId="5" borderId="0" xfId="0" applyNumberFormat="1" applyFill="1" applyAlignment="1">
      <alignment horizontal="center"/>
    </xf>
    <xf numFmtId="0" fontId="0" fillId="5" borderId="0" xfId="0" applyFill="1" applyAlignment="1">
      <alignment horizontal="center"/>
    </xf>
    <xf numFmtId="1" fontId="0" fillId="9" borderId="0" xfId="0" applyNumberFormat="1" applyFill="1" applyAlignment="1">
      <alignment horizontal="center"/>
    </xf>
    <xf numFmtId="168" fontId="6" fillId="10" borderId="2" xfId="6" applyNumberFormat="1" applyFont="1" applyFill="1" applyBorder="1" applyAlignment="1">
      <alignment horizontal="center" wrapText="1"/>
    </xf>
    <xf numFmtId="1" fontId="6" fillId="0" borderId="3" xfId="0" applyNumberFormat="1"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7" fillId="0" borderId="0" xfId="0" applyFont="1" applyAlignment="1">
      <alignment horizontal="centerContinuous" wrapText="1"/>
    </xf>
    <xf numFmtId="0" fontId="7" fillId="0" borderId="0" xfId="0" applyFont="1" applyAlignment="1">
      <alignment horizontal="center" wrapText="1"/>
    </xf>
    <xf numFmtId="164" fontId="0" fillId="0" borderId="1" xfId="0" applyNumberFormat="1" applyFill="1" applyBorder="1" applyAlignment="1">
      <alignment horizontal="center" vertical="center"/>
    </xf>
    <xf numFmtId="167" fontId="0" fillId="0" borderId="0" xfId="1" applyNumberFormat="1" applyFont="1"/>
    <xf numFmtId="165" fontId="0" fillId="0" borderId="0" xfId="2" applyNumberFormat="1" applyFont="1"/>
    <xf numFmtId="0" fontId="0" fillId="0" borderId="0" xfId="0" applyAlignment="1">
      <alignment wrapText="1"/>
    </xf>
    <xf numFmtId="0" fontId="8" fillId="0" borderId="0" xfId="11"/>
    <xf numFmtId="167" fontId="0" fillId="0" borderId="0" xfId="0" applyNumberFormat="1"/>
    <xf numFmtId="167" fontId="0" fillId="0" borderId="1" xfId="1" applyNumberFormat="1" applyFont="1" applyBorder="1"/>
    <xf numFmtId="0" fontId="0" fillId="0" borderId="7" xfId="0" applyBorder="1"/>
    <xf numFmtId="0" fontId="0" fillId="0" borderId="10" xfId="0" applyBorder="1"/>
    <xf numFmtId="10" fontId="0" fillId="0" borderId="6" xfId="0" applyNumberFormat="1" applyBorder="1"/>
    <xf numFmtId="167" fontId="0" fillId="0" borderId="12" xfId="1" applyNumberFormat="1" applyFont="1" applyBorder="1"/>
    <xf numFmtId="167" fontId="0" fillId="0" borderId="6" xfId="1" applyNumberFormat="1" applyFont="1" applyBorder="1"/>
    <xf numFmtId="167" fontId="0" fillId="0" borderId="7" xfId="1" applyNumberFormat="1" applyFont="1" applyBorder="1"/>
    <xf numFmtId="0" fontId="4" fillId="0" borderId="5" xfId="0" applyFont="1" applyBorder="1" applyAlignment="1">
      <alignment wrapText="1"/>
    </xf>
    <xf numFmtId="0" fontId="0" fillId="0" borderId="8" xfId="0" applyBorder="1" applyAlignment="1">
      <alignment wrapText="1"/>
    </xf>
    <xf numFmtId="0" fontId="0" fillId="0" borderId="11" xfId="0" applyBorder="1" applyAlignment="1">
      <alignment wrapText="1"/>
    </xf>
    <xf numFmtId="167" fontId="0" fillId="12" borderId="1" xfId="1" applyNumberFormat="1" applyFont="1" applyFill="1" applyBorder="1"/>
    <xf numFmtId="0" fontId="0" fillId="12" borderId="11" xfId="0" applyFill="1" applyBorder="1" applyAlignment="1">
      <alignment vertical="center" wrapText="1"/>
    </xf>
    <xf numFmtId="0" fontId="0" fillId="12" borderId="8" xfId="0" applyFill="1" applyBorder="1" applyAlignment="1">
      <alignment vertical="center" wrapText="1"/>
    </xf>
    <xf numFmtId="167" fontId="0" fillId="12" borderId="9" xfId="1" applyNumberFormat="1" applyFont="1" applyFill="1" applyBorder="1"/>
    <xf numFmtId="0" fontId="0" fillId="12" borderId="0" xfId="0" applyFill="1" applyAlignment="1">
      <alignment wrapText="1"/>
    </xf>
    <xf numFmtId="10" fontId="0" fillId="12" borderId="0" xfId="0" applyNumberFormat="1" applyFill="1"/>
    <xf numFmtId="0" fontId="0" fillId="11" borderId="0" xfId="0" applyFill="1" applyAlignment="1">
      <alignment wrapText="1"/>
    </xf>
    <xf numFmtId="10" fontId="0" fillId="11" borderId="0" xfId="0" applyNumberFormat="1" applyFill="1"/>
    <xf numFmtId="0" fontId="4" fillId="0" borderId="0" xfId="0" applyFont="1" applyAlignment="1">
      <alignment horizontal="center"/>
    </xf>
    <xf numFmtId="167" fontId="0" fillId="12" borderId="13" xfId="1" applyNumberFormat="1" applyFont="1" applyFill="1" applyBorder="1"/>
    <xf numFmtId="167" fontId="0" fillId="12" borderId="12" xfId="1" applyNumberFormat="1" applyFont="1" applyFill="1" applyBorder="1"/>
    <xf numFmtId="167" fontId="0" fillId="12" borderId="10" xfId="1" applyNumberFormat="1" applyFont="1" applyFill="1" applyBorder="1"/>
    <xf numFmtId="167" fontId="0" fillId="0" borderId="0" xfId="1" applyNumberFormat="1" applyFont="1" applyFill="1"/>
    <xf numFmtId="0" fontId="0" fillId="13" borderId="0" xfId="0" applyFill="1"/>
    <xf numFmtId="0" fontId="4" fillId="13" borderId="0" xfId="0" applyFont="1" applyFill="1" applyAlignment="1">
      <alignment horizontal="center"/>
    </xf>
    <xf numFmtId="164" fontId="0" fillId="0" borderId="0" xfId="0" applyNumberFormat="1"/>
    <xf numFmtId="0" fontId="0" fillId="0" borderId="0" xfId="0" applyAlignment="1">
      <alignment horizontal="center" vertical="center"/>
    </xf>
    <xf numFmtId="0" fontId="0" fillId="5" borderId="0" xfId="0" applyFill="1" applyBorder="1"/>
    <xf numFmtId="164" fontId="0" fillId="0" borderId="0" xfId="0" applyNumberFormat="1" applyFill="1" applyBorder="1"/>
    <xf numFmtId="0" fontId="4" fillId="0" borderId="0" xfId="0" applyFont="1" applyFill="1" applyBorder="1"/>
    <xf numFmtId="0" fontId="0" fillId="5" borderId="0" xfId="0" applyFill="1" applyBorder="1" applyAlignment="1">
      <alignment horizontal="center"/>
    </xf>
    <xf numFmtId="0" fontId="4" fillId="5" borderId="0" xfId="0" applyFont="1" applyFill="1" applyBorder="1"/>
    <xf numFmtId="164" fontId="0" fillId="5" borderId="0" xfId="0" applyNumberFormat="1" applyFill="1" applyBorder="1"/>
    <xf numFmtId="0" fontId="0" fillId="3" borderId="14" xfId="0" applyFill="1" applyBorder="1"/>
    <xf numFmtId="0" fontId="0" fillId="0" borderId="0" xfId="0" applyFont="1" applyFill="1" applyBorder="1"/>
    <xf numFmtId="0" fontId="0" fillId="0" borderId="0" xfId="6" applyNumberFormat="1" applyFont="1" applyAlignment="1">
      <alignment horizontal="center"/>
    </xf>
    <xf numFmtId="168" fontId="12" fillId="10" borderId="0" xfId="6" applyNumberFormat="1" applyFont="1" applyFill="1" applyBorder="1" applyAlignment="1">
      <alignment horizontal="center" wrapText="1"/>
    </xf>
    <xf numFmtId="43" fontId="0" fillId="0" borderId="0" xfId="1" applyFont="1"/>
    <xf numFmtId="170" fontId="9" fillId="0" borderId="0" xfId="1" applyNumberFormat="1" applyFont="1"/>
    <xf numFmtId="0" fontId="0" fillId="0" borderId="0" xfId="0" applyFill="1" applyBorder="1" applyAlignment="1">
      <alignment horizontal="center" vertical="center"/>
    </xf>
    <xf numFmtId="0" fontId="4" fillId="0" borderId="0" xfId="0" applyFont="1" applyBorder="1"/>
    <xf numFmtId="9" fontId="9" fillId="0" borderId="0" xfId="0" applyNumberFormat="1" applyFont="1"/>
    <xf numFmtId="0" fontId="0" fillId="0" borderId="0" xfId="0" applyBorder="1" applyAlignment="1">
      <alignment horizontal="center" vertical="center"/>
    </xf>
    <xf numFmtId="9" fontId="9" fillId="0" borderId="0" xfId="0" applyNumberFormat="1" applyFont="1" applyBorder="1"/>
    <xf numFmtId="168" fontId="9" fillId="0" borderId="0" xfId="6" applyNumberFormat="1" applyFont="1" applyAlignment="1">
      <alignment horizontal="center"/>
    </xf>
    <xf numFmtId="168" fontId="9" fillId="5" borderId="0" xfId="6" applyNumberFormat="1" applyFont="1" applyFill="1" applyAlignment="1">
      <alignment horizontal="center"/>
    </xf>
    <xf numFmtId="168" fontId="9" fillId="0" borderId="0" xfId="6" applyNumberFormat="1" applyFont="1" applyFill="1" applyAlignment="1">
      <alignment horizont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13" borderId="0" xfId="0" applyFill="1" applyAlignment="1">
      <alignment horizontal="center"/>
    </xf>
    <xf numFmtId="3" fontId="0" fillId="13" borderId="1" xfId="0" applyNumberFormat="1" applyFill="1" applyBorder="1" applyAlignment="1">
      <alignment horizontal="center"/>
    </xf>
    <xf numFmtId="0" fontId="4" fillId="12" borderId="1" xfId="0" applyFont="1" applyFill="1" applyBorder="1"/>
    <xf numFmtId="0" fontId="4" fillId="12" borderId="1" xfId="0" applyFont="1" applyFill="1" applyBorder="1" applyAlignment="1">
      <alignment horizontal="center"/>
    </xf>
    <xf numFmtId="10" fontId="0" fillId="13" borderId="0" xfId="0" applyNumberFormat="1" applyFill="1" applyAlignment="1">
      <alignment horizontal="center"/>
    </xf>
    <xf numFmtId="0" fontId="4" fillId="12" borderId="0" xfId="0" applyFont="1" applyFill="1" applyAlignment="1">
      <alignment horizontal="center"/>
    </xf>
    <xf numFmtId="10" fontId="0" fillId="0" borderId="9" xfId="0" applyNumberFormat="1" applyFill="1" applyBorder="1"/>
    <xf numFmtId="170" fontId="9" fillId="3" borderId="0" xfId="1" applyNumberFormat="1" applyFont="1" applyFill="1"/>
    <xf numFmtId="1" fontId="0" fillId="13" borderId="0" xfId="0" applyNumberFormat="1" applyFill="1" applyAlignment="1">
      <alignment horizontal="center"/>
    </xf>
    <xf numFmtId="1" fontId="0" fillId="13" borderId="0" xfId="2" applyNumberFormat="1" applyFont="1" applyFill="1" applyAlignment="1">
      <alignment horizontal="center"/>
    </xf>
    <xf numFmtId="169" fontId="0" fillId="13" borderId="0" xfId="0" applyNumberFormat="1" applyFill="1" applyAlignment="1">
      <alignment horizontal="center"/>
    </xf>
    <xf numFmtId="169" fontId="0" fillId="13" borderId="1" xfId="2" applyNumberFormat="1" applyFont="1" applyFill="1" applyBorder="1" applyAlignment="1">
      <alignment horizontal="center"/>
    </xf>
    <xf numFmtId="0" fontId="4" fillId="13" borderId="0" xfId="0" applyFont="1" applyFill="1"/>
    <xf numFmtId="169" fontId="0" fillId="7" borderId="1" xfId="2" applyNumberFormat="1" applyFont="1" applyFill="1" applyBorder="1" applyAlignment="1">
      <alignment horizontal="center"/>
    </xf>
    <xf numFmtId="167" fontId="0" fillId="0" borderId="0" xfId="0" applyNumberFormat="1" applyFill="1"/>
    <xf numFmtId="43" fontId="0" fillId="14" borderId="0" xfId="1" applyFont="1" applyFill="1"/>
    <xf numFmtId="170" fontId="9" fillId="14" borderId="0" xfId="1" applyNumberFormat="1" applyFont="1" applyFill="1"/>
    <xf numFmtId="0" fontId="0" fillId="0" borderId="0" xfId="0" applyFill="1" applyBorder="1" applyAlignment="1">
      <alignment horizontal="center" vertical="center"/>
    </xf>
    <xf numFmtId="0" fontId="0" fillId="0" borderId="0" xfId="0" applyBorder="1" applyAlignment="1">
      <alignment horizontal="center" vertical="center"/>
    </xf>
    <xf numFmtId="1" fontId="0" fillId="3" borderId="0" xfId="0" applyNumberFormat="1" applyFill="1" applyBorder="1" applyAlignment="1">
      <alignment horizontal="center" vertical="center"/>
    </xf>
    <xf numFmtId="164" fontId="0" fillId="0" borderId="0" xfId="0" applyNumberFormat="1" applyFill="1"/>
    <xf numFmtId="164" fontId="0" fillId="0" borderId="14" xfId="0" applyNumberFormat="1" applyFill="1" applyBorder="1"/>
    <xf numFmtId="0" fontId="0" fillId="13" borderId="0" xfId="0" applyFill="1" applyAlignment="1">
      <alignment horizontal="left"/>
    </xf>
    <xf numFmtId="0" fontId="0" fillId="7" borderId="0" xfId="0" applyFill="1"/>
    <xf numFmtId="0" fontId="14" fillId="7" borderId="0" xfId="0" applyFont="1" applyFill="1"/>
    <xf numFmtId="0" fontId="0" fillId="13" borderId="11" xfId="0" applyFill="1" applyBorder="1" applyAlignment="1">
      <alignment wrapText="1"/>
    </xf>
    <xf numFmtId="167" fontId="0" fillId="13" borderId="1" xfId="1" applyNumberFormat="1" applyFont="1" applyFill="1" applyBorder="1"/>
    <xf numFmtId="164" fontId="0" fillId="0" borderId="0" xfId="0" applyNumberFormat="1" applyFill="1" applyAlignment="1">
      <alignment horizontal="right"/>
    </xf>
    <xf numFmtId="165" fontId="0" fillId="7" borderId="0" xfId="2" applyNumberFormat="1" applyFont="1" applyFill="1"/>
    <xf numFmtId="0" fontId="0" fillId="0" borderId="0" xfId="0" applyFill="1" applyAlignment="1">
      <alignment horizontal="left" wrapText="1"/>
    </xf>
    <xf numFmtId="3" fontId="0" fillId="0" borderId="0" xfId="1" applyNumberFormat="1" applyFont="1" applyFill="1" applyBorder="1" applyAlignment="1">
      <alignment horizontal="right" vertical="center"/>
    </xf>
    <xf numFmtId="164" fontId="0" fillId="0" borderId="0" xfId="0" applyNumberFormat="1" applyFill="1" applyBorder="1" applyAlignment="1">
      <alignment horizontal="right" vertical="center"/>
    </xf>
    <xf numFmtId="43" fontId="0" fillId="0" borderId="0" xfId="1" applyNumberFormat="1" applyFont="1"/>
    <xf numFmtId="167" fontId="0" fillId="0" borderId="0" xfId="1" applyNumberFormat="1" applyFont="1" applyFill="1" applyAlignment="1">
      <alignment horizontal="right"/>
    </xf>
    <xf numFmtId="167" fontId="0" fillId="0" borderId="14" xfId="1" applyNumberFormat="1" applyFont="1" applyFill="1" applyBorder="1" applyAlignment="1">
      <alignment horizontal="right"/>
    </xf>
    <xf numFmtId="170" fontId="0" fillId="0" borderId="0" xfId="0" applyNumberFormat="1" applyFill="1"/>
    <xf numFmtId="43" fontId="9" fillId="0" borderId="14" xfId="1" applyFont="1" applyFill="1" applyBorder="1"/>
    <xf numFmtId="0" fontId="16" fillId="0" borderId="0" xfId="0" applyFont="1" applyFill="1" applyBorder="1" applyAlignment="1">
      <alignment horizontal="right" vertical="center"/>
    </xf>
    <xf numFmtId="164" fontId="0" fillId="0" borderId="17" xfId="0" applyNumberFormat="1" applyFill="1" applyBorder="1" applyAlignment="1">
      <alignment horizontal="right" vertical="center"/>
    </xf>
    <xf numFmtId="164" fontId="4" fillId="0" borderId="0" xfId="0" applyNumberFormat="1" applyFont="1" applyFill="1" applyBorder="1" applyAlignment="1">
      <alignment horizontal="right" vertical="center"/>
    </xf>
    <xf numFmtId="0" fontId="0" fillId="0" borderId="0" xfId="0" applyFill="1" applyBorder="1" applyAlignment="1">
      <alignment horizontal="left" indent="1"/>
    </xf>
    <xf numFmtId="0" fontId="4" fillId="0" borderId="0" xfId="0" applyFont="1" applyFill="1" applyBorder="1" applyAlignment="1">
      <alignment horizontal="left" indent="1"/>
    </xf>
    <xf numFmtId="0" fontId="0" fillId="0" borderId="0" xfId="0" applyAlignment="1">
      <alignment horizontal="left" indent="1"/>
    </xf>
    <xf numFmtId="0" fontId="4" fillId="0" borderId="0" xfId="0" applyFont="1" applyAlignment="1">
      <alignment horizontal="left" indent="1"/>
    </xf>
    <xf numFmtId="0" fontId="0" fillId="0" borderId="0" xfId="0" applyFill="1" applyAlignment="1">
      <alignment horizontal="left" indent="1"/>
    </xf>
    <xf numFmtId="164" fontId="0" fillId="0" borderId="14" xfId="0" applyNumberFormat="1" applyFill="1" applyBorder="1" applyAlignment="1">
      <alignment horizontal="right" vertical="center"/>
    </xf>
    <xf numFmtId="165" fontId="15" fillId="3" borderId="0" xfId="2" applyNumberFormat="1" applyFont="1" applyFill="1" applyAlignment="1">
      <alignment horizontal="center"/>
    </xf>
    <xf numFmtId="0" fontId="0" fillId="0" borderId="0" xfId="0" applyFill="1" applyAlignment="1">
      <alignment horizontal="center"/>
    </xf>
    <xf numFmtId="0" fontId="0" fillId="3" borderId="0" xfId="0" applyFill="1" applyAlignment="1">
      <alignment horizontal="left"/>
    </xf>
    <xf numFmtId="164" fontId="9" fillId="0" borderId="0" xfId="0" applyNumberFormat="1" applyFont="1" applyFill="1" applyBorder="1" applyAlignment="1">
      <alignment horizontal="right" vertical="center"/>
    </xf>
    <xf numFmtId="171" fontId="9" fillId="0" borderId="0" xfId="1" applyNumberFormat="1" applyFont="1" applyFill="1"/>
    <xf numFmtId="2" fontId="9" fillId="0" borderId="0" xfId="0" applyNumberFormat="1" applyFont="1" applyFill="1" applyBorder="1" applyAlignment="1">
      <alignment horizontal="right" vertical="center"/>
    </xf>
    <xf numFmtId="164" fontId="4" fillId="0" borderId="17" xfId="0" applyNumberFormat="1" applyFont="1" applyFill="1" applyBorder="1" applyAlignment="1">
      <alignment horizontal="right"/>
    </xf>
    <xf numFmtId="0" fontId="9" fillId="0" borderId="0" xfId="0" applyFont="1"/>
    <xf numFmtId="0" fontId="9" fillId="0" borderId="0" xfId="0" applyFont="1" applyFill="1" applyBorder="1"/>
    <xf numFmtId="164" fontId="9" fillId="0" borderId="0" xfId="0" applyNumberFormat="1" applyFont="1" applyAlignment="1">
      <alignment horizontal="right"/>
    </xf>
    <xf numFmtId="164" fontId="4" fillId="0" borderId="0" xfId="0" applyNumberFormat="1" applyFont="1" applyBorder="1" applyAlignment="1">
      <alignment horizontal="right" vertical="center"/>
    </xf>
    <xf numFmtId="164" fontId="0" fillId="0" borderId="17" xfId="0" applyNumberFormat="1" applyFill="1" applyBorder="1"/>
    <xf numFmtId="0" fontId="9" fillId="0" borderId="0" xfId="0" applyFont="1" applyFill="1" applyBorder="1" applyAlignment="1">
      <alignment horizontal="right"/>
    </xf>
    <xf numFmtId="164" fontId="4" fillId="0" borderId="0" xfId="0" applyNumberFormat="1" applyFont="1" applyFill="1" applyBorder="1"/>
    <xf numFmtId="164" fontId="9" fillId="0" borderId="0" xfId="0" applyNumberFormat="1" applyFont="1" applyFill="1"/>
    <xf numFmtId="0" fontId="0" fillId="0" borderId="0" xfId="0" applyFont="1" applyFill="1" applyBorder="1" applyAlignment="1">
      <alignment horizontal="left" indent="1"/>
    </xf>
    <xf numFmtId="10" fontId="9" fillId="0"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164" fontId="18" fillId="0" borderId="0" xfId="0" applyNumberFormat="1" applyFont="1"/>
    <xf numFmtId="164" fontId="4" fillId="0" borderId="0" xfId="0" applyNumberFormat="1" applyFont="1"/>
    <xf numFmtId="0" fontId="0" fillId="0" borderId="0" xfId="0" applyAlignment="1">
      <alignment horizontal="right"/>
    </xf>
    <xf numFmtId="0" fontId="0" fillId="0" borderId="0" xfId="0"/>
    <xf numFmtId="0" fontId="0" fillId="0" borderId="0" xfId="0"/>
    <xf numFmtId="0" fontId="14" fillId="0" borderId="0" xfId="0" applyFont="1" applyFill="1" applyBorder="1" applyAlignment="1">
      <alignment horizontal="left" indent="1"/>
    </xf>
    <xf numFmtId="0" fontId="0" fillId="0" borderId="0" xfId="0"/>
    <xf numFmtId="0" fontId="0" fillId="0" borderId="0" xfId="0"/>
    <xf numFmtId="0" fontId="0" fillId="0" borderId="0" xfId="0"/>
    <xf numFmtId="0" fontId="0" fillId="0" borderId="0" xfId="0"/>
    <xf numFmtId="0" fontId="4" fillId="0" borderId="0" xfId="0" applyFont="1"/>
    <xf numFmtId="167" fontId="0" fillId="0" borderId="0" xfId="0" applyNumberFormat="1" applyFill="1" applyBorder="1" applyAlignment="1">
      <alignment horizontal="center"/>
    </xf>
    <xf numFmtId="0" fontId="0" fillId="0" borderId="0" xfId="0" applyFill="1" applyBorder="1" applyAlignment="1">
      <alignment horizontal="right"/>
    </xf>
    <xf numFmtId="0" fontId="0" fillId="0" borderId="0" xfId="0"/>
    <xf numFmtId="0" fontId="19" fillId="0" borderId="0" xfId="0" applyFont="1" applyBorder="1"/>
    <xf numFmtId="0" fontId="0" fillId="0" borderId="0" xfId="0"/>
    <xf numFmtId="43" fontId="0" fillId="0" borderId="0" xfId="0" applyNumberFormat="1" applyFill="1"/>
    <xf numFmtId="172" fontId="0" fillId="0" borderId="0" xfId="0" applyNumberFormat="1"/>
    <xf numFmtId="167" fontId="0" fillId="0" borderId="0" xfId="1" applyNumberFormat="1" applyFont="1" applyBorder="1" applyAlignment="1"/>
    <xf numFmtId="164" fontId="9" fillId="0" borderId="0" xfId="0" applyNumberFormat="1" applyFont="1" applyFill="1"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3" fillId="0" borderId="0" xfId="0" applyFont="1"/>
    <xf numFmtId="0" fontId="0" fillId="0" borderId="0" xfId="0"/>
    <xf numFmtId="0" fontId="4" fillId="0" borderId="0" xfId="0" applyFont="1"/>
    <xf numFmtId="0" fontId="8" fillId="3" borderId="0" xfId="11" applyFill="1" applyAlignment="1">
      <alignment vertical="center"/>
    </xf>
    <xf numFmtId="0" fontId="0" fillId="0" borderId="0" xfId="0"/>
    <xf numFmtId="0" fontId="0" fillId="4" borderId="0" xfId="0" applyFill="1" applyAlignment="1">
      <alignment horizontal="left"/>
    </xf>
    <xf numFmtId="0" fontId="0" fillId="4" borderId="16" xfId="0" applyFill="1" applyBorder="1"/>
    <xf numFmtId="173" fontId="0" fillId="0" borderId="0" xfId="0" applyNumberFormat="1" applyAlignment="1">
      <alignment horizontal="center"/>
    </xf>
    <xf numFmtId="166" fontId="0" fillId="0" borderId="0" xfId="0" applyNumberFormat="1" applyAlignment="1">
      <alignment horizontal="center"/>
    </xf>
    <xf numFmtId="173" fontId="0" fillId="0" borderId="0" xfId="0" applyNumberFormat="1"/>
    <xf numFmtId="0" fontId="0" fillId="4" borderId="15" xfId="0" applyFill="1" applyBorder="1"/>
    <xf numFmtId="0" fontId="0" fillId="0" borderId="0" xfId="0" quotePrefix="1"/>
    <xf numFmtId="0" fontId="0" fillId="0" borderId="0" xfId="0"/>
    <xf numFmtId="0" fontId="4" fillId="0" borderId="0" xfId="0" applyFont="1"/>
    <xf numFmtId="0" fontId="0" fillId="0" borderId="0" xfId="0" applyBorder="1" applyAlignment="1">
      <alignment horizontal="center" vertical="center"/>
    </xf>
    <xf numFmtId="0" fontId="17" fillId="4" borderId="0" xfId="0" applyFont="1" applyFill="1" applyBorder="1"/>
    <xf numFmtId="164" fontId="17" fillId="4" borderId="0" xfId="0" applyNumberFormat="1" applyFont="1" applyFill="1" applyAlignment="1">
      <alignment horizontal="center" vertical="center"/>
    </xf>
    <xf numFmtId="0" fontId="17" fillId="4" borderId="0" xfId="0" applyFont="1" applyFill="1" applyAlignment="1">
      <alignment horizontal="center"/>
    </xf>
    <xf numFmtId="164" fontId="17" fillId="4" borderId="0" xfId="0" applyNumberFormat="1" applyFont="1" applyFill="1" applyAlignment="1">
      <alignment horizontal="center"/>
    </xf>
    <xf numFmtId="0" fontId="3" fillId="0" borderId="0" xfId="0" applyFont="1"/>
    <xf numFmtId="0" fontId="0" fillId="0" borderId="0" xfId="0"/>
    <xf numFmtId="0" fontId="4" fillId="0" borderId="0" xfId="0" applyFont="1"/>
    <xf numFmtId="0" fontId="0" fillId="0" borderId="0" xfId="0" applyFill="1" applyAlignment="1">
      <alignment wrapText="1"/>
    </xf>
    <xf numFmtId="0" fontId="0" fillId="0" borderId="0" xfId="0"/>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xf numFmtId="0" fontId="16" fillId="3" borderId="0" xfId="0" applyFont="1" applyFill="1" applyBorder="1" applyAlignment="1">
      <alignment horizontal="right" vertical="center"/>
    </xf>
    <xf numFmtId="0" fontId="0" fillId="0" borderId="0" xfId="0"/>
    <xf numFmtId="0" fontId="20" fillId="14" borderId="0" xfId="6" applyNumberFormat="1" applyFont="1" applyFill="1" applyAlignment="1">
      <alignment horizontal="center"/>
    </xf>
    <xf numFmtId="164" fontId="0"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0" fontId="3" fillId="0" borderId="0" xfId="0" applyFont="1"/>
    <xf numFmtId="0" fontId="0" fillId="0" borderId="0" xfId="0"/>
    <xf numFmtId="0" fontId="4" fillId="0" borderId="1" xfId="0" applyFont="1" applyBorder="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xf numFmtId="164" fontId="4" fillId="0" borderId="1" xfId="0" applyNumberFormat="1" applyFont="1" applyFill="1" applyBorder="1" applyAlignment="1">
      <alignment horizontal="center" vertical="center"/>
    </xf>
    <xf numFmtId="0" fontId="4" fillId="0" borderId="1" xfId="0" applyFont="1" applyFill="1" applyBorder="1"/>
    <xf numFmtId="0" fontId="0" fillId="0" borderId="0" xfId="0"/>
    <xf numFmtId="0" fontId="4" fillId="0" borderId="0" xfId="0" applyFont="1"/>
    <xf numFmtId="167" fontId="9" fillId="0" borderId="0" xfId="1" applyNumberFormat="1" applyFont="1"/>
    <xf numFmtId="0" fontId="16" fillId="0" borderId="0" xfId="0" applyFont="1" applyAlignment="1">
      <alignment horizontal="right"/>
    </xf>
    <xf numFmtId="0" fontId="9" fillId="0" borderId="0" xfId="0" applyFont="1" applyAlignment="1">
      <alignment horizontal="left"/>
    </xf>
    <xf numFmtId="10" fontId="9" fillId="0" borderId="0" xfId="0" applyNumberFormat="1" applyFont="1" applyAlignment="1">
      <alignment horizontal="left"/>
    </xf>
    <xf numFmtId="0" fontId="0" fillId="0" borderId="0" xfId="0"/>
    <xf numFmtId="0" fontId="4" fillId="0" borderId="0" xfId="0" applyFont="1"/>
    <xf numFmtId="164" fontId="0" fillId="15" borderId="1" xfId="0" applyNumberFormat="1" applyFont="1" applyFill="1" applyBorder="1" applyAlignment="1">
      <alignment horizontal="center" vertical="center"/>
    </xf>
    <xf numFmtId="164" fontId="4" fillId="15" borderId="1" xfId="0" applyNumberFormat="1" applyFont="1" applyFill="1" applyBorder="1" applyAlignment="1">
      <alignment horizontal="center" vertical="center"/>
    </xf>
    <xf numFmtId="164" fontId="0" fillId="15" borderId="0" xfId="0" applyNumberFormat="1" applyFill="1"/>
    <xf numFmtId="167" fontId="0" fillId="15" borderId="0" xfId="1" applyNumberFormat="1" applyFont="1" applyFill="1"/>
    <xf numFmtId="167" fontId="4" fillId="15" borderId="17" xfId="0" applyNumberFormat="1" applyFont="1" applyFill="1" applyBorder="1"/>
    <xf numFmtId="164" fontId="0" fillId="16" borderId="0" xfId="0" applyNumberFormat="1" applyFill="1"/>
    <xf numFmtId="0" fontId="3" fillId="0" borderId="0" xfId="0" applyFont="1"/>
    <xf numFmtId="0" fontId="3" fillId="0" borderId="18" xfId="0" applyFont="1" applyBorder="1"/>
    <xf numFmtId="0" fontId="0" fillId="0" borderId="0" xfId="0"/>
    <xf numFmtId="0" fontId="5" fillId="0" borderId="0" xfId="0" applyFont="1"/>
    <xf numFmtId="0" fontId="4" fillId="0" borderId="0" xfId="0" applyFont="1"/>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3" borderId="0" xfId="0" applyFill="1" applyAlignment="1">
      <alignment horizontal="center" vertical="center"/>
    </xf>
    <xf numFmtId="167" fontId="9" fillId="15" borderId="0" xfId="1" applyNumberFormat="1" applyFont="1" applyFill="1"/>
  </cellXfs>
  <cellStyles count="13">
    <cellStyle name="Accent5" xfId="3" builtinId="45"/>
    <cellStyle name="Comma" xfId="1" builtinId="3"/>
    <cellStyle name="Comma 175" xfId="10" xr:uid="{00000000-0005-0000-0000-000002000000}"/>
    <cellStyle name="Comma 2" xfId="5" xr:uid="{00000000-0005-0000-0000-000003000000}"/>
    <cellStyle name="Currency" xfId="6" builtinId="4"/>
    <cellStyle name="Hyperlink" xfId="11" builtinId="8"/>
    <cellStyle name="Normal" xfId="0" builtinId="0"/>
    <cellStyle name="Normal 119" xfId="7" xr:uid="{00000000-0005-0000-0000-000007000000}"/>
    <cellStyle name="Normal 120" xfId="8" xr:uid="{00000000-0005-0000-0000-000008000000}"/>
    <cellStyle name="Normal 123" xfId="9" xr:uid="{00000000-0005-0000-0000-000009000000}"/>
    <cellStyle name="Normal 2" xfId="4" xr:uid="{00000000-0005-0000-0000-00000A000000}"/>
    <cellStyle name="Normal 2 2 4" xfId="12" xr:uid="{CE7D7BDB-5EFD-45BC-9FB9-73EABB27A325}"/>
    <cellStyle name="Percent" xfId="2" builtinId="5"/>
  </cellStyles>
  <dxfs count="0"/>
  <tableStyles count="1" defaultTableStyle="TableStyleMedium2" defaultPivotStyle="PivotStyleLight16">
    <tableStyle name="Invisible" pivot="0" table="0" count="0" xr9:uid="{2366E4E5-D957-4B6A-AD46-05E82711113B}"/>
  </tableStyles>
  <colors>
    <mruColors>
      <color rgb="FF6DFFFC"/>
      <color rgb="FF00F0EA"/>
      <color rgb="FF00FF00"/>
      <color rgb="FF99FF99"/>
      <color rgb="FF4F81BD"/>
      <color rgb="FF9BBB59"/>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heetMetadata" Target="metadata.xml"/><Relationship Id="rId18" Type="http://schemas.openxmlformats.org/officeDocument/2006/relationships/customXml" Target="../customXml/item3.xml"/><Relationship Id="rId3" Type="http://schemas.openxmlformats.org/officeDocument/2006/relationships/worksheet" Target="worksheets/sheet2.xml"/><Relationship Id="rId7" Type="http://schemas.openxmlformats.org/officeDocument/2006/relationships/worksheet" Target="worksheets/sheet5.xml"/><Relationship Id="rId12" Type="http://schemas.openxmlformats.org/officeDocument/2006/relationships/sharedStrings" Target="sharedStrings.xml"/><Relationship Id="rId17" Type="http://schemas.openxmlformats.org/officeDocument/2006/relationships/customXml" Target="../customXml/item2.xml"/><Relationship Id="rId2" Type="http://schemas.openxmlformats.org/officeDocument/2006/relationships/worksheet" Target="worksheets/sheet1.xml"/><Relationship Id="rId16" Type="http://schemas.openxmlformats.org/officeDocument/2006/relationships/customXml" Target="../customXml/item1.xml"/><Relationship Id="rId1" Type="http://schemas.openxmlformats.org/officeDocument/2006/relationships/chartsheet" Target="chartsheets/sheet1.xml"/><Relationship Id="rId6" Type="http://schemas.openxmlformats.org/officeDocument/2006/relationships/worksheet" Target="worksheets/sheet4.xml"/><Relationship Id="rId11" Type="http://schemas.openxmlformats.org/officeDocument/2006/relationships/styles" Target="styles.xml"/><Relationship Id="rId5" Type="http://schemas.openxmlformats.org/officeDocument/2006/relationships/worksheet" Target="worksheets/sheet3.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externalLink" Target="externalLinks/externalLink1.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'PJM Summary (Rolled Up)'!$A$22</c:f>
              <c:strCache>
                <c:ptCount val="1"/>
                <c:pt idx="0">
                  <c:v>Case 1 - Mid Fuel/No CO2 Regs.</c:v>
                </c:pt>
              </c:strCache>
            </c:strRef>
          </c:tx>
          <c:spPr>
            <a:solidFill>
              <a:schemeClr val="accent1"/>
            </a:solidFill>
            <a:ln>
              <a:noFill/>
            </a:ln>
            <a:effectLst/>
          </c:spPr>
          <c:invertIfNegative val="0"/>
          <c:cat>
            <c:numRef>
              <c:f>'PJM Summary (Rolled Up)'!$C$5:$R$5</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'PJM Summary (Rolled Up)'!$C$22:$R$22</c:f>
              <c:numCache>
                <c:formatCode>0.0</c:formatCode>
                <c:ptCount val="16"/>
                <c:pt idx="0">
                  <c:v>-18.630738835906115</c:v>
                </c:pt>
                <c:pt idx="1">
                  <c:v>-10.238184315204457</c:v>
                </c:pt>
                <c:pt idx="2">
                  <c:v>-23.977811455730702</c:v>
                </c:pt>
                <c:pt idx="3">
                  <c:v>6.512688629578598</c:v>
                </c:pt>
                <c:pt idx="4">
                  <c:v>-87.611046216087573</c:v>
                </c:pt>
                <c:pt idx="5">
                  <c:v>-67.392448602074523</c:v>
                </c:pt>
                <c:pt idx="6">
                  <c:v>-95.304752760135386</c:v>
                </c:pt>
                <c:pt idx="7">
                  <c:v>-93.791009238643781</c:v>
                </c:pt>
                <c:pt idx="8">
                  <c:v>-92.691193438150577</c:v>
                </c:pt>
                <c:pt idx="9">
                  <c:v>-56.063952991625321</c:v>
                </c:pt>
                <c:pt idx="10">
                  <c:v>-122.10956988542969</c:v>
                </c:pt>
                <c:pt idx="11">
                  <c:v>-73.318361587629582</c:v>
                </c:pt>
                <c:pt idx="12">
                  <c:v>-70.630419758304143</c:v>
                </c:pt>
                <c:pt idx="13">
                  <c:v>-47.777911302989317</c:v>
                </c:pt>
                <c:pt idx="14">
                  <c:v>-43.156902010623824</c:v>
                </c:pt>
                <c:pt idx="15">
                  <c:v>112.82312324862929</c:v>
                </c:pt>
              </c:numCache>
            </c:numRef>
          </c:val>
          <c:extLst>
            <c:ext xmlns:c16="http://schemas.microsoft.com/office/drawing/2014/chart" uri="{C3380CC4-5D6E-409C-BE32-E72D297353CC}">
              <c16:uniqueId val="{00000000-ABAC-43DD-A25D-D67679A00F8F}"/>
            </c:ext>
          </c:extLst>
        </c:ser>
        <c:ser>
          <c:idx val="1"/>
          <c:order val="1"/>
          <c:tx>
            <c:strRef>
              <c:f>'PJM Summary (Rolled Up)'!$A$59</c:f>
              <c:strCache>
                <c:ptCount val="1"/>
                <c:pt idx="0">
                  <c:v>Case 2 - Mid Fuel/With CO2 Regs.</c:v>
                </c:pt>
              </c:strCache>
            </c:strRef>
          </c:tx>
          <c:spPr>
            <a:solidFill>
              <a:schemeClr val="accent2"/>
            </a:solidFill>
            <a:ln>
              <a:noFill/>
            </a:ln>
            <a:effectLst/>
          </c:spPr>
          <c:invertIfNegative val="0"/>
          <c:val>
            <c:numRef>
              <c:f>'PJM Summary (Rolled Up)'!$C$59:$R$59</c:f>
              <c:numCache>
                <c:formatCode>0.0</c:formatCode>
                <c:ptCount val="16"/>
                <c:pt idx="0">
                  <c:v>-14.355623832404149</c:v>
                </c:pt>
                <c:pt idx="1">
                  <c:v>-23.475985183196123</c:v>
                </c:pt>
                <c:pt idx="2">
                  <c:v>-38.066574008324153</c:v>
                </c:pt>
                <c:pt idx="3">
                  <c:v>-1.8433576895113788</c:v>
                </c:pt>
                <c:pt idx="4">
                  <c:v>-189.40011648313873</c:v>
                </c:pt>
                <c:pt idx="5">
                  <c:v>-193.25020337433875</c:v>
                </c:pt>
                <c:pt idx="6">
                  <c:v>-212.41007448790631</c:v>
                </c:pt>
                <c:pt idx="7">
                  <c:v>-224.24239996907474</c:v>
                </c:pt>
                <c:pt idx="8">
                  <c:v>-239.46360837970931</c:v>
                </c:pt>
                <c:pt idx="9">
                  <c:v>-19.979835257994182</c:v>
                </c:pt>
                <c:pt idx="10">
                  <c:v>-215.01312734082782</c:v>
                </c:pt>
                <c:pt idx="11">
                  <c:v>-238.47082251366584</c:v>
                </c:pt>
                <c:pt idx="12">
                  <c:v>-152.49194179433795</c:v>
                </c:pt>
                <c:pt idx="13">
                  <c:v>-124.1725883604623</c:v>
                </c:pt>
                <c:pt idx="14">
                  <c:v>-54.37361488356192</c:v>
                </c:pt>
                <c:pt idx="15">
                  <c:v>76.539765477431558</c:v>
                </c:pt>
              </c:numCache>
            </c:numRef>
          </c:val>
          <c:extLst>
            <c:ext xmlns:c16="http://schemas.microsoft.com/office/drawing/2014/chart" uri="{C3380CC4-5D6E-409C-BE32-E72D297353CC}">
              <c16:uniqueId val="{00000001-ABAC-43DD-A25D-D67679A00F8F}"/>
            </c:ext>
          </c:extLst>
        </c:ser>
        <c:ser>
          <c:idx val="2"/>
          <c:order val="2"/>
          <c:tx>
            <c:strRef>
              <c:f>'PJM Summary (Rolled Up)'!$A$82</c:f>
              <c:strCache>
                <c:ptCount val="1"/>
                <c:pt idx="0">
                  <c:v>Case 3 - High Fuel/No CO2 Regs.</c:v>
                </c:pt>
              </c:strCache>
            </c:strRef>
          </c:tx>
          <c:spPr>
            <a:solidFill>
              <a:schemeClr val="accent3"/>
            </a:solidFill>
            <a:ln>
              <a:noFill/>
            </a:ln>
            <a:effectLst/>
          </c:spPr>
          <c:invertIfNegative val="0"/>
          <c:val>
            <c:numRef>
              <c:f>'PJM Summary (Rolled Up)'!$C$82:$R$82</c:f>
              <c:numCache>
                <c:formatCode>0.0</c:formatCode>
                <c:ptCount val="16"/>
                <c:pt idx="0">
                  <c:v>-17.205968106610612</c:v>
                </c:pt>
                <c:pt idx="1">
                  <c:v>-28.279908480724913</c:v>
                </c:pt>
                <c:pt idx="2">
                  <c:v>-32.404393306843957</c:v>
                </c:pt>
                <c:pt idx="3">
                  <c:v>-55.138440196773026</c:v>
                </c:pt>
                <c:pt idx="4">
                  <c:v>-227.93017309863498</c:v>
                </c:pt>
                <c:pt idx="5">
                  <c:v>-243.61078439961648</c:v>
                </c:pt>
                <c:pt idx="6">
                  <c:v>-264.26934589314124</c:v>
                </c:pt>
                <c:pt idx="7">
                  <c:v>-278.50325519478406</c:v>
                </c:pt>
                <c:pt idx="8">
                  <c:v>-276.46150561994028</c:v>
                </c:pt>
                <c:pt idx="9">
                  <c:v>-38.682060568286552</c:v>
                </c:pt>
                <c:pt idx="10">
                  <c:v>-243.01577452279889</c:v>
                </c:pt>
                <c:pt idx="11">
                  <c:v>-254.70042609182082</c:v>
                </c:pt>
                <c:pt idx="12">
                  <c:v>-155.71862623651796</c:v>
                </c:pt>
                <c:pt idx="13">
                  <c:v>-146.29350345503201</c:v>
                </c:pt>
                <c:pt idx="14">
                  <c:v>-49.927086116714158</c:v>
                </c:pt>
                <c:pt idx="15">
                  <c:v>99.695354826851428</c:v>
                </c:pt>
              </c:numCache>
            </c:numRef>
          </c:val>
          <c:extLst>
            <c:ext xmlns:c16="http://schemas.microsoft.com/office/drawing/2014/chart" uri="{C3380CC4-5D6E-409C-BE32-E72D297353CC}">
              <c16:uniqueId val="{00000002-ABAC-43DD-A25D-D67679A00F8F}"/>
            </c:ext>
          </c:extLst>
        </c:ser>
        <c:ser>
          <c:idx val="3"/>
          <c:order val="3"/>
          <c:tx>
            <c:strRef>
              <c:f>'PJM Summary (Rolled Up)'!$A$105</c:f>
              <c:strCache>
                <c:ptCount val="1"/>
                <c:pt idx="0">
                  <c:v>Case 4 - High Fuel/With CO2 Regs.</c:v>
                </c:pt>
              </c:strCache>
            </c:strRef>
          </c:tx>
          <c:spPr>
            <a:solidFill>
              <a:schemeClr val="accent4"/>
            </a:solidFill>
            <a:ln>
              <a:noFill/>
            </a:ln>
            <a:effectLst/>
          </c:spPr>
          <c:invertIfNegative val="0"/>
          <c:val>
            <c:numRef>
              <c:f>'PJM Summary (Rolled Up)'!$C$105:$R$105</c:f>
              <c:numCache>
                <c:formatCode>0.0</c:formatCode>
                <c:ptCount val="16"/>
                <c:pt idx="0">
                  <c:v>107.34085527944154</c:v>
                </c:pt>
                <c:pt idx="1">
                  <c:v>127.51658951376459</c:v>
                </c:pt>
                <c:pt idx="2">
                  <c:v>138.82886012972577</c:v>
                </c:pt>
                <c:pt idx="3">
                  <c:v>106.54413701474421</c:v>
                </c:pt>
                <c:pt idx="4">
                  <c:v>-220.93920968544705</c:v>
                </c:pt>
                <c:pt idx="5">
                  <c:v>-234.1827990989417</c:v>
                </c:pt>
                <c:pt idx="6">
                  <c:v>-274.96914438230158</c:v>
                </c:pt>
                <c:pt idx="7">
                  <c:v>-299.1352722121643</c:v>
                </c:pt>
                <c:pt idx="8">
                  <c:v>-252.21608634091504</c:v>
                </c:pt>
                <c:pt idx="9">
                  <c:v>31.35045181610743</c:v>
                </c:pt>
                <c:pt idx="10">
                  <c:v>-310.21800123557819</c:v>
                </c:pt>
                <c:pt idx="11">
                  <c:v>-410.50784427472342</c:v>
                </c:pt>
                <c:pt idx="12">
                  <c:v>-240.00343862051031</c:v>
                </c:pt>
                <c:pt idx="13">
                  <c:v>-220.45803387059851</c:v>
                </c:pt>
                <c:pt idx="14">
                  <c:v>-65.229468439570539</c:v>
                </c:pt>
                <c:pt idx="15">
                  <c:v>33.079395730094966</c:v>
                </c:pt>
              </c:numCache>
            </c:numRef>
          </c:val>
          <c:extLst>
            <c:ext xmlns:c16="http://schemas.microsoft.com/office/drawing/2014/chart" uri="{C3380CC4-5D6E-409C-BE32-E72D297353CC}">
              <c16:uniqueId val="{00000003-ABAC-43DD-A25D-D67679A00F8F}"/>
            </c:ext>
          </c:extLst>
        </c:ser>
        <c:dLbls>
          <c:showLegendKey val="0"/>
          <c:showVal val="0"/>
          <c:showCatName val="0"/>
          <c:showSerName val="0"/>
          <c:showPercent val="0"/>
          <c:showBubbleSize val="0"/>
        </c:dLbls>
        <c:gapWidth val="219"/>
        <c:overlap val="-27"/>
        <c:axId val="1289665439"/>
        <c:axId val="1289665855"/>
      </c:barChart>
      <c:catAx>
        <c:axId val="1289665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289665855"/>
        <c:crosses val="autoZero"/>
        <c:auto val="1"/>
        <c:lblAlgn val="ctr"/>
        <c:lblOffset val="100"/>
        <c:noMultiLvlLbl val="0"/>
      </c:catAx>
      <c:valAx>
        <c:axId val="12896658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12896654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76200" cap="flat" cmpd="sng" algn="ctr">
      <a:solidFill>
        <a:srgbClr val="6DFFFC"/>
      </a:solidFill>
      <a:round/>
    </a:ln>
    <a:effectLst/>
  </c:spPr>
  <c:txPr>
    <a:bodyPr/>
    <a:lstStyle/>
    <a:p>
      <a:pPr>
        <a:defRPr sz="1600">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1" i="0" u="none" strike="noStrike" kern="1200" spc="0" baseline="0">
                <a:solidFill>
                  <a:sysClr val="windowText" lastClr="000000"/>
                </a:solidFill>
                <a:latin typeface="+mn-lt"/>
                <a:ea typeface="+mn-ea"/>
                <a:cs typeface="+mn-cs"/>
              </a:defRPr>
            </a:pPr>
            <a:r>
              <a:rPr lang="en-US" b="1"/>
              <a:t>PJM</a:t>
            </a:r>
            <a:r>
              <a:rPr lang="en-US" b="1" baseline="0"/>
              <a:t> Range of Potential Outcomes</a:t>
            </a:r>
            <a:endParaRPr lang="en-US" b="1"/>
          </a:p>
        </c:rich>
      </c:tx>
      <c:overlay val="0"/>
      <c:spPr>
        <a:noFill/>
        <a:ln>
          <a:noFill/>
        </a:ln>
        <a:effectLst/>
      </c:spPr>
      <c:txPr>
        <a:bodyPr rot="0" spcFirstLastPara="1" vertOverflow="ellipsis" vert="horz" wrap="square" anchor="ctr" anchorCtr="1"/>
        <a:lstStyle/>
        <a:p>
          <a:pPr>
            <a:defRPr sz="216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2"/>
          <c:order val="0"/>
          <c:tx>
            <c:v>Low</c:v>
          </c:tx>
          <c:spPr>
            <a:solidFill>
              <a:srgbClr val="00FF00">
                <a:alpha val="30000"/>
              </a:srgbClr>
            </a:solidFill>
            <a:ln>
              <a:noFill/>
            </a:ln>
            <a:effectLst/>
          </c:spPr>
          <c:invertIfNegative val="0"/>
          <c:cat>
            <c:numRef>
              <c:f>'PJM Details'!$F$3:$R$3</c:f>
              <c:numCache>
                <c:formatCode>General</c:formatCode>
                <c:ptCount val="13"/>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numCache>
            </c:numRef>
          </c:cat>
          <c:val>
            <c:numRef>
              <c:f>'PJM Summary (Rolled Up)'!#REF!</c:f>
              <c:numCache>
                <c:formatCode>General</c:formatCode>
                <c:ptCount val="1"/>
                <c:pt idx="0">
                  <c:v>1</c:v>
                </c:pt>
              </c:numCache>
            </c:numRef>
          </c:val>
          <c:extLst>
            <c:ext xmlns:c16="http://schemas.microsoft.com/office/drawing/2014/chart" uri="{C3380CC4-5D6E-409C-BE32-E72D297353CC}">
              <c16:uniqueId val="{00000004-94F0-48D2-9B13-5AB539B03B9B}"/>
            </c:ext>
          </c:extLst>
        </c:ser>
        <c:ser>
          <c:idx val="1"/>
          <c:order val="1"/>
          <c:tx>
            <c:v>Mid</c:v>
          </c:tx>
          <c:spPr>
            <a:solidFill>
              <a:srgbClr val="FF0000"/>
            </a:solidFill>
            <a:ln w="25400">
              <a:noFill/>
            </a:ln>
            <a:effectLst/>
          </c:spPr>
          <c:invertIfNegative val="0"/>
          <c:cat>
            <c:numRef>
              <c:f>'PJM Details'!$F$3:$R$3</c:f>
              <c:numCache>
                <c:formatCode>General</c:formatCode>
                <c:ptCount val="13"/>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numCache>
            </c:numRef>
          </c:cat>
          <c:val>
            <c:numRef>
              <c:f>'PJM Summary (Rolled Up)'!$C$22:$N$22</c:f>
              <c:numCache>
                <c:formatCode>0.0</c:formatCode>
                <c:ptCount val="12"/>
                <c:pt idx="0">
                  <c:v>-18.630738835906115</c:v>
                </c:pt>
                <c:pt idx="1">
                  <c:v>-10.238184315204457</c:v>
                </c:pt>
                <c:pt idx="2">
                  <c:v>-23.977811455730702</c:v>
                </c:pt>
                <c:pt idx="3">
                  <c:v>6.512688629578598</c:v>
                </c:pt>
                <c:pt idx="4">
                  <c:v>-87.611046216087573</c:v>
                </c:pt>
                <c:pt idx="5">
                  <c:v>-67.392448602074523</c:v>
                </c:pt>
                <c:pt idx="6">
                  <c:v>-95.304752760135386</c:v>
                </c:pt>
                <c:pt idx="7">
                  <c:v>-93.791009238643781</c:v>
                </c:pt>
                <c:pt idx="8">
                  <c:v>-92.691193438150577</c:v>
                </c:pt>
                <c:pt idx="9">
                  <c:v>-56.063952991625321</c:v>
                </c:pt>
                <c:pt idx="10">
                  <c:v>-122.10956988542969</c:v>
                </c:pt>
                <c:pt idx="11">
                  <c:v>-73.318361587629582</c:v>
                </c:pt>
              </c:numCache>
            </c:numRef>
          </c:val>
          <c:extLst>
            <c:ext xmlns:c16="http://schemas.microsoft.com/office/drawing/2014/chart" uri="{C3380CC4-5D6E-409C-BE32-E72D297353CC}">
              <c16:uniqueId val="{00000003-94F0-48D2-9B13-5AB539B03B9B}"/>
            </c:ext>
          </c:extLst>
        </c:ser>
        <c:ser>
          <c:idx val="0"/>
          <c:order val="2"/>
          <c:tx>
            <c:v>High</c:v>
          </c:tx>
          <c:spPr>
            <a:solidFill>
              <a:srgbClr val="00B0F0">
                <a:alpha val="30000"/>
              </a:srgbClr>
            </a:solidFill>
            <a:ln>
              <a:noFill/>
            </a:ln>
            <a:effectLst/>
          </c:spPr>
          <c:invertIfNegative val="0"/>
          <c:dPt>
            <c:idx val="9"/>
            <c:invertIfNegative val="0"/>
            <c:bubble3D val="0"/>
            <c:spPr>
              <a:solidFill>
                <a:srgbClr val="00B0F0">
                  <a:alpha val="30000"/>
                </a:srgbClr>
              </a:solidFill>
              <a:ln>
                <a:noFill/>
              </a:ln>
              <a:effectLst/>
            </c:spPr>
            <c:extLst>
              <c:ext xmlns:c16="http://schemas.microsoft.com/office/drawing/2014/chart" uri="{C3380CC4-5D6E-409C-BE32-E72D297353CC}">
                <c16:uniqueId val="{00000001-94F0-48D2-9B13-5AB539B03B9B}"/>
              </c:ext>
            </c:extLst>
          </c:dPt>
          <c:cat>
            <c:numRef>
              <c:f>'PJM Details'!$F$3:$R$3</c:f>
              <c:numCache>
                <c:formatCode>General</c:formatCode>
                <c:ptCount val="13"/>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numCache>
            </c:numRef>
          </c:cat>
          <c:val>
            <c:numRef>
              <c:f>'PJM Summary (Rolled Up)'!$C$59:$N$59</c:f>
              <c:numCache>
                <c:formatCode>0.0</c:formatCode>
                <c:ptCount val="12"/>
                <c:pt idx="0">
                  <c:v>-14.355623832404149</c:v>
                </c:pt>
                <c:pt idx="1">
                  <c:v>-23.475985183196123</c:v>
                </c:pt>
                <c:pt idx="2">
                  <c:v>-38.066574008324153</c:v>
                </c:pt>
                <c:pt idx="3">
                  <c:v>-1.8433576895113788</c:v>
                </c:pt>
                <c:pt idx="4">
                  <c:v>-189.40011648313873</c:v>
                </c:pt>
                <c:pt idx="5">
                  <c:v>-193.25020337433875</c:v>
                </c:pt>
                <c:pt idx="6">
                  <c:v>-212.41007448790631</c:v>
                </c:pt>
                <c:pt idx="7">
                  <c:v>-224.24239996907474</c:v>
                </c:pt>
                <c:pt idx="8">
                  <c:v>-239.46360837970931</c:v>
                </c:pt>
                <c:pt idx="9">
                  <c:v>-19.979835257994182</c:v>
                </c:pt>
                <c:pt idx="10">
                  <c:v>-215.01312734082782</c:v>
                </c:pt>
                <c:pt idx="11">
                  <c:v>-238.47082251366584</c:v>
                </c:pt>
              </c:numCache>
            </c:numRef>
          </c:val>
          <c:extLst>
            <c:ext xmlns:c16="http://schemas.microsoft.com/office/drawing/2014/chart" uri="{C3380CC4-5D6E-409C-BE32-E72D297353CC}">
              <c16:uniqueId val="{00000002-94F0-48D2-9B13-5AB539B03B9B}"/>
            </c:ext>
          </c:extLst>
        </c:ser>
        <c:dLbls>
          <c:showLegendKey val="0"/>
          <c:showVal val="0"/>
          <c:showCatName val="0"/>
          <c:showSerName val="0"/>
          <c:showPercent val="0"/>
          <c:showBubbleSize val="0"/>
        </c:dLbls>
        <c:gapWidth val="50"/>
        <c:overlap val="-27"/>
        <c:axId val="705480800"/>
        <c:axId val="705479624"/>
      </c:barChart>
      <c:catAx>
        <c:axId val="705480800"/>
        <c:scaling>
          <c:orientation val="minMax"/>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crossAx val="705479624"/>
        <c:crosses val="autoZero"/>
        <c:auto val="1"/>
        <c:lblAlgn val="ctr"/>
        <c:lblOffset val="100"/>
        <c:noMultiLvlLbl val="0"/>
      </c:catAx>
      <c:valAx>
        <c:axId val="705479624"/>
        <c:scaling>
          <c:orientation val="minMax"/>
        </c:scaling>
        <c:delete val="0"/>
        <c:axPos val="l"/>
        <c:majorGridlines>
          <c:spPr>
            <a:ln w="9525" cap="flat" cmpd="sng" algn="ctr">
              <a:solidFill>
                <a:schemeClr val="bg1">
                  <a:lumMod val="65000"/>
                </a:schemeClr>
              </a:solidFill>
              <a:prstDash val="dash"/>
              <a:round/>
            </a:ln>
            <a:effectLst/>
          </c:spPr>
        </c:majorGridlines>
        <c:title>
          <c:tx>
            <c:rich>
              <a:bodyPr rot="-54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b="1"/>
                  <a:t>$M</a:t>
                </a:r>
              </a:p>
            </c:rich>
          </c:tx>
          <c:overlay val="0"/>
          <c:spPr>
            <a:noFill/>
            <a:ln>
              <a:noFill/>
            </a:ln>
            <a:effectLst/>
          </c:spPr>
          <c:txPr>
            <a:bodyPr rot="-54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crossAx val="705480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800">
          <a:solidFill>
            <a:sysClr val="windowText" lastClr="000000"/>
          </a:solidFil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LKE</a:t>
            </a:r>
            <a:r>
              <a:rPr lang="en-US" baseline="0"/>
              <a:t> Contribution to Combined Load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1"/>
          <c:order val="1"/>
          <c:spPr>
            <a:ln w="28575" cap="rnd">
              <a:solidFill>
                <a:schemeClr val="accent6">
                  <a:shade val="76000"/>
                </a:schemeClr>
              </a:solidFill>
              <a:round/>
            </a:ln>
            <a:effectLst/>
          </c:spPr>
          <c:marker>
            <c:symbol val="circle"/>
            <c:size val="5"/>
            <c:spPr>
              <a:solidFill>
                <a:schemeClr val="accent6">
                  <a:shade val="76000"/>
                </a:schemeClr>
              </a:solidFill>
              <a:ln w="9525">
                <a:solidFill>
                  <a:schemeClr val="accent6">
                    <a:shade val="76000"/>
                  </a:schemeClr>
                </a:solidFill>
              </a:ln>
              <a:effectLst/>
            </c:spPr>
          </c:marker>
          <c:xVal>
            <c:numRef>
              <c:f>[1]Summary!$Q$2:$Q$33</c:f>
              <c:numCache>
                <c:formatCode>General</c:formatCode>
                <c:ptCount val="32"/>
                <c:pt idx="0">
                  <c:v>2.3361736758545804E-2</c:v>
                </c:pt>
                <c:pt idx="1">
                  <c:v>2.478518807172499E-2</c:v>
                </c:pt>
                <c:pt idx="2">
                  <c:v>2.6208639384904177E-2</c:v>
                </c:pt>
                <c:pt idx="3">
                  <c:v>2.7632090698083363E-2</c:v>
                </c:pt>
                <c:pt idx="4">
                  <c:v>2.905554201126255E-2</c:v>
                </c:pt>
                <c:pt idx="5">
                  <c:v>3.0478993324441737E-2</c:v>
                </c:pt>
                <c:pt idx="6">
                  <c:v>3.1902444637620923E-2</c:v>
                </c:pt>
                <c:pt idx="7">
                  <c:v>3.3325895950800107E-2</c:v>
                </c:pt>
                <c:pt idx="8">
                  <c:v>3.474934726397929E-2</c:v>
                </c:pt>
                <c:pt idx="9">
                  <c:v>3.6172798577158473E-2</c:v>
                </c:pt>
                <c:pt idx="10">
                  <c:v>3.7596249890337656E-2</c:v>
                </c:pt>
                <c:pt idx="11">
                  <c:v>3.9019701203516839E-2</c:v>
                </c:pt>
                <c:pt idx="12">
                  <c:v>4.0443152516696022E-2</c:v>
                </c:pt>
                <c:pt idx="13">
                  <c:v>4.1866603829875206E-2</c:v>
                </c:pt>
                <c:pt idx="14">
                  <c:v>4.3290055143054389E-2</c:v>
                </c:pt>
                <c:pt idx="15">
                  <c:v>4.4713506456233572E-2</c:v>
                </c:pt>
                <c:pt idx="16">
                  <c:v>4.6136957769412755E-2</c:v>
                </c:pt>
                <c:pt idx="17">
                  <c:v>4.7560409082591938E-2</c:v>
                </c:pt>
                <c:pt idx="18">
                  <c:v>4.8983860395771121E-2</c:v>
                </c:pt>
                <c:pt idx="19">
                  <c:v>5.0407311708950304E-2</c:v>
                </c:pt>
                <c:pt idx="20">
                  <c:v>5.1830763022129488E-2</c:v>
                </c:pt>
                <c:pt idx="21">
                  <c:v>5.3254214335308671E-2</c:v>
                </c:pt>
                <c:pt idx="22">
                  <c:v>5.4677665648487854E-2</c:v>
                </c:pt>
                <c:pt idx="23">
                  <c:v>5.6101116961667037E-2</c:v>
                </c:pt>
                <c:pt idx="24">
                  <c:v>5.752456827484622E-2</c:v>
                </c:pt>
                <c:pt idx="25">
                  <c:v>5.8948019588025403E-2</c:v>
                </c:pt>
                <c:pt idx="26">
                  <c:v>6.0371470901204587E-2</c:v>
                </c:pt>
                <c:pt idx="27">
                  <c:v>6.179492221438377E-2</c:v>
                </c:pt>
                <c:pt idx="28">
                  <c:v>6.321837352756296E-2</c:v>
                </c:pt>
                <c:pt idx="29">
                  <c:v>6.4641824840742143E-2</c:v>
                </c:pt>
                <c:pt idx="30">
                  <c:v>6.6065276153921326E-2</c:v>
                </c:pt>
                <c:pt idx="31">
                  <c:v>6.7488727467100509E-2</c:v>
                </c:pt>
              </c:numCache>
            </c:numRef>
          </c:xVal>
          <c:yVal>
            <c:numRef>
              <c:f>[1]Summary!$R$2:$R$34</c:f>
              <c:numCache>
                <c:formatCode>General</c:formatCode>
                <c:ptCount val="33"/>
                <c:pt idx="0">
                  <c:v>1</c:v>
                </c:pt>
                <c:pt idx="1">
                  <c:v>15</c:v>
                </c:pt>
                <c:pt idx="2">
                  <c:v>53</c:v>
                </c:pt>
                <c:pt idx="3">
                  <c:v>181</c:v>
                </c:pt>
                <c:pt idx="4">
                  <c:v>364</c:v>
                </c:pt>
                <c:pt idx="5">
                  <c:v>661</c:v>
                </c:pt>
                <c:pt idx="6">
                  <c:v>891</c:v>
                </c:pt>
                <c:pt idx="7">
                  <c:v>1057</c:v>
                </c:pt>
                <c:pt idx="8">
                  <c:v>1219</c:v>
                </c:pt>
                <c:pt idx="9">
                  <c:v>1426</c:v>
                </c:pt>
                <c:pt idx="10">
                  <c:v>1535</c:v>
                </c:pt>
                <c:pt idx="11">
                  <c:v>1588</c:v>
                </c:pt>
                <c:pt idx="12">
                  <c:v>1525</c:v>
                </c:pt>
                <c:pt idx="13">
                  <c:v>1348</c:v>
                </c:pt>
                <c:pt idx="14">
                  <c:v>1212</c:v>
                </c:pt>
                <c:pt idx="15">
                  <c:v>1050</c:v>
                </c:pt>
                <c:pt idx="16">
                  <c:v>827</c:v>
                </c:pt>
                <c:pt idx="17">
                  <c:v>687</c:v>
                </c:pt>
                <c:pt idx="18">
                  <c:v>482</c:v>
                </c:pt>
                <c:pt idx="19">
                  <c:v>373</c:v>
                </c:pt>
                <c:pt idx="20">
                  <c:v>312</c:v>
                </c:pt>
                <c:pt idx="21">
                  <c:v>278</c:v>
                </c:pt>
                <c:pt idx="22">
                  <c:v>183</c:v>
                </c:pt>
                <c:pt idx="23">
                  <c:v>127</c:v>
                </c:pt>
                <c:pt idx="24">
                  <c:v>84</c:v>
                </c:pt>
                <c:pt idx="25">
                  <c:v>38</c:v>
                </c:pt>
                <c:pt idx="26">
                  <c:v>15</c:v>
                </c:pt>
                <c:pt idx="27">
                  <c:v>8</c:v>
                </c:pt>
                <c:pt idx="28">
                  <c:v>3</c:v>
                </c:pt>
                <c:pt idx="29">
                  <c:v>1</c:v>
                </c:pt>
                <c:pt idx="30">
                  <c:v>0</c:v>
                </c:pt>
                <c:pt idx="31">
                  <c:v>0</c:v>
                </c:pt>
                <c:pt idx="32">
                  <c:v>0</c:v>
                </c:pt>
              </c:numCache>
            </c:numRef>
          </c:yVal>
          <c:smooth val="1"/>
          <c:extLst>
            <c:ext xmlns:c16="http://schemas.microsoft.com/office/drawing/2014/chart" uri="{C3380CC4-5D6E-409C-BE32-E72D297353CC}">
              <c16:uniqueId val="{00000000-AFBF-4CCA-A6F6-88844547F165}"/>
            </c:ext>
          </c:extLst>
        </c:ser>
        <c:dLbls>
          <c:showLegendKey val="0"/>
          <c:showVal val="0"/>
          <c:showCatName val="0"/>
          <c:showSerName val="0"/>
          <c:showPercent val="0"/>
          <c:showBubbleSize val="0"/>
        </c:dLbls>
        <c:axId val="768744143"/>
        <c:axId val="1706501567"/>
        <c:extLst>
          <c:ext xmlns:c15="http://schemas.microsoft.com/office/drawing/2012/chart" uri="{02D57815-91ED-43cb-92C2-25804820EDAC}">
            <c15:filteredScatterSeries>
              <c15:ser>
                <c:idx val="0"/>
                <c:order val="0"/>
                <c:spPr>
                  <a:ln w="28575" cap="rnd">
                    <a:solidFill>
                      <a:schemeClr val="accent6">
                        <a:tint val="77000"/>
                      </a:schemeClr>
                    </a:solidFill>
                    <a:round/>
                  </a:ln>
                  <a:effectLst/>
                </c:spPr>
                <c:marker>
                  <c:symbol val="circle"/>
                  <c:size val="5"/>
                  <c:spPr>
                    <a:solidFill>
                      <a:schemeClr val="accent6"/>
                    </a:solidFill>
                    <a:ln w="9525">
                      <a:solidFill>
                        <a:schemeClr val="accent6"/>
                      </a:solidFill>
                    </a:ln>
                    <a:effectLst/>
                  </c:spPr>
                </c:marker>
                <c:xVal>
                  <c:numRef>
                    <c:extLst>
                      <c:ext uri="{02D57815-91ED-43cb-92C2-25804820EDAC}">
                        <c15:formulaRef>
                          <c15:sqref>'[1]All Data'!$K$2:$K$61</c15:sqref>
                        </c15:formulaRef>
                      </c:ext>
                    </c:extLst>
                    <c:numCache>
                      <c:formatCode>General</c:formatCode>
                      <c:ptCount val="60"/>
                      <c:pt idx="0">
                        <c:v>2.9000000000000001E-2</c:v>
                      </c:pt>
                      <c:pt idx="1">
                        <c:v>2.9499999999999998E-2</c:v>
                      </c:pt>
                      <c:pt idx="2">
                        <c:v>0.03</c:v>
                      </c:pt>
                      <c:pt idx="3">
                        <c:v>3.0499999999999999E-2</c:v>
                      </c:pt>
                      <c:pt idx="4">
                        <c:v>3.1E-2</c:v>
                      </c:pt>
                      <c:pt idx="5">
                        <c:v>3.15E-2</c:v>
                      </c:pt>
                      <c:pt idx="6">
                        <c:v>3.2000000000000001E-2</c:v>
                      </c:pt>
                      <c:pt idx="7">
                        <c:v>3.2500000000000001E-2</c:v>
                      </c:pt>
                      <c:pt idx="8">
                        <c:v>3.3000000000000002E-2</c:v>
                      </c:pt>
                      <c:pt idx="9">
                        <c:v>3.3500000000000002E-2</c:v>
                      </c:pt>
                      <c:pt idx="10">
                        <c:v>3.4000000000000002E-2</c:v>
                      </c:pt>
                      <c:pt idx="11">
                        <c:v>3.4500000000000003E-2</c:v>
                      </c:pt>
                      <c:pt idx="12">
                        <c:v>3.5000000000000003E-2</c:v>
                      </c:pt>
                      <c:pt idx="13">
                        <c:v>3.5500000000000004E-2</c:v>
                      </c:pt>
                      <c:pt idx="14">
                        <c:v>3.6000000000000004E-2</c:v>
                      </c:pt>
                      <c:pt idx="15">
                        <c:v>3.6500000000000005E-2</c:v>
                      </c:pt>
                      <c:pt idx="16">
                        <c:v>3.7000000000000005E-2</c:v>
                      </c:pt>
                      <c:pt idx="17">
                        <c:v>3.7500000000000006E-2</c:v>
                      </c:pt>
                      <c:pt idx="18">
                        <c:v>3.8000000000000006E-2</c:v>
                      </c:pt>
                      <c:pt idx="19">
                        <c:v>3.8500000000000006E-2</c:v>
                      </c:pt>
                      <c:pt idx="20">
                        <c:v>3.9000000000000007E-2</c:v>
                      </c:pt>
                      <c:pt idx="21">
                        <c:v>3.9500000000000007E-2</c:v>
                      </c:pt>
                      <c:pt idx="22">
                        <c:v>4.0000000000000008E-2</c:v>
                      </c:pt>
                      <c:pt idx="23">
                        <c:v>4.0500000000000008E-2</c:v>
                      </c:pt>
                      <c:pt idx="24">
                        <c:v>4.1000000000000009E-2</c:v>
                      </c:pt>
                      <c:pt idx="25">
                        <c:v>4.1500000000000009E-2</c:v>
                      </c:pt>
                      <c:pt idx="26">
                        <c:v>4.200000000000001E-2</c:v>
                      </c:pt>
                      <c:pt idx="27">
                        <c:v>4.250000000000001E-2</c:v>
                      </c:pt>
                      <c:pt idx="28">
                        <c:v>4.300000000000001E-2</c:v>
                      </c:pt>
                      <c:pt idx="29">
                        <c:v>4.3500000000000011E-2</c:v>
                      </c:pt>
                      <c:pt idx="30">
                        <c:v>4.4000000000000011E-2</c:v>
                      </c:pt>
                      <c:pt idx="31">
                        <c:v>4.4500000000000012E-2</c:v>
                      </c:pt>
                      <c:pt idx="32">
                        <c:v>4.5000000000000012E-2</c:v>
                      </c:pt>
                      <c:pt idx="33">
                        <c:v>4.5500000000000013E-2</c:v>
                      </c:pt>
                      <c:pt idx="34">
                        <c:v>4.6000000000000013E-2</c:v>
                      </c:pt>
                      <c:pt idx="35">
                        <c:v>4.6500000000000014E-2</c:v>
                      </c:pt>
                      <c:pt idx="36">
                        <c:v>4.7000000000000014E-2</c:v>
                      </c:pt>
                      <c:pt idx="37">
                        <c:v>4.7500000000000014E-2</c:v>
                      </c:pt>
                      <c:pt idx="38">
                        <c:v>4.8000000000000015E-2</c:v>
                      </c:pt>
                      <c:pt idx="39">
                        <c:v>4.8500000000000015E-2</c:v>
                      </c:pt>
                      <c:pt idx="40">
                        <c:v>4.9000000000000016E-2</c:v>
                      </c:pt>
                      <c:pt idx="41">
                        <c:v>4.9500000000000016E-2</c:v>
                      </c:pt>
                      <c:pt idx="42">
                        <c:v>5.0000000000000017E-2</c:v>
                      </c:pt>
                      <c:pt idx="43">
                        <c:v>5.0500000000000017E-2</c:v>
                      </c:pt>
                      <c:pt idx="44">
                        <c:v>5.1000000000000018E-2</c:v>
                      </c:pt>
                      <c:pt idx="45">
                        <c:v>5.1500000000000018E-2</c:v>
                      </c:pt>
                      <c:pt idx="46">
                        <c:v>5.2000000000000018E-2</c:v>
                      </c:pt>
                      <c:pt idx="47">
                        <c:v>5.2500000000000019E-2</c:v>
                      </c:pt>
                      <c:pt idx="48">
                        <c:v>5.3000000000000019E-2</c:v>
                      </c:pt>
                      <c:pt idx="49">
                        <c:v>5.350000000000002E-2</c:v>
                      </c:pt>
                      <c:pt idx="50">
                        <c:v>5.400000000000002E-2</c:v>
                      </c:pt>
                      <c:pt idx="51">
                        <c:v>5.4500000000000021E-2</c:v>
                      </c:pt>
                      <c:pt idx="52">
                        <c:v>5.5000000000000021E-2</c:v>
                      </c:pt>
                      <c:pt idx="53">
                        <c:v>5.5500000000000022E-2</c:v>
                      </c:pt>
                      <c:pt idx="54">
                        <c:v>5.6000000000000022E-2</c:v>
                      </c:pt>
                      <c:pt idx="55">
                        <c:v>5.6500000000000022E-2</c:v>
                      </c:pt>
                      <c:pt idx="56">
                        <c:v>5.7000000000000023E-2</c:v>
                      </c:pt>
                      <c:pt idx="57">
                        <c:v>5.7500000000000023E-2</c:v>
                      </c:pt>
                      <c:pt idx="58">
                        <c:v>5.8000000000000024E-2</c:v>
                      </c:pt>
                      <c:pt idx="59">
                        <c:v>5.8500000000000024E-2</c:v>
                      </c:pt>
                    </c:numCache>
                  </c:numRef>
                </c:xVal>
                <c:yVal>
                  <c:numRef>
                    <c:extLst>
                      <c:ext uri="{02D57815-91ED-43cb-92C2-25804820EDAC}">
                        <c15:formulaRef>
                          <c15:sqref>'[1]All Data'!$L$2:$L$62</c15:sqref>
                        </c15:formulaRef>
                      </c:ext>
                    </c:extLst>
                    <c:numCache>
                      <c:formatCode>General</c:formatCode>
                      <c:ptCount val="61"/>
                      <c:pt idx="0">
                        <c:v>598</c:v>
                      </c:pt>
                      <c:pt idx="1">
                        <c:v>188</c:v>
                      </c:pt>
                      <c:pt idx="2">
                        <c:v>234</c:v>
                      </c:pt>
                      <c:pt idx="3">
                        <c:v>273</c:v>
                      </c:pt>
                      <c:pt idx="4">
                        <c:v>285</c:v>
                      </c:pt>
                      <c:pt idx="5">
                        <c:v>303</c:v>
                      </c:pt>
                      <c:pt idx="6">
                        <c:v>359</c:v>
                      </c:pt>
                      <c:pt idx="7">
                        <c:v>361</c:v>
                      </c:pt>
                      <c:pt idx="8">
                        <c:v>356</c:v>
                      </c:pt>
                      <c:pt idx="9">
                        <c:v>416</c:v>
                      </c:pt>
                      <c:pt idx="10">
                        <c:v>432</c:v>
                      </c:pt>
                      <c:pt idx="11">
                        <c:v>432</c:v>
                      </c:pt>
                      <c:pt idx="12">
                        <c:v>440</c:v>
                      </c:pt>
                      <c:pt idx="13">
                        <c:v>488</c:v>
                      </c:pt>
                      <c:pt idx="14">
                        <c:v>531</c:v>
                      </c:pt>
                      <c:pt idx="15">
                        <c:v>546</c:v>
                      </c:pt>
                      <c:pt idx="16">
                        <c:v>525</c:v>
                      </c:pt>
                      <c:pt idx="17">
                        <c:v>530</c:v>
                      </c:pt>
                      <c:pt idx="18">
                        <c:v>559</c:v>
                      </c:pt>
                      <c:pt idx="19">
                        <c:v>543</c:v>
                      </c:pt>
                      <c:pt idx="20">
                        <c:v>571</c:v>
                      </c:pt>
                      <c:pt idx="21">
                        <c:v>535</c:v>
                      </c:pt>
                      <c:pt idx="22">
                        <c:v>537</c:v>
                      </c:pt>
                      <c:pt idx="23">
                        <c:v>537</c:v>
                      </c:pt>
                      <c:pt idx="24">
                        <c:v>487</c:v>
                      </c:pt>
                      <c:pt idx="25">
                        <c:v>455</c:v>
                      </c:pt>
                      <c:pt idx="26">
                        <c:v>481</c:v>
                      </c:pt>
                      <c:pt idx="27">
                        <c:v>430</c:v>
                      </c:pt>
                      <c:pt idx="28">
                        <c:v>414</c:v>
                      </c:pt>
                      <c:pt idx="29">
                        <c:v>390</c:v>
                      </c:pt>
                      <c:pt idx="30">
                        <c:v>380</c:v>
                      </c:pt>
                      <c:pt idx="31">
                        <c:v>343</c:v>
                      </c:pt>
                      <c:pt idx="32">
                        <c:v>359</c:v>
                      </c:pt>
                      <c:pt idx="33">
                        <c:v>290</c:v>
                      </c:pt>
                      <c:pt idx="34">
                        <c:v>274</c:v>
                      </c:pt>
                      <c:pt idx="35">
                        <c:v>252</c:v>
                      </c:pt>
                      <c:pt idx="36">
                        <c:v>260</c:v>
                      </c:pt>
                      <c:pt idx="37">
                        <c:v>223</c:v>
                      </c:pt>
                      <c:pt idx="38">
                        <c:v>182</c:v>
                      </c:pt>
                      <c:pt idx="39">
                        <c:v>192</c:v>
                      </c:pt>
                      <c:pt idx="40">
                        <c:v>134</c:v>
                      </c:pt>
                      <c:pt idx="41">
                        <c:v>125</c:v>
                      </c:pt>
                      <c:pt idx="42">
                        <c:v>138</c:v>
                      </c:pt>
                      <c:pt idx="43">
                        <c:v>121</c:v>
                      </c:pt>
                      <c:pt idx="44">
                        <c:v>100</c:v>
                      </c:pt>
                      <c:pt idx="45">
                        <c:v>124</c:v>
                      </c:pt>
                      <c:pt idx="46">
                        <c:v>112</c:v>
                      </c:pt>
                      <c:pt idx="47">
                        <c:v>105</c:v>
                      </c:pt>
                      <c:pt idx="48">
                        <c:v>95</c:v>
                      </c:pt>
                      <c:pt idx="49">
                        <c:v>72</c:v>
                      </c:pt>
                      <c:pt idx="50">
                        <c:v>76</c:v>
                      </c:pt>
                      <c:pt idx="51">
                        <c:v>53</c:v>
                      </c:pt>
                      <c:pt idx="52">
                        <c:v>54</c:v>
                      </c:pt>
                      <c:pt idx="53">
                        <c:v>44</c:v>
                      </c:pt>
                      <c:pt idx="54">
                        <c:v>40</c:v>
                      </c:pt>
                      <c:pt idx="55">
                        <c:v>36</c:v>
                      </c:pt>
                      <c:pt idx="56">
                        <c:v>36</c:v>
                      </c:pt>
                      <c:pt idx="57">
                        <c:v>20</c:v>
                      </c:pt>
                      <c:pt idx="58">
                        <c:v>16</c:v>
                      </c:pt>
                      <c:pt idx="59">
                        <c:v>14</c:v>
                      </c:pt>
                      <c:pt idx="60">
                        <c:v>38</c:v>
                      </c:pt>
                    </c:numCache>
                  </c:numRef>
                </c:yVal>
                <c:smooth val="1"/>
                <c:extLst>
                  <c:ext xmlns:c16="http://schemas.microsoft.com/office/drawing/2014/chart" uri="{C3380CC4-5D6E-409C-BE32-E72D297353CC}">
                    <c16:uniqueId val="{00000001-AFBF-4CCA-A6F6-88844547F165}"/>
                  </c:ext>
                </c:extLst>
              </c15:ser>
            </c15:filteredScatterSeries>
          </c:ext>
        </c:extLst>
      </c:scatterChart>
      <c:valAx>
        <c:axId val="768744143"/>
        <c:scaling>
          <c:orientation val="minMax"/>
          <c:max val="7.0000000000000007E-2"/>
          <c:min val="2.0000000000000004E-2"/>
        </c:scaling>
        <c:delete val="0"/>
        <c:axPos val="b"/>
        <c:title>
          <c:tx>
            <c:rich>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t>LKE % of Combined Load</a:t>
                </a:r>
              </a:p>
            </c:rich>
          </c:tx>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06501567"/>
        <c:crosses val="autoZero"/>
        <c:crossBetween val="midCat"/>
      </c:valAx>
      <c:valAx>
        <c:axId val="1706501567"/>
        <c:scaling>
          <c:orientation val="minMax"/>
          <c:max val="1800"/>
          <c:min val="0"/>
        </c:scaling>
        <c:delete val="0"/>
        <c:axPos val="l"/>
        <c:majorGridlines>
          <c:spPr>
            <a:ln w="9525" cap="flat" cmpd="sng" algn="ctr">
              <a:solidFill>
                <a:schemeClr val="bg2">
                  <a:lumMod val="90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t>Frequency</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8744143"/>
        <c:crosses val="autoZero"/>
        <c:crossBetween val="midCat"/>
        <c:majorUnit val="2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LKE Contribution</a:t>
            </a:r>
            <a:r>
              <a:rPr lang="en-US" baseline="0"/>
              <a:t> Yearly</a:t>
            </a:r>
            <a:r>
              <a:rPr lang="en-US"/>
              <a:t>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716469549484252"/>
          <c:y val="0.13601647294991931"/>
          <c:w val="0.84880833857599214"/>
          <c:h val="0.70114768943257144"/>
        </c:manualLayout>
      </c:layout>
      <c:scatterChart>
        <c:scatterStyle val="smoothMarker"/>
        <c:varyColors val="0"/>
        <c:ser>
          <c:idx val="2"/>
          <c:order val="0"/>
          <c:tx>
            <c:strRef>
              <c:f>[1]Summary!$S$1</c:f>
              <c:strCache>
                <c:ptCount val="1"/>
                <c:pt idx="0">
                  <c:v>2020</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[1]Summary!$Q$2:$Q$33</c:f>
              <c:numCache>
                <c:formatCode>General</c:formatCode>
                <c:ptCount val="32"/>
                <c:pt idx="0">
                  <c:v>2.3361736758545804E-2</c:v>
                </c:pt>
                <c:pt idx="1">
                  <c:v>2.478518807172499E-2</c:v>
                </c:pt>
                <c:pt idx="2">
                  <c:v>2.6208639384904177E-2</c:v>
                </c:pt>
                <c:pt idx="3">
                  <c:v>2.7632090698083363E-2</c:v>
                </c:pt>
                <c:pt idx="4">
                  <c:v>2.905554201126255E-2</c:v>
                </c:pt>
                <c:pt idx="5">
                  <c:v>3.0478993324441737E-2</c:v>
                </c:pt>
                <c:pt idx="6">
                  <c:v>3.1902444637620923E-2</c:v>
                </c:pt>
                <c:pt idx="7">
                  <c:v>3.3325895950800107E-2</c:v>
                </c:pt>
                <c:pt idx="8">
                  <c:v>3.474934726397929E-2</c:v>
                </c:pt>
                <c:pt idx="9">
                  <c:v>3.6172798577158473E-2</c:v>
                </c:pt>
                <c:pt idx="10">
                  <c:v>3.7596249890337656E-2</c:v>
                </c:pt>
                <c:pt idx="11">
                  <c:v>3.9019701203516839E-2</c:v>
                </c:pt>
                <c:pt idx="12">
                  <c:v>4.0443152516696022E-2</c:v>
                </c:pt>
                <c:pt idx="13">
                  <c:v>4.1866603829875206E-2</c:v>
                </c:pt>
                <c:pt idx="14">
                  <c:v>4.3290055143054389E-2</c:v>
                </c:pt>
                <c:pt idx="15">
                  <c:v>4.4713506456233572E-2</c:v>
                </c:pt>
                <c:pt idx="16">
                  <c:v>4.6136957769412755E-2</c:v>
                </c:pt>
                <c:pt idx="17">
                  <c:v>4.7560409082591938E-2</c:v>
                </c:pt>
                <c:pt idx="18">
                  <c:v>4.8983860395771121E-2</c:v>
                </c:pt>
                <c:pt idx="19">
                  <c:v>5.0407311708950304E-2</c:v>
                </c:pt>
                <c:pt idx="20">
                  <c:v>5.1830763022129488E-2</c:v>
                </c:pt>
                <c:pt idx="21">
                  <c:v>5.3254214335308671E-2</c:v>
                </c:pt>
                <c:pt idx="22">
                  <c:v>5.4677665648487854E-2</c:v>
                </c:pt>
                <c:pt idx="23">
                  <c:v>5.6101116961667037E-2</c:v>
                </c:pt>
                <c:pt idx="24">
                  <c:v>5.752456827484622E-2</c:v>
                </c:pt>
                <c:pt idx="25">
                  <c:v>5.8948019588025403E-2</c:v>
                </c:pt>
                <c:pt idx="26">
                  <c:v>6.0371470901204587E-2</c:v>
                </c:pt>
                <c:pt idx="27">
                  <c:v>6.179492221438377E-2</c:v>
                </c:pt>
                <c:pt idx="28">
                  <c:v>6.321837352756296E-2</c:v>
                </c:pt>
                <c:pt idx="29">
                  <c:v>6.4641824840742143E-2</c:v>
                </c:pt>
                <c:pt idx="30">
                  <c:v>6.6065276153921326E-2</c:v>
                </c:pt>
                <c:pt idx="31">
                  <c:v>6.7488727467100509E-2</c:v>
                </c:pt>
              </c:numCache>
            </c:numRef>
          </c:xVal>
          <c:yVal>
            <c:numRef>
              <c:f>[1]Summary!$S$2:$S$34</c:f>
              <c:numCache>
                <c:formatCode>General</c:formatCode>
                <c:ptCount val="33"/>
                <c:pt idx="0">
                  <c:v>1</c:v>
                </c:pt>
                <c:pt idx="1">
                  <c:v>10</c:v>
                </c:pt>
                <c:pt idx="2">
                  <c:v>33</c:v>
                </c:pt>
                <c:pt idx="3">
                  <c:v>100</c:v>
                </c:pt>
                <c:pt idx="4">
                  <c:v>183</c:v>
                </c:pt>
                <c:pt idx="5">
                  <c:v>329</c:v>
                </c:pt>
                <c:pt idx="6">
                  <c:v>453</c:v>
                </c:pt>
                <c:pt idx="7">
                  <c:v>503</c:v>
                </c:pt>
                <c:pt idx="8">
                  <c:v>583</c:v>
                </c:pt>
                <c:pt idx="9">
                  <c:v>691</c:v>
                </c:pt>
                <c:pt idx="10">
                  <c:v>767</c:v>
                </c:pt>
                <c:pt idx="11">
                  <c:v>837</c:v>
                </c:pt>
                <c:pt idx="12">
                  <c:v>771</c:v>
                </c:pt>
                <c:pt idx="13">
                  <c:v>678</c:v>
                </c:pt>
                <c:pt idx="14">
                  <c:v>581</c:v>
                </c:pt>
                <c:pt idx="15">
                  <c:v>521</c:v>
                </c:pt>
                <c:pt idx="16">
                  <c:v>414</c:v>
                </c:pt>
                <c:pt idx="17">
                  <c:v>320</c:v>
                </c:pt>
                <c:pt idx="18">
                  <c:v>262</c:v>
                </c:pt>
                <c:pt idx="19">
                  <c:v>190</c:v>
                </c:pt>
                <c:pt idx="20">
                  <c:v>159</c:v>
                </c:pt>
                <c:pt idx="21">
                  <c:v>135</c:v>
                </c:pt>
                <c:pt idx="22">
                  <c:v>89</c:v>
                </c:pt>
                <c:pt idx="23">
                  <c:v>75</c:v>
                </c:pt>
                <c:pt idx="24">
                  <c:v>43</c:v>
                </c:pt>
                <c:pt idx="25">
                  <c:v>19</c:v>
                </c:pt>
                <c:pt idx="26">
                  <c:v>9</c:v>
                </c:pt>
                <c:pt idx="27">
                  <c:v>1</c:v>
                </c:pt>
                <c:pt idx="28">
                  <c:v>2</c:v>
                </c:pt>
                <c:pt idx="29">
                  <c:v>1</c:v>
                </c:pt>
                <c:pt idx="30">
                  <c:v>0</c:v>
                </c:pt>
                <c:pt idx="31">
                  <c:v>0</c:v>
                </c:pt>
                <c:pt idx="32">
                  <c:v>0</c:v>
                </c:pt>
              </c:numCache>
            </c:numRef>
          </c:yVal>
          <c:smooth val="1"/>
          <c:extLst>
            <c:ext xmlns:c16="http://schemas.microsoft.com/office/drawing/2014/chart" uri="{C3380CC4-5D6E-409C-BE32-E72D297353CC}">
              <c16:uniqueId val="{00000000-2C1C-460B-8E8F-32CA3D2C28E5}"/>
            </c:ext>
          </c:extLst>
        </c:ser>
        <c:ser>
          <c:idx val="3"/>
          <c:order val="1"/>
          <c:tx>
            <c:strRef>
              <c:f>[1]Summary!$T$1</c:f>
              <c:strCache>
                <c:ptCount val="1"/>
                <c:pt idx="0">
                  <c:v>2021</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[1]Summary!$Q$2:$Q$33</c:f>
              <c:numCache>
                <c:formatCode>General</c:formatCode>
                <c:ptCount val="32"/>
                <c:pt idx="0">
                  <c:v>2.3361736758545804E-2</c:v>
                </c:pt>
                <c:pt idx="1">
                  <c:v>2.478518807172499E-2</c:v>
                </c:pt>
                <c:pt idx="2">
                  <c:v>2.6208639384904177E-2</c:v>
                </c:pt>
                <c:pt idx="3">
                  <c:v>2.7632090698083363E-2</c:v>
                </c:pt>
                <c:pt idx="4">
                  <c:v>2.905554201126255E-2</c:v>
                </c:pt>
                <c:pt idx="5">
                  <c:v>3.0478993324441737E-2</c:v>
                </c:pt>
                <c:pt idx="6">
                  <c:v>3.1902444637620923E-2</c:v>
                </c:pt>
                <c:pt idx="7">
                  <c:v>3.3325895950800107E-2</c:v>
                </c:pt>
                <c:pt idx="8">
                  <c:v>3.474934726397929E-2</c:v>
                </c:pt>
                <c:pt idx="9">
                  <c:v>3.6172798577158473E-2</c:v>
                </c:pt>
                <c:pt idx="10">
                  <c:v>3.7596249890337656E-2</c:v>
                </c:pt>
                <c:pt idx="11">
                  <c:v>3.9019701203516839E-2</c:v>
                </c:pt>
                <c:pt idx="12">
                  <c:v>4.0443152516696022E-2</c:v>
                </c:pt>
                <c:pt idx="13">
                  <c:v>4.1866603829875206E-2</c:v>
                </c:pt>
                <c:pt idx="14">
                  <c:v>4.3290055143054389E-2</c:v>
                </c:pt>
                <c:pt idx="15">
                  <c:v>4.4713506456233572E-2</c:v>
                </c:pt>
                <c:pt idx="16">
                  <c:v>4.6136957769412755E-2</c:v>
                </c:pt>
                <c:pt idx="17">
                  <c:v>4.7560409082591938E-2</c:v>
                </c:pt>
                <c:pt idx="18">
                  <c:v>4.8983860395771121E-2</c:v>
                </c:pt>
                <c:pt idx="19">
                  <c:v>5.0407311708950304E-2</c:v>
                </c:pt>
                <c:pt idx="20">
                  <c:v>5.1830763022129488E-2</c:v>
                </c:pt>
                <c:pt idx="21">
                  <c:v>5.3254214335308671E-2</c:v>
                </c:pt>
                <c:pt idx="22">
                  <c:v>5.4677665648487854E-2</c:v>
                </c:pt>
                <c:pt idx="23">
                  <c:v>5.6101116961667037E-2</c:v>
                </c:pt>
                <c:pt idx="24">
                  <c:v>5.752456827484622E-2</c:v>
                </c:pt>
                <c:pt idx="25">
                  <c:v>5.8948019588025403E-2</c:v>
                </c:pt>
                <c:pt idx="26">
                  <c:v>6.0371470901204587E-2</c:v>
                </c:pt>
                <c:pt idx="27">
                  <c:v>6.179492221438377E-2</c:v>
                </c:pt>
                <c:pt idx="28">
                  <c:v>6.321837352756296E-2</c:v>
                </c:pt>
                <c:pt idx="29">
                  <c:v>6.4641824840742143E-2</c:v>
                </c:pt>
                <c:pt idx="30">
                  <c:v>6.6065276153921326E-2</c:v>
                </c:pt>
                <c:pt idx="31">
                  <c:v>6.7488727467100509E-2</c:v>
                </c:pt>
              </c:numCache>
            </c:numRef>
          </c:xVal>
          <c:yVal>
            <c:numRef>
              <c:f>[1]Summary!$T$2:$T$34</c:f>
              <c:numCache>
                <c:formatCode>General</c:formatCode>
                <c:ptCount val="33"/>
                <c:pt idx="0">
                  <c:v>0</c:v>
                </c:pt>
                <c:pt idx="1">
                  <c:v>5</c:v>
                </c:pt>
                <c:pt idx="2">
                  <c:v>20</c:v>
                </c:pt>
                <c:pt idx="3">
                  <c:v>81</c:v>
                </c:pt>
                <c:pt idx="4">
                  <c:v>181</c:v>
                </c:pt>
                <c:pt idx="5">
                  <c:v>332</c:v>
                </c:pt>
                <c:pt idx="6">
                  <c:v>438</c:v>
                </c:pt>
                <c:pt idx="7">
                  <c:v>554</c:v>
                </c:pt>
                <c:pt idx="8">
                  <c:v>636</c:v>
                </c:pt>
                <c:pt idx="9">
                  <c:v>735</c:v>
                </c:pt>
                <c:pt idx="10">
                  <c:v>768</c:v>
                </c:pt>
                <c:pt idx="11">
                  <c:v>751</c:v>
                </c:pt>
                <c:pt idx="12">
                  <c:v>754</c:v>
                </c:pt>
                <c:pt idx="13">
                  <c:v>670</c:v>
                </c:pt>
                <c:pt idx="14">
                  <c:v>631</c:v>
                </c:pt>
                <c:pt idx="15">
                  <c:v>529</c:v>
                </c:pt>
                <c:pt idx="16">
                  <c:v>413</c:v>
                </c:pt>
                <c:pt idx="17">
                  <c:v>367</c:v>
                </c:pt>
                <c:pt idx="18">
                  <c:v>220</c:v>
                </c:pt>
                <c:pt idx="19">
                  <c:v>183</c:v>
                </c:pt>
                <c:pt idx="20">
                  <c:v>153</c:v>
                </c:pt>
                <c:pt idx="21">
                  <c:v>143</c:v>
                </c:pt>
                <c:pt idx="22">
                  <c:v>94</c:v>
                </c:pt>
                <c:pt idx="23">
                  <c:v>52</c:v>
                </c:pt>
                <c:pt idx="24">
                  <c:v>41</c:v>
                </c:pt>
                <c:pt idx="25">
                  <c:v>19</c:v>
                </c:pt>
                <c:pt idx="26">
                  <c:v>6</c:v>
                </c:pt>
                <c:pt idx="27">
                  <c:v>7</c:v>
                </c:pt>
                <c:pt idx="28">
                  <c:v>1</c:v>
                </c:pt>
                <c:pt idx="29">
                  <c:v>0</c:v>
                </c:pt>
                <c:pt idx="30">
                  <c:v>0</c:v>
                </c:pt>
                <c:pt idx="31">
                  <c:v>0</c:v>
                </c:pt>
                <c:pt idx="32">
                  <c:v>0</c:v>
                </c:pt>
              </c:numCache>
            </c:numRef>
          </c:yVal>
          <c:smooth val="1"/>
          <c:extLst>
            <c:ext xmlns:c16="http://schemas.microsoft.com/office/drawing/2014/chart" uri="{C3380CC4-5D6E-409C-BE32-E72D297353CC}">
              <c16:uniqueId val="{00000001-2C1C-460B-8E8F-32CA3D2C28E5}"/>
            </c:ext>
          </c:extLst>
        </c:ser>
        <c:dLbls>
          <c:showLegendKey val="0"/>
          <c:showVal val="0"/>
          <c:showCatName val="0"/>
          <c:showSerName val="0"/>
          <c:showPercent val="0"/>
          <c:showBubbleSize val="0"/>
        </c:dLbls>
        <c:axId val="128456991"/>
        <c:axId val="113259391"/>
        <c:extLst/>
      </c:scatterChart>
      <c:valAx>
        <c:axId val="128456991"/>
        <c:scaling>
          <c:orientation val="minMax"/>
          <c:max val="7.0000000000000007E-2"/>
          <c:min val="2.0000000000000004E-2"/>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t>LKE % of Combined Load</a:t>
                </a:r>
              </a:p>
            </c:rich>
          </c:tx>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13259391"/>
        <c:crosses val="autoZero"/>
        <c:crossBetween val="midCat"/>
      </c:valAx>
      <c:valAx>
        <c:axId val="113259391"/>
        <c:scaling>
          <c:orientation val="minMax"/>
          <c:max val="1000"/>
          <c:min val="0"/>
        </c:scaling>
        <c:delete val="0"/>
        <c:axPos val="l"/>
        <c:majorGridlines>
          <c:spPr>
            <a:ln w="9525" cap="flat" cmpd="sng" algn="ctr">
              <a:solidFill>
                <a:schemeClr val="bg2">
                  <a:lumMod val="90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t>Frequency</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28456991"/>
        <c:crosses val="autoZero"/>
        <c:crossBetween val="midCat"/>
        <c:majorUnit val="200"/>
      </c:valAx>
      <c:spPr>
        <a:noFill/>
        <a:ln>
          <a:noFill/>
        </a:ln>
        <a:effectLst/>
      </c:spPr>
    </c:plotArea>
    <c:legend>
      <c:legendPos val="r"/>
      <c:layout>
        <c:manualLayout>
          <c:xMode val="edge"/>
          <c:yMode val="edge"/>
          <c:x val="0.77138691896615463"/>
          <c:y val="0.14659593707927904"/>
          <c:w val="0.1533234937768477"/>
          <c:h val="0.12478293234709051"/>
        </c:manualLayout>
      </c:layout>
      <c:overlay val="0"/>
      <c:spPr>
        <a:solidFill>
          <a:schemeClr val="bg1"/>
        </a:solidFill>
        <a:ln>
          <a:solidFill>
            <a:schemeClr val="tx1">
              <a:lumMod val="15000"/>
              <a:lumOff val="85000"/>
            </a:schemeClr>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ABE1464-3841-4022-BD79-69682F82F573}">
  <sheetPr>
    <tabColor rgb="FF6DFFFC"/>
  </sheetPr>
  <sheetViews>
    <sheetView zoomScale="130" workbookViewId="0"/>
  </sheetViews>
  <pageMargins left="0.7" right="0.7" top="0.75" bottom="0.75" header="0.3" footer="0.3"/>
  <pageSetup orientation="landscape" r:id="rId1"/>
  <headerFooter>
    <oddFooter>&amp;L&amp;1#&amp;"Calibri"&amp;14&amp;K000000Business Use</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62" workbookViewId="0" zoomToFit="1"/>
  </sheetViews>
  <pageMargins left="0.7" right="0.7" top="0.75" bottom="0.75" header="0.3" footer="0.3"/>
  <pageSetup orientation="landscape" r:id="rId1"/>
  <headerFooter>
    <oddFooter>&amp;L&amp;1#&amp;"Calibri"&amp;14&amp;K000000Business Use</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40885" cy="6276731"/>
    <xdr:graphicFrame macro="">
      <xdr:nvGraphicFramePr>
        <xdr:cNvPr id="2" name="Chart 1">
          <a:extLst>
            <a:ext uri="{FF2B5EF4-FFF2-40B4-BE49-F238E27FC236}">
              <a16:creationId xmlns:a16="http://schemas.microsoft.com/office/drawing/2014/main" id="{BF2EAD42-A262-4930-8CE4-86FB9DA8D95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35216" cy="627160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oneCellAnchor>
    <xdr:from>
      <xdr:col>1</xdr:col>
      <xdr:colOff>510540</xdr:colOff>
      <xdr:row>48</xdr:row>
      <xdr:rowOff>152400</xdr:rowOff>
    </xdr:from>
    <xdr:ext cx="7520940" cy="10279380"/>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140" y="8930640"/>
          <a:ext cx="7520940" cy="10279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19804</xdr:colOff>
      <xdr:row>28</xdr:row>
      <xdr:rowOff>0</xdr:rowOff>
    </xdr:to>
    <xdr:graphicFrame macro="">
      <xdr:nvGraphicFramePr>
        <xdr:cNvPr id="4" name="Chart 3">
          <a:extLst>
            <a:ext uri="{FF2B5EF4-FFF2-40B4-BE49-F238E27FC236}">
              <a16:creationId xmlns:a16="http://schemas.microsoft.com/office/drawing/2014/main" id="{0319CDCC-C5CA-4CE9-825D-F1A994EEF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190500</xdr:colOff>
      <xdr:row>10</xdr:row>
      <xdr:rowOff>9525</xdr:rowOff>
    </xdr:from>
    <xdr:to>
      <xdr:col>14</xdr:col>
      <xdr:colOff>207025</xdr:colOff>
      <xdr:row>28</xdr:row>
      <xdr:rowOff>15514</xdr:rowOff>
    </xdr:to>
    <xdr:graphicFrame macro="">
      <xdr:nvGraphicFramePr>
        <xdr:cNvPr id="5" name="Chart 4">
          <a:extLst>
            <a:ext uri="{FF2B5EF4-FFF2-40B4-BE49-F238E27FC236}">
              <a16:creationId xmlns:a16="http://schemas.microsoft.com/office/drawing/2014/main" id="{56BC3F7B-5A97-4805-A11B-D9A53EEF4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027540\AppData\Local\Microsoft\Windows\INetCache\Content.Outlook\YVCVE079\PJM%20Load%20Data%20without%20Munis%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 Data"/>
      <sheetName val="PJM Load Data"/>
      <sheetName val="Net Load"/>
      <sheetName val="Instructions"/>
    </sheetNames>
    <sheetDataSet>
      <sheetData sheetId="0">
        <row r="1">
          <cell r="S1">
            <v>2020</v>
          </cell>
          <cell r="T1">
            <v>2021</v>
          </cell>
        </row>
        <row r="2">
          <cell r="Q2">
            <v>2.3361736758545804E-2</v>
          </cell>
          <cell r="R2">
            <v>1</v>
          </cell>
          <cell r="S2">
            <v>1</v>
          </cell>
          <cell r="T2">
            <v>0</v>
          </cell>
        </row>
        <row r="3">
          <cell r="Q3">
            <v>2.478518807172499E-2</v>
          </cell>
          <cell r="R3">
            <v>15</v>
          </cell>
          <cell r="S3">
            <v>10</v>
          </cell>
          <cell r="T3">
            <v>5</v>
          </cell>
        </row>
        <row r="4">
          <cell r="Q4">
            <v>2.6208639384904177E-2</v>
          </cell>
          <cell r="R4">
            <v>53</v>
          </cell>
          <cell r="S4">
            <v>33</v>
          </cell>
          <cell r="T4">
            <v>20</v>
          </cell>
        </row>
        <row r="5">
          <cell r="Q5">
            <v>2.7632090698083363E-2</v>
          </cell>
          <cell r="R5">
            <v>181</v>
          </cell>
          <cell r="S5">
            <v>100</v>
          </cell>
          <cell r="T5">
            <v>81</v>
          </cell>
        </row>
        <row r="6">
          <cell r="Q6">
            <v>2.905554201126255E-2</v>
          </cell>
          <cell r="R6">
            <v>364</v>
          </cell>
          <cell r="S6">
            <v>183</v>
          </cell>
          <cell r="T6">
            <v>181</v>
          </cell>
        </row>
        <row r="7">
          <cell r="Q7">
            <v>3.0478993324441737E-2</v>
          </cell>
          <cell r="R7">
            <v>661</v>
          </cell>
          <cell r="S7">
            <v>329</v>
          </cell>
          <cell r="T7">
            <v>332</v>
          </cell>
        </row>
        <row r="8">
          <cell r="Q8">
            <v>3.1902444637620923E-2</v>
          </cell>
          <cell r="R8">
            <v>891</v>
          </cell>
          <cell r="S8">
            <v>453</v>
          </cell>
          <cell r="T8">
            <v>438</v>
          </cell>
        </row>
        <row r="9">
          <cell r="Q9">
            <v>3.3325895950800107E-2</v>
          </cell>
          <cell r="R9">
            <v>1057</v>
          </cell>
          <cell r="S9">
            <v>503</v>
          </cell>
          <cell r="T9">
            <v>554</v>
          </cell>
        </row>
        <row r="10">
          <cell r="Q10">
            <v>3.474934726397929E-2</v>
          </cell>
          <cell r="R10">
            <v>1219</v>
          </cell>
          <cell r="S10">
            <v>583</v>
          </cell>
          <cell r="T10">
            <v>636</v>
          </cell>
        </row>
        <row r="11">
          <cell r="Q11">
            <v>3.6172798577158473E-2</v>
          </cell>
          <cell r="R11">
            <v>1426</v>
          </cell>
          <cell r="S11">
            <v>691</v>
          </cell>
          <cell r="T11">
            <v>735</v>
          </cell>
        </row>
        <row r="12">
          <cell r="Q12">
            <v>3.7596249890337656E-2</v>
          </cell>
          <cell r="R12">
            <v>1535</v>
          </cell>
          <cell r="S12">
            <v>767</v>
          </cell>
          <cell r="T12">
            <v>768</v>
          </cell>
        </row>
        <row r="13">
          <cell r="Q13">
            <v>3.9019701203516839E-2</v>
          </cell>
          <cell r="R13">
            <v>1588</v>
          </cell>
          <cell r="S13">
            <v>837</v>
          </cell>
          <cell r="T13">
            <v>751</v>
          </cell>
        </row>
        <row r="14">
          <cell r="Q14">
            <v>4.0443152516696022E-2</v>
          </cell>
          <cell r="R14">
            <v>1525</v>
          </cell>
          <cell r="S14">
            <v>771</v>
          </cell>
          <cell r="T14">
            <v>754</v>
          </cell>
        </row>
        <row r="15">
          <cell r="Q15">
            <v>4.1866603829875206E-2</v>
          </cell>
          <cell r="R15">
            <v>1348</v>
          </cell>
          <cell r="S15">
            <v>678</v>
          </cell>
          <cell r="T15">
            <v>670</v>
          </cell>
        </row>
        <row r="16">
          <cell r="Q16">
            <v>4.3290055143054389E-2</v>
          </cell>
          <cell r="R16">
            <v>1212</v>
          </cell>
          <cell r="S16">
            <v>581</v>
          </cell>
          <cell r="T16">
            <v>631</v>
          </cell>
        </row>
        <row r="17">
          <cell r="Q17">
            <v>4.4713506456233572E-2</v>
          </cell>
          <cell r="R17">
            <v>1050</v>
          </cell>
          <cell r="S17">
            <v>521</v>
          </cell>
          <cell r="T17">
            <v>529</v>
          </cell>
        </row>
        <row r="18">
          <cell r="Q18">
            <v>4.6136957769412755E-2</v>
          </cell>
          <cell r="R18">
            <v>827</v>
          </cell>
          <cell r="S18">
            <v>414</v>
          </cell>
          <cell r="T18">
            <v>413</v>
          </cell>
        </row>
        <row r="19">
          <cell r="Q19">
            <v>4.7560409082591938E-2</v>
          </cell>
          <cell r="R19">
            <v>687</v>
          </cell>
          <cell r="S19">
            <v>320</v>
          </cell>
          <cell r="T19">
            <v>367</v>
          </cell>
        </row>
        <row r="20">
          <cell r="Q20">
            <v>4.8983860395771121E-2</v>
          </cell>
          <cell r="R20">
            <v>482</v>
          </cell>
          <cell r="S20">
            <v>262</v>
          </cell>
          <cell r="T20">
            <v>220</v>
          </cell>
        </row>
        <row r="21">
          <cell r="Q21">
            <v>5.0407311708950304E-2</v>
          </cell>
          <cell r="R21">
            <v>373</v>
          </cell>
          <cell r="S21">
            <v>190</v>
          </cell>
          <cell r="T21">
            <v>183</v>
          </cell>
        </row>
        <row r="22">
          <cell r="Q22">
            <v>5.1830763022129488E-2</v>
          </cell>
          <cell r="R22">
            <v>312</v>
          </cell>
          <cell r="S22">
            <v>159</v>
          </cell>
          <cell r="T22">
            <v>153</v>
          </cell>
        </row>
        <row r="23">
          <cell r="Q23">
            <v>5.3254214335308671E-2</v>
          </cell>
          <cell r="R23">
            <v>278</v>
          </cell>
          <cell r="S23">
            <v>135</v>
          </cell>
          <cell r="T23">
            <v>143</v>
          </cell>
        </row>
        <row r="24">
          <cell r="Q24">
            <v>5.4677665648487854E-2</v>
          </cell>
          <cell r="R24">
            <v>183</v>
          </cell>
          <cell r="S24">
            <v>89</v>
          </cell>
          <cell r="T24">
            <v>94</v>
          </cell>
        </row>
        <row r="25">
          <cell r="Q25">
            <v>5.6101116961667037E-2</v>
          </cell>
          <cell r="R25">
            <v>127</v>
          </cell>
          <cell r="S25">
            <v>75</v>
          </cell>
          <cell r="T25">
            <v>52</v>
          </cell>
        </row>
        <row r="26">
          <cell r="Q26">
            <v>5.752456827484622E-2</v>
          </cell>
          <cell r="R26">
            <v>84</v>
          </cell>
          <cell r="S26">
            <v>43</v>
          </cell>
          <cell r="T26">
            <v>41</v>
          </cell>
        </row>
        <row r="27">
          <cell r="Q27">
            <v>5.8948019588025403E-2</v>
          </cell>
          <cell r="R27">
            <v>38</v>
          </cell>
          <cell r="S27">
            <v>19</v>
          </cell>
          <cell r="T27">
            <v>19</v>
          </cell>
        </row>
        <row r="28">
          <cell r="Q28">
            <v>6.0371470901204587E-2</v>
          </cell>
          <cell r="R28">
            <v>15</v>
          </cell>
          <cell r="S28">
            <v>9</v>
          </cell>
          <cell r="T28">
            <v>6</v>
          </cell>
        </row>
        <row r="29">
          <cell r="Q29">
            <v>6.179492221438377E-2</v>
          </cell>
          <cell r="R29">
            <v>8</v>
          </cell>
          <cell r="S29">
            <v>1</v>
          </cell>
          <cell r="T29">
            <v>7</v>
          </cell>
        </row>
        <row r="30">
          <cell r="Q30">
            <v>6.321837352756296E-2</v>
          </cell>
          <cell r="R30">
            <v>3</v>
          </cell>
          <cell r="S30">
            <v>2</v>
          </cell>
          <cell r="T30">
            <v>1</v>
          </cell>
        </row>
        <row r="31">
          <cell r="Q31">
            <v>6.4641824840742143E-2</v>
          </cell>
          <cell r="R31">
            <v>1</v>
          </cell>
          <cell r="S31">
            <v>1</v>
          </cell>
          <cell r="T31">
            <v>0</v>
          </cell>
        </row>
        <row r="32">
          <cell r="Q32">
            <v>6.6065276153921326E-2</v>
          </cell>
          <cell r="R32">
            <v>0</v>
          </cell>
          <cell r="S32">
            <v>0</v>
          </cell>
          <cell r="T32">
            <v>0</v>
          </cell>
        </row>
        <row r="33">
          <cell r="Q33">
            <v>6.7488727467100509E-2</v>
          </cell>
          <cell r="R33">
            <v>0</v>
          </cell>
          <cell r="S33">
            <v>0</v>
          </cell>
          <cell r="T33">
            <v>0</v>
          </cell>
        </row>
        <row r="34">
          <cell r="R34">
            <v>0</v>
          </cell>
          <cell r="S34">
            <v>0</v>
          </cell>
          <cell r="T34">
            <v>0</v>
          </cell>
        </row>
      </sheetData>
      <sheetData sheetId="1">
        <row r="2">
          <cell r="K2">
            <v>2.9000000000000001E-2</v>
          </cell>
          <cell r="L2">
            <v>598</v>
          </cell>
        </row>
        <row r="3">
          <cell r="K3">
            <v>2.9499999999999998E-2</v>
          </cell>
          <cell r="L3">
            <v>188</v>
          </cell>
        </row>
        <row r="4">
          <cell r="K4">
            <v>0.03</v>
          </cell>
          <cell r="L4">
            <v>234</v>
          </cell>
        </row>
        <row r="5">
          <cell r="K5">
            <v>3.0499999999999999E-2</v>
          </cell>
          <cell r="L5">
            <v>273</v>
          </cell>
        </row>
        <row r="6">
          <cell r="K6">
            <v>3.1E-2</v>
          </cell>
          <cell r="L6">
            <v>285</v>
          </cell>
        </row>
        <row r="7">
          <cell r="K7">
            <v>3.15E-2</v>
          </cell>
          <cell r="L7">
            <v>303</v>
          </cell>
        </row>
        <row r="8">
          <cell r="K8">
            <v>3.2000000000000001E-2</v>
          </cell>
          <cell r="L8">
            <v>359</v>
          </cell>
        </row>
        <row r="9">
          <cell r="K9">
            <v>3.2500000000000001E-2</v>
          </cell>
          <cell r="L9">
            <v>361</v>
          </cell>
        </row>
        <row r="10">
          <cell r="K10">
            <v>3.3000000000000002E-2</v>
          </cell>
          <cell r="L10">
            <v>356</v>
          </cell>
        </row>
        <row r="11">
          <cell r="K11">
            <v>3.3500000000000002E-2</v>
          </cell>
          <cell r="L11">
            <v>416</v>
          </cell>
        </row>
        <row r="12">
          <cell r="K12">
            <v>3.4000000000000002E-2</v>
          </cell>
          <cell r="L12">
            <v>432</v>
          </cell>
        </row>
        <row r="13">
          <cell r="K13">
            <v>3.4500000000000003E-2</v>
          </cell>
          <cell r="L13">
            <v>432</v>
          </cell>
        </row>
        <row r="14">
          <cell r="K14">
            <v>3.5000000000000003E-2</v>
          </cell>
          <cell r="L14">
            <v>440</v>
          </cell>
        </row>
        <row r="15">
          <cell r="K15">
            <v>3.5500000000000004E-2</v>
          </cell>
          <cell r="L15">
            <v>488</v>
          </cell>
        </row>
        <row r="16">
          <cell r="K16">
            <v>3.6000000000000004E-2</v>
          </cell>
          <cell r="L16">
            <v>531</v>
          </cell>
        </row>
        <row r="17">
          <cell r="K17">
            <v>3.6500000000000005E-2</v>
          </cell>
          <cell r="L17">
            <v>546</v>
          </cell>
        </row>
        <row r="18">
          <cell r="K18">
            <v>3.7000000000000005E-2</v>
          </cell>
          <cell r="L18">
            <v>525</v>
          </cell>
        </row>
        <row r="19">
          <cell r="K19">
            <v>3.7500000000000006E-2</v>
          </cell>
          <cell r="L19">
            <v>530</v>
          </cell>
        </row>
        <row r="20">
          <cell r="K20">
            <v>3.8000000000000006E-2</v>
          </cell>
          <cell r="L20">
            <v>559</v>
          </cell>
        </row>
        <row r="21">
          <cell r="K21">
            <v>3.8500000000000006E-2</v>
          </cell>
          <cell r="L21">
            <v>543</v>
          </cell>
        </row>
        <row r="22">
          <cell r="K22">
            <v>3.9000000000000007E-2</v>
          </cell>
          <cell r="L22">
            <v>571</v>
          </cell>
        </row>
        <row r="23">
          <cell r="K23">
            <v>3.9500000000000007E-2</v>
          </cell>
          <cell r="L23">
            <v>535</v>
          </cell>
        </row>
        <row r="24">
          <cell r="K24">
            <v>4.0000000000000008E-2</v>
          </cell>
          <cell r="L24">
            <v>537</v>
          </cell>
        </row>
        <row r="25">
          <cell r="K25">
            <v>4.0500000000000008E-2</v>
          </cell>
          <cell r="L25">
            <v>537</v>
          </cell>
        </row>
        <row r="26">
          <cell r="K26">
            <v>4.1000000000000009E-2</v>
          </cell>
          <cell r="L26">
            <v>487</v>
          </cell>
        </row>
        <row r="27">
          <cell r="K27">
            <v>4.1500000000000009E-2</v>
          </cell>
          <cell r="L27">
            <v>455</v>
          </cell>
        </row>
        <row r="28">
          <cell r="K28">
            <v>4.200000000000001E-2</v>
          </cell>
          <cell r="L28">
            <v>481</v>
          </cell>
        </row>
        <row r="29">
          <cell r="K29">
            <v>4.250000000000001E-2</v>
          </cell>
          <cell r="L29">
            <v>430</v>
          </cell>
        </row>
        <row r="30">
          <cell r="K30">
            <v>4.300000000000001E-2</v>
          </cell>
          <cell r="L30">
            <v>414</v>
          </cell>
        </row>
        <row r="31">
          <cell r="K31">
            <v>4.3500000000000011E-2</v>
          </cell>
          <cell r="L31">
            <v>390</v>
          </cell>
        </row>
        <row r="32">
          <cell r="K32">
            <v>4.4000000000000011E-2</v>
          </cell>
          <cell r="L32">
            <v>380</v>
          </cell>
        </row>
        <row r="33">
          <cell r="K33">
            <v>4.4500000000000012E-2</v>
          </cell>
          <cell r="L33">
            <v>343</v>
          </cell>
        </row>
        <row r="34">
          <cell r="K34">
            <v>4.5000000000000012E-2</v>
          </cell>
          <cell r="L34">
            <v>359</v>
          </cell>
        </row>
        <row r="35">
          <cell r="K35">
            <v>4.5500000000000013E-2</v>
          </cell>
          <cell r="L35">
            <v>290</v>
          </cell>
        </row>
        <row r="36">
          <cell r="K36">
            <v>4.6000000000000013E-2</v>
          </cell>
          <cell r="L36">
            <v>274</v>
          </cell>
        </row>
        <row r="37">
          <cell r="K37">
            <v>4.6500000000000014E-2</v>
          </cell>
          <cell r="L37">
            <v>252</v>
          </cell>
        </row>
        <row r="38">
          <cell r="K38">
            <v>4.7000000000000014E-2</v>
          </cell>
          <cell r="L38">
            <v>260</v>
          </cell>
        </row>
        <row r="39">
          <cell r="K39">
            <v>4.7500000000000014E-2</v>
          </cell>
          <cell r="L39">
            <v>223</v>
          </cell>
        </row>
        <row r="40">
          <cell r="K40">
            <v>4.8000000000000015E-2</v>
          </cell>
          <cell r="L40">
            <v>182</v>
          </cell>
        </row>
        <row r="41">
          <cell r="K41">
            <v>4.8500000000000015E-2</v>
          </cell>
          <cell r="L41">
            <v>192</v>
          </cell>
        </row>
        <row r="42">
          <cell r="K42">
            <v>4.9000000000000016E-2</v>
          </cell>
          <cell r="L42">
            <v>134</v>
          </cell>
        </row>
        <row r="43">
          <cell r="K43">
            <v>4.9500000000000016E-2</v>
          </cell>
          <cell r="L43">
            <v>125</v>
          </cell>
        </row>
        <row r="44">
          <cell r="K44">
            <v>5.0000000000000017E-2</v>
          </cell>
          <cell r="L44">
            <v>138</v>
          </cell>
        </row>
        <row r="45">
          <cell r="K45">
            <v>5.0500000000000017E-2</v>
          </cell>
          <cell r="L45">
            <v>121</v>
          </cell>
        </row>
        <row r="46">
          <cell r="K46">
            <v>5.1000000000000018E-2</v>
          </cell>
          <cell r="L46">
            <v>100</v>
          </cell>
        </row>
        <row r="47">
          <cell r="K47">
            <v>5.1500000000000018E-2</v>
          </cell>
          <cell r="L47">
            <v>124</v>
          </cell>
        </row>
        <row r="48">
          <cell r="K48">
            <v>5.2000000000000018E-2</v>
          </cell>
          <cell r="L48">
            <v>112</v>
          </cell>
        </row>
        <row r="49">
          <cell r="K49">
            <v>5.2500000000000019E-2</v>
          </cell>
          <cell r="L49">
            <v>105</v>
          </cell>
        </row>
        <row r="50">
          <cell r="K50">
            <v>5.3000000000000019E-2</v>
          </cell>
          <cell r="L50">
            <v>95</v>
          </cell>
        </row>
        <row r="51">
          <cell r="K51">
            <v>5.350000000000002E-2</v>
          </cell>
          <cell r="L51">
            <v>72</v>
          </cell>
        </row>
        <row r="52">
          <cell r="K52">
            <v>5.400000000000002E-2</v>
          </cell>
          <cell r="L52">
            <v>76</v>
          </cell>
        </row>
        <row r="53">
          <cell r="K53">
            <v>5.4500000000000021E-2</v>
          </cell>
          <cell r="L53">
            <v>53</v>
          </cell>
        </row>
        <row r="54">
          <cell r="K54">
            <v>5.5000000000000021E-2</v>
          </cell>
          <cell r="L54">
            <v>54</v>
          </cell>
        </row>
        <row r="55">
          <cell r="K55">
            <v>5.5500000000000022E-2</v>
          </cell>
          <cell r="L55">
            <v>44</v>
          </cell>
        </row>
        <row r="56">
          <cell r="K56">
            <v>5.6000000000000022E-2</v>
          </cell>
          <cell r="L56">
            <v>40</v>
          </cell>
        </row>
        <row r="57">
          <cell r="K57">
            <v>5.6500000000000022E-2</v>
          </cell>
          <cell r="L57">
            <v>36</v>
          </cell>
        </row>
        <row r="58">
          <cell r="K58">
            <v>5.7000000000000023E-2</v>
          </cell>
          <cell r="L58">
            <v>36</v>
          </cell>
        </row>
        <row r="59">
          <cell r="K59">
            <v>5.7500000000000023E-2</v>
          </cell>
          <cell r="L59">
            <v>20</v>
          </cell>
        </row>
        <row r="60">
          <cell r="K60">
            <v>5.8000000000000024E-2</v>
          </cell>
          <cell r="L60">
            <v>16</v>
          </cell>
        </row>
        <row r="61">
          <cell r="K61">
            <v>5.8500000000000024E-2</v>
          </cell>
          <cell r="L61">
            <v>14</v>
          </cell>
        </row>
        <row r="62">
          <cell r="L62">
            <v>38</v>
          </cell>
        </row>
      </sheetData>
      <sheetData sheetId="2" refreshError="1"/>
      <sheetData sheetId="3" refreshError="1"/>
      <sheetData sheetId="4"/>
    </sheetDataSet>
  </externalBook>
</externalLink>
</file>

<file path=xl/persons/person.xml><?xml version="1.0" encoding="utf-8"?>
<personList xmlns="http://schemas.microsoft.com/office/spreadsheetml/2018/threadedcomments" xmlns:x="http://schemas.openxmlformats.org/spreadsheetml/2006/main">
  <person displayName="Oelker, Linn" id="{EB71FBE4-5CA1-484A-89EE-9EE15E9B07E8}" userId="S-1-5-21-107098355-2747479665-1347135383-1654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8" dT="2020-01-16T13:24:38.50" personId="{EB71FBE4-5CA1-484A-89EE-9EE15E9B07E8}" id="{1DD3B70C-D717-4C74-B926-3BCB284C2A81}">
    <text>PJM Manual 12 - 4.4.3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fs3\GenPlanning\Recurring\RTOAnalysis\2021Analysis\PROSYM\20210929_out_unityr.xls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jm.com/-/media/documents/manuals/m13.ashx" TargetMode="External"/><Relationship Id="rId1" Type="http://schemas.openxmlformats.org/officeDocument/2006/relationships/hyperlink" Target="http://www.pjm.com/-/media/documents/manuals/m10.ashx" TargetMode="External"/><Relationship Id="rId6" Type="http://schemas.microsoft.com/office/2017/10/relationships/threadedComment" Target="../threadedComments/threadedComment1.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DFFFC"/>
    <pageSetUpPr fitToPage="1"/>
  </sheetPr>
  <dimension ref="A1:Z159"/>
  <sheetViews>
    <sheetView showGridLines="0" tabSelected="1" topLeftCell="C71" zoomScaleNormal="100" workbookViewId="0">
      <selection activeCell="R105" sqref="B87:R105"/>
    </sheetView>
  </sheetViews>
  <sheetFormatPr defaultColWidth="9.453125" defaultRowHeight="14.5" x14ac:dyDescent="0.35"/>
  <cols>
    <col min="1" max="1" width="27.1796875" style="10" bestFit="1" customWidth="1"/>
    <col min="2" max="2" width="39" style="10" bestFit="1" customWidth="1"/>
    <col min="3" max="6" width="7.26953125" style="10" bestFit="1" customWidth="1"/>
    <col min="7" max="7" width="6" style="10" bestFit="1" customWidth="1"/>
    <col min="8" max="11" width="7.54296875" style="10" customWidth="1"/>
    <col min="12" max="13" width="6.1796875" style="10" bestFit="1" customWidth="1"/>
    <col min="14" max="14" width="6" style="10" bestFit="1" customWidth="1"/>
    <col min="15" max="15" width="7.90625" style="188" customWidth="1"/>
    <col min="16" max="18" width="7.90625" style="207" customWidth="1"/>
    <col min="19" max="19" width="15.90625" style="10" customWidth="1"/>
    <col min="20" max="20" width="10" style="10" customWidth="1"/>
    <col min="21" max="21" width="12" style="10" bestFit="1" customWidth="1"/>
    <col min="22" max="16384" width="9.453125" style="10"/>
  </cols>
  <sheetData>
    <row r="1" spans="1:25" x14ac:dyDescent="0.35">
      <c r="A1" s="244"/>
      <c r="B1" s="244"/>
      <c r="C1" s="244"/>
      <c r="D1" s="244"/>
      <c r="E1" s="244"/>
      <c r="F1" s="244"/>
      <c r="G1" s="244"/>
      <c r="H1" s="244"/>
      <c r="I1" s="244"/>
      <c r="J1" s="244"/>
      <c r="K1" s="244"/>
      <c r="L1" s="244"/>
      <c r="M1" s="244"/>
    </row>
    <row r="3" spans="1:25" x14ac:dyDescent="0.35">
      <c r="U3" s="78" t="s">
        <v>11</v>
      </c>
    </row>
    <row r="4" spans="1:25" ht="18.5" x14ac:dyDescent="0.45">
      <c r="B4" s="241" t="s">
        <v>235</v>
      </c>
      <c r="C4" s="241"/>
      <c r="D4" s="241"/>
      <c r="E4" s="241"/>
      <c r="F4" s="241"/>
      <c r="G4" s="241"/>
      <c r="H4" s="241"/>
      <c r="I4" s="241"/>
      <c r="J4" s="241"/>
      <c r="K4" s="241"/>
      <c r="L4" s="241"/>
      <c r="M4" s="241"/>
      <c r="N4" s="241"/>
      <c r="O4" s="187"/>
      <c r="P4" s="206"/>
      <c r="Q4" s="206"/>
      <c r="R4" s="206"/>
      <c r="U4" s="1">
        <f>'PJM Details'!H1</f>
        <v>0.02</v>
      </c>
    </row>
    <row r="5" spans="1:25" x14ac:dyDescent="0.35">
      <c r="A5" s="13"/>
      <c r="B5" s="221" t="s">
        <v>108</v>
      </c>
      <c r="C5" s="222">
        <v>2025</v>
      </c>
      <c r="D5" s="222">
        <v>2026</v>
      </c>
      <c r="E5" s="222">
        <v>2027</v>
      </c>
      <c r="F5" s="222">
        <v>2028</v>
      </c>
      <c r="G5" s="222">
        <v>2029</v>
      </c>
      <c r="H5" s="222">
        <v>2030</v>
      </c>
      <c r="I5" s="222">
        <v>2031</v>
      </c>
      <c r="J5" s="222">
        <v>2032</v>
      </c>
      <c r="K5" s="222">
        <v>2033</v>
      </c>
      <c r="L5" s="222">
        <v>2034</v>
      </c>
      <c r="M5" s="222">
        <v>2035</v>
      </c>
      <c r="N5" s="222">
        <v>2036</v>
      </c>
      <c r="O5" s="222">
        <v>2037</v>
      </c>
      <c r="P5" s="223">
        <v>2038</v>
      </c>
      <c r="Q5" s="223">
        <v>2039</v>
      </c>
      <c r="R5" s="223">
        <v>2040</v>
      </c>
    </row>
    <row r="6" spans="1:25" x14ac:dyDescent="0.35">
      <c r="A6" s="13"/>
      <c r="B6" s="224" t="s">
        <v>154</v>
      </c>
      <c r="C6" s="46">
        <f>'PJM Details'!F8</f>
        <v>-19.169114259999997</v>
      </c>
      <c r="D6" s="46">
        <f>'PJM Details'!G8</f>
        <v>-19.614883723200002</v>
      </c>
      <c r="E6" s="46">
        <f>'PJM Details'!H8</f>
        <v>-20.532231201456003</v>
      </c>
      <c r="F6" s="46">
        <f>'PJM Details'!I8</f>
        <v>-20.97349267382064</v>
      </c>
      <c r="G6" s="46">
        <f>'PJM Details'!J8</f>
        <v>-21.295400124041283</v>
      </c>
      <c r="H6" s="46">
        <f>'PJM Details'!K8</f>
        <v>-21.649537088930696</v>
      </c>
      <c r="I6" s="46">
        <f>'PJM Details'!L8</f>
        <v>-22.056954754306677</v>
      </c>
      <c r="J6" s="46">
        <f>'PJM Details'!M8</f>
        <v>-22.537068754096151</v>
      </c>
      <c r="K6" s="46">
        <f>'PJM Details'!N8</f>
        <v>-22.91287953574815</v>
      </c>
      <c r="L6" s="46">
        <f>'PJM Details'!O8</f>
        <v>-23.342130724006012</v>
      </c>
      <c r="M6" s="46">
        <f>'PJM Details'!P8</f>
        <v>-23.809461180053013</v>
      </c>
      <c r="N6" s="46">
        <f>'PJM Details'!Q8</f>
        <v>-24.36956135905006</v>
      </c>
      <c r="O6" s="46">
        <f>'PJM Details'!R8</f>
        <v>-24.796287812607989</v>
      </c>
      <c r="P6" s="46">
        <f>'PJM Details'!S8</f>
        <v>-25.324870021442642</v>
      </c>
      <c r="Q6" s="46">
        <f>'PJM Details'!T8</f>
        <v>-25.832223024680616</v>
      </c>
      <c r="R6" s="46">
        <f>'PJM Details'!U8</f>
        <v>-26.439383160416682</v>
      </c>
      <c r="S6" s="197" t="s">
        <v>138</v>
      </c>
    </row>
    <row r="7" spans="1:25" x14ac:dyDescent="0.35">
      <c r="A7" s="13"/>
      <c r="B7" s="224" t="s">
        <v>155</v>
      </c>
      <c r="C7" s="46">
        <f>'PJM Details'!F9</f>
        <v>-4.9575295499999994</v>
      </c>
      <c r="D7" s="46">
        <f>'PJM Details'!G9</f>
        <v>-4.9733478</v>
      </c>
      <c r="E7" s="46">
        <f>'PJM Details'!H9</f>
        <v>-5.1038636999999998</v>
      </c>
      <c r="F7" s="46">
        <f>'PJM Details'!I9</f>
        <v>-5.1113251499999999</v>
      </c>
      <c r="G7" s="46">
        <f>'PJM Details'!J9</f>
        <v>-5.0880150000000004</v>
      </c>
      <c r="H7" s="46">
        <f>'PJM Details'!K9</f>
        <v>-5.0712032999999996</v>
      </c>
      <c r="I7" s="46">
        <f>'PJM Details'!L9</f>
        <v>-5.0653305</v>
      </c>
      <c r="J7" s="46">
        <f>'PJM Details'!M9</f>
        <v>-5.0741054999999999</v>
      </c>
      <c r="K7" s="46">
        <f>'PJM Details'!N9</f>
        <v>-5.0575660500000001</v>
      </c>
      <c r="L7" s="46">
        <f>'PJM Details'!O9</f>
        <v>-5.0512889999999997</v>
      </c>
      <c r="M7" s="46">
        <f>'PJM Details'!P9</f>
        <v>-5.0513925000000004</v>
      </c>
      <c r="N7" s="46">
        <f>'PJM Details'!Q9</f>
        <v>-5.0688458999999995</v>
      </c>
      <c r="O7" s="46">
        <f>'PJM Details'!R9</f>
        <v>-5.0564750999999992</v>
      </c>
      <c r="P7" s="46">
        <f>'PJM Details'!S9</f>
        <v>-5.0630038499999994</v>
      </c>
      <c r="Q7" s="46">
        <f>'PJM Details'!T9</f>
        <v>-5.0631715499999999</v>
      </c>
      <c r="R7" s="46">
        <f>'PJM Details'!U9</f>
        <v>-5.0805649500000003</v>
      </c>
      <c r="S7" s="197" t="s">
        <v>138</v>
      </c>
    </row>
    <row r="8" spans="1:25" x14ac:dyDescent="0.35">
      <c r="A8" s="13"/>
      <c r="B8" s="224" t="s">
        <v>156</v>
      </c>
      <c r="C8" s="46">
        <f>'PJM Details'!F15</f>
        <v>-20.487757939200005</v>
      </c>
      <c r="D8" s="46">
        <f>'PJM Details'!G15</f>
        <v>-20.0375513856</v>
      </c>
      <c r="E8" s="46">
        <f>'PJM Details'!H15</f>
        <v>-19.587344832000003</v>
      </c>
      <c r="F8" s="46">
        <f>'PJM Details'!I15</f>
        <v>-19.137138278399998</v>
      </c>
      <c r="G8" s="46">
        <f>'PJM Details'!J15</f>
        <v>-18.686931724799997</v>
      </c>
      <c r="H8" s="46">
        <f>'PJM Details'!K15</f>
        <v>-18.236725171199996</v>
      </c>
      <c r="I8" s="46">
        <f>'PJM Details'!L15</f>
        <v>-17.786518617599999</v>
      </c>
      <c r="J8" s="46">
        <f>'PJM Details'!M15</f>
        <v>-17.786518617599999</v>
      </c>
      <c r="K8" s="46">
        <f>'PJM Details'!N15</f>
        <v>-17.786518617599999</v>
      </c>
      <c r="L8" s="46">
        <f>'PJM Details'!O15</f>
        <v>-17.786518617599999</v>
      </c>
      <c r="M8" s="46">
        <f>'PJM Details'!P15</f>
        <v>-17.786518617599999</v>
      </c>
      <c r="N8" s="46">
        <f>'PJM Details'!Q15</f>
        <v>-17.786518617599999</v>
      </c>
      <c r="O8" s="46">
        <f>'PJM Details'!R15</f>
        <v>-17.786518617599999</v>
      </c>
      <c r="P8" s="46">
        <f>'PJM Details'!S15</f>
        <v>-17.786518617599999</v>
      </c>
      <c r="Q8" s="46">
        <f>'PJM Details'!T15</f>
        <v>-17.786518617599999</v>
      </c>
      <c r="R8" s="46">
        <f>'PJM Details'!U15</f>
        <v>-17.786518617599999</v>
      </c>
      <c r="S8" s="197" t="s">
        <v>205</v>
      </c>
      <c r="T8" s="16"/>
      <c r="U8" s="16"/>
      <c r="V8" s="16"/>
      <c r="W8" s="16"/>
      <c r="X8" s="16"/>
      <c r="Y8" s="16"/>
    </row>
    <row r="9" spans="1:25" x14ac:dyDescent="0.35">
      <c r="A9" s="13"/>
      <c r="B9" s="224" t="s">
        <v>231</v>
      </c>
      <c r="C9" s="46">
        <f>'PJM Details'!F31</f>
        <v>-0.80641582230248354</v>
      </c>
      <c r="D9" s="46">
        <f>'PJM Details'!G31</f>
        <v>-0.78432068187098114</v>
      </c>
      <c r="E9" s="46">
        <f>'PJM Details'!H31</f>
        <v>-0.75500307796498656</v>
      </c>
      <c r="F9" s="46">
        <f>'PJM Details'!I31</f>
        <v>-0.73004921208833773</v>
      </c>
      <c r="G9" s="46">
        <f>'PJM Details'!J31</f>
        <v>-0.7082081460059555</v>
      </c>
      <c r="H9" s="46">
        <f>'PJM Details'!K31</f>
        <v>-0.68766529198730364</v>
      </c>
      <c r="I9" s="46">
        <f>'PJM Details'!L31</f>
        <v>-0.66712243796865178</v>
      </c>
      <c r="J9" s="46">
        <f>'PJM Details'!M31</f>
        <v>-0.64820143991757351</v>
      </c>
      <c r="K9" s="46">
        <f>'PJM Details'!N31</f>
        <v>-0.63252779024999994</v>
      </c>
      <c r="L9" s="46">
        <f>'PJM Details'!O31</f>
        <v>-0.61847599654999996</v>
      </c>
      <c r="M9" s="46">
        <f>'PJM Details'!P31</f>
        <v>-0.60442420284999998</v>
      </c>
      <c r="N9" s="46">
        <f>'PJM Details'!Q31</f>
        <v>-0.59037240915</v>
      </c>
      <c r="O9" s="46">
        <f>'PJM Details'!R31</f>
        <v>-0.57632061545000002</v>
      </c>
      <c r="P9" s="46">
        <f>'PJM Details'!S31</f>
        <v>-0.56226882175000004</v>
      </c>
      <c r="Q9" s="46">
        <f>'PJM Details'!T31</f>
        <v>-0.54821702805000005</v>
      </c>
      <c r="R9" s="46">
        <f>'PJM Details'!U31</f>
        <v>-0.53416523434999996</v>
      </c>
      <c r="S9" s="197" t="s">
        <v>232</v>
      </c>
    </row>
    <row r="10" spans="1:25" x14ac:dyDescent="0.35">
      <c r="A10" s="13"/>
      <c r="B10" s="224" t="s">
        <v>158</v>
      </c>
      <c r="C10" s="46">
        <f>'PJM Details'!F37</f>
        <v>-2.9600251632144006</v>
      </c>
      <c r="D10" s="46">
        <f>'PJM Details'!G37</f>
        <v>-3.8823118066901023</v>
      </c>
      <c r="E10" s="46">
        <f>'PJM Details'!H37</f>
        <v>-3.2138563992709388</v>
      </c>
      <c r="F10" s="46">
        <f>'PJM Details'!I37</f>
        <v>-3.7201181920361495</v>
      </c>
      <c r="G10" s="46">
        <f>'PJM Details'!J37</f>
        <v>-4.7068272013031489</v>
      </c>
      <c r="H10" s="46">
        <f>'PJM Details'!K37</f>
        <v>-4.7270153124768832</v>
      </c>
      <c r="I10" s="46">
        <f>'PJM Details'!L37</f>
        <v>-5.0840790338010864</v>
      </c>
      <c r="J10" s="46">
        <f>'PJM Details'!M37</f>
        <v>-4.4004775367721658</v>
      </c>
      <c r="K10" s="46">
        <f>'PJM Details'!N37</f>
        <v>-4.5586431478131377</v>
      </c>
      <c r="L10" s="46">
        <f>'PJM Details'!O37</f>
        <v>-4.3209447154161111</v>
      </c>
      <c r="M10" s="46">
        <f>'PJM Details'!P37</f>
        <v>-3.8360386580335946</v>
      </c>
      <c r="N10" s="46">
        <f>'PJM Details'!Q37</f>
        <v>-4.1326790995431866</v>
      </c>
      <c r="O10" s="46">
        <f>'PJM Details'!R37</f>
        <v>-6.7040632598236671</v>
      </c>
      <c r="P10" s="46">
        <f>'PJM Details'!S37</f>
        <v>-6.3854635611090487</v>
      </c>
      <c r="Q10" s="46">
        <f>'PJM Details'!T37</f>
        <v>-5.7399680029782667</v>
      </c>
      <c r="R10" s="46">
        <f>'PJM Details'!U37</f>
        <v>-8.6077490239072834</v>
      </c>
      <c r="S10" s="197" t="s">
        <v>220</v>
      </c>
    </row>
    <row r="11" spans="1:25" x14ac:dyDescent="0.35">
      <c r="A11" s="13"/>
      <c r="B11" s="224" t="s">
        <v>157</v>
      </c>
      <c r="C11" s="46">
        <f>'PJM Details'!F46</f>
        <v>-1.4967999999999999</v>
      </c>
      <c r="D11" s="46">
        <f>'PJM Details'!G46</f>
        <v>-1.5267360000000001</v>
      </c>
      <c r="E11" s="46">
        <f>'PJM Details'!H46</f>
        <v>-1.5572680000000001</v>
      </c>
      <c r="F11" s="46">
        <f>'PJM Details'!I46</f>
        <v>-1.5884160000000001</v>
      </c>
      <c r="G11" s="46">
        <f>'PJM Details'!J46</f>
        <v>-1.620188</v>
      </c>
      <c r="H11" s="46">
        <f>'PJM Details'!K46</f>
        <v>-1.6525920000000001</v>
      </c>
      <c r="I11" s="46">
        <f>'PJM Details'!L46</f>
        <v>-1.68564</v>
      </c>
      <c r="J11" s="46">
        <f>'PJM Details'!M46</f>
        <v>-1.7193528</v>
      </c>
      <c r="K11" s="46">
        <f>'PJM Details'!N46</f>
        <v>-1.7537398560000002</v>
      </c>
      <c r="L11" s="46">
        <f>'PJM Details'!O46</f>
        <v>-1.7888146531200002</v>
      </c>
      <c r="M11" s="46">
        <f>'PJM Details'!P46</f>
        <v>-1.8245909461824001</v>
      </c>
      <c r="N11" s="46">
        <f>'PJM Details'!Q46</f>
        <v>-1.8610827651060482</v>
      </c>
      <c r="O11" s="46">
        <f>'PJM Details'!R46</f>
        <v>-1.8983044204081692</v>
      </c>
      <c r="P11" s="46">
        <f>'PJM Details'!S46</f>
        <v>-1.9362705088163326</v>
      </c>
      <c r="Q11" s="46">
        <f>'PJM Details'!T46</f>
        <v>-1.9749959189926591</v>
      </c>
      <c r="R11" s="46">
        <f>'PJM Details'!U46</f>
        <v>-2.0144958373725124</v>
      </c>
      <c r="S11" s="193" t="s">
        <v>152</v>
      </c>
      <c r="T11" s="16"/>
      <c r="U11" s="16"/>
      <c r="V11" s="16"/>
      <c r="W11" s="16"/>
      <c r="X11" s="16"/>
    </row>
    <row r="12" spans="1:25" x14ac:dyDescent="0.35">
      <c r="A12" s="13"/>
      <c r="B12" s="224"/>
      <c r="C12" s="225">
        <f t="shared" ref="C12:N12" si="0">SUM(C6:C11)</f>
        <v>-49.877642734716886</v>
      </c>
      <c r="D12" s="225">
        <f t="shared" si="0"/>
        <v>-50.81915139736109</v>
      </c>
      <c r="E12" s="225">
        <f t="shared" si="0"/>
        <v>-50.749567210691929</v>
      </c>
      <c r="F12" s="225">
        <f t="shared" si="0"/>
        <v>-51.260539506345125</v>
      </c>
      <c r="G12" s="225">
        <f t="shared" si="0"/>
        <v>-52.105570196150389</v>
      </c>
      <c r="H12" s="225">
        <f t="shared" si="0"/>
        <v>-52.024738164594879</v>
      </c>
      <c r="I12" s="225">
        <f t="shared" si="0"/>
        <v>-52.345645343676409</v>
      </c>
      <c r="J12" s="225">
        <f t="shared" si="0"/>
        <v>-52.16572464838589</v>
      </c>
      <c r="K12" s="225">
        <f t="shared" si="0"/>
        <v>-52.701874997411288</v>
      </c>
      <c r="L12" s="225">
        <f t="shared" si="0"/>
        <v>-52.908173706692118</v>
      </c>
      <c r="M12" s="225">
        <f t="shared" si="0"/>
        <v>-52.912426104718996</v>
      </c>
      <c r="N12" s="225">
        <f t="shared" si="0"/>
        <v>-53.809060150449298</v>
      </c>
      <c r="O12" s="225">
        <f t="shared" ref="O12:R12" si="1">SUM(O6:O11)</f>
        <v>-56.817969825889826</v>
      </c>
      <c r="P12" s="225">
        <f t="shared" si="1"/>
        <v>-57.058395380718032</v>
      </c>
      <c r="Q12" s="225">
        <f t="shared" si="1"/>
        <v>-56.945094142301542</v>
      </c>
      <c r="R12" s="225">
        <f t="shared" si="1"/>
        <v>-60.462876823646475</v>
      </c>
      <c r="S12" s="13"/>
    </row>
    <row r="13" spans="1:25" x14ac:dyDescent="0.35">
      <c r="A13" s="13"/>
      <c r="B13" s="13"/>
      <c r="C13" s="13"/>
      <c r="D13" s="13"/>
      <c r="E13" s="13"/>
      <c r="F13" s="13"/>
      <c r="G13" s="13"/>
      <c r="H13" s="14"/>
      <c r="I13" s="14"/>
      <c r="J13" s="14"/>
      <c r="K13" s="14"/>
      <c r="L13" s="14"/>
      <c r="M13" s="14"/>
      <c r="N13" s="14"/>
      <c r="O13" s="14"/>
      <c r="P13" s="14"/>
      <c r="Q13" s="14"/>
      <c r="R13" s="14"/>
      <c r="S13" s="13"/>
    </row>
    <row r="14" spans="1:25" x14ac:dyDescent="0.35">
      <c r="A14" s="13"/>
      <c r="B14" s="221" t="s">
        <v>9</v>
      </c>
      <c r="C14" s="223">
        <v>2025</v>
      </c>
      <c r="D14" s="223">
        <v>2026</v>
      </c>
      <c r="E14" s="223">
        <v>2027</v>
      </c>
      <c r="F14" s="223">
        <v>2028</v>
      </c>
      <c r="G14" s="223">
        <v>2029</v>
      </c>
      <c r="H14" s="222">
        <v>2030</v>
      </c>
      <c r="I14" s="222">
        <v>2031</v>
      </c>
      <c r="J14" s="222">
        <v>2032</v>
      </c>
      <c r="K14" s="222">
        <v>2033</v>
      </c>
      <c r="L14" s="222">
        <v>2034</v>
      </c>
      <c r="M14" s="222">
        <v>2035</v>
      </c>
      <c r="N14" s="222">
        <v>2036</v>
      </c>
      <c r="O14" s="222">
        <v>2037</v>
      </c>
      <c r="P14" s="222">
        <v>2038</v>
      </c>
      <c r="Q14" s="222">
        <v>2039</v>
      </c>
      <c r="R14" s="222">
        <v>2040</v>
      </c>
      <c r="S14" s="13"/>
    </row>
    <row r="15" spans="1:25" x14ac:dyDescent="0.35">
      <c r="A15" s="13"/>
      <c r="B15" s="224" t="s">
        <v>234</v>
      </c>
      <c r="C15" s="217">
        <v>2.5455638988107694</v>
      </c>
      <c r="D15" s="217">
        <v>11.19279708215663</v>
      </c>
      <c r="E15" s="217">
        <v>-8.8110751548929329</v>
      </c>
      <c r="F15" s="217">
        <v>37.616151953790904</v>
      </c>
      <c r="G15" s="217">
        <v>-120.65514367341132</v>
      </c>
      <c r="H15" s="217">
        <v>-96.67868414659597</v>
      </c>
      <c r="I15" s="217">
        <v>-122.7683755212621</v>
      </c>
      <c r="J15" s="217">
        <v>-119.89005198480868</v>
      </c>
      <c r="K15" s="217">
        <v>-116.88256839416181</v>
      </c>
      <c r="L15" s="217">
        <v>17.284058001957987</v>
      </c>
      <c r="M15" s="217">
        <v>-95.404423754752088</v>
      </c>
      <c r="N15" s="217">
        <v>-184.90023633722944</v>
      </c>
      <c r="O15" s="217">
        <v>-146.57816597293629</v>
      </c>
      <c r="P15" s="217">
        <v>-150.65175492489277</v>
      </c>
      <c r="Q15" s="217">
        <v>-61.636682267482342</v>
      </c>
      <c r="R15" s="217">
        <v>-112.83910383756285</v>
      </c>
      <c r="S15" s="197"/>
    </row>
    <row r="16" spans="1:25" x14ac:dyDescent="0.35">
      <c r="A16" s="13"/>
      <c r="B16" s="224" t="s">
        <v>189</v>
      </c>
      <c r="C16" s="217">
        <v>0.1</v>
      </c>
      <c r="D16" s="217">
        <v>0.1</v>
      </c>
      <c r="E16" s="218">
        <v>0.03</v>
      </c>
      <c r="F16" s="217">
        <v>0</v>
      </c>
      <c r="G16" s="217">
        <v>0</v>
      </c>
      <c r="H16" s="217">
        <v>0</v>
      </c>
      <c r="I16" s="217">
        <v>0</v>
      </c>
      <c r="J16" s="217">
        <v>0</v>
      </c>
      <c r="K16" s="217">
        <v>3.4004524051896065E-2</v>
      </c>
      <c r="L16" s="217">
        <v>3.4004524051896065E-2</v>
      </c>
      <c r="M16" s="217">
        <v>3.4004524051896065E-2</v>
      </c>
      <c r="N16" s="217">
        <v>3.4004524051896065E-2</v>
      </c>
      <c r="O16" s="217">
        <v>3.4004524051896065E-2</v>
      </c>
      <c r="P16" s="217">
        <v>3.4004524051896065E-2</v>
      </c>
      <c r="Q16" s="217">
        <v>3.4004524051896065E-2</v>
      </c>
      <c r="R16" s="217">
        <v>3.4004524051896065E-2</v>
      </c>
      <c r="S16" s="197"/>
    </row>
    <row r="17" spans="1:24" s="215" customFormat="1" x14ac:dyDescent="0.35">
      <c r="A17" s="13"/>
      <c r="B17" s="224" t="s">
        <v>233</v>
      </c>
      <c r="C17" s="235">
        <v>0</v>
      </c>
      <c r="D17" s="235">
        <v>0</v>
      </c>
      <c r="E17" s="235">
        <v>15.627090909854164</v>
      </c>
      <c r="F17" s="235">
        <v>-0.24934341786718051</v>
      </c>
      <c r="G17" s="235">
        <v>73.157149061474144</v>
      </c>
      <c r="H17" s="235">
        <v>73.317326745276333</v>
      </c>
      <c r="I17" s="235">
        <v>71.698123201686329</v>
      </c>
      <c r="J17" s="235">
        <v>70.126594593371649</v>
      </c>
      <c r="K17" s="235">
        <v>68.693504172167906</v>
      </c>
      <c r="L17" s="235">
        <v>-28.667702893289857</v>
      </c>
      <c r="M17" s="235">
        <v>17.950732145995801</v>
      </c>
      <c r="N17" s="235">
        <v>157.10513120592367</v>
      </c>
      <c r="O17" s="235">
        <v>124.450071362995</v>
      </c>
      <c r="P17" s="235">
        <v>151.58615652202502</v>
      </c>
      <c r="Q17" s="235">
        <v>67.047745359432724</v>
      </c>
      <c r="R17" s="235">
        <v>277.71630737979774</v>
      </c>
      <c r="S17" s="197"/>
    </row>
    <row r="18" spans="1:24" x14ac:dyDescent="0.35">
      <c r="A18" s="13"/>
      <c r="B18" s="224" t="s">
        <v>188</v>
      </c>
      <c r="C18" s="46">
        <f>'PJM Details'!F63</f>
        <v>6.9939999999999998</v>
      </c>
      <c r="D18" s="46">
        <f>'PJM Details'!G63</f>
        <v>7.1029999999999998</v>
      </c>
      <c r="E18" s="46">
        <f>'PJM Details'!H63</f>
        <v>7.2134799999999997</v>
      </c>
      <c r="F18" s="46">
        <f>'PJM Details'!I63</f>
        <v>7.3264496000000001</v>
      </c>
      <c r="G18" s="46">
        <f>'PJM Details'!J63</f>
        <v>7.4399185919999997</v>
      </c>
      <c r="H18" s="46">
        <f>'PJM Details'!K63</f>
        <v>7.5558969638399995</v>
      </c>
      <c r="I18" s="46">
        <f>'PJM Details'!L63</f>
        <v>7.6733949031167992</v>
      </c>
      <c r="J18" s="46">
        <f>'PJM Details'!M63</f>
        <v>7.7004228011791351</v>
      </c>
      <c r="K18" s="46">
        <f>'PJM Details'!N63</f>
        <v>7.7279912572027181</v>
      </c>
      <c r="L18" s="46">
        <f>'PJM Details'!O63</f>
        <v>7.7561110823467718</v>
      </c>
      <c r="M18" s="46">
        <f>'PJM Details'!P63</f>
        <v>7.7847933039937081</v>
      </c>
      <c r="N18" s="46">
        <f>'PJM Details'!Q63</f>
        <v>7.8140491700735826</v>
      </c>
      <c r="O18" s="46">
        <f>'PJM Details'!R63</f>
        <v>7.843890153475054</v>
      </c>
      <c r="P18" s="46">
        <f>'PJM Details'!S63</f>
        <v>7.8743279565445548</v>
      </c>
      <c r="Q18" s="46">
        <f>'PJM Details'!T63</f>
        <v>7.9053745156754456</v>
      </c>
      <c r="R18" s="46">
        <f>'PJM Details'!U63</f>
        <v>7.937042005988955</v>
      </c>
      <c r="S18" s="197" t="s">
        <v>214</v>
      </c>
      <c r="T18" s="16"/>
      <c r="U18" s="16"/>
    </row>
    <row r="19" spans="1:24" x14ac:dyDescent="0.35">
      <c r="A19" s="13"/>
      <c r="B19" s="224" t="s">
        <v>187</v>
      </c>
      <c r="C19" s="46">
        <f>'PJM Details'!F72</f>
        <v>21.607340000000001</v>
      </c>
      <c r="D19" s="46">
        <f>'PJM Details'!G72</f>
        <v>22.185170000000003</v>
      </c>
      <c r="E19" s="46">
        <f>'PJM Details'!H72</f>
        <v>12.712259999999999</v>
      </c>
      <c r="F19" s="46">
        <f>'PJM Details'!I72</f>
        <v>13.079969999999998</v>
      </c>
      <c r="G19" s="46">
        <f>'PJM Details'!J72</f>
        <v>4.5525999999999991</v>
      </c>
      <c r="H19" s="46">
        <f>'PJM Details'!K72</f>
        <v>0.43774999999999997</v>
      </c>
      <c r="I19" s="46">
        <f>'PJM Details'!L72</f>
        <v>0.43774999999999997</v>
      </c>
      <c r="J19" s="46">
        <f>'PJM Details'!M72</f>
        <v>0.43774999999999997</v>
      </c>
      <c r="K19" s="46">
        <f>'PJM Details'!N72</f>
        <v>0.43774999999999997</v>
      </c>
      <c r="L19" s="46">
        <f>'PJM Details'!O72</f>
        <v>0.43774999999999997</v>
      </c>
      <c r="M19" s="46">
        <f>'PJM Details'!P72</f>
        <v>0.43774999999999997</v>
      </c>
      <c r="N19" s="46">
        <f>'PJM Details'!Q72</f>
        <v>0.43774999999999997</v>
      </c>
      <c r="O19" s="46">
        <f>'PJM Details'!R72</f>
        <v>0.43774999999999997</v>
      </c>
      <c r="P19" s="46">
        <f>'PJM Details'!S72</f>
        <v>0.43774999999999997</v>
      </c>
      <c r="Q19" s="46">
        <f>'PJM Details'!T72</f>
        <v>0.43774999999999997</v>
      </c>
      <c r="R19" s="46">
        <f>'PJM Details'!U72</f>
        <v>0.43774999999999997</v>
      </c>
      <c r="S19" s="197" t="s">
        <v>215</v>
      </c>
      <c r="T19" s="16"/>
      <c r="U19" s="16"/>
    </row>
    <row r="20" spans="1:24" x14ac:dyDescent="0.35">
      <c r="A20" s="13"/>
      <c r="B20" s="224"/>
      <c r="C20" s="236">
        <f t="shared" ref="C20:R20" si="2">SUM(C15:C19)</f>
        <v>31.246903898810771</v>
      </c>
      <c r="D20" s="236">
        <f t="shared" si="2"/>
        <v>40.580967082156633</v>
      </c>
      <c r="E20" s="236">
        <f t="shared" si="2"/>
        <v>26.771755754961227</v>
      </c>
      <c r="F20" s="236">
        <f t="shared" si="2"/>
        <v>57.773228135923723</v>
      </c>
      <c r="G20" s="236">
        <f t="shared" si="2"/>
        <v>-35.505476019937177</v>
      </c>
      <c r="H20" s="236">
        <f t="shared" si="2"/>
        <v>-15.367710437479639</v>
      </c>
      <c r="I20" s="236">
        <f t="shared" si="2"/>
        <v>-42.95910741645897</v>
      </c>
      <c r="J20" s="236">
        <f t="shared" si="2"/>
        <v>-41.625284590257891</v>
      </c>
      <c r="K20" s="236">
        <f t="shared" si="2"/>
        <v>-39.989318440739289</v>
      </c>
      <c r="L20" s="236">
        <f t="shared" si="2"/>
        <v>-3.1557792849332027</v>
      </c>
      <c r="M20" s="236">
        <f t="shared" si="2"/>
        <v>-69.197143780710689</v>
      </c>
      <c r="N20" s="236">
        <f t="shared" si="2"/>
        <v>-19.509301437180284</v>
      </c>
      <c r="O20" s="236">
        <f t="shared" si="2"/>
        <v>-13.812449932414323</v>
      </c>
      <c r="P20" s="236">
        <f t="shared" si="2"/>
        <v>9.2804840777287136</v>
      </c>
      <c r="Q20" s="236">
        <f t="shared" si="2"/>
        <v>13.788192131677722</v>
      </c>
      <c r="R20" s="236">
        <f t="shared" si="2"/>
        <v>173.28600007227575</v>
      </c>
      <c r="S20" s="13"/>
    </row>
    <row r="21" spans="1:24" x14ac:dyDescent="0.35">
      <c r="B21" s="15"/>
      <c r="C21" s="6"/>
      <c r="D21" s="6"/>
      <c r="E21" s="6"/>
      <c r="F21" s="6"/>
      <c r="G21" s="6"/>
      <c r="H21" s="6"/>
      <c r="I21" s="6"/>
      <c r="J21" s="6"/>
      <c r="K21" s="6"/>
      <c r="L21" s="6"/>
      <c r="M21" s="6"/>
      <c r="N21" s="6"/>
      <c r="O21" s="6"/>
      <c r="P21" s="6"/>
      <c r="Q21" s="6"/>
      <c r="R21" s="6"/>
      <c r="S21" s="13"/>
    </row>
    <row r="22" spans="1:24" x14ac:dyDescent="0.35">
      <c r="A22" s="15" t="s">
        <v>242</v>
      </c>
      <c r="B22" s="226" t="s">
        <v>185</v>
      </c>
      <c r="C22" s="236">
        <f t="shared" ref="C22:R22" si="3">C12+C20</f>
        <v>-18.630738835906115</v>
      </c>
      <c r="D22" s="236">
        <f t="shared" si="3"/>
        <v>-10.238184315204457</v>
      </c>
      <c r="E22" s="236">
        <f t="shared" si="3"/>
        <v>-23.977811455730702</v>
      </c>
      <c r="F22" s="236">
        <f t="shared" si="3"/>
        <v>6.512688629578598</v>
      </c>
      <c r="G22" s="236">
        <f t="shared" si="3"/>
        <v>-87.611046216087573</v>
      </c>
      <c r="H22" s="236">
        <f t="shared" si="3"/>
        <v>-67.392448602074523</v>
      </c>
      <c r="I22" s="236">
        <f t="shared" si="3"/>
        <v>-95.304752760135386</v>
      </c>
      <c r="J22" s="236">
        <f t="shared" si="3"/>
        <v>-93.791009238643781</v>
      </c>
      <c r="K22" s="236">
        <f t="shared" si="3"/>
        <v>-92.691193438150577</v>
      </c>
      <c r="L22" s="236">
        <f t="shared" si="3"/>
        <v>-56.063952991625321</v>
      </c>
      <c r="M22" s="236">
        <f t="shared" si="3"/>
        <v>-122.10956988542969</v>
      </c>
      <c r="N22" s="236">
        <f t="shared" si="3"/>
        <v>-73.318361587629582</v>
      </c>
      <c r="O22" s="236">
        <f t="shared" si="3"/>
        <v>-70.630419758304143</v>
      </c>
      <c r="P22" s="236">
        <f t="shared" si="3"/>
        <v>-47.777911302989317</v>
      </c>
      <c r="Q22" s="236">
        <f t="shared" si="3"/>
        <v>-43.156902010623824</v>
      </c>
      <c r="R22" s="236">
        <f t="shared" si="3"/>
        <v>112.82312324862929</v>
      </c>
      <c r="S22" s="13"/>
      <c r="T22" s="240">
        <f t="shared" ref="T22" si="4">SUM(C22:R22)</f>
        <v>-783.35849052032722</v>
      </c>
    </row>
    <row r="23" spans="1:24" x14ac:dyDescent="0.35">
      <c r="B23" s="202" t="s">
        <v>206</v>
      </c>
      <c r="C23" s="203">
        <v>25.3</v>
      </c>
      <c r="D23" s="203">
        <v>24.5</v>
      </c>
      <c r="E23" s="203">
        <v>16.8</v>
      </c>
      <c r="F23" s="203">
        <v>-20.6</v>
      </c>
      <c r="G23" s="203">
        <v>-29.9</v>
      </c>
      <c r="H23" s="204">
        <v>-34.6</v>
      </c>
      <c r="I23" s="205">
        <v>-34.6</v>
      </c>
      <c r="J23" s="204">
        <v>-35</v>
      </c>
      <c r="K23" s="204">
        <v>-35.5</v>
      </c>
      <c r="L23" s="204">
        <v>-36.700000000000003</v>
      </c>
      <c r="M23" s="204">
        <v>-36.9</v>
      </c>
      <c r="N23" s="204">
        <v>-38</v>
      </c>
      <c r="O23" s="204"/>
      <c r="P23" s="204"/>
      <c r="Q23" s="204"/>
      <c r="R23" s="204"/>
      <c r="S23" s="16" t="s">
        <v>179</v>
      </c>
      <c r="T23" s="16"/>
      <c r="U23" s="16"/>
    </row>
    <row r="24" spans="1:24" x14ac:dyDescent="0.35">
      <c r="B24" s="9" t="s">
        <v>34</v>
      </c>
      <c r="N24" s="198" t="s">
        <v>207</v>
      </c>
    </row>
    <row r="25" spans="1:24" x14ac:dyDescent="0.35">
      <c r="C25" s="240">
        <f>SUM(C15:C17)</f>
        <v>2.6455638988107695</v>
      </c>
      <c r="D25" s="240">
        <f t="shared" ref="D25:R25" si="5">SUM(D15:D17)</f>
        <v>11.29279708215663</v>
      </c>
      <c r="E25" s="240">
        <f t="shared" si="5"/>
        <v>6.8460157549612308</v>
      </c>
      <c r="F25" s="240">
        <f t="shared" si="5"/>
        <v>37.366808535923724</v>
      </c>
      <c r="G25" s="240">
        <f t="shared" si="5"/>
        <v>-47.497994611937173</v>
      </c>
      <c r="H25" s="240">
        <f t="shared" si="5"/>
        <v>-23.361357401319637</v>
      </c>
      <c r="I25" s="240">
        <f t="shared" si="5"/>
        <v>-51.070252319575772</v>
      </c>
      <c r="J25" s="240">
        <f t="shared" si="5"/>
        <v>-49.763457391437029</v>
      </c>
      <c r="K25" s="240">
        <f t="shared" si="5"/>
        <v>-48.155059697942008</v>
      </c>
      <c r="L25" s="240">
        <f t="shared" si="5"/>
        <v>-11.349640367279974</v>
      </c>
      <c r="M25" s="240">
        <f t="shared" si="5"/>
        <v>-77.419687084704393</v>
      </c>
      <c r="N25" s="240">
        <f t="shared" si="5"/>
        <v>-27.761100607253866</v>
      </c>
      <c r="O25" s="240">
        <f t="shared" si="5"/>
        <v>-22.094090085889377</v>
      </c>
      <c r="P25" s="240">
        <f t="shared" si="5"/>
        <v>0.96840612118415947</v>
      </c>
      <c r="Q25" s="240">
        <f t="shared" si="5"/>
        <v>5.4450676160022766</v>
      </c>
      <c r="R25" s="240">
        <f t="shared" si="5"/>
        <v>164.9112080662868</v>
      </c>
    </row>
    <row r="26" spans="1:24" x14ac:dyDescent="0.35">
      <c r="B26" s="245" t="s">
        <v>21</v>
      </c>
      <c r="C26" s="245"/>
      <c r="D26" s="245"/>
      <c r="E26" s="245"/>
      <c r="F26" s="245"/>
      <c r="G26" s="245"/>
      <c r="H26" s="245"/>
      <c r="I26" s="245"/>
      <c r="J26" s="245"/>
      <c r="K26" s="245"/>
      <c r="L26" s="245"/>
      <c r="M26" s="245"/>
      <c r="N26" s="245"/>
      <c r="O26" s="189"/>
      <c r="P26" s="208"/>
      <c r="Q26" s="208"/>
      <c r="R26" s="208"/>
    </row>
    <row r="27" spans="1:24" x14ac:dyDescent="0.35">
      <c r="B27" s="243" t="s">
        <v>25</v>
      </c>
      <c r="C27" s="243"/>
      <c r="D27" s="243"/>
      <c r="E27" s="243"/>
      <c r="F27" s="243"/>
      <c r="G27" s="243"/>
      <c r="H27" s="243"/>
      <c r="I27" s="243"/>
      <c r="J27" s="243"/>
      <c r="K27" s="243"/>
      <c r="L27" s="243"/>
      <c r="M27" s="243"/>
      <c r="N27" s="243"/>
    </row>
    <row r="28" spans="1:24" x14ac:dyDescent="0.35">
      <c r="B28" s="243" t="s">
        <v>26</v>
      </c>
      <c r="C28" s="243"/>
      <c r="D28" s="243"/>
      <c r="E28" s="243"/>
      <c r="F28" s="243"/>
      <c r="G28" s="243"/>
      <c r="H28" s="243"/>
      <c r="I28" s="243"/>
      <c r="J28" s="243"/>
      <c r="K28" s="243"/>
      <c r="L28" s="243"/>
      <c r="M28" s="243"/>
      <c r="N28" s="243"/>
    </row>
    <row r="29" spans="1:24" x14ac:dyDescent="0.35">
      <c r="B29" s="243" t="s">
        <v>27</v>
      </c>
      <c r="C29" s="243"/>
      <c r="D29" s="243"/>
      <c r="E29" s="243"/>
      <c r="F29" s="243"/>
      <c r="G29" s="243"/>
      <c r="H29" s="243"/>
      <c r="I29" s="243"/>
      <c r="J29" s="243"/>
      <c r="K29" s="243"/>
      <c r="L29" s="243"/>
      <c r="M29" s="243"/>
      <c r="N29" s="243"/>
    </row>
    <row r="30" spans="1:24" x14ac:dyDescent="0.35">
      <c r="B30" s="243" t="s">
        <v>28</v>
      </c>
      <c r="C30" s="243"/>
      <c r="D30" s="243"/>
      <c r="E30" s="243"/>
      <c r="F30" s="243"/>
      <c r="G30" s="243"/>
      <c r="H30" s="243"/>
      <c r="I30" s="243"/>
      <c r="J30" s="243"/>
      <c r="K30" s="243"/>
      <c r="L30" s="243"/>
      <c r="M30" s="243"/>
      <c r="N30" s="243"/>
    </row>
    <row r="31" spans="1:24" x14ac:dyDescent="0.35">
      <c r="B31" s="243" t="s">
        <v>18</v>
      </c>
      <c r="C31" s="243"/>
      <c r="D31" s="243"/>
      <c r="E31" s="243"/>
      <c r="F31" s="243"/>
      <c r="G31" s="243"/>
      <c r="H31" s="243"/>
      <c r="I31" s="243"/>
      <c r="J31" s="243"/>
      <c r="K31" s="243"/>
      <c r="L31" s="243"/>
      <c r="M31" s="243"/>
      <c r="N31" s="243"/>
      <c r="U31" s="31"/>
      <c r="V31" s="31"/>
      <c r="W31" s="31"/>
      <c r="X31" s="31"/>
    </row>
    <row r="32" spans="1:24" x14ac:dyDescent="0.35">
      <c r="B32" s="243" t="s">
        <v>22</v>
      </c>
      <c r="C32" s="243"/>
      <c r="D32" s="243"/>
      <c r="E32" s="243"/>
      <c r="F32" s="243"/>
      <c r="G32" s="243"/>
      <c r="H32" s="243"/>
      <c r="I32" s="243"/>
      <c r="J32" s="243"/>
      <c r="K32" s="243"/>
      <c r="L32" s="243"/>
      <c r="M32" s="243"/>
      <c r="N32" s="243"/>
      <c r="U32" s="31"/>
      <c r="V32" s="31"/>
      <c r="W32" s="31"/>
      <c r="X32" s="31"/>
    </row>
    <row r="33" spans="1:26" x14ac:dyDescent="0.35">
      <c r="B33" s="243" t="s">
        <v>23</v>
      </c>
      <c r="C33" s="243"/>
      <c r="D33" s="243"/>
      <c r="E33" s="243"/>
      <c r="F33" s="243"/>
      <c r="G33" s="243"/>
      <c r="H33" s="243"/>
      <c r="I33" s="243"/>
      <c r="J33" s="243"/>
      <c r="K33" s="243"/>
      <c r="L33" s="243"/>
      <c r="M33" s="243"/>
      <c r="N33" s="243"/>
      <c r="U33" s="31"/>
      <c r="V33" s="31"/>
      <c r="W33" s="31"/>
      <c r="X33" s="31"/>
    </row>
    <row r="34" spans="1:26" x14ac:dyDescent="0.35">
      <c r="B34" s="243" t="s">
        <v>24</v>
      </c>
      <c r="C34" s="243"/>
      <c r="D34" s="243"/>
      <c r="E34" s="243"/>
      <c r="F34" s="243"/>
      <c r="G34" s="243"/>
      <c r="H34" s="243"/>
      <c r="I34" s="243"/>
      <c r="J34" s="243"/>
      <c r="K34" s="243"/>
      <c r="L34" s="243"/>
      <c r="M34" s="243"/>
      <c r="N34" s="243"/>
      <c r="R34" s="207">
        <v>-1</v>
      </c>
      <c r="U34" s="31"/>
      <c r="V34" s="31"/>
      <c r="W34" s="31"/>
      <c r="X34" s="31"/>
    </row>
    <row r="35" spans="1:26" x14ac:dyDescent="0.35">
      <c r="B35" s="243" t="s">
        <v>29</v>
      </c>
      <c r="C35" s="243"/>
      <c r="D35" s="243"/>
      <c r="E35" s="243"/>
      <c r="F35" s="243"/>
      <c r="G35" s="243"/>
      <c r="H35" s="243"/>
      <c r="I35" s="243"/>
      <c r="J35" s="243"/>
      <c r="K35" s="243"/>
      <c r="L35" s="243"/>
      <c r="M35" s="243"/>
      <c r="N35" s="243"/>
      <c r="U35" s="31"/>
      <c r="V35" s="31"/>
      <c r="W35" s="31"/>
      <c r="X35" s="31"/>
    </row>
    <row r="36" spans="1:26" x14ac:dyDescent="0.35">
      <c r="U36" s="31"/>
      <c r="V36" s="31"/>
      <c r="W36" s="31"/>
      <c r="X36" s="31"/>
    </row>
    <row r="37" spans="1:26" s="220" customFormat="1" x14ac:dyDescent="0.35">
      <c r="B37" s="220" t="s">
        <v>236</v>
      </c>
      <c r="C37" s="229">
        <v>6.820678902312741</v>
      </c>
      <c r="D37" s="229">
        <v>-2.0450037858350369</v>
      </c>
      <c r="E37" s="229">
        <v>-22.899837707486384</v>
      </c>
      <c r="F37" s="229">
        <v>29.260105634700931</v>
      </c>
      <c r="G37" s="229">
        <v>-222.4442139404625</v>
      </c>
      <c r="H37" s="229">
        <v>-222.53643891886023</v>
      </c>
      <c r="I37" s="229">
        <v>-239.873697249033</v>
      </c>
      <c r="J37" s="229">
        <v>-250.34144271523965</v>
      </c>
      <c r="K37" s="229">
        <v>-263.65498333572054</v>
      </c>
      <c r="L37" s="229">
        <v>53.368175735589126</v>
      </c>
      <c r="M37" s="229">
        <v>-188.30798121015022</v>
      </c>
      <c r="N37" s="229">
        <v>-350.05269726326571</v>
      </c>
      <c r="O37" s="229">
        <v>-228.43968800897008</v>
      </c>
      <c r="P37" s="229">
        <v>-227.04643198236576</v>
      </c>
      <c r="Q37" s="229">
        <v>-72.853395140420446</v>
      </c>
      <c r="R37" s="229">
        <v>-149.12246160876057</v>
      </c>
      <c r="S37" s="51"/>
      <c r="U37" s="31"/>
      <c r="V37" s="31"/>
      <c r="W37" s="31"/>
      <c r="X37" s="31"/>
    </row>
    <row r="38" spans="1:26" s="220" customFormat="1" x14ac:dyDescent="0.35">
      <c r="B38" s="220" t="s">
        <v>237</v>
      </c>
      <c r="C38" s="229">
        <v>3.9703346281062752</v>
      </c>
      <c r="D38" s="229">
        <v>-6.8489270833638276</v>
      </c>
      <c r="E38" s="229">
        <v>-17.237657006006192</v>
      </c>
      <c r="F38" s="229">
        <v>-24.034976872560716</v>
      </c>
      <c r="G38" s="229">
        <v>-260.97427055595875</v>
      </c>
      <c r="H38" s="229">
        <v>-272.89701994413792</v>
      </c>
      <c r="I38" s="229">
        <v>-291.73296865426789</v>
      </c>
      <c r="J38" s="229">
        <v>-304.60229794094892</v>
      </c>
      <c r="K38" s="229">
        <v>-300.65288057595154</v>
      </c>
      <c r="L38" s="229">
        <v>34.665950425296757</v>
      </c>
      <c r="M38" s="229">
        <v>-216.31062839212129</v>
      </c>
      <c r="N38" s="229">
        <v>-366.28230084142069</v>
      </c>
      <c r="O38" s="229">
        <v>-231.6663724511501</v>
      </c>
      <c r="P38" s="229">
        <v>-249.16734707693547</v>
      </c>
      <c r="Q38" s="229">
        <v>-68.406866373572683</v>
      </c>
      <c r="R38" s="229">
        <v>-125.96687225934069</v>
      </c>
      <c r="S38" s="51"/>
      <c r="U38" s="31"/>
      <c r="V38" s="31"/>
      <c r="W38" s="31"/>
      <c r="X38" s="31"/>
    </row>
    <row r="39" spans="1:26" s="220" customFormat="1" x14ac:dyDescent="0.35">
      <c r="B39" s="220" t="s">
        <v>238</v>
      </c>
      <c r="C39" s="250">
        <v>128.51715801415844</v>
      </c>
      <c r="D39" s="250">
        <v>148.94757091112567</v>
      </c>
      <c r="E39" s="250">
        <v>153.99559643056355</v>
      </c>
      <c r="F39" s="250">
        <v>137.64760033895652</v>
      </c>
      <c r="G39" s="250">
        <v>-253.98330714277083</v>
      </c>
      <c r="H39" s="250">
        <v>-263.46903464346315</v>
      </c>
      <c r="I39" s="250">
        <v>-302.43276714342829</v>
      </c>
      <c r="J39" s="250">
        <v>-325.23431495832921</v>
      </c>
      <c r="K39" s="250">
        <v>-276.40746129692627</v>
      </c>
      <c r="L39" s="250">
        <v>104.69846280969074</v>
      </c>
      <c r="M39" s="250">
        <v>-283.51285510490061</v>
      </c>
      <c r="N39" s="250">
        <v>-522.08971902432324</v>
      </c>
      <c r="O39" s="250">
        <v>-315.95118483514244</v>
      </c>
      <c r="P39" s="250">
        <v>-323.33187749250197</v>
      </c>
      <c r="Q39" s="250">
        <v>-83.709248696429057</v>
      </c>
      <c r="R39" s="250">
        <v>-192.58283135609716</v>
      </c>
      <c r="S39" s="51"/>
      <c r="U39" s="31"/>
      <c r="V39" s="31"/>
      <c r="W39" s="31"/>
      <c r="X39" s="31"/>
    </row>
    <row r="40" spans="1:26" x14ac:dyDescent="0.35">
      <c r="T40" s="220"/>
      <c r="U40" s="31"/>
      <c r="V40" s="31"/>
      <c r="W40" s="31"/>
      <c r="X40" s="31"/>
      <c r="Y40" s="220"/>
      <c r="Z40" s="178"/>
    </row>
    <row r="41" spans="1:26" ht="19" thickBot="1" x14ac:dyDescent="0.5">
      <c r="B41" s="242" t="s">
        <v>239</v>
      </c>
      <c r="C41" s="242"/>
      <c r="D41" s="242"/>
      <c r="E41" s="242"/>
      <c r="F41" s="242"/>
      <c r="G41" s="242"/>
      <c r="H41" s="242"/>
      <c r="I41" s="242"/>
      <c r="J41" s="242"/>
      <c r="K41" s="242"/>
      <c r="L41" s="242"/>
      <c r="M41" s="242"/>
      <c r="N41" s="242"/>
      <c r="O41" s="187"/>
      <c r="P41" s="206"/>
      <c r="Q41" s="206"/>
      <c r="R41" s="206"/>
      <c r="T41" s="220"/>
      <c r="U41" s="31"/>
      <c r="V41" s="31"/>
      <c r="W41" s="31"/>
      <c r="X41" s="31"/>
      <c r="Y41" s="220"/>
      <c r="Z41" s="178"/>
    </row>
    <row r="42" spans="1:26" x14ac:dyDescent="0.35">
      <c r="B42" s="221" t="s">
        <v>108</v>
      </c>
      <c r="C42" s="222">
        <v>2025</v>
      </c>
      <c r="D42" s="222">
        <v>2026</v>
      </c>
      <c r="E42" s="222">
        <v>2027</v>
      </c>
      <c r="F42" s="222">
        <v>2028</v>
      </c>
      <c r="G42" s="222">
        <v>2029</v>
      </c>
      <c r="H42" s="222">
        <v>2030</v>
      </c>
      <c r="I42" s="222">
        <v>2031</v>
      </c>
      <c r="J42" s="222">
        <v>2032</v>
      </c>
      <c r="K42" s="222">
        <v>2033</v>
      </c>
      <c r="L42" s="222">
        <v>2034</v>
      </c>
      <c r="M42" s="222">
        <v>2035</v>
      </c>
      <c r="N42" s="222">
        <v>2036</v>
      </c>
      <c r="O42" s="222">
        <v>2037</v>
      </c>
      <c r="P42" s="223">
        <v>2038</v>
      </c>
      <c r="Q42" s="223">
        <v>2039</v>
      </c>
      <c r="R42" s="223">
        <v>2040</v>
      </c>
      <c r="T42" s="220"/>
      <c r="U42" s="31"/>
      <c r="V42" s="31"/>
      <c r="W42" s="31"/>
      <c r="X42" s="31"/>
      <c r="Y42" s="220"/>
      <c r="Z42" s="178"/>
    </row>
    <row r="43" spans="1:26" x14ac:dyDescent="0.35">
      <c r="A43" s="95"/>
      <c r="B43" s="224" t="s">
        <v>154</v>
      </c>
      <c r="C43" s="46">
        <f>C$6</f>
        <v>-19.169114259999997</v>
      </c>
      <c r="D43" s="46">
        <f t="shared" ref="D43:R43" si="6">D$6</f>
        <v>-19.614883723200002</v>
      </c>
      <c r="E43" s="46">
        <f t="shared" si="6"/>
        <v>-20.532231201456003</v>
      </c>
      <c r="F43" s="46">
        <f t="shared" si="6"/>
        <v>-20.97349267382064</v>
      </c>
      <c r="G43" s="46">
        <f t="shared" si="6"/>
        <v>-21.295400124041283</v>
      </c>
      <c r="H43" s="46">
        <f t="shared" si="6"/>
        <v>-21.649537088930696</v>
      </c>
      <c r="I43" s="46">
        <f t="shared" si="6"/>
        <v>-22.056954754306677</v>
      </c>
      <c r="J43" s="46">
        <f t="shared" si="6"/>
        <v>-22.537068754096151</v>
      </c>
      <c r="K43" s="46">
        <f t="shared" si="6"/>
        <v>-22.91287953574815</v>
      </c>
      <c r="L43" s="46">
        <f t="shared" si="6"/>
        <v>-23.342130724006012</v>
      </c>
      <c r="M43" s="46">
        <f t="shared" si="6"/>
        <v>-23.809461180053013</v>
      </c>
      <c r="N43" s="46">
        <f t="shared" si="6"/>
        <v>-24.36956135905006</v>
      </c>
      <c r="O43" s="46">
        <f t="shared" si="6"/>
        <v>-24.796287812607989</v>
      </c>
      <c r="P43" s="46">
        <f t="shared" si="6"/>
        <v>-25.324870021442642</v>
      </c>
      <c r="Q43" s="46">
        <f t="shared" si="6"/>
        <v>-25.832223024680616</v>
      </c>
      <c r="R43" s="46">
        <f t="shared" si="6"/>
        <v>-26.439383160416682</v>
      </c>
      <c r="T43" s="220"/>
      <c r="U43" s="31"/>
      <c r="V43" s="31"/>
      <c r="W43" s="31"/>
      <c r="X43" s="31"/>
      <c r="Y43" s="220"/>
      <c r="Z43" s="178"/>
    </row>
    <row r="44" spans="1:26" x14ac:dyDescent="0.35">
      <c r="B44" s="224" t="s">
        <v>155</v>
      </c>
      <c r="C44" s="46">
        <f>C$7</f>
        <v>-4.9575295499999994</v>
      </c>
      <c r="D44" s="46">
        <f t="shared" ref="D44:R44" si="7">D$7</f>
        <v>-4.9733478</v>
      </c>
      <c r="E44" s="46">
        <f t="shared" si="7"/>
        <v>-5.1038636999999998</v>
      </c>
      <c r="F44" s="46">
        <f t="shared" si="7"/>
        <v>-5.1113251499999999</v>
      </c>
      <c r="G44" s="46">
        <f t="shared" si="7"/>
        <v>-5.0880150000000004</v>
      </c>
      <c r="H44" s="46">
        <f t="shared" si="7"/>
        <v>-5.0712032999999996</v>
      </c>
      <c r="I44" s="46">
        <f t="shared" si="7"/>
        <v>-5.0653305</v>
      </c>
      <c r="J44" s="46">
        <f t="shared" si="7"/>
        <v>-5.0741054999999999</v>
      </c>
      <c r="K44" s="46">
        <f t="shared" si="7"/>
        <v>-5.0575660500000001</v>
      </c>
      <c r="L44" s="46">
        <f t="shared" si="7"/>
        <v>-5.0512889999999997</v>
      </c>
      <c r="M44" s="46">
        <f t="shared" si="7"/>
        <v>-5.0513925000000004</v>
      </c>
      <c r="N44" s="46">
        <f t="shared" si="7"/>
        <v>-5.0688458999999995</v>
      </c>
      <c r="O44" s="46">
        <f t="shared" si="7"/>
        <v>-5.0564750999999992</v>
      </c>
      <c r="P44" s="46">
        <f t="shared" si="7"/>
        <v>-5.0630038499999994</v>
      </c>
      <c r="Q44" s="46">
        <f t="shared" si="7"/>
        <v>-5.0631715499999999</v>
      </c>
      <c r="R44" s="46">
        <f t="shared" si="7"/>
        <v>-5.0805649500000003</v>
      </c>
      <c r="T44" s="220"/>
      <c r="U44" s="31"/>
      <c r="V44" s="31"/>
      <c r="W44" s="31"/>
      <c r="X44" s="31"/>
      <c r="Y44" s="220"/>
      <c r="Z44" s="178"/>
    </row>
    <row r="45" spans="1:26" x14ac:dyDescent="0.35">
      <c r="B45" s="224" t="s">
        <v>156</v>
      </c>
      <c r="C45" s="46">
        <f>C$8</f>
        <v>-20.487757939200005</v>
      </c>
      <c r="D45" s="46">
        <f t="shared" ref="D45:R45" si="8">D$8</f>
        <v>-20.0375513856</v>
      </c>
      <c r="E45" s="46">
        <f t="shared" si="8"/>
        <v>-19.587344832000003</v>
      </c>
      <c r="F45" s="46">
        <f t="shared" si="8"/>
        <v>-19.137138278399998</v>
      </c>
      <c r="G45" s="46">
        <f t="shared" si="8"/>
        <v>-18.686931724799997</v>
      </c>
      <c r="H45" s="46">
        <f t="shared" si="8"/>
        <v>-18.236725171199996</v>
      </c>
      <c r="I45" s="46">
        <f t="shared" si="8"/>
        <v>-17.786518617599999</v>
      </c>
      <c r="J45" s="46">
        <f t="shared" si="8"/>
        <v>-17.786518617599999</v>
      </c>
      <c r="K45" s="46">
        <f t="shared" si="8"/>
        <v>-17.786518617599999</v>
      </c>
      <c r="L45" s="46">
        <f t="shared" si="8"/>
        <v>-17.786518617599999</v>
      </c>
      <c r="M45" s="46">
        <f t="shared" si="8"/>
        <v>-17.786518617599999</v>
      </c>
      <c r="N45" s="46">
        <f t="shared" si="8"/>
        <v>-17.786518617599999</v>
      </c>
      <c r="O45" s="46">
        <f t="shared" si="8"/>
        <v>-17.786518617599999</v>
      </c>
      <c r="P45" s="46">
        <f t="shared" si="8"/>
        <v>-17.786518617599999</v>
      </c>
      <c r="Q45" s="46">
        <f t="shared" si="8"/>
        <v>-17.786518617599999</v>
      </c>
      <c r="R45" s="46">
        <f t="shared" si="8"/>
        <v>-17.786518617599999</v>
      </c>
      <c r="S45" s="47"/>
      <c r="T45" s="220"/>
      <c r="U45" s="31"/>
      <c r="V45" s="31"/>
      <c r="W45" s="31"/>
      <c r="X45" s="31"/>
      <c r="Y45" s="220"/>
      <c r="Z45" s="178"/>
    </row>
    <row r="46" spans="1:26" x14ac:dyDescent="0.35">
      <c r="B46" s="224" t="s">
        <v>231</v>
      </c>
      <c r="C46" s="46">
        <f>C$9</f>
        <v>-0.80641582230248354</v>
      </c>
      <c r="D46" s="46">
        <f t="shared" ref="D46:R46" si="9">D$9</f>
        <v>-0.78432068187098114</v>
      </c>
      <c r="E46" s="46">
        <f t="shared" si="9"/>
        <v>-0.75500307796498656</v>
      </c>
      <c r="F46" s="46">
        <f t="shared" si="9"/>
        <v>-0.73004921208833773</v>
      </c>
      <c r="G46" s="46">
        <f t="shared" si="9"/>
        <v>-0.7082081460059555</v>
      </c>
      <c r="H46" s="46">
        <f t="shared" si="9"/>
        <v>-0.68766529198730364</v>
      </c>
      <c r="I46" s="46">
        <f t="shared" si="9"/>
        <v>-0.66712243796865178</v>
      </c>
      <c r="J46" s="46">
        <f t="shared" si="9"/>
        <v>-0.64820143991757351</v>
      </c>
      <c r="K46" s="46">
        <f t="shared" si="9"/>
        <v>-0.63252779024999994</v>
      </c>
      <c r="L46" s="46">
        <f t="shared" si="9"/>
        <v>-0.61847599654999996</v>
      </c>
      <c r="M46" s="46">
        <f t="shared" si="9"/>
        <v>-0.60442420284999998</v>
      </c>
      <c r="N46" s="46">
        <f t="shared" si="9"/>
        <v>-0.59037240915</v>
      </c>
      <c r="O46" s="46">
        <f t="shared" si="9"/>
        <v>-0.57632061545000002</v>
      </c>
      <c r="P46" s="46">
        <f t="shared" si="9"/>
        <v>-0.56226882175000004</v>
      </c>
      <c r="Q46" s="46">
        <f t="shared" si="9"/>
        <v>-0.54821702805000005</v>
      </c>
      <c r="R46" s="46">
        <f t="shared" si="9"/>
        <v>-0.53416523434999996</v>
      </c>
      <c r="T46" s="220"/>
      <c r="U46" s="31"/>
      <c r="V46" s="31"/>
      <c r="W46" s="31"/>
      <c r="X46" s="31"/>
      <c r="Y46" s="220"/>
      <c r="Z46" s="178"/>
    </row>
    <row r="47" spans="1:26" x14ac:dyDescent="0.35">
      <c r="B47" s="224" t="s">
        <v>158</v>
      </c>
      <c r="C47" s="46">
        <f>C$10</f>
        <v>-2.9600251632144006</v>
      </c>
      <c r="D47" s="46">
        <f t="shared" ref="D47:R47" si="10">D$10</f>
        <v>-3.8823118066901023</v>
      </c>
      <c r="E47" s="46">
        <f t="shared" si="10"/>
        <v>-3.2138563992709388</v>
      </c>
      <c r="F47" s="46">
        <f t="shared" si="10"/>
        <v>-3.7201181920361495</v>
      </c>
      <c r="G47" s="46">
        <f t="shared" si="10"/>
        <v>-4.7068272013031489</v>
      </c>
      <c r="H47" s="46">
        <f t="shared" si="10"/>
        <v>-4.7270153124768832</v>
      </c>
      <c r="I47" s="46">
        <f t="shared" si="10"/>
        <v>-5.0840790338010864</v>
      </c>
      <c r="J47" s="46">
        <f t="shared" si="10"/>
        <v>-4.4004775367721658</v>
      </c>
      <c r="K47" s="46">
        <f t="shared" si="10"/>
        <v>-4.5586431478131377</v>
      </c>
      <c r="L47" s="46">
        <f t="shared" si="10"/>
        <v>-4.3209447154161111</v>
      </c>
      <c r="M47" s="46">
        <f t="shared" si="10"/>
        <v>-3.8360386580335946</v>
      </c>
      <c r="N47" s="46">
        <f t="shared" si="10"/>
        <v>-4.1326790995431866</v>
      </c>
      <c r="O47" s="46">
        <f t="shared" si="10"/>
        <v>-6.7040632598236671</v>
      </c>
      <c r="P47" s="46">
        <f t="shared" si="10"/>
        <v>-6.3854635611090487</v>
      </c>
      <c r="Q47" s="46">
        <f t="shared" si="10"/>
        <v>-5.7399680029782667</v>
      </c>
      <c r="R47" s="46">
        <f t="shared" si="10"/>
        <v>-8.6077490239072834</v>
      </c>
      <c r="T47" s="182"/>
      <c r="U47" s="182"/>
      <c r="V47" s="182"/>
      <c r="W47" s="182"/>
      <c r="X47" s="182"/>
      <c r="Y47" s="178"/>
      <c r="Z47" s="178"/>
    </row>
    <row r="48" spans="1:26" x14ac:dyDescent="0.35">
      <c r="B48" s="224" t="s">
        <v>157</v>
      </c>
      <c r="C48" s="46">
        <f>C$11</f>
        <v>-1.4967999999999999</v>
      </c>
      <c r="D48" s="46">
        <f t="shared" ref="D48:R48" si="11">D$11</f>
        <v>-1.5267360000000001</v>
      </c>
      <c r="E48" s="46">
        <f t="shared" si="11"/>
        <v>-1.5572680000000001</v>
      </c>
      <c r="F48" s="46">
        <f t="shared" si="11"/>
        <v>-1.5884160000000001</v>
      </c>
      <c r="G48" s="46">
        <f t="shared" si="11"/>
        <v>-1.620188</v>
      </c>
      <c r="H48" s="46">
        <f t="shared" si="11"/>
        <v>-1.6525920000000001</v>
      </c>
      <c r="I48" s="46">
        <f t="shared" si="11"/>
        <v>-1.68564</v>
      </c>
      <c r="J48" s="46">
        <f t="shared" si="11"/>
        <v>-1.7193528</v>
      </c>
      <c r="K48" s="46">
        <f t="shared" si="11"/>
        <v>-1.7537398560000002</v>
      </c>
      <c r="L48" s="46">
        <f t="shared" si="11"/>
        <v>-1.7888146531200002</v>
      </c>
      <c r="M48" s="46">
        <f t="shared" si="11"/>
        <v>-1.8245909461824001</v>
      </c>
      <c r="N48" s="46">
        <f t="shared" si="11"/>
        <v>-1.8610827651060482</v>
      </c>
      <c r="O48" s="46">
        <f t="shared" si="11"/>
        <v>-1.8983044204081692</v>
      </c>
      <c r="P48" s="46">
        <f t="shared" si="11"/>
        <v>-1.9362705088163326</v>
      </c>
      <c r="Q48" s="46">
        <f t="shared" si="11"/>
        <v>-1.9749959189926591</v>
      </c>
      <c r="R48" s="46">
        <f t="shared" si="11"/>
        <v>-2.0144958373725124</v>
      </c>
      <c r="T48" s="182"/>
      <c r="U48" s="182"/>
      <c r="V48" s="182"/>
      <c r="W48" s="182"/>
      <c r="X48" s="182"/>
      <c r="Y48" s="178"/>
      <c r="Z48" s="178"/>
    </row>
    <row r="49" spans="1:26" x14ac:dyDescent="0.35">
      <c r="B49" s="224"/>
      <c r="C49" s="225">
        <f t="shared" ref="C49" si="12">SUM(C43:C48)</f>
        <v>-49.877642734716886</v>
      </c>
      <c r="D49" s="225">
        <f t="shared" ref="D49:R49" si="13">SUM(D43:D48)</f>
        <v>-50.81915139736109</v>
      </c>
      <c r="E49" s="225">
        <f t="shared" si="13"/>
        <v>-50.749567210691929</v>
      </c>
      <c r="F49" s="225">
        <f t="shared" si="13"/>
        <v>-51.260539506345125</v>
      </c>
      <c r="G49" s="225">
        <f t="shared" si="13"/>
        <v>-52.105570196150389</v>
      </c>
      <c r="H49" s="225">
        <f t="shared" si="13"/>
        <v>-52.024738164594879</v>
      </c>
      <c r="I49" s="225">
        <f t="shared" si="13"/>
        <v>-52.345645343676409</v>
      </c>
      <c r="J49" s="225">
        <f t="shared" si="13"/>
        <v>-52.16572464838589</v>
      </c>
      <c r="K49" s="225">
        <f t="shared" si="13"/>
        <v>-52.701874997411288</v>
      </c>
      <c r="L49" s="225">
        <f t="shared" si="13"/>
        <v>-52.908173706692118</v>
      </c>
      <c r="M49" s="225">
        <f t="shared" si="13"/>
        <v>-52.912426104718996</v>
      </c>
      <c r="N49" s="225">
        <f t="shared" si="13"/>
        <v>-53.809060150449298</v>
      </c>
      <c r="O49" s="225">
        <f t="shared" si="13"/>
        <v>-56.817969825889826</v>
      </c>
      <c r="P49" s="225">
        <f t="shared" si="13"/>
        <v>-57.058395380718032</v>
      </c>
      <c r="Q49" s="225">
        <f t="shared" si="13"/>
        <v>-56.945094142301542</v>
      </c>
      <c r="R49" s="225">
        <f t="shared" si="13"/>
        <v>-60.462876823646475</v>
      </c>
      <c r="T49" s="182"/>
      <c r="U49" s="182"/>
      <c r="V49" s="182"/>
      <c r="W49" s="182"/>
      <c r="X49" s="182"/>
      <c r="Y49" s="178"/>
      <c r="Z49" s="178"/>
    </row>
    <row r="50" spans="1:26" x14ac:dyDescent="0.35">
      <c r="B50" s="13"/>
      <c r="C50" s="13"/>
      <c r="D50" s="13"/>
      <c r="E50" s="13"/>
      <c r="F50" s="13"/>
      <c r="G50" s="13"/>
      <c r="H50" s="14"/>
      <c r="I50" s="14"/>
      <c r="J50" s="14"/>
      <c r="K50" s="14"/>
      <c r="L50" s="14"/>
      <c r="M50" s="14"/>
      <c r="N50" s="14"/>
      <c r="O50" s="14"/>
      <c r="P50" s="14"/>
      <c r="Q50" s="14"/>
      <c r="R50" s="14"/>
      <c r="T50" s="182"/>
      <c r="U50" s="182"/>
      <c r="V50" s="182"/>
      <c r="W50" s="182"/>
      <c r="X50" s="182"/>
      <c r="Y50" s="178"/>
      <c r="Z50" s="178"/>
    </row>
    <row r="51" spans="1:26" x14ac:dyDescent="0.35">
      <c r="B51" s="221" t="s">
        <v>9</v>
      </c>
      <c r="C51" s="223">
        <v>2025</v>
      </c>
      <c r="D51" s="223">
        <v>2026</v>
      </c>
      <c r="E51" s="223">
        <v>2027</v>
      </c>
      <c r="F51" s="223">
        <v>2028</v>
      </c>
      <c r="G51" s="223">
        <v>2029</v>
      </c>
      <c r="H51" s="222">
        <v>2030</v>
      </c>
      <c r="I51" s="222">
        <v>2031</v>
      </c>
      <c r="J51" s="222">
        <v>2032</v>
      </c>
      <c r="K51" s="222">
        <v>2033</v>
      </c>
      <c r="L51" s="222">
        <v>2034</v>
      </c>
      <c r="M51" s="222">
        <v>2035</v>
      </c>
      <c r="N51" s="222">
        <v>2036</v>
      </c>
      <c r="O51" s="222">
        <v>2037</v>
      </c>
      <c r="P51" s="222">
        <v>2038</v>
      </c>
      <c r="Q51" s="222">
        <v>2039</v>
      </c>
      <c r="R51" s="222">
        <v>2040</v>
      </c>
      <c r="T51" s="182"/>
      <c r="U51" s="182"/>
      <c r="V51" s="182"/>
      <c r="W51" s="182"/>
      <c r="X51" s="182"/>
      <c r="Y51" s="178"/>
      <c r="Z51" s="178"/>
    </row>
    <row r="52" spans="1:26" x14ac:dyDescent="0.35">
      <c r="B52" s="224" t="s">
        <v>234</v>
      </c>
      <c r="C52" s="217">
        <f>C37</f>
        <v>6.820678902312741</v>
      </c>
      <c r="D52" s="217">
        <f t="shared" ref="D52:R52" si="14">D37</f>
        <v>-2.0450037858350369</v>
      </c>
      <c r="E52" s="217">
        <f t="shared" si="14"/>
        <v>-22.899837707486384</v>
      </c>
      <c r="F52" s="217">
        <f t="shared" si="14"/>
        <v>29.260105634700931</v>
      </c>
      <c r="G52" s="217">
        <f t="shared" si="14"/>
        <v>-222.4442139404625</v>
      </c>
      <c r="H52" s="217">
        <f t="shared" si="14"/>
        <v>-222.53643891886023</v>
      </c>
      <c r="I52" s="217">
        <f t="shared" si="14"/>
        <v>-239.873697249033</v>
      </c>
      <c r="J52" s="217">
        <f t="shared" si="14"/>
        <v>-250.34144271523965</v>
      </c>
      <c r="K52" s="217">
        <f t="shared" si="14"/>
        <v>-263.65498333572054</v>
      </c>
      <c r="L52" s="217">
        <f t="shared" si="14"/>
        <v>53.368175735589126</v>
      </c>
      <c r="M52" s="217">
        <f t="shared" si="14"/>
        <v>-188.30798121015022</v>
      </c>
      <c r="N52" s="217">
        <f t="shared" si="14"/>
        <v>-350.05269726326571</v>
      </c>
      <c r="O52" s="217">
        <f t="shared" si="14"/>
        <v>-228.43968800897008</v>
      </c>
      <c r="P52" s="217">
        <f t="shared" si="14"/>
        <v>-227.04643198236576</v>
      </c>
      <c r="Q52" s="217">
        <f t="shared" si="14"/>
        <v>-72.853395140420446</v>
      </c>
      <c r="R52" s="217">
        <f t="shared" si="14"/>
        <v>-149.12246160876057</v>
      </c>
      <c r="T52" s="182"/>
      <c r="U52" s="182"/>
      <c r="V52" s="182"/>
      <c r="W52" s="182"/>
      <c r="X52" s="182"/>
      <c r="Y52" s="178"/>
      <c r="Z52" s="178"/>
    </row>
    <row r="53" spans="1:26" s="220" customFormat="1" x14ac:dyDescent="0.35">
      <c r="B53" s="224" t="s">
        <v>189</v>
      </c>
      <c r="C53" s="217">
        <f>C$16</f>
        <v>0.1</v>
      </c>
      <c r="D53" s="217">
        <f t="shared" ref="D53:R53" si="15">D$16</f>
        <v>0.1</v>
      </c>
      <c r="E53" s="218">
        <f t="shared" si="15"/>
        <v>0.03</v>
      </c>
      <c r="F53" s="217">
        <f t="shared" si="15"/>
        <v>0</v>
      </c>
      <c r="G53" s="217">
        <f t="shared" si="15"/>
        <v>0</v>
      </c>
      <c r="H53" s="217">
        <f t="shared" si="15"/>
        <v>0</v>
      </c>
      <c r="I53" s="217">
        <f t="shared" si="15"/>
        <v>0</v>
      </c>
      <c r="J53" s="217">
        <f t="shared" si="15"/>
        <v>0</v>
      </c>
      <c r="K53" s="217">
        <f t="shared" si="15"/>
        <v>3.4004524051896065E-2</v>
      </c>
      <c r="L53" s="217">
        <f t="shared" si="15"/>
        <v>3.4004524051896065E-2</v>
      </c>
      <c r="M53" s="217">
        <f t="shared" si="15"/>
        <v>3.4004524051896065E-2</v>
      </c>
      <c r="N53" s="217">
        <f t="shared" si="15"/>
        <v>3.4004524051896065E-2</v>
      </c>
      <c r="O53" s="217">
        <f t="shared" si="15"/>
        <v>3.4004524051896065E-2</v>
      </c>
      <c r="P53" s="217">
        <f t="shared" si="15"/>
        <v>3.4004524051896065E-2</v>
      </c>
      <c r="Q53" s="217">
        <f t="shared" si="15"/>
        <v>3.4004524051896065E-2</v>
      </c>
      <c r="R53" s="217">
        <f t="shared" si="15"/>
        <v>3.4004524051896065E-2</v>
      </c>
      <c r="T53" s="182"/>
      <c r="U53" s="182"/>
      <c r="V53" s="182"/>
      <c r="W53" s="182"/>
      <c r="X53" s="182"/>
    </row>
    <row r="54" spans="1:26" x14ac:dyDescent="0.35">
      <c r="B54" s="224" t="s">
        <v>233</v>
      </c>
      <c r="C54" s="235">
        <f>C$17</f>
        <v>0</v>
      </c>
      <c r="D54" s="235">
        <f t="shared" ref="D54:R54" si="16">D$17</f>
        <v>0</v>
      </c>
      <c r="E54" s="235">
        <f t="shared" si="16"/>
        <v>15.627090909854164</v>
      </c>
      <c r="F54" s="235">
        <f t="shared" si="16"/>
        <v>-0.24934341786718051</v>
      </c>
      <c r="G54" s="235">
        <f t="shared" si="16"/>
        <v>73.157149061474144</v>
      </c>
      <c r="H54" s="235">
        <f t="shared" si="16"/>
        <v>73.317326745276333</v>
      </c>
      <c r="I54" s="235">
        <f t="shared" si="16"/>
        <v>71.698123201686329</v>
      </c>
      <c r="J54" s="235">
        <f t="shared" si="16"/>
        <v>70.126594593371649</v>
      </c>
      <c r="K54" s="235">
        <f t="shared" si="16"/>
        <v>68.693504172167906</v>
      </c>
      <c r="L54" s="235">
        <f t="shared" si="16"/>
        <v>-28.667702893289857</v>
      </c>
      <c r="M54" s="235">
        <f t="shared" si="16"/>
        <v>17.950732145995801</v>
      </c>
      <c r="N54" s="235">
        <f t="shared" si="16"/>
        <v>157.10513120592367</v>
      </c>
      <c r="O54" s="235">
        <f t="shared" si="16"/>
        <v>124.450071362995</v>
      </c>
      <c r="P54" s="235">
        <f t="shared" si="16"/>
        <v>151.58615652202502</v>
      </c>
      <c r="Q54" s="235">
        <f t="shared" si="16"/>
        <v>67.047745359432724</v>
      </c>
      <c r="R54" s="235">
        <f t="shared" si="16"/>
        <v>277.71630737979774</v>
      </c>
      <c r="T54" s="182"/>
      <c r="U54" s="182"/>
      <c r="V54" s="182"/>
      <c r="W54" s="182"/>
      <c r="X54" s="182"/>
      <c r="Y54" s="178"/>
      <c r="Z54" s="178"/>
    </row>
    <row r="55" spans="1:26" x14ac:dyDescent="0.35">
      <c r="B55" s="224" t="s">
        <v>188</v>
      </c>
      <c r="C55" s="46">
        <f>C$18</f>
        <v>6.9939999999999998</v>
      </c>
      <c r="D55" s="46">
        <f t="shared" ref="D55:R55" si="17">D$18</f>
        <v>7.1029999999999998</v>
      </c>
      <c r="E55" s="46">
        <f t="shared" si="17"/>
        <v>7.2134799999999997</v>
      </c>
      <c r="F55" s="46">
        <f t="shared" si="17"/>
        <v>7.3264496000000001</v>
      </c>
      <c r="G55" s="46">
        <f t="shared" si="17"/>
        <v>7.4399185919999997</v>
      </c>
      <c r="H55" s="46">
        <f t="shared" si="17"/>
        <v>7.5558969638399995</v>
      </c>
      <c r="I55" s="46">
        <f t="shared" si="17"/>
        <v>7.6733949031167992</v>
      </c>
      <c r="J55" s="46">
        <f t="shared" si="17"/>
        <v>7.7004228011791351</v>
      </c>
      <c r="K55" s="46">
        <f t="shared" si="17"/>
        <v>7.7279912572027181</v>
      </c>
      <c r="L55" s="46">
        <f t="shared" si="17"/>
        <v>7.7561110823467718</v>
      </c>
      <c r="M55" s="46">
        <f t="shared" si="17"/>
        <v>7.7847933039937081</v>
      </c>
      <c r="N55" s="46">
        <f t="shared" si="17"/>
        <v>7.8140491700735826</v>
      </c>
      <c r="O55" s="46">
        <f t="shared" si="17"/>
        <v>7.843890153475054</v>
      </c>
      <c r="P55" s="46">
        <f t="shared" si="17"/>
        <v>7.8743279565445548</v>
      </c>
      <c r="Q55" s="46">
        <f t="shared" si="17"/>
        <v>7.9053745156754456</v>
      </c>
      <c r="R55" s="46">
        <f t="shared" si="17"/>
        <v>7.937042005988955</v>
      </c>
      <c r="T55" s="182"/>
      <c r="U55" s="182"/>
      <c r="V55" s="182"/>
      <c r="W55" s="182"/>
      <c r="X55" s="182"/>
      <c r="Y55" s="178"/>
      <c r="Z55" s="178"/>
    </row>
    <row r="56" spans="1:26" s="168" customFormat="1" x14ac:dyDescent="0.35">
      <c r="A56" s="93"/>
      <c r="B56" s="224" t="s">
        <v>187</v>
      </c>
      <c r="C56" s="46">
        <f>C$19</f>
        <v>21.607340000000001</v>
      </c>
      <c r="D56" s="46">
        <f t="shared" ref="D56:R56" si="18">D$19</f>
        <v>22.185170000000003</v>
      </c>
      <c r="E56" s="46">
        <f t="shared" si="18"/>
        <v>12.712259999999999</v>
      </c>
      <c r="F56" s="46">
        <f t="shared" si="18"/>
        <v>13.079969999999998</v>
      </c>
      <c r="G56" s="46">
        <f t="shared" si="18"/>
        <v>4.5525999999999991</v>
      </c>
      <c r="H56" s="46">
        <f t="shared" si="18"/>
        <v>0.43774999999999997</v>
      </c>
      <c r="I56" s="46">
        <f t="shared" si="18"/>
        <v>0.43774999999999997</v>
      </c>
      <c r="J56" s="46">
        <f t="shared" si="18"/>
        <v>0.43774999999999997</v>
      </c>
      <c r="K56" s="46">
        <f t="shared" si="18"/>
        <v>0.43774999999999997</v>
      </c>
      <c r="L56" s="46">
        <f t="shared" si="18"/>
        <v>0.43774999999999997</v>
      </c>
      <c r="M56" s="46">
        <f t="shared" si="18"/>
        <v>0.43774999999999997</v>
      </c>
      <c r="N56" s="46">
        <f t="shared" si="18"/>
        <v>0.43774999999999997</v>
      </c>
      <c r="O56" s="46">
        <f t="shared" si="18"/>
        <v>0.43774999999999997</v>
      </c>
      <c r="P56" s="46">
        <f t="shared" si="18"/>
        <v>0.43774999999999997</v>
      </c>
      <c r="Q56" s="46">
        <f t="shared" si="18"/>
        <v>0.43774999999999997</v>
      </c>
      <c r="R56" s="46">
        <f t="shared" si="18"/>
        <v>0.43774999999999997</v>
      </c>
      <c r="S56" s="169"/>
      <c r="T56" s="182"/>
      <c r="U56" s="182"/>
      <c r="V56" s="182"/>
      <c r="W56" s="182"/>
      <c r="X56" s="182"/>
      <c r="Y56" s="178"/>
      <c r="Z56" s="178"/>
    </row>
    <row r="57" spans="1:26" x14ac:dyDescent="0.35">
      <c r="B57" s="224"/>
      <c r="C57" s="236">
        <f>SUM(C52:C56)</f>
        <v>35.522018902312738</v>
      </c>
      <c r="D57" s="236">
        <f>SUM(D52:D56)</f>
        <v>27.343166214164967</v>
      </c>
      <c r="E57" s="236">
        <f>SUM(E52:E56)</f>
        <v>12.682993202367779</v>
      </c>
      <c r="F57" s="236">
        <f t="shared" ref="F57:N57" si="19">SUM(F52:F56)</f>
        <v>49.417181816833747</v>
      </c>
      <c r="G57" s="236">
        <f t="shared" si="19"/>
        <v>-137.29454628698835</v>
      </c>
      <c r="H57" s="236">
        <f t="shared" si="19"/>
        <v>-141.22546520974387</v>
      </c>
      <c r="I57" s="236">
        <f t="shared" si="19"/>
        <v>-160.0644291442299</v>
      </c>
      <c r="J57" s="236">
        <f t="shared" si="19"/>
        <v>-172.07667532068885</v>
      </c>
      <c r="K57" s="236">
        <f t="shared" si="19"/>
        <v>-186.76173338229802</v>
      </c>
      <c r="L57" s="236">
        <f t="shared" si="19"/>
        <v>32.928338448697936</v>
      </c>
      <c r="M57" s="236">
        <f t="shared" si="19"/>
        <v>-162.10070123610882</v>
      </c>
      <c r="N57" s="236">
        <f t="shared" si="19"/>
        <v>-184.66176236321655</v>
      </c>
      <c r="O57" s="236">
        <f t="shared" ref="O57:R57" si="20">SUM(O52:O56)</f>
        <v>-95.673971968448114</v>
      </c>
      <c r="P57" s="236">
        <f t="shared" si="20"/>
        <v>-67.114192979744274</v>
      </c>
      <c r="Q57" s="236">
        <f t="shared" si="20"/>
        <v>2.5714792587396187</v>
      </c>
      <c r="R57" s="236">
        <f t="shared" si="20"/>
        <v>137.00264230107803</v>
      </c>
      <c r="T57" s="77"/>
      <c r="U57" s="77"/>
      <c r="V57" s="77"/>
      <c r="W57" s="77"/>
      <c r="X57" s="77"/>
      <c r="Y57" s="178"/>
      <c r="Z57" s="178"/>
    </row>
    <row r="58" spans="1:26" x14ac:dyDescent="0.35">
      <c r="B58" s="15"/>
      <c r="C58" s="6"/>
      <c r="D58" s="6"/>
      <c r="E58" s="6"/>
      <c r="F58" s="6"/>
      <c r="G58" s="6"/>
      <c r="H58" s="6"/>
      <c r="I58" s="6"/>
      <c r="J58" s="6"/>
      <c r="K58" s="6"/>
      <c r="L58" s="6"/>
      <c r="M58" s="6"/>
      <c r="N58" s="6"/>
      <c r="O58" s="6"/>
      <c r="P58" s="6"/>
      <c r="Q58" s="6"/>
      <c r="R58" s="6"/>
      <c r="T58" s="77"/>
      <c r="U58" s="77"/>
      <c r="V58" s="77"/>
      <c r="W58" s="77"/>
      <c r="X58" s="77"/>
      <c r="Y58" s="77"/>
    </row>
    <row r="59" spans="1:26" x14ac:dyDescent="0.35">
      <c r="A59" s="15" t="s">
        <v>243</v>
      </c>
      <c r="B59" s="226" t="s">
        <v>185</v>
      </c>
      <c r="C59" s="236">
        <f>C49+C57</f>
        <v>-14.355623832404149</v>
      </c>
      <c r="D59" s="236">
        <f>D49+D57</f>
        <v>-23.475985183196123</v>
      </c>
      <c r="E59" s="236">
        <f>E49+E57</f>
        <v>-38.066574008324153</v>
      </c>
      <c r="F59" s="236">
        <f t="shared" ref="F59:N59" si="21">F49+F57</f>
        <v>-1.8433576895113788</v>
      </c>
      <c r="G59" s="236">
        <f t="shared" si="21"/>
        <v>-189.40011648313873</v>
      </c>
      <c r="H59" s="236">
        <f t="shared" si="21"/>
        <v>-193.25020337433875</v>
      </c>
      <c r="I59" s="236">
        <f t="shared" si="21"/>
        <v>-212.41007448790631</v>
      </c>
      <c r="J59" s="236">
        <f t="shared" si="21"/>
        <v>-224.24239996907474</v>
      </c>
      <c r="K59" s="236">
        <f t="shared" si="21"/>
        <v>-239.46360837970931</v>
      </c>
      <c r="L59" s="236">
        <f t="shared" si="21"/>
        <v>-19.979835257994182</v>
      </c>
      <c r="M59" s="236">
        <f t="shared" si="21"/>
        <v>-215.01312734082782</v>
      </c>
      <c r="N59" s="236">
        <f t="shared" si="21"/>
        <v>-238.47082251366584</v>
      </c>
      <c r="O59" s="236">
        <f t="shared" ref="O59:R59" si="22">O49+O57</f>
        <v>-152.49194179433795</v>
      </c>
      <c r="P59" s="236">
        <f t="shared" si="22"/>
        <v>-124.1725883604623</v>
      </c>
      <c r="Q59" s="236">
        <f t="shared" si="22"/>
        <v>-54.37361488356192</v>
      </c>
      <c r="R59" s="236">
        <f t="shared" si="22"/>
        <v>76.539765477431558</v>
      </c>
      <c r="T59" s="240">
        <f t="shared" ref="T59" si="23">SUM(C59:R59)</f>
        <v>-1864.4701080810221</v>
      </c>
    </row>
    <row r="62" spans="1:26" x14ac:dyDescent="0.35">
      <c r="C62" s="240">
        <f>SUM(C52:C54)</f>
        <v>6.9206789023127406</v>
      </c>
      <c r="D62" s="240">
        <f t="shared" ref="D62:R62" si="24">SUM(D52:D54)</f>
        <v>-1.9450037858350369</v>
      </c>
      <c r="E62" s="240">
        <f t="shared" si="24"/>
        <v>-7.2427467976322184</v>
      </c>
      <c r="F62" s="240">
        <f t="shared" si="24"/>
        <v>29.010762216833751</v>
      </c>
      <c r="G62" s="240">
        <f t="shared" si="24"/>
        <v>-149.28706487898836</v>
      </c>
      <c r="H62" s="240">
        <f t="shared" si="24"/>
        <v>-149.21911217358388</v>
      </c>
      <c r="I62" s="240">
        <f t="shared" si="24"/>
        <v>-168.17557404734669</v>
      </c>
      <c r="J62" s="240">
        <f t="shared" si="24"/>
        <v>-180.21484812186799</v>
      </c>
      <c r="K62" s="240">
        <f t="shared" si="24"/>
        <v>-194.92747463950073</v>
      </c>
      <c r="L62" s="240">
        <f t="shared" si="24"/>
        <v>24.734477366351165</v>
      </c>
      <c r="M62" s="240">
        <f t="shared" si="24"/>
        <v>-170.32324454010251</v>
      </c>
      <c r="N62" s="240">
        <f t="shared" si="24"/>
        <v>-192.91356153329014</v>
      </c>
      <c r="O62" s="240">
        <f t="shared" si="24"/>
        <v>-103.95561212192317</v>
      </c>
      <c r="P62" s="240">
        <f t="shared" si="24"/>
        <v>-75.42627093628883</v>
      </c>
      <c r="Q62" s="240">
        <f t="shared" si="24"/>
        <v>-5.7716452569358268</v>
      </c>
      <c r="R62" s="240">
        <f t="shared" si="24"/>
        <v>128.62785029508908</v>
      </c>
    </row>
    <row r="63" spans="1:26" x14ac:dyDescent="0.35">
      <c r="C63" s="167"/>
      <c r="D63" s="167"/>
    </row>
    <row r="64" spans="1:26" ht="18.5" x14ac:dyDescent="0.45">
      <c r="B64" s="241" t="s">
        <v>240</v>
      </c>
      <c r="C64" s="241"/>
      <c r="D64" s="241"/>
      <c r="E64" s="241"/>
      <c r="F64" s="241"/>
      <c r="G64" s="241"/>
      <c r="H64" s="241"/>
      <c r="I64" s="241"/>
      <c r="J64" s="241"/>
      <c r="K64" s="241"/>
      <c r="L64" s="241"/>
      <c r="M64" s="241"/>
      <c r="N64" s="241"/>
      <c r="O64" s="219"/>
      <c r="P64" s="219"/>
      <c r="Q64" s="219"/>
      <c r="R64" s="219"/>
    </row>
    <row r="65" spans="2:18" x14ac:dyDescent="0.35">
      <c r="B65" s="221" t="s">
        <v>108</v>
      </c>
      <c r="C65" s="222">
        <v>2025</v>
      </c>
      <c r="D65" s="222">
        <v>2026</v>
      </c>
      <c r="E65" s="222">
        <v>2027</v>
      </c>
      <c r="F65" s="222">
        <v>2028</v>
      </c>
      <c r="G65" s="222">
        <v>2029</v>
      </c>
      <c r="H65" s="222">
        <v>2030</v>
      </c>
      <c r="I65" s="222">
        <v>2031</v>
      </c>
      <c r="J65" s="222">
        <v>2032</v>
      </c>
      <c r="K65" s="222">
        <v>2033</v>
      </c>
      <c r="L65" s="222">
        <v>2034</v>
      </c>
      <c r="M65" s="222">
        <v>2035</v>
      </c>
      <c r="N65" s="222">
        <v>2036</v>
      </c>
      <c r="O65" s="222">
        <v>2037</v>
      </c>
      <c r="P65" s="223">
        <v>2038</v>
      </c>
      <c r="Q65" s="223">
        <v>2039</v>
      </c>
      <c r="R65" s="223">
        <v>2040</v>
      </c>
    </row>
    <row r="66" spans="2:18" x14ac:dyDescent="0.35">
      <c r="B66" s="224" t="s">
        <v>154</v>
      </c>
      <c r="C66" s="46">
        <f>C$6</f>
        <v>-19.169114259999997</v>
      </c>
      <c r="D66" s="46">
        <f t="shared" ref="D66:R66" si="25">D$6</f>
        <v>-19.614883723200002</v>
      </c>
      <c r="E66" s="46">
        <f t="shared" si="25"/>
        <v>-20.532231201456003</v>
      </c>
      <c r="F66" s="46">
        <f t="shared" si="25"/>
        <v>-20.97349267382064</v>
      </c>
      <c r="G66" s="46">
        <f t="shared" si="25"/>
        <v>-21.295400124041283</v>
      </c>
      <c r="H66" s="46">
        <f t="shared" si="25"/>
        <v>-21.649537088930696</v>
      </c>
      <c r="I66" s="46">
        <f t="shared" si="25"/>
        <v>-22.056954754306677</v>
      </c>
      <c r="J66" s="46">
        <f t="shared" si="25"/>
        <v>-22.537068754096151</v>
      </c>
      <c r="K66" s="46">
        <f t="shared" si="25"/>
        <v>-22.91287953574815</v>
      </c>
      <c r="L66" s="46">
        <f t="shared" si="25"/>
        <v>-23.342130724006012</v>
      </c>
      <c r="M66" s="46">
        <f t="shared" si="25"/>
        <v>-23.809461180053013</v>
      </c>
      <c r="N66" s="46">
        <f t="shared" si="25"/>
        <v>-24.36956135905006</v>
      </c>
      <c r="O66" s="46">
        <f t="shared" si="25"/>
        <v>-24.796287812607989</v>
      </c>
      <c r="P66" s="46">
        <f t="shared" si="25"/>
        <v>-25.324870021442642</v>
      </c>
      <c r="Q66" s="46">
        <f t="shared" si="25"/>
        <v>-25.832223024680616</v>
      </c>
      <c r="R66" s="46">
        <f t="shared" si="25"/>
        <v>-26.439383160416682</v>
      </c>
    </row>
    <row r="67" spans="2:18" x14ac:dyDescent="0.35">
      <c r="B67" s="224" t="s">
        <v>155</v>
      </c>
      <c r="C67" s="46">
        <f>C$7</f>
        <v>-4.9575295499999994</v>
      </c>
      <c r="D67" s="46">
        <f t="shared" ref="D67:R67" si="26">D$7</f>
        <v>-4.9733478</v>
      </c>
      <c r="E67" s="46">
        <f t="shared" si="26"/>
        <v>-5.1038636999999998</v>
      </c>
      <c r="F67" s="46">
        <f t="shared" si="26"/>
        <v>-5.1113251499999999</v>
      </c>
      <c r="G67" s="46">
        <f t="shared" si="26"/>
        <v>-5.0880150000000004</v>
      </c>
      <c r="H67" s="46">
        <f t="shared" si="26"/>
        <v>-5.0712032999999996</v>
      </c>
      <c r="I67" s="46">
        <f t="shared" si="26"/>
        <v>-5.0653305</v>
      </c>
      <c r="J67" s="46">
        <f t="shared" si="26"/>
        <v>-5.0741054999999999</v>
      </c>
      <c r="K67" s="46">
        <f t="shared" si="26"/>
        <v>-5.0575660500000001</v>
      </c>
      <c r="L67" s="46">
        <f t="shared" si="26"/>
        <v>-5.0512889999999997</v>
      </c>
      <c r="M67" s="46">
        <f t="shared" si="26"/>
        <v>-5.0513925000000004</v>
      </c>
      <c r="N67" s="46">
        <f t="shared" si="26"/>
        <v>-5.0688458999999995</v>
      </c>
      <c r="O67" s="46">
        <f t="shared" si="26"/>
        <v>-5.0564750999999992</v>
      </c>
      <c r="P67" s="46">
        <f t="shared" si="26"/>
        <v>-5.0630038499999994</v>
      </c>
      <c r="Q67" s="46">
        <f t="shared" si="26"/>
        <v>-5.0631715499999999</v>
      </c>
      <c r="R67" s="46">
        <f t="shared" si="26"/>
        <v>-5.0805649500000003</v>
      </c>
    </row>
    <row r="68" spans="2:18" x14ac:dyDescent="0.35">
      <c r="B68" s="224" t="s">
        <v>156</v>
      </c>
      <c r="C68" s="46">
        <f>C$8</f>
        <v>-20.487757939200005</v>
      </c>
      <c r="D68" s="46">
        <f t="shared" ref="D68:R68" si="27">D$8</f>
        <v>-20.0375513856</v>
      </c>
      <c r="E68" s="46">
        <f t="shared" si="27"/>
        <v>-19.587344832000003</v>
      </c>
      <c r="F68" s="46">
        <f t="shared" si="27"/>
        <v>-19.137138278399998</v>
      </c>
      <c r="G68" s="46">
        <f t="shared" si="27"/>
        <v>-18.686931724799997</v>
      </c>
      <c r="H68" s="46">
        <f t="shared" si="27"/>
        <v>-18.236725171199996</v>
      </c>
      <c r="I68" s="46">
        <f t="shared" si="27"/>
        <v>-17.786518617599999</v>
      </c>
      <c r="J68" s="46">
        <f t="shared" si="27"/>
        <v>-17.786518617599999</v>
      </c>
      <c r="K68" s="46">
        <f t="shared" si="27"/>
        <v>-17.786518617599999</v>
      </c>
      <c r="L68" s="46">
        <f t="shared" si="27"/>
        <v>-17.786518617599999</v>
      </c>
      <c r="M68" s="46">
        <f t="shared" si="27"/>
        <v>-17.786518617599999</v>
      </c>
      <c r="N68" s="46">
        <f t="shared" si="27"/>
        <v>-17.786518617599999</v>
      </c>
      <c r="O68" s="46">
        <f t="shared" si="27"/>
        <v>-17.786518617599999</v>
      </c>
      <c r="P68" s="46">
        <f t="shared" si="27"/>
        <v>-17.786518617599999</v>
      </c>
      <c r="Q68" s="46">
        <f t="shared" si="27"/>
        <v>-17.786518617599999</v>
      </c>
      <c r="R68" s="46">
        <f t="shared" si="27"/>
        <v>-17.786518617599999</v>
      </c>
    </row>
    <row r="69" spans="2:18" x14ac:dyDescent="0.35">
      <c r="B69" s="224" t="s">
        <v>231</v>
      </c>
      <c r="C69" s="46">
        <f>C$9</f>
        <v>-0.80641582230248354</v>
      </c>
      <c r="D69" s="46">
        <f t="shared" ref="D69:R69" si="28">D$9</f>
        <v>-0.78432068187098114</v>
      </c>
      <c r="E69" s="46">
        <f t="shared" si="28"/>
        <v>-0.75500307796498656</v>
      </c>
      <c r="F69" s="46">
        <f t="shared" si="28"/>
        <v>-0.73004921208833773</v>
      </c>
      <c r="G69" s="46">
        <f t="shared" si="28"/>
        <v>-0.7082081460059555</v>
      </c>
      <c r="H69" s="46">
        <f t="shared" si="28"/>
        <v>-0.68766529198730364</v>
      </c>
      <c r="I69" s="46">
        <f t="shared" si="28"/>
        <v>-0.66712243796865178</v>
      </c>
      <c r="J69" s="46">
        <f t="shared" si="28"/>
        <v>-0.64820143991757351</v>
      </c>
      <c r="K69" s="46">
        <f t="shared" si="28"/>
        <v>-0.63252779024999994</v>
      </c>
      <c r="L69" s="46">
        <f t="shared" si="28"/>
        <v>-0.61847599654999996</v>
      </c>
      <c r="M69" s="46">
        <f t="shared" si="28"/>
        <v>-0.60442420284999998</v>
      </c>
      <c r="N69" s="46">
        <f t="shared" si="28"/>
        <v>-0.59037240915</v>
      </c>
      <c r="O69" s="46">
        <f t="shared" si="28"/>
        <v>-0.57632061545000002</v>
      </c>
      <c r="P69" s="46">
        <f t="shared" si="28"/>
        <v>-0.56226882175000004</v>
      </c>
      <c r="Q69" s="46">
        <f t="shared" si="28"/>
        <v>-0.54821702805000005</v>
      </c>
      <c r="R69" s="46">
        <f t="shared" si="28"/>
        <v>-0.53416523434999996</v>
      </c>
    </row>
    <row r="70" spans="2:18" x14ac:dyDescent="0.35">
      <c r="B70" s="224" t="s">
        <v>158</v>
      </c>
      <c r="C70" s="46">
        <f>C$10</f>
        <v>-2.9600251632144006</v>
      </c>
      <c r="D70" s="46">
        <f t="shared" ref="D70:R70" si="29">D$10</f>
        <v>-3.8823118066901023</v>
      </c>
      <c r="E70" s="46">
        <f t="shared" si="29"/>
        <v>-3.2138563992709388</v>
      </c>
      <c r="F70" s="46">
        <f t="shared" si="29"/>
        <v>-3.7201181920361495</v>
      </c>
      <c r="G70" s="46">
        <f t="shared" si="29"/>
        <v>-4.7068272013031489</v>
      </c>
      <c r="H70" s="46">
        <f t="shared" si="29"/>
        <v>-4.7270153124768832</v>
      </c>
      <c r="I70" s="46">
        <f t="shared" si="29"/>
        <v>-5.0840790338010864</v>
      </c>
      <c r="J70" s="46">
        <f t="shared" si="29"/>
        <v>-4.4004775367721658</v>
      </c>
      <c r="K70" s="46">
        <f t="shared" si="29"/>
        <v>-4.5586431478131377</v>
      </c>
      <c r="L70" s="46">
        <f t="shared" si="29"/>
        <v>-4.3209447154161111</v>
      </c>
      <c r="M70" s="46">
        <f t="shared" si="29"/>
        <v>-3.8360386580335946</v>
      </c>
      <c r="N70" s="46">
        <f t="shared" si="29"/>
        <v>-4.1326790995431866</v>
      </c>
      <c r="O70" s="46">
        <f t="shared" si="29"/>
        <v>-6.7040632598236671</v>
      </c>
      <c r="P70" s="46">
        <f t="shared" si="29"/>
        <v>-6.3854635611090487</v>
      </c>
      <c r="Q70" s="46">
        <f t="shared" si="29"/>
        <v>-5.7399680029782667</v>
      </c>
      <c r="R70" s="46">
        <f t="shared" si="29"/>
        <v>-8.6077490239072834</v>
      </c>
    </row>
    <row r="71" spans="2:18" x14ac:dyDescent="0.35">
      <c r="B71" s="224" t="s">
        <v>157</v>
      </c>
      <c r="C71" s="46">
        <f>C$11</f>
        <v>-1.4967999999999999</v>
      </c>
      <c r="D71" s="46">
        <f t="shared" ref="D71:R71" si="30">D$11</f>
        <v>-1.5267360000000001</v>
      </c>
      <c r="E71" s="46">
        <f t="shared" si="30"/>
        <v>-1.5572680000000001</v>
      </c>
      <c r="F71" s="46">
        <f t="shared" si="30"/>
        <v>-1.5884160000000001</v>
      </c>
      <c r="G71" s="46">
        <f t="shared" si="30"/>
        <v>-1.620188</v>
      </c>
      <c r="H71" s="46">
        <f t="shared" si="30"/>
        <v>-1.6525920000000001</v>
      </c>
      <c r="I71" s="46">
        <f t="shared" si="30"/>
        <v>-1.68564</v>
      </c>
      <c r="J71" s="46">
        <f t="shared" si="30"/>
        <v>-1.7193528</v>
      </c>
      <c r="K71" s="46">
        <f t="shared" si="30"/>
        <v>-1.7537398560000002</v>
      </c>
      <c r="L71" s="46">
        <f t="shared" si="30"/>
        <v>-1.7888146531200002</v>
      </c>
      <c r="M71" s="46">
        <f t="shared" si="30"/>
        <v>-1.8245909461824001</v>
      </c>
      <c r="N71" s="46">
        <f t="shared" si="30"/>
        <v>-1.8610827651060482</v>
      </c>
      <c r="O71" s="46">
        <f t="shared" si="30"/>
        <v>-1.8983044204081692</v>
      </c>
      <c r="P71" s="46">
        <f t="shared" si="30"/>
        <v>-1.9362705088163326</v>
      </c>
      <c r="Q71" s="46">
        <f t="shared" si="30"/>
        <v>-1.9749959189926591</v>
      </c>
      <c r="R71" s="46">
        <f t="shared" si="30"/>
        <v>-2.0144958373725124</v>
      </c>
    </row>
    <row r="72" spans="2:18" x14ac:dyDescent="0.35">
      <c r="B72" s="224"/>
      <c r="C72" s="225">
        <f t="shared" ref="C72:R72" si="31">SUM(C66:C71)</f>
        <v>-49.877642734716886</v>
      </c>
      <c r="D72" s="225">
        <f t="shared" si="31"/>
        <v>-50.81915139736109</v>
      </c>
      <c r="E72" s="225">
        <f t="shared" si="31"/>
        <v>-50.749567210691929</v>
      </c>
      <c r="F72" s="225">
        <f t="shared" si="31"/>
        <v>-51.260539506345125</v>
      </c>
      <c r="G72" s="225">
        <f t="shared" si="31"/>
        <v>-52.105570196150389</v>
      </c>
      <c r="H72" s="225">
        <f t="shared" si="31"/>
        <v>-52.024738164594879</v>
      </c>
      <c r="I72" s="225">
        <f t="shared" si="31"/>
        <v>-52.345645343676409</v>
      </c>
      <c r="J72" s="225">
        <f t="shared" si="31"/>
        <v>-52.16572464838589</v>
      </c>
      <c r="K72" s="225">
        <f t="shared" si="31"/>
        <v>-52.701874997411288</v>
      </c>
      <c r="L72" s="225">
        <f t="shared" si="31"/>
        <v>-52.908173706692118</v>
      </c>
      <c r="M72" s="225">
        <f t="shared" si="31"/>
        <v>-52.912426104718996</v>
      </c>
      <c r="N72" s="225">
        <f t="shared" si="31"/>
        <v>-53.809060150449298</v>
      </c>
      <c r="O72" s="225">
        <f t="shared" si="31"/>
        <v>-56.817969825889826</v>
      </c>
      <c r="P72" s="225">
        <f t="shared" si="31"/>
        <v>-57.058395380718032</v>
      </c>
      <c r="Q72" s="225">
        <f t="shared" si="31"/>
        <v>-56.945094142301542</v>
      </c>
      <c r="R72" s="225">
        <f t="shared" si="31"/>
        <v>-60.462876823646475</v>
      </c>
    </row>
    <row r="73" spans="2:18" x14ac:dyDescent="0.35">
      <c r="B73" s="13"/>
      <c r="C73" s="13"/>
      <c r="D73" s="13"/>
      <c r="E73" s="13"/>
      <c r="F73" s="13"/>
      <c r="G73" s="13"/>
      <c r="H73" s="14"/>
      <c r="I73" s="14"/>
      <c r="J73" s="14"/>
      <c r="K73" s="14"/>
      <c r="L73" s="14"/>
      <c r="M73" s="14"/>
      <c r="N73" s="14"/>
      <c r="O73" s="14"/>
      <c r="P73" s="14"/>
      <c r="Q73" s="14"/>
      <c r="R73" s="14"/>
    </row>
    <row r="74" spans="2:18" x14ac:dyDescent="0.35">
      <c r="B74" s="221" t="s">
        <v>9</v>
      </c>
      <c r="C74" s="223">
        <v>2025</v>
      </c>
      <c r="D74" s="223">
        <v>2026</v>
      </c>
      <c r="E74" s="223">
        <v>2027</v>
      </c>
      <c r="F74" s="223">
        <v>2028</v>
      </c>
      <c r="G74" s="223">
        <v>2029</v>
      </c>
      <c r="H74" s="222">
        <v>2030</v>
      </c>
      <c r="I74" s="222">
        <v>2031</v>
      </c>
      <c r="J74" s="222">
        <v>2032</v>
      </c>
      <c r="K74" s="222">
        <v>2033</v>
      </c>
      <c r="L74" s="222">
        <v>2034</v>
      </c>
      <c r="M74" s="222">
        <v>2035</v>
      </c>
      <c r="N74" s="222">
        <v>2036</v>
      </c>
      <c r="O74" s="222">
        <v>2037</v>
      </c>
      <c r="P74" s="222">
        <v>2038</v>
      </c>
      <c r="Q74" s="222">
        <v>2039</v>
      </c>
      <c r="R74" s="222">
        <v>2040</v>
      </c>
    </row>
    <row r="75" spans="2:18" x14ac:dyDescent="0.35">
      <c r="B75" s="224" t="s">
        <v>234</v>
      </c>
      <c r="C75" s="217">
        <f>C38</f>
        <v>3.9703346281062752</v>
      </c>
      <c r="D75" s="217">
        <f t="shared" ref="D75:R75" si="32">D38</f>
        <v>-6.8489270833638276</v>
      </c>
      <c r="E75" s="217">
        <f t="shared" si="32"/>
        <v>-17.237657006006192</v>
      </c>
      <c r="F75" s="217">
        <f t="shared" si="32"/>
        <v>-24.034976872560716</v>
      </c>
      <c r="G75" s="217">
        <f t="shared" si="32"/>
        <v>-260.97427055595875</v>
      </c>
      <c r="H75" s="217">
        <f t="shared" si="32"/>
        <v>-272.89701994413792</v>
      </c>
      <c r="I75" s="217">
        <f t="shared" si="32"/>
        <v>-291.73296865426789</v>
      </c>
      <c r="J75" s="217">
        <f t="shared" si="32"/>
        <v>-304.60229794094892</v>
      </c>
      <c r="K75" s="217">
        <f t="shared" si="32"/>
        <v>-300.65288057595154</v>
      </c>
      <c r="L75" s="217">
        <f t="shared" si="32"/>
        <v>34.665950425296757</v>
      </c>
      <c r="M75" s="217">
        <f t="shared" si="32"/>
        <v>-216.31062839212129</v>
      </c>
      <c r="N75" s="217">
        <f t="shared" si="32"/>
        <v>-366.28230084142069</v>
      </c>
      <c r="O75" s="217">
        <f t="shared" si="32"/>
        <v>-231.6663724511501</v>
      </c>
      <c r="P75" s="217">
        <f t="shared" si="32"/>
        <v>-249.16734707693547</v>
      </c>
      <c r="Q75" s="217">
        <f t="shared" si="32"/>
        <v>-68.406866373572683</v>
      </c>
      <c r="R75" s="217">
        <f t="shared" si="32"/>
        <v>-125.96687225934069</v>
      </c>
    </row>
    <row r="76" spans="2:18" x14ac:dyDescent="0.35">
      <c r="B76" s="224" t="s">
        <v>189</v>
      </c>
      <c r="C76" s="217">
        <f>C$16</f>
        <v>0.1</v>
      </c>
      <c r="D76" s="217">
        <f t="shared" ref="D76:R76" si="33">D$16</f>
        <v>0.1</v>
      </c>
      <c r="E76" s="218">
        <f t="shared" si="33"/>
        <v>0.03</v>
      </c>
      <c r="F76" s="217">
        <f t="shared" si="33"/>
        <v>0</v>
      </c>
      <c r="G76" s="217">
        <f t="shared" si="33"/>
        <v>0</v>
      </c>
      <c r="H76" s="217">
        <f t="shared" si="33"/>
        <v>0</v>
      </c>
      <c r="I76" s="217">
        <f t="shared" si="33"/>
        <v>0</v>
      </c>
      <c r="J76" s="217">
        <f t="shared" si="33"/>
        <v>0</v>
      </c>
      <c r="K76" s="217">
        <f t="shared" si="33"/>
        <v>3.4004524051896065E-2</v>
      </c>
      <c r="L76" s="217">
        <f t="shared" si="33"/>
        <v>3.4004524051896065E-2</v>
      </c>
      <c r="M76" s="217">
        <f t="shared" si="33"/>
        <v>3.4004524051896065E-2</v>
      </c>
      <c r="N76" s="217">
        <f t="shared" si="33"/>
        <v>3.4004524051896065E-2</v>
      </c>
      <c r="O76" s="217">
        <f t="shared" si="33"/>
        <v>3.4004524051896065E-2</v>
      </c>
      <c r="P76" s="217">
        <f t="shared" si="33"/>
        <v>3.4004524051896065E-2</v>
      </c>
      <c r="Q76" s="217">
        <f t="shared" si="33"/>
        <v>3.4004524051896065E-2</v>
      </c>
      <c r="R76" s="217">
        <f t="shared" si="33"/>
        <v>3.4004524051896065E-2</v>
      </c>
    </row>
    <row r="77" spans="2:18" x14ac:dyDescent="0.35">
      <c r="B77" s="224" t="s">
        <v>233</v>
      </c>
      <c r="C77" s="235">
        <f>C$17</f>
        <v>0</v>
      </c>
      <c r="D77" s="235">
        <f t="shared" ref="D77:R77" si="34">D$17</f>
        <v>0</v>
      </c>
      <c r="E77" s="235">
        <f t="shared" si="34"/>
        <v>15.627090909854164</v>
      </c>
      <c r="F77" s="235">
        <f t="shared" si="34"/>
        <v>-0.24934341786718051</v>
      </c>
      <c r="G77" s="235">
        <f t="shared" si="34"/>
        <v>73.157149061474144</v>
      </c>
      <c r="H77" s="235">
        <f t="shared" si="34"/>
        <v>73.317326745276333</v>
      </c>
      <c r="I77" s="235">
        <f t="shared" si="34"/>
        <v>71.698123201686329</v>
      </c>
      <c r="J77" s="235">
        <f t="shared" si="34"/>
        <v>70.126594593371649</v>
      </c>
      <c r="K77" s="235">
        <f t="shared" si="34"/>
        <v>68.693504172167906</v>
      </c>
      <c r="L77" s="235">
        <f t="shared" si="34"/>
        <v>-28.667702893289857</v>
      </c>
      <c r="M77" s="235">
        <f t="shared" si="34"/>
        <v>17.950732145995801</v>
      </c>
      <c r="N77" s="235">
        <f t="shared" si="34"/>
        <v>157.10513120592367</v>
      </c>
      <c r="O77" s="235">
        <f t="shared" si="34"/>
        <v>124.450071362995</v>
      </c>
      <c r="P77" s="235">
        <f t="shared" si="34"/>
        <v>151.58615652202502</v>
      </c>
      <c r="Q77" s="235">
        <f t="shared" si="34"/>
        <v>67.047745359432724</v>
      </c>
      <c r="R77" s="235">
        <f t="shared" si="34"/>
        <v>277.71630737979774</v>
      </c>
    </row>
    <row r="78" spans="2:18" x14ac:dyDescent="0.35">
      <c r="B78" s="224" t="s">
        <v>188</v>
      </c>
      <c r="C78" s="46">
        <f>C$18</f>
        <v>6.9939999999999998</v>
      </c>
      <c r="D78" s="46">
        <f t="shared" ref="D78:R78" si="35">D$18</f>
        <v>7.1029999999999998</v>
      </c>
      <c r="E78" s="46">
        <f t="shared" si="35"/>
        <v>7.2134799999999997</v>
      </c>
      <c r="F78" s="46">
        <f t="shared" si="35"/>
        <v>7.3264496000000001</v>
      </c>
      <c r="G78" s="46">
        <f t="shared" si="35"/>
        <v>7.4399185919999997</v>
      </c>
      <c r="H78" s="46">
        <f t="shared" si="35"/>
        <v>7.5558969638399995</v>
      </c>
      <c r="I78" s="46">
        <f t="shared" si="35"/>
        <v>7.6733949031167992</v>
      </c>
      <c r="J78" s="46">
        <f t="shared" si="35"/>
        <v>7.7004228011791351</v>
      </c>
      <c r="K78" s="46">
        <f t="shared" si="35"/>
        <v>7.7279912572027181</v>
      </c>
      <c r="L78" s="46">
        <f t="shared" si="35"/>
        <v>7.7561110823467718</v>
      </c>
      <c r="M78" s="46">
        <f t="shared" si="35"/>
        <v>7.7847933039937081</v>
      </c>
      <c r="N78" s="46">
        <f t="shared" si="35"/>
        <v>7.8140491700735826</v>
      </c>
      <c r="O78" s="46">
        <f t="shared" si="35"/>
        <v>7.843890153475054</v>
      </c>
      <c r="P78" s="46">
        <f t="shared" si="35"/>
        <v>7.8743279565445548</v>
      </c>
      <c r="Q78" s="46">
        <f t="shared" si="35"/>
        <v>7.9053745156754456</v>
      </c>
      <c r="R78" s="46">
        <f t="shared" si="35"/>
        <v>7.937042005988955</v>
      </c>
    </row>
    <row r="79" spans="2:18" x14ac:dyDescent="0.35">
      <c r="B79" s="224" t="s">
        <v>187</v>
      </c>
      <c r="C79" s="46">
        <f>C$19</f>
        <v>21.607340000000001</v>
      </c>
      <c r="D79" s="46">
        <f t="shared" ref="D79:R79" si="36">D$19</f>
        <v>22.185170000000003</v>
      </c>
      <c r="E79" s="46">
        <f t="shared" si="36"/>
        <v>12.712259999999999</v>
      </c>
      <c r="F79" s="46">
        <f t="shared" si="36"/>
        <v>13.079969999999998</v>
      </c>
      <c r="G79" s="46">
        <f t="shared" si="36"/>
        <v>4.5525999999999991</v>
      </c>
      <c r="H79" s="46">
        <f t="shared" si="36"/>
        <v>0.43774999999999997</v>
      </c>
      <c r="I79" s="46">
        <f t="shared" si="36"/>
        <v>0.43774999999999997</v>
      </c>
      <c r="J79" s="46">
        <f t="shared" si="36"/>
        <v>0.43774999999999997</v>
      </c>
      <c r="K79" s="46">
        <f t="shared" si="36"/>
        <v>0.43774999999999997</v>
      </c>
      <c r="L79" s="46">
        <f t="shared" si="36"/>
        <v>0.43774999999999997</v>
      </c>
      <c r="M79" s="46">
        <f t="shared" si="36"/>
        <v>0.43774999999999997</v>
      </c>
      <c r="N79" s="46">
        <f t="shared" si="36"/>
        <v>0.43774999999999997</v>
      </c>
      <c r="O79" s="46">
        <f t="shared" si="36"/>
        <v>0.43774999999999997</v>
      </c>
      <c r="P79" s="46">
        <f t="shared" si="36"/>
        <v>0.43774999999999997</v>
      </c>
      <c r="Q79" s="46">
        <f t="shared" si="36"/>
        <v>0.43774999999999997</v>
      </c>
      <c r="R79" s="46">
        <f t="shared" si="36"/>
        <v>0.43774999999999997</v>
      </c>
    </row>
    <row r="80" spans="2:18" x14ac:dyDescent="0.35">
      <c r="B80" s="224"/>
      <c r="C80" s="236">
        <f>SUM(C75:C79)</f>
        <v>32.671674628106274</v>
      </c>
      <c r="D80" s="236">
        <f>SUM(D75:D79)</f>
        <v>22.539242916636177</v>
      </c>
      <c r="E80" s="236">
        <f>SUM(E75:E79)</f>
        <v>18.345173903847972</v>
      </c>
      <c r="F80" s="236">
        <f t="shared" ref="F80:R80" si="37">SUM(F75:F79)</f>
        <v>-3.8779006904278983</v>
      </c>
      <c r="G80" s="236">
        <f t="shared" si="37"/>
        <v>-175.8246029024846</v>
      </c>
      <c r="H80" s="236">
        <f t="shared" si="37"/>
        <v>-191.5860462350216</v>
      </c>
      <c r="I80" s="236">
        <f t="shared" si="37"/>
        <v>-211.9237005494648</v>
      </c>
      <c r="J80" s="236">
        <f t="shared" si="37"/>
        <v>-226.33753054639814</v>
      </c>
      <c r="K80" s="236">
        <f t="shared" si="37"/>
        <v>-223.75963062252902</v>
      </c>
      <c r="L80" s="236">
        <f t="shared" si="37"/>
        <v>14.226113138405566</v>
      </c>
      <c r="M80" s="236">
        <f t="shared" si="37"/>
        <v>-190.10334841807989</v>
      </c>
      <c r="N80" s="236">
        <f t="shared" si="37"/>
        <v>-200.89136594137153</v>
      </c>
      <c r="O80" s="236">
        <f t="shared" si="37"/>
        <v>-98.90065641062813</v>
      </c>
      <c r="P80" s="236">
        <f t="shared" si="37"/>
        <v>-89.235108074313985</v>
      </c>
      <c r="Q80" s="236">
        <f t="shared" si="37"/>
        <v>7.018008025587382</v>
      </c>
      <c r="R80" s="236">
        <f t="shared" si="37"/>
        <v>160.1582316504979</v>
      </c>
    </row>
    <row r="81" spans="1:20" x14ac:dyDescent="0.35">
      <c r="B81" s="15"/>
      <c r="C81" s="6"/>
      <c r="D81" s="6"/>
      <c r="E81" s="6"/>
      <c r="F81" s="6"/>
      <c r="G81" s="6"/>
      <c r="H81" s="6"/>
      <c r="I81" s="6"/>
      <c r="J81" s="6"/>
      <c r="K81" s="6"/>
      <c r="L81" s="6"/>
      <c r="M81" s="6"/>
      <c r="N81" s="6"/>
      <c r="O81" s="6"/>
      <c r="P81" s="6"/>
      <c r="Q81" s="6"/>
      <c r="R81" s="6"/>
    </row>
    <row r="82" spans="1:20" x14ac:dyDescent="0.35">
      <c r="A82" s="15" t="s">
        <v>244</v>
      </c>
      <c r="B82" s="226" t="s">
        <v>185</v>
      </c>
      <c r="C82" s="236">
        <f>C72+C80</f>
        <v>-17.205968106610612</v>
      </c>
      <c r="D82" s="236">
        <f>D72+D80</f>
        <v>-28.279908480724913</v>
      </c>
      <c r="E82" s="236">
        <f>E72+E80</f>
        <v>-32.404393306843957</v>
      </c>
      <c r="F82" s="236">
        <f t="shared" ref="F82:R82" si="38">F72+F80</f>
        <v>-55.138440196773026</v>
      </c>
      <c r="G82" s="236">
        <f t="shared" si="38"/>
        <v>-227.93017309863498</v>
      </c>
      <c r="H82" s="236">
        <f t="shared" si="38"/>
        <v>-243.61078439961648</v>
      </c>
      <c r="I82" s="236">
        <f t="shared" si="38"/>
        <v>-264.26934589314124</v>
      </c>
      <c r="J82" s="236">
        <f t="shared" si="38"/>
        <v>-278.50325519478406</v>
      </c>
      <c r="K82" s="236">
        <f t="shared" si="38"/>
        <v>-276.46150561994028</v>
      </c>
      <c r="L82" s="236">
        <f t="shared" si="38"/>
        <v>-38.682060568286552</v>
      </c>
      <c r="M82" s="236">
        <f t="shared" si="38"/>
        <v>-243.01577452279889</v>
      </c>
      <c r="N82" s="236">
        <f t="shared" si="38"/>
        <v>-254.70042609182082</v>
      </c>
      <c r="O82" s="236">
        <f t="shared" si="38"/>
        <v>-155.71862623651796</v>
      </c>
      <c r="P82" s="236">
        <f t="shared" si="38"/>
        <v>-146.29350345503201</v>
      </c>
      <c r="Q82" s="236">
        <f t="shared" si="38"/>
        <v>-49.927086116714158</v>
      </c>
      <c r="R82" s="236">
        <f t="shared" si="38"/>
        <v>99.695354826851428</v>
      </c>
      <c r="T82" s="240">
        <f t="shared" ref="T82:T84" si="39">SUM(C82:R82)</f>
        <v>-2212.4458964613882</v>
      </c>
    </row>
    <row r="83" spans="1:20" x14ac:dyDescent="0.35">
      <c r="B83" s="143"/>
      <c r="C83" s="31"/>
      <c r="D83" s="31"/>
      <c r="E83" s="31"/>
      <c r="F83" s="31"/>
      <c r="G83" s="31"/>
      <c r="H83" s="31"/>
      <c r="I83" s="31"/>
      <c r="J83" s="31"/>
      <c r="K83" s="31"/>
      <c r="L83" s="31"/>
      <c r="M83" s="31"/>
      <c r="N83" s="31"/>
      <c r="O83" s="31"/>
      <c r="P83" s="31"/>
      <c r="Q83" s="31"/>
      <c r="R83" s="31"/>
    </row>
    <row r="84" spans="1:20" x14ac:dyDescent="0.35">
      <c r="B84" s="143"/>
      <c r="C84" s="240">
        <f>SUM(C75:C77)</f>
        <v>4.0703346281062753</v>
      </c>
      <c r="D84" s="240">
        <f t="shared" ref="D84:R84" si="40">SUM(D75:D77)</f>
        <v>-6.748927083363828</v>
      </c>
      <c r="E84" s="240">
        <f t="shared" si="40"/>
        <v>-1.580566096152026</v>
      </c>
      <c r="F84" s="240">
        <f t="shared" si="40"/>
        <v>-24.284320290427896</v>
      </c>
      <c r="G84" s="240">
        <f t="shared" si="40"/>
        <v>-187.81712149448461</v>
      </c>
      <c r="H84" s="240">
        <f t="shared" si="40"/>
        <v>-199.57969319886161</v>
      </c>
      <c r="I84" s="240">
        <f t="shared" si="40"/>
        <v>-220.03484545258158</v>
      </c>
      <c r="J84" s="240">
        <f t="shared" si="40"/>
        <v>-234.47570334757728</v>
      </c>
      <c r="K84" s="240">
        <f t="shared" si="40"/>
        <v>-231.92537187973173</v>
      </c>
      <c r="L84" s="240">
        <f t="shared" si="40"/>
        <v>6.0322520560587947</v>
      </c>
      <c r="M84" s="240">
        <f t="shared" si="40"/>
        <v>-198.32589172207358</v>
      </c>
      <c r="N84" s="240">
        <f t="shared" si="40"/>
        <v>-209.14316511144511</v>
      </c>
      <c r="O84" s="240">
        <f t="shared" si="40"/>
        <v>-107.18229656410318</v>
      </c>
      <c r="P84" s="240">
        <f t="shared" si="40"/>
        <v>-97.547186030858541</v>
      </c>
      <c r="Q84" s="240">
        <f t="shared" si="40"/>
        <v>-1.3251164900880639</v>
      </c>
      <c r="R84" s="240">
        <f t="shared" si="40"/>
        <v>151.78343964450895</v>
      </c>
      <c r="T84" s="240">
        <f t="shared" si="39"/>
        <v>-1558.0841784330748</v>
      </c>
    </row>
    <row r="85" spans="1:20" x14ac:dyDescent="0.35">
      <c r="B85" s="178"/>
      <c r="C85" s="178"/>
      <c r="D85" s="178"/>
      <c r="E85" s="178"/>
      <c r="F85" s="178"/>
      <c r="G85" s="178"/>
      <c r="H85" s="178"/>
      <c r="I85" s="178"/>
      <c r="J85" s="178"/>
      <c r="K85" s="178"/>
      <c r="L85" s="178"/>
      <c r="M85" s="178"/>
      <c r="N85" s="178"/>
    </row>
    <row r="87" spans="1:20" ht="18.5" x14ac:dyDescent="0.45">
      <c r="B87" s="241" t="s">
        <v>241</v>
      </c>
      <c r="C87" s="241"/>
      <c r="D87" s="241"/>
      <c r="E87" s="241"/>
      <c r="F87" s="241"/>
      <c r="G87" s="241"/>
      <c r="H87" s="241"/>
      <c r="I87" s="241"/>
      <c r="J87" s="241"/>
      <c r="K87" s="241"/>
      <c r="L87" s="241"/>
      <c r="M87" s="241"/>
      <c r="N87" s="241"/>
      <c r="O87" s="219"/>
      <c r="P87" s="219"/>
      <c r="Q87" s="219"/>
      <c r="R87" s="219"/>
    </row>
    <row r="88" spans="1:20" x14ac:dyDescent="0.35">
      <c r="B88" s="221" t="s">
        <v>108</v>
      </c>
      <c r="C88" s="222">
        <v>2025</v>
      </c>
      <c r="D88" s="222">
        <v>2026</v>
      </c>
      <c r="E88" s="222">
        <v>2027</v>
      </c>
      <c r="F88" s="222">
        <v>2028</v>
      </c>
      <c r="G88" s="222">
        <v>2029</v>
      </c>
      <c r="H88" s="222">
        <v>2030</v>
      </c>
      <c r="I88" s="222">
        <v>2031</v>
      </c>
      <c r="J88" s="222">
        <v>2032</v>
      </c>
      <c r="K88" s="222">
        <v>2033</v>
      </c>
      <c r="L88" s="222">
        <v>2034</v>
      </c>
      <c r="M88" s="222">
        <v>2035</v>
      </c>
      <c r="N88" s="222">
        <v>2036</v>
      </c>
      <c r="O88" s="222">
        <v>2037</v>
      </c>
      <c r="P88" s="223">
        <v>2038</v>
      </c>
      <c r="Q88" s="223">
        <v>2039</v>
      </c>
      <c r="R88" s="223">
        <v>2040</v>
      </c>
    </row>
    <row r="89" spans="1:20" x14ac:dyDescent="0.35">
      <c r="B89" s="224" t="s">
        <v>154</v>
      </c>
      <c r="C89" s="46">
        <f>C$6</f>
        <v>-19.169114259999997</v>
      </c>
      <c r="D89" s="46">
        <f t="shared" ref="D89:R89" si="41">D$6</f>
        <v>-19.614883723200002</v>
      </c>
      <c r="E89" s="46">
        <f t="shared" si="41"/>
        <v>-20.532231201456003</v>
      </c>
      <c r="F89" s="46">
        <f t="shared" si="41"/>
        <v>-20.97349267382064</v>
      </c>
      <c r="G89" s="46">
        <f t="shared" si="41"/>
        <v>-21.295400124041283</v>
      </c>
      <c r="H89" s="46">
        <f t="shared" si="41"/>
        <v>-21.649537088930696</v>
      </c>
      <c r="I89" s="46">
        <f t="shared" si="41"/>
        <v>-22.056954754306677</v>
      </c>
      <c r="J89" s="46">
        <f t="shared" si="41"/>
        <v>-22.537068754096151</v>
      </c>
      <c r="K89" s="46">
        <f t="shared" si="41"/>
        <v>-22.91287953574815</v>
      </c>
      <c r="L89" s="46">
        <f t="shared" si="41"/>
        <v>-23.342130724006012</v>
      </c>
      <c r="M89" s="46">
        <f t="shared" si="41"/>
        <v>-23.809461180053013</v>
      </c>
      <c r="N89" s="46">
        <f t="shared" si="41"/>
        <v>-24.36956135905006</v>
      </c>
      <c r="O89" s="46">
        <f t="shared" si="41"/>
        <v>-24.796287812607989</v>
      </c>
      <c r="P89" s="46">
        <f t="shared" si="41"/>
        <v>-25.324870021442642</v>
      </c>
      <c r="Q89" s="46">
        <f t="shared" si="41"/>
        <v>-25.832223024680616</v>
      </c>
      <c r="R89" s="46">
        <f t="shared" si="41"/>
        <v>-26.439383160416682</v>
      </c>
    </row>
    <row r="90" spans="1:20" x14ac:dyDescent="0.35">
      <c r="B90" s="224" t="s">
        <v>155</v>
      </c>
      <c r="C90" s="46">
        <f>C$7</f>
        <v>-4.9575295499999994</v>
      </c>
      <c r="D90" s="46">
        <f t="shared" ref="D90:R90" si="42">D$7</f>
        <v>-4.9733478</v>
      </c>
      <c r="E90" s="46">
        <f t="shared" si="42"/>
        <v>-5.1038636999999998</v>
      </c>
      <c r="F90" s="46">
        <f t="shared" si="42"/>
        <v>-5.1113251499999999</v>
      </c>
      <c r="G90" s="46">
        <f t="shared" si="42"/>
        <v>-5.0880150000000004</v>
      </c>
      <c r="H90" s="46">
        <f t="shared" si="42"/>
        <v>-5.0712032999999996</v>
      </c>
      <c r="I90" s="46">
        <f t="shared" si="42"/>
        <v>-5.0653305</v>
      </c>
      <c r="J90" s="46">
        <f t="shared" si="42"/>
        <v>-5.0741054999999999</v>
      </c>
      <c r="K90" s="46">
        <f t="shared" si="42"/>
        <v>-5.0575660500000001</v>
      </c>
      <c r="L90" s="46">
        <f t="shared" si="42"/>
        <v>-5.0512889999999997</v>
      </c>
      <c r="M90" s="46">
        <f t="shared" si="42"/>
        <v>-5.0513925000000004</v>
      </c>
      <c r="N90" s="46">
        <f t="shared" si="42"/>
        <v>-5.0688458999999995</v>
      </c>
      <c r="O90" s="46">
        <f t="shared" si="42"/>
        <v>-5.0564750999999992</v>
      </c>
      <c r="P90" s="46">
        <f t="shared" si="42"/>
        <v>-5.0630038499999994</v>
      </c>
      <c r="Q90" s="46">
        <f t="shared" si="42"/>
        <v>-5.0631715499999999</v>
      </c>
      <c r="R90" s="46">
        <f t="shared" si="42"/>
        <v>-5.0805649500000003</v>
      </c>
    </row>
    <row r="91" spans="1:20" x14ac:dyDescent="0.35">
      <c r="B91" s="224" t="s">
        <v>156</v>
      </c>
      <c r="C91" s="46">
        <f>C$8</f>
        <v>-20.487757939200005</v>
      </c>
      <c r="D91" s="46">
        <f t="shared" ref="D91:R91" si="43">D$8</f>
        <v>-20.0375513856</v>
      </c>
      <c r="E91" s="46">
        <f t="shared" si="43"/>
        <v>-19.587344832000003</v>
      </c>
      <c r="F91" s="46">
        <f t="shared" si="43"/>
        <v>-19.137138278399998</v>
      </c>
      <c r="G91" s="46">
        <f t="shared" si="43"/>
        <v>-18.686931724799997</v>
      </c>
      <c r="H91" s="46">
        <f t="shared" si="43"/>
        <v>-18.236725171199996</v>
      </c>
      <c r="I91" s="46">
        <f t="shared" si="43"/>
        <v>-17.786518617599999</v>
      </c>
      <c r="J91" s="46">
        <f t="shared" si="43"/>
        <v>-17.786518617599999</v>
      </c>
      <c r="K91" s="46">
        <f t="shared" si="43"/>
        <v>-17.786518617599999</v>
      </c>
      <c r="L91" s="46">
        <f t="shared" si="43"/>
        <v>-17.786518617599999</v>
      </c>
      <c r="M91" s="46">
        <f t="shared" si="43"/>
        <v>-17.786518617599999</v>
      </c>
      <c r="N91" s="46">
        <f t="shared" si="43"/>
        <v>-17.786518617599999</v>
      </c>
      <c r="O91" s="46">
        <f t="shared" si="43"/>
        <v>-17.786518617599999</v>
      </c>
      <c r="P91" s="46">
        <f t="shared" si="43"/>
        <v>-17.786518617599999</v>
      </c>
      <c r="Q91" s="46">
        <f t="shared" si="43"/>
        <v>-17.786518617599999</v>
      </c>
      <c r="R91" s="46">
        <f t="shared" si="43"/>
        <v>-17.786518617599999</v>
      </c>
    </row>
    <row r="92" spans="1:20" x14ac:dyDescent="0.35">
      <c r="B92" s="224" t="s">
        <v>231</v>
      </c>
      <c r="C92" s="46">
        <f>C$9</f>
        <v>-0.80641582230248354</v>
      </c>
      <c r="D92" s="46">
        <f t="shared" ref="D92:R92" si="44">D$9</f>
        <v>-0.78432068187098114</v>
      </c>
      <c r="E92" s="46">
        <f t="shared" si="44"/>
        <v>-0.75500307796498656</v>
      </c>
      <c r="F92" s="46">
        <f t="shared" si="44"/>
        <v>-0.73004921208833773</v>
      </c>
      <c r="G92" s="46">
        <f t="shared" si="44"/>
        <v>-0.7082081460059555</v>
      </c>
      <c r="H92" s="46">
        <f t="shared" si="44"/>
        <v>-0.68766529198730364</v>
      </c>
      <c r="I92" s="46">
        <f t="shared" si="44"/>
        <v>-0.66712243796865178</v>
      </c>
      <c r="J92" s="46">
        <f t="shared" si="44"/>
        <v>-0.64820143991757351</v>
      </c>
      <c r="K92" s="46">
        <f t="shared" si="44"/>
        <v>-0.63252779024999994</v>
      </c>
      <c r="L92" s="46">
        <f t="shared" si="44"/>
        <v>-0.61847599654999996</v>
      </c>
      <c r="M92" s="46">
        <f t="shared" si="44"/>
        <v>-0.60442420284999998</v>
      </c>
      <c r="N92" s="46">
        <f t="shared" si="44"/>
        <v>-0.59037240915</v>
      </c>
      <c r="O92" s="46">
        <f t="shared" si="44"/>
        <v>-0.57632061545000002</v>
      </c>
      <c r="P92" s="46">
        <f t="shared" si="44"/>
        <v>-0.56226882175000004</v>
      </c>
      <c r="Q92" s="46">
        <f t="shared" si="44"/>
        <v>-0.54821702805000005</v>
      </c>
      <c r="R92" s="46">
        <f t="shared" si="44"/>
        <v>-0.53416523434999996</v>
      </c>
    </row>
    <row r="93" spans="1:20" x14ac:dyDescent="0.35">
      <c r="B93" s="224" t="s">
        <v>158</v>
      </c>
      <c r="C93" s="46">
        <f>C$10</f>
        <v>-2.9600251632144006</v>
      </c>
      <c r="D93" s="46">
        <f t="shared" ref="D93:R93" si="45">D$10</f>
        <v>-3.8823118066901023</v>
      </c>
      <c r="E93" s="46">
        <f t="shared" si="45"/>
        <v>-3.2138563992709388</v>
      </c>
      <c r="F93" s="46">
        <f t="shared" si="45"/>
        <v>-3.7201181920361495</v>
      </c>
      <c r="G93" s="46">
        <f t="shared" si="45"/>
        <v>-4.7068272013031489</v>
      </c>
      <c r="H93" s="46">
        <f t="shared" si="45"/>
        <v>-4.7270153124768832</v>
      </c>
      <c r="I93" s="46">
        <f t="shared" si="45"/>
        <v>-5.0840790338010864</v>
      </c>
      <c r="J93" s="46">
        <f t="shared" si="45"/>
        <v>-4.4004775367721658</v>
      </c>
      <c r="K93" s="46">
        <f t="shared" si="45"/>
        <v>-4.5586431478131377</v>
      </c>
      <c r="L93" s="46">
        <f t="shared" si="45"/>
        <v>-4.3209447154161111</v>
      </c>
      <c r="M93" s="46">
        <f t="shared" si="45"/>
        <v>-3.8360386580335946</v>
      </c>
      <c r="N93" s="46">
        <f t="shared" si="45"/>
        <v>-4.1326790995431866</v>
      </c>
      <c r="O93" s="46">
        <f t="shared" si="45"/>
        <v>-6.7040632598236671</v>
      </c>
      <c r="P93" s="46">
        <f t="shared" si="45"/>
        <v>-6.3854635611090487</v>
      </c>
      <c r="Q93" s="46">
        <f t="shared" si="45"/>
        <v>-5.7399680029782667</v>
      </c>
      <c r="R93" s="46">
        <f t="shared" si="45"/>
        <v>-8.6077490239072834</v>
      </c>
    </row>
    <row r="94" spans="1:20" x14ac:dyDescent="0.35">
      <c r="B94" s="224" t="s">
        <v>157</v>
      </c>
      <c r="C94" s="46">
        <f>C$11</f>
        <v>-1.4967999999999999</v>
      </c>
      <c r="D94" s="46">
        <f t="shared" ref="D94:R94" si="46">D$11</f>
        <v>-1.5267360000000001</v>
      </c>
      <c r="E94" s="46">
        <f t="shared" si="46"/>
        <v>-1.5572680000000001</v>
      </c>
      <c r="F94" s="46">
        <f t="shared" si="46"/>
        <v>-1.5884160000000001</v>
      </c>
      <c r="G94" s="46">
        <f t="shared" si="46"/>
        <v>-1.620188</v>
      </c>
      <c r="H94" s="46">
        <f t="shared" si="46"/>
        <v>-1.6525920000000001</v>
      </c>
      <c r="I94" s="46">
        <f t="shared" si="46"/>
        <v>-1.68564</v>
      </c>
      <c r="J94" s="46">
        <f t="shared" si="46"/>
        <v>-1.7193528</v>
      </c>
      <c r="K94" s="46">
        <f t="shared" si="46"/>
        <v>-1.7537398560000002</v>
      </c>
      <c r="L94" s="46">
        <f t="shared" si="46"/>
        <v>-1.7888146531200002</v>
      </c>
      <c r="M94" s="46">
        <f t="shared" si="46"/>
        <v>-1.8245909461824001</v>
      </c>
      <c r="N94" s="46">
        <f t="shared" si="46"/>
        <v>-1.8610827651060482</v>
      </c>
      <c r="O94" s="46">
        <f t="shared" si="46"/>
        <v>-1.8983044204081692</v>
      </c>
      <c r="P94" s="46">
        <f t="shared" si="46"/>
        <v>-1.9362705088163326</v>
      </c>
      <c r="Q94" s="46">
        <f t="shared" si="46"/>
        <v>-1.9749959189926591</v>
      </c>
      <c r="R94" s="46">
        <f t="shared" si="46"/>
        <v>-2.0144958373725124</v>
      </c>
    </row>
    <row r="95" spans="1:20" x14ac:dyDescent="0.35">
      <c r="B95" s="224"/>
      <c r="C95" s="225">
        <f t="shared" ref="C95:R95" si="47">SUM(C89:C94)</f>
        <v>-49.877642734716886</v>
      </c>
      <c r="D95" s="225">
        <f t="shared" si="47"/>
        <v>-50.81915139736109</v>
      </c>
      <c r="E95" s="225">
        <f t="shared" si="47"/>
        <v>-50.749567210691929</v>
      </c>
      <c r="F95" s="225">
        <f t="shared" si="47"/>
        <v>-51.260539506345125</v>
      </c>
      <c r="G95" s="225">
        <f t="shared" si="47"/>
        <v>-52.105570196150389</v>
      </c>
      <c r="H95" s="225">
        <f t="shared" si="47"/>
        <v>-52.024738164594879</v>
      </c>
      <c r="I95" s="225">
        <f t="shared" si="47"/>
        <v>-52.345645343676409</v>
      </c>
      <c r="J95" s="225">
        <f t="shared" si="47"/>
        <v>-52.16572464838589</v>
      </c>
      <c r="K95" s="225">
        <f t="shared" si="47"/>
        <v>-52.701874997411288</v>
      </c>
      <c r="L95" s="225">
        <f t="shared" si="47"/>
        <v>-52.908173706692118</v>
      </c>
      <c r="M95" s="225">
        <f t="shared" si="47"/>
        <v>-52.912426104718996</v>
      </c>
      <c r="N95" s="225">
        <f t="shared" si="47"/>
        <v>-53.809060150449298</v>
      </c>
      <c r="O95" s="225">
        <f t="shared" si="47"/>
        <v>-56.817969825889826</v>
      </c>
      <c r="P95" s="225">
        <f t="shared" si="47"/>
        <v>-57.058395380718032</v>
      </c>
      <c r="Q95" s="225">
        <f t="shared" si="47"/>
        <v>-56.945094142301542</v>
      </c>
      <c r="R95" s="225">
        <f t="shared" si="47"/>
        <v>-60.462876823646475</v>
      </c>
    </row>
    <row r="96" spans="1:20" x14ac:dyDescent="0.35">
      <c r="B96" s="13"/>
      <c r="C96" s="13"/>
      <c r="D96" s="13"/>
      <c r="E96" s="13"/>
      <c r="F96" s="13"/>
      <c r="G96" s="13"/>
      <c r="H96" s="14"/>
      <c r="I96" s="14"/>
      <c r="J96" s="14"/>
      <c r="K96" s="14"/>
      <c r="L96" s="14"/>
      <c r="M96" s="14"/>
      <c r="N96" s="14"/>
      <c r="O96" s="14"/>
      <c r="P96" s="14"/>
      <c r="Q96" s="14"/>
      <c r="R96" s="14"/>
    </row>
    <row r="97" spans="1:20" x14ac:dyDescent="0.35">
      <c r="B97" s="221" t="s">
        <v>9</v>
      </c>
      <c r="C97" s="223">
        <v>2025</v>
      </c>
      <c r="D97" s="223">
        <v>2026</v>
      </c>
      <c r="E97" s="223">
        <v>2027</v>
      </c>
      <c r="F97" s="223">
        <v>2028</v>
      </c>
      <c r="G97" s="223">
        <v>2029</v>
      </c>
      <c r="H97" s="222">
        <v>2030</v>
      </c>
      <c r="I97" s="222">
        <v>2031</v>
      </c>
      <c r="J97" s="222">
        <v>2032</v>
      </c>
      <c r="K97" s="222">
        <v>2033</v>
      </c>
      <c r="L97" s="222">
        <v>2034</v>
      </c>
      <c r="M97" s="222">
        <v>2035</v>
      </c>
      <c r="N97" s="222">
        <v>2036</v>
      </c>
      <c r="O97" s="222">
        <v>2037</v>
      </c>
      <c r="P97" s="222">
        <v>2038</v>
      </c>
      <c r="Q97" s="222">
        <v>2039</v>
      </c>
      <c r="R97" s="222">
        <v>2040</v>
      </c>
    </row>
    <row r="98" spans="1:20" x14ac:dyDescent="0.35">
      <c r="B98" s="224" t="s">
        <v>234</v>
      </c>
      <c r="C98" s="235">
        <f>C39</f>
        <v>128.51715801415844</v>
      </c>
      <c r="D98" s="235">
        <f t="shared" ref="D98:R98" si="48">D39</f>
        <v>148.94757091112567</v>
      </c>
      <c r="E98" s="235">
        <f t="shared" si="48"/>
        <v>153.99559643056355</v>
      </c>
      <c r="F98" s="235">
        <f t="shared" si="48"/>
        <v>137.64760033895652</v>
      </c>
      <c r="G98" s="235">
        <f t="shared" si="48"/>
        <v>-253.98330714277083</v>
      </c>
      <c r="H98" s="235">
        <f t="shared" si="48"/>
        <v>-263.46903464346315</v>
      </c>
      <c r="I98" s="235">
        <f t="shared" si="48"/>
        <v>-302.43276714342829</v>
      </c>
      <c r="J98" s="235">
        <f t="shared" si="48"/>
        <v>-325.23431495832921</v>
      </c>
      <c r="K98" s="235">
        <f t="shared" si="48"/>
        <v>-276.40746129692627</v>
      </c>
      <c r="L98" s="235">
        <f t="shared" si="48"/>
        <v>104.69846280969074</v>
      </c>
      <c r="M98" s="235">
        <f t="shared" si="48"/>
        <v>-283.51285510490061</v>
      </c>
      <c r="N98" s="235">
        <f t="shared" si="48"/>
        <v>-522.08971902432324</v>
      </c>
      <c r="O98" s="235">
        <f t="shared" si="48"/>
        <v>-315.95118483514244</v>
      </c>
      <c r="P98" s="235">
        <f t="shared" si="48"/>
        <v>-323.33187749250197</v>
      </c>
      <c r="Q98" s="235">
        <f t="shared" si="48"/>
        <v>-83.709248696429057</v>
      </c>
      <c r="R98" s="235">
        <f t="shared" si="48"/>
        <v>-192.58283135609716</v>
      </c>
    </row>
    <row r="99" spans="1:20" x14ac:dyDescent="0.35">
      <c r="B99" s="224" t="s">
        <v>189</v>
      </c>
      <c r="C99" s="217">
        <f>C$16</f>
        <v>0.1</v>
      </c>
      <c r="D99" s="217">
        <f t="shared" ref="D99:R99" si="49">D$16</f>
        <v>0.1</v>
      </c>
      <c r="E99" s="218">
        <f t="shared" si="49"/>
        <v>0.03</v>
      </c>
      <c r="F99" s="217">
        <f t="shared" si="49"/>
        <v>0</v>
      </c>
      <c r="G99" s="217">
        <f t="shared" si="49"/>
        <v>0</v>
      </c>
      <c r="H99" s="217">
        <f t="shared" si="49"/>
        <v>0</v>
      </c>
      <c r="I99" s="217">
        <f t="shared" si="49"/>
        <v>0</v>
      </c>
      <c r="J99" s="217">
        <f t="shared" si="49"/>
        <v>0</v>
      </c>
      <c r="K99" s="217">
        <f t="shared" si="49"/>
        <v>3.4004524051896065E-2</v>
      </c>
      <c r="L99" s="217">
        <f t="shared" si="49"/>
        <v>3.4004524051896065E-2</v>
      </c>
      <c r="M99" s="217">
        <f t="shared" si="49"/>
        <v>3.4004524051896065E-2</v>
      </c>
      <c r="N99" s="217">
        <f t="shared" si="49"/>
        <v>3.4004524051896065E-2</v>
      </c>
      <c r="O99" s="217">
        <f t="shared" si="49"/>
        <v>3.4004524051896065E-2</v>
      </c>
      <c r="P99" s="217">
        <f t="shared" si="49"/>
        <v>3.4004524051896065E-2</v>
      </c>
      <c r="Q99" s="217">
        <f t="shared" si="49"/>
        <v>3.4004524051896065E-2</v>
      </c>
      <c r="R99" s="217">
        <f t="shared" si="49"/>
        <v>3.4004524051896065E-2</v>
      </c>
    </row>
    <row r="100" spans="1:20" x14ac:dyDescent="0.35">
      <c r="B100" s="224" t="s">
        <v>233</v>
      </c>
      <c r="C100" s="235">
        <f>C$17</f>
        <v>0</v>
      </c>
      <c r="D100" s="235">
        <f t="shared" ref="D100:R100" si="50">D$17</f>
        <v>0</v>
      </c>
      <c r="E100" s="235">
        <f t="shared" si="50"/>
        <v>15.627090909854164</v>
      </c>
      <c r="F100" s="235">
        <f t="shared" si="50"/>
        <v>-0.24934341786718051</v>
      </c>
      <c r="G100" s="235">
        <f t="shared" si="50"/>
        <v>73.157149061474144</v>
      </c>
      <c r="H100" s="235">
        <f t="shared" si="50"/>
        <v>73.317326745276333</v>
      </c>
      <c r="I100" s="235">
        <f t="shared" si="50"/>
        <v>71.698123201686329</v>
      </c>
      <c r="J100" s="235">
        <f t="shared" si="50"/>
        <v>70.126594593371649</v>
      </c>
      <c r="K100" s="235">
        <f t="shared" si="50"/>
        <v>68.693504172167906</v>
      </c>
      <c r="L100" s="235">
        <f t="shared" si="50"/>
        <v>-28.667702893289857</v>
      </c>
      <c r="M100" s="235">
        <f t="shared" si="50"/>
        <v>17.950732145995801</v>
      </c>
      <c r="N100" s="235">
        <f t="shared" si="50"/>
        <v>157.10513120592367</v>
      </c>
      <c r="O100" s="235">
        <f t="shared" si="50"/>
        <v>124.450071362995</v>
      </c>
      <c r="P100" s="235">
        <f t="shared" si="50"/>
        <v>151.58615652202502</v>
      </c>
      <c r="Q100" s="235">
        <f t="shared" si="50"/>
        <v>67.047745359432724</v>
      </c>
      <c r="R100" s="235">
        <f t="shared" si="50"/>
        <v>277.71630737979774</v>
      </c>
    </row>
    <row r="101" spans="1:20" x14ac:dyDescent="0.35">
      <c r="B101" s="224" t="s">
        <v>188</v>
      </c>
      <c r="C101" s="46">
        <f>C$18</f>
        <v>6.9939999999999998</v>
      </c>
      <c r="D101" s="46">
        <f t="shared" ref="D101:R101" si="51">D$18</f>
        <v>7.1029999999999998</v>
      </c>
      <c r="E101" s="46">
        <f t="shared" si="51"/>
        <v>7.2134799999999997</v>
      </c>
      <c r="F101" s="46">
        <f t="shared" si="51"/>
        <v>7.3264496000000001</v>
      </c>
      <c r="G101" s="46">
        <f t="shared" si="51"/>
        <v>7.4399185919999997</v>
      </c>
      <c r="H101" s="46">
        <f t="shared" si="51"/>
        <v>7.5558969638399995</v>
      </c>
      <c r="I101" s="46">
        <f t="shared" si="51"/>
        <v>7.6733949031167992</v>
      </c>
      <c r="J101" s="46">
        <f t="shared" si="51"/>
        <v>7.7004228011791351</v>
      </c>
      <c r="K101" s="46">
        <f t="shared" si="51"/>
        <v>7.7279912572027181</v>
      </c>
      <c r="L101" s="46">
        <f t="shared" si="51"/>
        <v>7.7561110823467718</v>
      </c>
      <c r="M101" s="46">
        <f t="shared" si="51"/>
        <v>7.7847933039937081</v>
      </c>
      <c r="N101" s="46">
        <f t="shared" si="51"/>
        <v>7.8140491700735826</v>
      </c>
      <c r="O101" s="46">
        <f t="shared" si="51"/>
        <v>7.843890153475054</v>
      </c>
      <c r="P101" s="46">
        <f t="shared" si="51"/>
        <v>7.8743279565445548</v>
      </c>
      <c r="Q101" s="46">
        <f t="shared" si="51"/>
        <v>7.9053745156754456</v>
      </c>
      <c r="R101" s="46">
        <f t="shared" si="51"/>
        <v>7.937042005988955</v>
      </c>
    </row>
    <row r="102" spans="1:20" x14ac:dyDescent="0.35">
      <c r="B102" s="224" t="s">
        <v>187</v>
      </c>
      <c r="C102" s="46">
        <f>C$19</f>
        <v>21.607340000000001</v>
      </c>
      <c r="D102" s="46">
        <f t="shared" ref="D102:R102" si="52">D$19</f>
        <v>22.185170000000003</v>
      </c>
      <c r="E102" s="46">
        <f t="shared" si="52"/>
        <v>12.712259999999999</v>
      </c>
      <c r="F102" s="46">
        <f t="shared" si="52"/>
        <v>13.079969999999998</v>
      </c>
      <c r="G102" s="46">
        <f t="shared" si="52"/>
        <v>4.5525999999999991</v>
      </c>
      <c r="H102" s="46">
        <f t="shared" si="52"/>
        <v>0.43774999999999997</v>
      </c>
      <c r="I102" s="46">
        <f t="shared" si="52"/>
        <v>0.43774999999999997</v>
      </c>
      <c r="J102" s="46">
        <f t="shared" si="52"/>
        <v>0.43774999999999997</v>
      </c>
      <c r="K102" s="46">
        <f t="shared" si="52"/>
        <v>0.43774999999999997</v>
      </c>
      <c r="L102" s="46">
        <f t="shared" si="52"/>
        <v>0.43774999999999997</v>
      </c>
      <c r="M102" s="46">
        <f t="shared" si="52"/>
        <v>0.43774999999999997</v>
      </c>
      <c r="N102" s="46">
        <f t="shared" si="52"/>
        <v>0.43774999999999997</v>
      </c>
      <c r="O102" s="46">
        <f t="shared" si="52"/>
        <v>0.43774999999999997</v>
      </c>
      <c r="P102" s="46">
        <f t="shared" si="52"/>
        <v>0.43774999999999997</v>
      </c>
      <c r="Q102" s="46">
        <f t="shared" si="52"/>
        <v>0.43774999999999997</v>
      </c>
      <c r="R102" s="46">
        <f t="shared" si="52"/>
        <v>0.43774999999999997</v>
      </c>
    </row>
    <row r="103" spans="1:20" x14ac:dyDescent="0.35">
      <c r="B103" s="224"/>
      <c r="C103" s="236">
        <f>SUM(C98:C102)</f>
        <v>157.21849801415843</v>
      </c>
      <c r="D103" s="236">
        <f>SUM(D98:D102)</f>
        <v>178.33574091112567</v>
      </c>
      <c r="E103" s="236">
        <f>SUM(E98:E102)</f>
        <v>189.5784273404177</v>
      </c>
      <c r="F103" s="236">
        <f t="shared" ref="F103:R103" si="53">SUM(F98:F102)</f>
        <v>157.80467652108933</v>
      </c>
      <c r="G103" s="236">
        <f t="shared" si="53"/>
        <v>-168.83363948929667</v>
      </c>
      <c r="H103" s="236">
        <f t="shared" si="53"/>
        <v>-182.15806093434682</v>
      </c>
      <c r="I103" s="236">
        <f t="shared" si="53"/>
        <v>-222.6234990386252</v>
      </c>
      <c r="J103" s="236">
        <f t="shared" si="53"/>
        <v>-246.96954756377843</v>
      </c>
      <c r="K103" s="236">
        <f t="shared" si="53"/>
        <v>-199.51421134350375</v>
      </c>
      <c r="L103" s="236">
        <f t="shared" si="53"/>
        <v>84.258625522799548</v>
      </c>
      <c r="M103" s="236">
        <f t="shared" si="53"/>
        <v>-257.30557513085921</v>
      </c>
      <c r="N103" s="236">
        <f t="shared" si="53"/>
        <v>-356.69878412427414</v>
      </c>
      <c r="O103" s="236">
        <f t="shared" si="53"/>
        <v>-183.18546879462048</v>
      </c>
      <c r="P103" s="236">
        <f t="shared" si="53"/>
        <v>-163.39963848988049</v>
      </c>
      <c r="Q103" s="236">
        <f t="shared" si="53"/>
        <v>-8.2843742972689931</v>
      </c>
      <c r="R103" s="236">
        <f t="shared" si="53"/>
        <v>93.542272553741441</v>
      </c>
    </row>
    <row r="104" spans="1:20" x14ac:dyDescent="0.35">
      <c r="B104" s="15"/>
      <c r="C104" s="6"/>
      <c r="D104" s="6"/>
      <c r="E104" s="6"/>
      <c r="F104" s="6"/>
      <c r="G104" s="6"/>
      <c r="H104" s="6"/>
      <c r="I104" s="6"/>
      <c r="J104" s="6"/>
      <c r="K104" s="6"/>
      <c r="L104" s="6"/>
      <c r="M104" s="6"/>
      <c r="N104" s="6"/>
      <c r="O104" s="6"/>
      <c r="P104" s="6"/>
      <c r="Q104" s="6"/>
      <c r="R104" s="6"/>
    </row>
    <row r="105" spans="1:20" x14ac:dyDescent="0.35">
      <c r="A105" s="15" t="s">
        <v>245</v>
      </c>
      <c r="B105" s="226" t="s">
        <v>185</v>
      </c>
      <c r="C105" s="236">
        <f>C95+C103</f>
        <v>107.34085527944154</v>
      </c>
      <c r="D105" s="236">
        <f>D95+D103</f>
        <v>127.51658951376459</v>
      </c>
      <c r="E105" s="236">
        <f>E95+E103</f>
        <v>138.82886012972577</v>
      </c>
      <c r="F105" s="236">
        <f t="shared" ref="F105:R105" si="54">F95+F103</f>
        <v>106.54413701474421</v>
      </c>
      <c r="G105" s="236">
        <f t="shared" si="54"/>
        <v>-220.93920968544705</v>
      </c>
      <c r="H105" s="236">
        <f t="shared" si="54"/>
        <v>-234.1827990989417</v>
      </c>
      <c r="I105" s="236">
        <f t="shared" si="54"/>
        <v>-274.96914438230158</v>
      </c>
      <c r="J105" s="236">
        <f t="shared" si="54"/>
        <v>-299.1352722121643</v>
      </c>
      <c r="K105" s="236">
        <f t="shared" si="54"/>
        <v>-252.21608634091504</v>
      </c>
      <c r="L105" s="236">
        <f t="shared" si="54"/>
        <v>31.35045181610743</v>
      </c>
      <c r="M105" s="236">
        <f t="shared" si="54"/>
        <v>-310.21800123557819</v>
      </c>
      <c r="N105" s="236">
        <f t="shared" si="54"/>
        <v>-410.50784427472342</v>
      </c>
      <c r="O105" s="236">
        <f t="shared" si="54"/>
        <v>-240.00343862051031</v>
      </c>
      <c r="P105" s="236">
        <f t="shared" si="54"/>
        <v>-220.45803387059851</v>
      </c>
      <c r="Q105" s="236">
        <f t="shared" si="54"/>
        <v>-65.229468439570539</v>
      </c>
      <c r="R105" s="236">
        <f t="shared" si="54"/>
        <v>33.079395730094966</v>
      </c>
      <c r="T105" s="237">
        <f>SUM(C105:R105)</f>
        <v>-1983.1990086768719</v>
      </c>
    </row>
    <row r="108" spans="1:20" x14ac:dyDescent="0.35">
      <c r="C108" s="240">
        <f>SUM(C98:C100)</f>
        <v>128.61715801415843</v>
      </c>
      <c r="D108" s="240">
        <f t="shared" ref="D108:R108" si="55">SUM(D98:D100)</f>
        <v>149.04757091112566</v>
      </c>
      <c r="E108" s="240">
        <f t="shared" si="55"/>
        <v>169.65268734041771</v>
      </c>
      <c r="F108" s="240">
        <f t="shared" si="55"/>
        <v>137.39825692108934</v>
      </c>
      <c r="G108" s="240">
        <f t="shared" si="55"/>
        <v>-180.82615808129668</v>
      </c>
      <c r="H108" s="240">
        <f t="shared" si="55"/>
        <v>-190.15170789818683</v>
      </c>
      <c r="I108" s="240">
        <f t="shared" si="55"/>
        <v>-230.73464394174198</v>
      </c>
      <c r="J108" s="240">
        <f t="shared" si="55"/>
        <v>-255.10772036495757</v>
      </c>
      <c r="K108" s="240">
        <f t="shared" si="55"/>
        <v>-207.67995260070646</v>
      </c>
      <c r="L108" s="240">
        <f t="shared" si="55"/>
        <v>76.064764440452777</v>
      </c>
      <c r="M108" s="240">
        <f t="shared" si="55"/>
        <v>-265.5281184348529</v>
      </c>
      <c r="N108" s="240">
        <f t="shared" si="55"/>
        <v>-364.95058329434772</v>
      </c>
      <c r="O108" s="240">
        <f t="shared" si="55"/>
        <v>-191.46710894809553</v>
      </c>
      <c r="P108" s="240">
        <f t="shared" si="55"/>
        <v>-171.71171644642504</v>
      </c>
      <c r="Q108" s="240">
        <f t="shared" si="55"/>
        <v>-16.627498812944438</v>
      </c>
      <c r="R108" s="240">
        <f t="shared" si="55"/>
        <v>85.16748054775249</v>
      </c>
    </row>
    <row r="112" spans="1:20" ht="16.5" x14ac:dyDescent="0.45">
      <c r="A112" s="10" t="s">
        <v>246</v>
      </c>
      <c r="B112" s="10" t="s">
        <v>185</v>
      </c>
      <c r="C112" s="237">
        <f>C22</f>
        <v>-18.630738835906115</v>
      </c>
      <c r="D112" s="237">
        <f t="shared" ref="D112:R112" si="56">D22</f>
        <v>-10.238184315204457</v>
      </c>
      <c r="E112" s="237">
        <f t="shared" si="56"/>
        <v>-23.977811455730702</v>
      </c>
      <c r="F112" s="237">
        <f t="shared" si="56"/>
        <v>6.512688629578598</v>
      </c>
      <c r="G112" s="237">
        <f t="shared" si="56"/>
        <v>-87.611046216087573</v>
      </c>
      <c r="H112" s="237">
        <f t="shared" si="56"/>
        <v>-67.392448602074523</v>
      </c>
      <c r="I112" s="237">
        <f t="shared" si="56"/>
        <v>-95.304752760135386</v>
      </c>
      <c r="J112" s="237">
        <f t="shared" si="56"/>
        <v>-93.791009238643781</v>
      </c>
      <c r="K112" s="237">
        <f t="shared" si="56"/>
        <v>-92.691193438150577</v>
      </c>
      <c r="L112" s="237">
        <f t="shared" si="56"/>
        <v>-56.063952991625321</v>
      </c>
      <c r="M112" s="237">
        <f t="shared" si="56"/>
        <v>-122.10956988542969</v>
      </c>
      <c r="N112" s="237">
        <f t="shared" si="56"/>
        <v>-73.318361587629582</v>
      </c>
      <c r="O112" s="237">
        <f t="shared" si="56"/>
        <v>-70.630419758304143</v>
      </c>
      <c r="P112" s="237">
        <f t="shared" si="56"/>
        <v>-47.777911302989317</v>
      </c>
      <c r="Q112" s="237">
        <f t="shared" si="56"/>
        <v>-43.156902010623824</v>
      </c>
      <c r="R112" s="237">
        <f t="shared" si="56"/>
        <v>112.82312324862929</v>
      </c>
      <c r="T112" s="237">
        <f t="shared" ref="T112:T114" si="57">SUM(C112:R112)</f>
        <v>-783.35849052032722</v>
      </c>
    </row>
    <row r="113" spans="1:20" x14ac:dyDescent="0.35">
      <c r="A113" s="10" t="s">
        <v>243</v>
      </c>
      <c r="B113" s="10" t="s">
        <v>185</v>
      </c>
      <c r="C113" s="237">
        <f>C59</f>
        <v>-14.355623832404149</v>
      </c>
      <c r="D113" s="237">
        <f t="shared" ref="D113:R113" si="58">D59</f>
        <v>-23.475985183196123</v>
      </c>
      <c r="E113" s="237">
        <f t="shared" si="58"/>
        <v>-38.066574008324153</v>
      </c>
      <c r="F113" s="237">
        <f t="shared" si="58"/>
        <v>-1.8433576895113788</v>
      </c>
      <c r="G113" s="237">
        <f t="shared" si="58"/>
        <v>-189.40011648313873</v>
      </c>
      <c r="H113" s="237">
        <f t="shared" si="58"/>
        <v>-193.25020337433875</v>
      </c>
      <c r="I113" s="237">
        <f t="shared" si="58"/>
        <v>-212.41007448790631</v>
      </c>
      <c r="J113" s="237">
        <f t="shared" si="58"/>
        <v>-224.24239996907474</v>
      </c>
      <c r="K113" s="237">
        <f t="shared" si="58"/>
        <v>-239.46360837970931</v>
      </c>
      <c r="L113" s="237">
        <f t="shared" si="58"/>
        <v>-19.979835257994182</v>
      </c>
      <c r="M113" s="237">
        <f t="shared" si="58"/>
        <v>-215.01312734082782</v>
      </c>
      <c r="N113" s="237">
        <f t="shared" si="58"/>
        <v>-238.47082251366584</v>
      </c>
      <c r="O113" s="237">
        <f t="shared" si="58"/>
        <v>-152.49194179433795</v>
      </c>
      <c r="P113" s="237">
        <f t="shared" si="58"/>
        <v>-124.1725883604623</v>
      </c>
      <c r="Q113" s="237">
        <f t="shared" si="58"/>
        <v>-54.37361488356192</v>
      </c>
      <c r="R113" s="237">
        <f t="shared" si="58"/>
        <v>76.539765477431558</v>
      </c>
      <c r="T113" s="237">
        <f t="shared" si="57"/>
        <v>-1864.4701080810221</v>
      </c>
    </row>
    <row r="114" spans="1:20" x14ac:dyDescent="0.35">
      <c r="A114" s="10" t="s">
        <v>244</v>
      </c>
      <c r="B114" s="10" t="s">
        <v>185</v>
      </c>
      <c r="C114" s="237">
        <f>C82</f>
        <v>-17.205968106610612</v>
      </c>
      <c r="D114" s="237">
        <f t="shared" ref="D114:R114" si="59">D82</f>
        <v>-28.279908480724913</v>
      </c>
      <c r="E114" s="237">
        <f t="shared" si="59"/>
        <v>-32.404393306843957</v>
      </c>
      <c r="F114" s="237">
        <f t="shared" si="59"/>
        <v>-55.138440196773026</v>
      </c>
      <c r="G114" s="237">
        <f t="shared" si="59"/>
        <v>-227.93017309863498</v>
      </c>
      <c r="H114" s="237">
        <f t="shared" si="59"/>
        <v>-243.61078439961648</v>
      </c>
      <c r="I114" s="237">
        <f t="shared" si="59"/>
        <v>-264.26934589314124</v>
      </c>
      <c r="J114" s="237">
        <f t="shared" si="59"/>
        <v>-278.50325519478406</v>
      </c>
      <c r="K114" s="237">
        <f t="shared" si="59"/>
        <v>-276.46150561994028</v>
      </c>
      <c r="L114" s="237">
        <f t="shared" si="59"/>
        <v>-38.682060568286552</v>
      </c>
      <c r="M114" s="237">
        <f t="shared" si="59"/>
        <v>-243.01577452279889</v>
      </c>
      <c r="N114" s="237">
        <f t="shared" si="59"/>
        <v>-254.70042609182082</v>
      </c>
      <c r="O114" s="237">
        <f t="shared" si="59"/>
        <v>-155.71862623651796</v>
      </c>
      <c r="P114" s="237">
        <f t="shared" si="59"/>
        <v>-146.29350345503201</v>
      </c>
      <c r="Q114" s="237">
        <f t="shared" si="59"/>
        <v>-49.927086116714158</v>
      </c>
      <c r="R114" s="237">
        <f t="shared" si="59"/>
        <v>99.695354826851428</v>
      </c>
      <c r="T114" s="237">
        <f t="shared" si="57"/>
        <v>-2212.4458964613882</v>
      </c>
    </row>
    <row r="115" spans="1:20" ht="16.5" x14ac:dyDescent="0.45">
      <c r="A115" s="10" t="s">
        <v>247</v>
      </c>
      <c r="B115" s="10" t="s">
        <v>185</v>
      </c>
      <c r="C115" s="237">
        <f>C105</f>
        <v>107.34085527944154</v>
      </c>
      <c r="D115" s="237">
        <f t="shared" ref="D115:R115" si="60">D105</f>
        <v>127.51658951376459</v>
      </c>
      <c r="E115" s="237">
        <f t="shared" si="60"/>
        <v>138.82886012972577</v>
      </c>
      <c r="F115" s="237">
        <f t="shared" si="60"/>
        <v>106.54413701474421</v>
      </c>
      <c r="G115" s="237">
        <f t="shared" si="60"/>
        <v>-220.93920968544705</v>
      </c>
      <c r="H115" s="237">
        <f t="shared" si="60"/>
        <v>-234.1827990989417</v>
      </c>
      <c r="I115" s="237">
        <f t="shared" si="60"/>
        <v>-274.96914438230158</v>
      </c>
      <c r="J115" s="237">
        <f t="shared" si="60"/>
        <v>-299.1352722121643</v>
      </c>
      <c r="K115" s="237">
        <f t="shared" si="60"/>
        <v>-252.21608634091504</v>
      </c>
      <c r="L115" s="237">
        <f t="shared" si="60"/>
        <v>31.35045181610743</v>
      </c>
      <c r="M115" s="237">
        <f t="shared" si="60"/>
        <v>-310.21800123557819</v>
      </c>
      <c r="N115" s="237">
        <f t="shared" si="60"/>
        <v>-410.50784427472342</v>
      </c>
      <c r="O115" s="237">
        <f t="shared" si="60"/>
        <v>-240.00343862051031</v>
      </c>
      <c r="P115" s="237">
        <f t="shared" si="60"/>
        <v>-220.45803387059851</v>
      </c>
      <c r="Q115" s="237">
        <f t="shared" si="60"/>
        <v>-65.229468439570539</v>
      </c>
      <c r="R115" s="237">
        <f t="shared" si="60"/>
        <v>33.079395730094966</v>
      </c>
      <c r="T115" s="237">
        <f>SUM(C115:R115)</f>
        <v>-1983.1990086768719</v>
      </c>
    </row>
    <row r="119" spans="1:20" x14ac:dyDescent="0.35">
      <c r="H119" s="167" t="s">
        <v>252</v>
      </c>
      <c r="I119" s="231">
        <v>2022</v>
      </c>
      <c r="K119" s="167" t="s">
        <v>253</v>
      </c>
      <c r="L119" s="232">
        <v>6.4299999999999996E-2</v>
      </c>
      <c r="O119" s="167" t="s">
        <v>255</v>
      </c>
      <c r="P119" s="231"/>
      <c r="Q119" s="227"/>
      <c r="R119" s="167"/>
      <c r="S119" s="232"/>
    </row>
    <row r="120" spans="1:20" x14ac:dyDescent="0.35">
      <c r="C120" s="230" t="s">
        <v>248</v>
      </c>
      <c r="D120" s="230" t="s">
        <v>249</v>
      </c>
      <c r="E120" s="230" t="s">
        <v>250</v>
      </c>
      <c r="F120" s="230" t="s">
        <v>251</v>
      </c>
      <c r="G120" s="230"/>
      <c r="H120" s="230" t="s">
        <v>248</v>
      </c>
      <c r="I120" s="230" t="s">
        <v>249</v>
      </c>
      <c r="J120" s="230" t="s">
        <v>250</v>
      </c>
      <c r="K120" s="230" t="s">
        <v>251</v>
      </c>
      <c r="O120" s="230" t="s">
        <v>248</v>
      </c>
      <c r="P120" s="230" t="s">
        <v>249</v>
      </c>
      <c r="Q120" s="230" t="s">
        <v>250</v>
      </c>
      <c r="R120" s="230" t="s">
        <v>251</v>
      </c>
      <c r="S120" s="227"/>
      <c r="T120" s="230" t="s">
        <v>254</v>
      </c>
    </row>
    <row r="121" spans="1:20" x14ac:dyDescent="0.35">
      <c r="B121" s="10" cm="1">
        <f t="array" ref="B121:B136">TRANSPOSE(C42:R42)</f>
        <v>2025</v>
      </c>
      <c r="C121" s="238" cm="1">
        <f t="array" ref="C121:C136">TRANSPOSE(C22:R22)</f>
        <v>-18.630738835906115</v>
      </c>
      <c r="D121" s="238" cm="1">
        <f t="array" ref="D121:D136">TRANSPOSE($C$59:$R$59)</f>
        <v>-14.355623832404149</v>
      </c>
      <c r="E121" s="238" cm="1">
        <f t="array" ref="E121:E136">TRANSPOSE($C$82:$R$82)</f>
        <v>-17.205968106610612</v>
      </c>
      <c r="F121" s="238" cm="1">
        <f t="array" ref="F121:F136">TRANSPOSE($C$105:$R$105)</f>
        <v>107.34085527944154</v>
      </c>
      <c r="G121" s="47"/>
      <c r="H121" s="238">
        <f>C121/(1+$L$119)^($B121-$I$119)</f>
        <v>-15.453892664871306</v>
      </c>
      <c r="I121" s="238">
        <f t="shared" ref="I121:K136" si="61">D121/(1+$L$119)^($B121-$I$119)</f>
        <v>-11.907754802277672</v>
      </c>
      <c r="J121" s="238">
        <f t="shared" si="61"/>
        <v>-14.272068684807326</v>
      </c>
      <c r="K121" s="238">
        <f t="shared" si="61"/>
        <v>89.037481049703942</v>
      </c>
      <c r="O121" s="238">
        <f>C121/(1+$T121)</f>
        <v>-15.381587427194995</v>
      </c>
      <c r="P121" s="238">
        <f t="shared" ref="P121:R136" si="62">D121/(1+$T121)</f>
        <v>-11.852041134540931</v>
      </c>
      <c r="Q121" s="238">
        <f t="shared" si="62"/>
        <v>-14.205292931877882</v>
      </c>
      <c r="R121" s="238">
        <f t="shared" si="62"/>
        <v>88.620894991484903</v>
      </c>
      <c r="S121" s="227"/>
      <c r="T121" s="154">
        <v>0.21123641653309111</v>
      </c>
    </row>
    <row r="122" spans="1:20" x14ac:dyDescent="0.35">
      <c r="B122" s="10">
        <v>2026</v>
      </c>
      <c r="C122" s="238">
        <v>-10.238184315204457</v>
      </c>
      <c r="D122" s="238">
        <v>-23.475985183196123</v>
      </c>
      <c r="E122" s="238">
        <v>-28.279908480724913</v>
      </c>
      <c r="F122" s="238">
        <v>127.51658951376459</v>
      </c>
      <c r="G122" s="47"/>
      <c r="H122" s="238">
        <f t="shared" ref="H122:H136" si="63">C122/(1+$L$119)^($B122-$I$119)</f>
        <v>-7.9793349362118304</v>
      </c>
      <c r="I122" s="238">
        <f t="shared" si="61"/>
        <v>-18.296481384504872</v>
      </c>
      <c r="J122" s="238">
        <f t="shared" si="61"/>
        <v>-22.04051566038008</v>
      </c>
      <c r="K122" s="238">
        <f t="shared" si="61"/>
        <v>99.382619645038645</v>
      </c>
      <c r="O122" s="238">
        <f t="shared" ref="O122:O136" si="64">C122/(1+$T122)</f>
        <v>-8.1668329872795091</v>
      </c>
      <c r="P122" s="238">
        <f t="shared" si="62"/>
        <v>-18.72641127570698</v>
      </c>
      <c r="Q122" s="238">
        <f t="shared" si="62"/>
        <v>-22.558422699486002</v>
      </c>
      <c r="R122" s="238">
        <f t="shared" si="62"/>
        <v>101.71790794192164</v>
      </c>
      <c r="S122" s="227"/>
      <c r="T122" s="154">
        <v>0.25362969111174949</v>
      </c>
    </row>
    <row r="123" spans="1:20" x14ac:dyDescent="0.35">
      <c r="B123" s="10">
        <v>2027</v>
      </c>
      <c r="C123" s="238">
        <v>-23.977811455730702</v>
      </c>
      <c r="D123" s="238">
        <v>-38.066574008324153</v>
      </c>
      <c r="E123" s="238">
        <v>-32.404393306843957</v>
      </c>
      <c r="F123" s="238">
        <v>138.82886012972577</v>
      </c>
      <c r="G123" s="47"/>
      <c r="H123" s="238">
        <f t="shared" si="63"/>
        <v>-17.558573509955671</v>
      </c>
      <c r="I123" s="238">
        <f t="shared" si="61"/>
        <v>-27.875552330176532</v>
      </c>
      <c r="J123" s="238">
        <f t="shared" si="61"/>
        <v>-23.72922662162939</v>
      </c>
      <c r="K123" s="238">
        <f t="shared" si="61"/>
        <v>101.66218674259147</v>
      </c>
      <c r="O123" s="238">
        <f t="shared" si="64"/>
        <v>-18.600924479291667</v>
      </c>
      <c r="P123" s="238">
        <f t="shared" si="62"/>
        <v>-29.530362669732934</v>
      </c>
      <c r="Q123" s="238">
        <f t="shared" si="62"/>
        <v>-25.13789358176853</v>
      </c>
      <c r="R123" s="238">
        <f t="shared" si="62"/>
        <v>107.69728286448736</v>
      </c>
      <c r="S123" s="227"/>
      <c r="T123" s="154">
        <v>0.28906557748917816</v>
      </c>
    </row>
    <row r="124" spans="1:20" x14ac:dyDescent="0.35">
      <c r="B124" s="10">
        <v>2028</v>
      </c>
      <c r="C124" s="238">
        <v>6.512688629578598</v>
      </c>
      <c r="D124" s="238">
        <v>-1.8433576895113788</v>
      </c>
      <c r="E124" s="238">
        <v>-55.138440196773026</v>
      </c>
      <c r="F124" s="238">
        <v>106.54413701474421</v>
      </c>
      <c r="G124" s="47"/>
      <c r="H124" s="238">
        <f t="shared" si="63"/>
        <v>4.4810103004935833</v>
      </c>
      <c r="I124" s="238">
        <f t="shared" si="61"/>
        <v>-1.2683094899823284</v>
      </c>
      <c r="J124" s="238">
        <f t="shared" si="61"/>
        <v>-37.937621852939152</v>
      </c>
      <c r="K124" s="238">
        <f t="shared" si="61"/>
        <v>73.30695547948531</v>
      </c>
      <c r="O124" s="238">
        <f t="shared" si="64"/>
        <v>4.9319258204405045</v>
      </c>
      <c r="P124" s="238">
        <f t="shared" si="62"/>
        <v>-1.3959370549236545</v>
      </c>
      <c r="Q124" s="238">
        <f t="shared" si="62"/>
        <v>-41.755212381906126</v>
      </c>
      <c r="R124" s="238">
        <f t="shared" si="62"/>
        <v>80.683694591670985</v>
      </c>
      <c r="S124" s="227"/>
      <c r="T124" s="154">
        <v>0.32051633919281142</v>
      </c>
    </row>
    <row r="125" spans="1:20" x14ac:dyDescent="0.35">
      <c r="B125" s="10">
        <v>2029</v>
      </c>
      <c r="C125" s="238">
        <v>-87.611046216087573</v>
      </c>
      <c r="D125" s="238">
        <v>-189.40011648313873</v>
      </c>
      <c r="E125" s="238">
        <v>-227.93017309863498</v>
      </c>
      <c r="F125" s="238">
        <v>-220.93920968544705</v>
      </c>
      <c r="G125" s="47"/>
      <c r="H125" s="238">
        <f t="shared" si="63"/>
        <v>-56.638328946993603</v>
      </c>
      <c r="I125" s="238">
        <f t="shared" si="61"/>
        <v>-122.44239240691907</v>
      </c>
      <c r="J125" s="238">
        <f t="shared" si="61"/>
        <v>-147.35110101373448</v>
      </c>
      <c r="K125" s="238">
        <f t="shared" si="61"/>
        <v>-142.83161970910618</v>
      </c>
      <c r="O125" s="238">
        <f t="shared" si="64"/>
        <v>-64.760619886169835</v>
      </c>
      <c r="P125" s="238">
        <f t="shared" si="62"/>
        <v>-140.0013979939045</v>
      </c>
      <c r="Q125" s="238">
        <f t="shared" si="62"/>
        <v>-168.48217134883529</v>
      </c>
      <c r="R125" s="238">
        <f t="shared" si="62"/>
        <v>-163.31456813219376</v>
      </c>
      <c r="S125" s="227"/>
      <c r="T125" s="154">
        <v>0.3528444658201555</v>
      </c>
    </row>
    <row r="126" spans="1:20" x14ac:dyDescent="0.35">
      <c r="B126" s="10">
        <v>2030</v>
      </c>
      <c r="C126" s="238">
        <v>-67.392448602074523</v>
      </c>
      <c r="D126" s="238">
        <v>-193.25020337433875</v>
      </c>
      <c r="E126" s="238">
        <v>-243.61078439961648</v>
      </c>
      <c r="F126" s="238">
        <v>-234.1827990989417</v>
      </c>
      <c r="G126" s="47"/>
      <c r="H126" s="238">
        <f t="shared" si="63"/>
        <v>-40.935371763094999</v>
      </c>
      <c r="I126" s="238">
        <f t="shared" si="61"/>
        <v>-117.38361021918348</v>
      </c>
      <c r="J126" s="238">
        <f t="shared" si="61"/>
        <v>-147.97352272774535</v>
      </c>
      <c r="K126" s="238">
        <f t="shared" si="61"/>
        <v>-142.24679679233785</v>
      </c>
      <c r="O126" s="238">
        <f t="shared" si="64"/>
        <v>-48.636482705219848</v>
      </c>
      <c r="P126" s="238">
        <f t="shared" si="62"/>
        <v>-139.46681518716798</v>
      </c>
      <c r="Q126" s="238">
        <f t="shared" si="62"/>
        <v>-175.81156269030805</v>
      </c>
      <c r="R126" s="238">
        <f t="shared" si="62"/>
        <v>-169.00747627509475</v>
      </c>
      <c r="S126" s="227"/>
      <c r="T126" s="154">
        <v>0.38563573789931382</v>
      </c>
    </row>
    <row r="127" spans="1:20" x14ac:dyDescent="0.35">
      <c r="B127" s="10">
        <v>2031</v>
      </c>
      <c r="C127" s="238">
        <v>-95.304752760135386</v>
      </c>
      <c r="D127" s="238">
        <v>-212.41007448790631</v>
      </c>
      <c r="E127" s="238">
        <v>-264.26934589314124</v>
      </c>
      <c r="F127" s="238">
        <v>-274.96914438230158</v>
      </c>
      <c r="G127" s="47"/>
      <c r="H127" s="238">
        <f t="shared" si="63"/>
        <v>-54.392372160779807</v>
      </c>
      <c r="I127" s="238">
        <f t="shared" si="61"/>
        <v>-121.22677503107504</v>
      </c>
      <c r="J127" s="238">
        <f t="shared" si="61"/>
        <v>-150.82392216768986</v>
      </c>
      <c r="K127" s="238">
        <f t="shared" si="61"/>
        <v>-156.93051606372057</v>
      </c>
      <c r="O127" s="238">
        <f t="shared" si="64"/>
        <v>-67.183618591329804</v>
      </c>
      <c r="P127" s="238">
        <f t="shared" si="62"/>
        <v>-149.73521273663687</v>
      </c>
      <c r="Q127" s="238">
        <f t="shared" si="62"/>
        <v>-186.29260793058259</v>
      </c>
      <c r="R127" s="238">
        <f t="shared" si="62"/>
        <v>-193.83526619138362</v>
      </c>
      <c r="S127" s="227"/>
      <c r="T127" s="154">
        <v>0.41857129399151893</v>
      </c>
    </row>
    <row r="128" spans="1:20" x14ac:dyDescent="0.35">
      <c r="B128" s="10">
        <v>2032</v>
      </c>
      <c r="C128" s="238">
        <v>-93.791009238643781</v>
      </c>
      <c r="D128" s="238">
        <v>-224.24239996907474</v>
      </c>
      <c r="E128" s="238">
        <v>-278.50325519478406</v>
      </c>
      <c r="F128" s="238">
        <v>-299.1352722121643</v>
      </c>
      <c r="G128" s="47"/>
      <c r="H128" s="238">
        <f t="shared" si="63"/>
        <v>-50.294510725027187</v>
      </c>
      <c r="I128" s="238">
        <f t="shared" si="61"/>
        <v>-120.24779221166155</v>
      </c>
      <c r="J128" s="238">
        <f t="shared" si="61"/>
        <v>-149.34464474850546</v>
      </c>
      <c r="K128" s="238">
        <f t="shared" si="61"/>
        <v>-160.40836193827667</v>
      </c>
      <c r="O128" s="238">
        <f t="shared" si="64"/>
        <v>-64.602640549564398</v>
      </c>
      <c r="P128" s="238">
        <f t="shared" si="62"/>
        <v>-154.45671476157861</v>
      </c>
      <c r="Q128" s="238">
        <f t="shared" si="62"/>
        <v>-191.83124089701292</v>
      </c>
      <c r="R128" s="238">
        <f t="shared" si="62"/>
        <v>-206.04244077646936</v>
      </c>
      <c r="S128" s="227"/>
      <c r="T128" s="154">
        <v>0.45181386458476869</v>
      </c>
    </row>
    <row r="129" spans="2:20" x14ac:dyDescent="0.35">
      <c r="B129" s="10">
        <v>2033</v>
      </c>
      <c r="C129" s="238">
        <v>-92.691193438150577</v>
      </c>
      <c r="D129" s="238">
        <v>-239.46360837970931</v>
      </c>
      <c r="E129" s="238">
        <v>-276.46150561994028</v>
      </c>
      <c r="F129" s="238">
        <v>-252.21608634091504</v>
      </c>
      <c r="G129" s="47"/>
      <c r="H129" s="238">
        <f t="shared" si="63"/>
        <v>-46.701818346759595</v>
      </c>
      <c r="I129" s="238">
        <f t="shared" si="61"/>
        <v>-120.6520870472018</v>
      </c>
      <c r="J129" s="238">
        <f t="shared" si="61"/>
        <v>-139.29322232698746</v>
      </c>
      <c r="K129" s="238">
        <f t="shared" si="61"/>
        <v>-127.07733508991562</v>
      </c>
      <c r="O129" s="238">
        <f t="shared" si="64"/>
        <v>-62.388327101661829</v>
      </c>
      <c r="P129" s="238">
        <f t="shared" si="62"/>
        <v>-161.17749027048927</v>
      </c>
      <c r="Q129" s="238">
        <f t="shared" si="62"/>
        <v>-186.07993061545474</v>
      </c>
      <c r="R129" s="238">
        <f t="shared" si="62"/>
        <v>-169.76089217620876</v>
      </c>
      <c r="S129" s="227"/>
      <c r="T129" s="154">
        <v>0.48571371832282351</v>
      </c>
    </row>
    <row r="130" spans="2:20" x14ac:dyDescent="0.35">
      <c r="B130" s="10">
        <v>2034</v>
      </c>
      <c r="C130" s="238">
        <v>-56.063952991625321</v>
      </c>
      <c r="D130" s="238">
        <v>-19.979835257994182</v>
      </c>
      <c r="E130" s="238">
        <v>-38.682060568286552</v>
      </c>
      <c r="F130" s="238">
        <v>31.35045181610743</v>
      </c>
      <c r="G130" s="47"/>
      <c r="H130" s="238">
        <f t="shared" si="63"/>
        <v>-26.540858719683648</v>
      </c>
      <c r="I130" s="238">
        <f t="shared" si="61"/>
        <v>-9.458519360991005</v>
      </c>
      <c r="J130" s="238">
        <f t="shared" si="61"/>
        <v>-18.312213993945413</v>
      </c>
      <c r="K130" s="238">
        <f t="shared" si="61"/>
        <v>14.841406430507119</v>
      </c>
      <c r="O130" s="238">
        <f t="shared" si="64"/>
        <v>-36.874351283722589</v>
      </c>
      <c r="P130" s="238">
        <f t="shared" si="62"/>
        <v>-13.141125885365884</v>
      </c>
      <c r="Q130" s="238">
        <f t="shared" si="62"/>
        <v>-25.441942882377564</v>
      </c>
      <c r="R130" s="238">
        <f t="shared" si="62"/>
        <v>20.619801342642543</v>
      </c>
      <c r="S130" s="227"/>
      <c r="T130" s="154">
        <v>0.52040513364566165</v>
      </c>
    </row>
    <row r="131" spans="2:20" x14ac:dyDescent="0.35">
      <c r="B131" s="10">
        <v>2035</v>
      </c>
      <c r="C131" s="238">
        <v>-122.10956988542969</v>
      </c>
      <c r="D131" s="238">
        <v>-215.01312734082782</v>
      </c>
      <c r="E131" s="238">
        <v>-243.01577452279889</v>
      </c>
      <c r="F131" s="238">
        <v>-310.21800123557819</v>
      </c>
      <c r="G131" s="47"/>
      <c r="H131" s="238">
        <f t="shared" si="63"/>
        <v>-54.314638521648902</v>
      </c>
      <c r="I131" s="238">
        <f t="shared" si="61"/>
        <v>-95.638370521521324</v>
      </c>
      <c r="J131" s="238">
        <f t="shared" si="61"/>
        <v>-108.09401720642143</v>
      </c>
      <c r="K131" s="238">
        <f t="shared" si="61"/>
        <v>-137.98573376212798</v>
      </c>
      <c r="O131" s="238">
        <f t="shared" si="64"/>
        <v>-78.481298552419389</v>
      </c>
      <c r="P131" s="238">
        <f t="shared" si="62"/>
        <v>-138.19153941298396</v>
      </c>
      <c r="Q131" s="238">
        <f t="shared" si="62"/>
        <v>-156.18917969464519</v>
      </c>
      <c r="R131" s="238">
        <f t="shared" si="62"/>
        <v>-199.38086420374214</v>
      </c>
      <c r="S131" s="227"/>
      <c r="T131" s="154">
        <v>0.55590659351628879</v>
      </c>
    </row>
    <row r="132" spans="2:20" x14ac:dyDescent="0.35">
      <c r="B132" s="10">
        <v>2036</v>
      </c>
      <c r="C132" s="238">
        <v>-73.318361587629582</v>
      </c>
      <c r="D132" s="238">
        <v>-238.47082251366584</v>
      </c>
      <c r="E132" s="238">
        <v>-254.70042609182082</v>
      </c>
      <c r="F132" s="238">
        <v>-410.50784427472342</v>
      </c>
      <c r="G132" s="47"/>
      <c r="H132" s="238">
        <f t="shared" si="63"/>
        <v>-30.641913432501578</v>
      </c>
      <c r="I132" s="238">
        <f t="shared" si="61"/>
        <v>-99.664015144523944</v>
      </c>
      <c r="J132" s="238">
        <f t="shared" si="61"/>
        <v>-106.4468468543033</v>
      </c>
      <c r="K132" s="238">
        <f t="shared" si="61"/>
        <v>-171.56337860325598</v>
      </c>
      <c r="O132" s="238">
        <f t="shared" si="64"/>
        <v>-46.047391822444304</v>
      </c>
      <c r="P132" s="238">
        <f t="shared" si="62"/>
        <v>-149.77093274763075</v>
      </c>
      <c r="Q132" s="238">
        <f t="shared" si="62"/>
        <v>-159.96388985828634</v>
      </c>
      <c r="R132" s="238">
        <f t="shared" si="62"/>
        <v>-257.81830283963222</v>
      </c>
      <c r="S132" s="227"/>
      <c r="T132" s="154">
        <v>0.59223701247489391</v>
      </c>
    </row>
    <row r="133" spans="2:20" x14ac:dyDescent="0.35">
      <c r="B133" s="10">
        <v>2037</v>
      </c>
      <c r="C133" s="238">
        <v>-70.630419758304143</v>
      </c>
      <c r="D133" s="238">
        <v>-152.49194179433795</v>
      </c>
      <c r="E133" s="238">
        <v>-155.71862623651796</v>
      </c>
      <c r="F133" s="238">
        <v>-240.00343862051031</v>
      </c>
      <c r="G133" s="47"/>
      <c r="H133" s="238">
        <f t="shared" si="63"/>
        <v>-27.735171457820563</v>
      </c>
      <c r="I133" s="238">
        <f t="shared" si="61"/>
        <v>-59.880575056396992</v>
      </c>
      <c r="J133" s="238">
        <f t="shared" si="61"/>
        <v>-61.147630335841555</v>
      </c>
      <c r="K133" s="238">
        <f t="shared" si="61"/>
        <v>-94.244612213617017</v>
      </c>
      <c r="O133" s="238">
        <f t="shared" si="64"/>
        <v>-43.347083088308196</v>
      </c>
      <c r="P133" s="238">
        <f t="shared" si="62"/>
        <v>-93.586883581836076</v>
      </c>
      <c r="Q133" s="238">
        <f t="shared" si="62"/>
        <v>-95.567154392820228</v>
      </c>
      <c r="R133" s="238">
        <f t="shared" si="62"/>
        <v>-147.29416915492399</v>
      </c>
      <c r="S133" s="227"/>
      <c r="T133" s="154">
        <v>0.62941574671618339</v>
      </c>
    </row>
    <row r="134" spans="2:20" x14ac:dyDescent="0.35">
      <c r="B134" s="10">
        <v>2038</v>
      </c>
      <c r="C134" s="238">
        <v>-47.777911302989317</v>
      </c>
      <c r="D134" s="238">
        <v>-124.1725883604623</v>
      </c>
      <c r="E134" s="238">
        <v>-146.29350345503201</v>
      </c>
      <c r="F134" s="238">
        <v>-220.45803387059851</v>
      </c>
      <c r="G134" s="47"/>
      <c r="H134" s="238">
        <f t="shared" si="63"/>
        <v>-17.627964427502018</v>
      </c>
      <c r="I134" s="238">
        <f t="shared" si="61"/>
        <v>-45.814266693406651</v>
      </c>
      <c r="J134" s="238">
        <f t="shared" si="61"/>
        <v>-53.975919092105585</v>
      </c>
      <c r="K134" s="238">
        <f t="shared" si="61"/>
        <v>-81.339394562122621</v>
      </c>
      <c r="O134" s="238">
        <f t="shared" si="64"/>
        <v>-28.653063149277443</v>
      </c>
      <c r="P134" s="238">
        <f t="shared" si="62"/>
        <v>-74.467989886342124</v>
      </c>
      <c r="Q134" s="238">
        <f t="shared" si="62"/>
        <v>-87.734203495074198</v>
      </c>
      <c r="R134" s="238">
        <f t="shared" si="62"/>
        <v>-132.21168096280053</v>
      </c>
      <c r="S134" s="227"/>
      <c r="T134" s="154">
        <v>0.66746260440200622</v>
      </c>
    </row>
    <row r="135" spans="2:20" x14ac:dyDescent="0.35">
      <c r="B135" s="10">
        <v>2039</v>
      </c>
      <c r="C135" s="238">
        <v>-43.156902010623824</v>
      </c>
      <c r="D135" s="238">
        <v>-54.37361488356192</v>
      </c>
      <c r="E135" s="238">
        <v>-49.927086116714158</v>
      </c>
      <c r="F135" s="238">
        <v>-65.229468439570539</v>
      </c>
      <c r="G135" s="47"/>
      <c r="H135" s="238">
        <f t="shared" si="63"/>
        <v>-14.96102005223724</v>
      </c>
      <c r="I135" s="238">
        <f t="shared" si="61"/>
        <v>-18.849470297597861</v>
      </c>
      <c r="J135" s="238">
        <f t="shared" si="61"/>
        <v>-17.308011042082185</v>
      </c>
      <c r="K135" s="238">
        <f t="shared" si="61"/>
        <v>-22.612822975128207</v>
      </c>
      <c r="O135" s="238">
        <f t="shared" si="64"/>
        <v>-25.291230795587357</v>
      </c>
      <c r="P135" s="238">
        <f t="shared" si="62"/>
        <v>-31.864558833996583</v>
      </c>
      <c r="Q135" s="238">
        <f t="shared" si="62"/>
        <v>-29.258760455468817</v>
      </c>
      <c r="R135" s="238">
        <f t="shared" si="62"/>
        <v>-38.226412557892807</v>
      </c>
      <c r="S135" s="227"/>
      <c r="T135" s="154">
        <v>0.70639785621479323</v>
      </c>
    </row>
    <row r="136" spans="2:20" x14ac:dyDescent="0.35">
      <c r="B136" s="10">
        <v>2040</v>
      </c>
      <c r="C136" s="238">
        <v>112.82312324862929</v>
      </c>
      <c r="D136" s="238">
        <v>76.539765477431558</v>
      </c>
      <c r="E136" s="238">
        <v>99.695354826851428</v>
      </c>
      <c r="F136" s="238">
        <v>33.079395730094966</v>
      </c>
      <c r="G136" s="47"/>
      <c r="H136" s="238">
        <f t="shared" si="63"/>
        <v>36.748955453728172</v>
      </c>
      <c r="I136" s="238">
        <f t="shared" si="61"/>
        <v>24.930673349384577</v>
      </c>
      <c r="J136" s="238">
        <f t="shared" si="61"/>
        <v>32.472954550299583</v>
      </c>
      <c r="K136" s="238">
        <f t="shared" si="61"/>
        <v>10.774681688634026</v>
      </c>
      <c r="O136" s="238">
        <f t="shared" si="64"/>
        <v>64.609090460900006</v>
      </c>
      <c r="P136" s="238">
        <f t="shared" si="62"/>
        <v>43.831126893108113</v>
      </c>
      <c r="Q136" s="238">
        <f t="shared" si="62"/>
        <v>57.091365786293487</v>
      </c>
      <c r="R136" s="238">
        <f t="shared" si="62"/>
        <v>18.943188325036733</v>
      </c>
      <c r="S136" s="227"/>
      <c r="T136" s="154">
        <v>0.74624224615740964</v>
      </c>
    </row>
    <row r="137" spans="2:20" x14ac:dyDescent="0.35">
      <c r="C137" s="239">
        <f>SUM(C121:C136)</f>
        <v>-783.35849052032722</v>
      </c>
      <c r="D137" s="239">
        <f t="shared" ref="D137:F137" si="65">SUM(D121:D136)</f>
        <v>-1864.4701080810221</v>
      </c>
      <c r="E137" s="239">
        <f t="shared" si="65"/>
        <v>-2212.4458964613882</v>
      </c>
      <c r="F137" s="239">
        <f t="shared" si="65"/>
        <v>-1983.1990086768719</v>
      </c>
      <c r="G137" s="228"/>
      <c r="H137" s="239">
        <f>SUM(H121:H136)</f>
        <v>-420.5458039108662</v>
      </c>
      <c r="I137" s="239">
        <f t="shared" ref="I137" si="66">SUM(I121:I136)</f>
        <v>-965.67529864803544</v>
      </c>
      <c r="J137" s="239">
        <f t="shared" ref="J137" si="67">SUM(J121:J136)</f>
        <v>-1165.5775297788184</v>
      </c>
      <c r="K137" s="239">
        <f t="shared" ref="K137" si="68">SUM(K121:K136)</f>
        <v>-848.23524067364815</v>
      </c>
      <c r="O137" s="239">
        <f>SUM(O121:O136)</f>
        <v>-538.8744361381307</v>
      </c>
      <c r="P137" s="239">
        <f t="shared" ref="P137" si="69">SUM(P121:P136)</f>
        <v>-1263.5342865397288</v>
      </c>
      <c r="Q137" s="239">
        <f t="shared" ref="Q137" si="70">SUM(Q121:Q136)</f>
        <v>-1509.2181000696107</v>
      </c>
      <c r="R137" s="239">
        <f t="shared" ref="R137" si="71">SUM(R121:R136)</f>
        <v>-1258.6093032130977</v>
      </c>
      <c r="S137" s="227"/>
    </row>
    <row r="141" spans="2:20" x14ac:dyDescent="0.35">
      <c r="B141" s="233"/>
      <c r="C141" s="233"/>
      <c r="D141" s="233"/>
      <c r="E141" s="233"/>
      <c r="F141" s="233"/>
      <c r="G141" s="233"/>
      <c r="H141" s="167" t="s">
        <v>252</v>
      </c>
      <c r="I141" s="231">
        <v>2022</v>
      </c>
      <c r="J141" s="233"/>
      <c r="K141" s="167" t="s">
        <v>253</v>
      </c>
      <c r="L141" s="232">
        <v>6.4299999999999996E-2</v>
      </c>
    </row>
    <row r="142" spans="2:20" x14ac:dyDescent="0.35">
      <c r="B142" s="233"/>
      <c r="C142" s="230" t="s">
        <v>248</v>
      </c>
      <c r="D142" s="230" t="s">
        <v>249</v>
      </c>
      <c r="E142" s="230" t="s">
        <v>250</v>
      </c>
      <c r="F142" s="230" t="s">
        <v>251</v>
      </c>
      <c r="G142" s="230"/>
      <c r="H142" s="230" t="s">
        <v>248</v>
      </c>
      <c r="I142" s="230" t="s">
        <v>249</v>
      </c>
      <c r="J142" s="230" t="s">
        <v>250</v>
      </c>
      <c r="K142" s="230" t="s">
        <v>251</v>
      </c>
      <c r="L142" s="233"/>
    </row>
    <row r="143" spans="2:20" x14ac:dyDescent="0.35">
      <c r="B143" s="233">
        <f>B121</f>
        <v>2025</v>
      </c>
      <c r="C143" s="238" cm="1">
        <f t="array" ref="C143:C158">TRANSPOSE($C$25:$R$25)</f>
        <v>2.6455638988107695</v>
      </c>
      <c r="D143" s="238" cm="1">
        <f t="array" ref="D143:D158">TRANSPOSE($C$62:$R$62)</f>
        <v>6.9206789023127406</v>
      </c>
      <c r="E143" s="238" cm="1">
        <f t="array" ref="E143:E158">TRANSPOSE($C$84:$R$84)</f>
        <v>4.0703346281062753</v>
      </c>
      <c r="F143" s="238" cm="1">
        <f t="array" ref="F143:F158">TRANSPOSE($C$108:$R$108)</f>
        <v>128.61715801415843</v>
      </c>
      <c r="G143" s="47"/>
      <c r="H143" s="238">
        <f>C143/(1+$L$119)^($B143-$I$119)</f>
        <v>2.1944519157493549</v>
      </c>
      <c r="I143" s="238">
        <f t="shared" ref="I143:I158" si="72">D143/(1+$L$119)^($B143-$I$119)</f>
        <v>5.7405897783429927</v>
      </c>
      <c r="J143" s="238">
        <f t="shared" ref="J143:J158" si="73">E143/(1+$L$119)^($B143-$I$119)</f>
        <v>3.376275895813337</v>
      </c>
      <c r="K143" s="238">
        <f t="shared" ref="K143:K158" si="74">F143/(1+$L$119)^($B143-$I$119)</f>
        <v>106.68582563032462</v>
      </c>
      <c r="L143" s="233"/>
    </row>
    <row r="144" spans="2:20" x14ac:dyDescent="0.35">
      <c r="B144" s="233">
        <f t="shared" ref="B144:B158" si="75">B122</f>
        <v>2026</v>
      </c>
      <c r="C144" s="238">
        <v>11.29279708215663</v>
      </c>
      <c r="D144" s="238">
        <v>-1.9450037858350369</v>
      </c>
      <c r="E144" s="238">
        <v>-6.748927083363828</v>
      </c>
      <c r="F144" s="238">
        <v>149.04757091112566</v>
      </c>
      <c r="G144" s="47"/>
      <c r="H144" s="238">
        <f t="shared" ref="H144:H158" si="76">C144/(1+$L$119)^($B144-$I$119)</f>
        <v>8.8012686147274106</v>
      </c>
      <c r="I144" s="238">
        <f t="shared" si="72"/>
        <v>-1.5158778335656338</v>
      </c>
      <c r="J144" s="238">
        <f t="shared" si="73"/>
        <v>-5.2599121094408412</v>
      </c>
      <c r="K144" s="238">
        <f t="shared" si="74"/>
        <v>116.16322319597788</v>
      </c>
      <c r="L144" s="233"/>
    </row>
    <row r="145" spans="2:12" x14ac:dyDescent="0.35">
      <c r="B145" s="233">
        <f t="shared" si="75"/>
        <v>2027</v>
      </c>
      <c r="C145" s="238">
        <v>6.8460157549612308</v>
      </c>
      <c r="D145" s="238">
        <v>-7.2427467976322184</v>
      </c>
      <c r="E145" s="238">
        <v>-1.580566096152026</v>
      </c>
      <c r="F145" s="238">
        <v>169.65268734041771</v>
      </c>
      <c r="G145" s="47"/>
      <c r="H145" s="238">
        <f t="shared" si="76"/>
        <v>5.0132294644877655</v>
      </c>
      <c r="I145" s="238">
        <f t="shared" si="72"/>
        <v>-5.3037493557330952</v>
      </c>
      <c r="J145" s="238">
        <f t="shared" si="73"/>
        <v>-1.1574236471859554</v>
      </c>
      <c r="K145" s="238">
        <f t="shared" si="74"/>
        <v>124.23398971703493</v>
      </c>
      <c r="L145" s="233"/>
    </row>
    <row r="146" spans="2:12" x14ac:dyDescent="0.35">
      <c r="B146" s="233">
        <f t="shared" si="75"/>
        <v>2028</v>
      </c>
      <c r="C146" s="238">
        <v>37.366808535923724</v>
      </c>
      <c r="D146" s="238">
        <v>29.010762216833751</v>
      </c>
      <c r="E146" s="238">
        <v>-24.284320290427896</v>
      </c>
      <c r="F146" s="238">
        <v>137.39825692108934</v>
      </c>
      <c r="G146" s="47"/>
      <c r="H146" s="238">
        <f t="shared" si="76"/>
        <v>25.709973786491307</v>
      </c>
      <c r="I146" s="238">
        <f t="shared" si="72"/>
        <v>19.960653996015399</v>
      </c>
      <c r="J146" s="238">
        <f t="shared" si="73"/>
        <v>-16.708658366941425</v>
      </c>
      <c r="K146" s="238">
        <f t="shared" si="74"/>
        <v>94.535918965483035</v>
      </c>
      <c r="L146" s="233"/>
    </row>
    <row r="147" spans="2:12" x14ac:dyDescent="0.35">
      <c r="B147" s="233">
        <f t="shared" si="75"/>
        <v>2029</v>
      </c>
      <c r="C147" s="238">
        <v>-47.497994611937173</v>
      </c>
      <c r="D147" s="238">
        <v>-149.28706487898836</v>
      </c>
      <c r="E147" s="238">
        <v>-187.81712149448461</v>
      </c>
      <c r="F147" s="238">
        <v>-180.82615808129668</v>
      </c>
      <c r="G147" s="47"/>
      <c r="H147" s="238">
        <f t="shared" si="76"/>
        <v>-30.706254055204266</v>
      </c>
      <c r="I147" s="238">
        <f t="shared" si="72"/>
        <v>-96.510317515129756</v>
      </c>
      <c r="J147" s="238">
        <f t="shared" si="73"/>
        <v>-121.41902612194517</v>
      </c>
      <c r="K147" s="238">
        <f t="shared" si="74"/>
        <v>-116.89954481731685</v>
      </c>
      <c r="L147" s="233"/>
    </row>
    <row r="148" spans="2:12" x14ac:dyDescent="0.35">
      <c r="B148" s="233">
        <f t="shared" si="75"/>
        <v>2030</v>
      </c>
      <c r="C148" s="238">
        <v>-23.361357401319637</v>
      </c>
      <c r="D148" s="238">
        <v>-149.21911217358388</v>
      </c>
      <c r="E148" s="238">
        <v>-199.57969319886161</v>
      </c>
      <c r="F148" s="238">
        <v>-190.15170789818683</v>
      </c>
      <c r="G148" s="47"/>
      <c r="H148" s="238">
        <f t="shared" si="76"/>
        <v>-14.19010393523693</v>
      </c>
      <c r="I148" s="238">
        <f t="shared" si="72"/>
        <v>-90.638342391325423</v>
      </c>
      <c r="J148" s="238">
        <f t="shared" si="73"/>
        <v>-121.22825489988728</v>
      </c>
      <c r="K148" s="238">
        <f t="shared" si="74"/>
        <v>-115.50152896447979</v>
      </c>
      <c r="L148" s="233"/>
    </row>
    <row r="149" spans="2:12" x14ac:dyDescent="0.35">
      <c r="B149" s="233">
        <f t="shared" si="75"/>
        <v>2031</v>
      </c>
      <c r="C149" s="238">
        <v>-51.070252319575772</v>
      </c>
      <c r="D149" s="238">
        <v>-168.17557404734669</v>
      </c>
      <c r="E149" s="238">
        <v>-220.03484545258158</v>
      </c>
      <c r="F149" s="238">
        <v>-230.73464394174198</v>
      </c>
      <c r="G149" s="47"/>
      <c r="H149" s="238">
        <f t="shared" si="76"/>
        <v>-29.146837802544734</v>
      </c>
      <c r="I149" s="238">
        <f t="shared" si="72"/>
        <v>-95.981240672839959</v>
      </c>
      <c r="J149" s="238">
        <f t="shared" si="73"/>
        <v>-125.57838780945477</v>
      </c>
      <c r="K149" s="238">
        <f t="shared" si="74"/>
        <v>-131.68498170548551</v>
      </c>
      <c r="L149" s="233"/>
    </row>
    <row r="150" spans="2:12" x14ac:dyDescent="0.35">
      <c r="B150" s="233">
        <f t="shared" si="75"/>
        <v>2032</v>
      </c>
      <c r="C150" s="238">
        <v>-49.763457391437029</v>
      </c>
      <c r="D150" s="238">
        <v>-180.21484812186799</v>
      </c>
      <c r="E150" s="238">
        <v>-234.47570334757728</v>
      </c>
      <c r="F150" s="238">
        <v>-255.10772036495757</v>
      </c>
      <c r="G150" s="47"/>
      <c r="H150" s="238">
        <f t="shared" si="76"/>
        <v>-26.68516696648198</v>
      </c>
      <c r="I150" s="238">
        <f t="shared" si="72"/>
        <v>-96.638448453116339</v>
      </c>
      <c r="J150" s="238">
        <f t="shared" si="73"/>
        <v>-125.73530098996025</v>
      </c>
      <c r="K150" s="238">
        <f t="shared" si="74"/>
        <v>-136.79901817973149</v>
      </c>
      <c r="L150" s="233"/>
    </row>
    <row r="151" spans="2:12" x14ac:dyDescent="0.35">
      <c r="B151" s="233">
        <f t="shared" si="75"/>
        <v>2033</v>
      </c>
      <c r="C151" s="238">
        <v>-48.155059697942008</v>
      </c>
      <c r="D151" s="238">
        <v>-194.92747463950073</v>
      </c>
      <c r="E151" s="238">
        <v>-231.92537187973173</v>
      </c>
      <c r="F151" s="238">
        <v>-207.67995260070646</v>
      </c>
      <c r="G151" s="47"/>
      <c r="H151" s="238">
        <f t="shared" si="76"/>
        <v>-24.262594611981982</v>
      </c>
      <c r="I151" s="238">
        <f t="shared" si="72"/>
        <v>-98.212863312424176</v>
      </c>
      <c r="J151" s="238">
        <f t="shared" si="73"/>
        <v>-116.85399859220985</v>
      </c>
      <c r="K151" s="238">
        <f t="shared" si="74"/>
        <v>-104.63811135513799</v>
      </c>
      <c r="L151" s="233"/>
    </row>
    <row r="152" spans="2:12" x14ac:dyDescent="0.35">
      <c r="B152" s="233">
        <f t="shared" si="75"/>
        <v>2034</v>
      </c>
      <c r="C152" s="238">
        <v>-11.349640367279974</v>
      </c>
      <c r="D152" s="238">
        <v>24.734477366351165</v>
      </c>
      <c r="E152" s="238">
        <v>6.0322520560587947</v>
      </c>
      <c r="F152" s="238">
        <v>76.064764440452777</v>
      </c>
      <c r="G152" s="47"/>
      <c r="H152" s="238">
        <f t="shared" si="76"/>
        <v>-5.3729568721669159</v>
      </c>
      <c r="I152" s="238">
        <f t="shared" si="72"/>
        <v>11.709382486525726</v>
      </c>
      <c r="J152" s="238">
        <f t="shared" si="73"/>
        <v>2.8556878535713159</v>
      </c>
      <c r="K152" s="238">
        <f t="shared" si="74"/>
        <v>36.009308278023852</v>
      </c>
      <c r="L152" s="233"/>
    </row>
    <row r="153" spans="2:12" x14ac:dyDescent="0.35">
      <c r="B153" s="233">
        <f t="shared" si="75"/>
        <v>2035</v>
      </c>
      <c r="C153" s="238">
        <v>-77.419687084704393</v>
      </c>
      <c r="D153" s="238">
        <v>-170.32324454010251</v>
      </c>
      <c r="E153" s="238">
        <v>-198.32589172207358</v>
      </c>
      <c r="F153" s="238">
        <v>-265.5281184348529</v>
      </c>
      <c r="G153" s="47"/>
      <c r="H153" s="238">
        <f t="shared" si="76"/>
        <v>-34.436468185174064</v>
      </c>
      <c r="I153" s="238">
        <f t="shared" si="72"/>
        <v>-75.760200185046486</v>
      </c>
      <c r="J153" s="238">
        <f t="shared" si="73"/>
        <v>-88.215846869946574</v>
      </c>
      <c r="K153" s="238">
        <f t="shared" si="74"/>
        <v>-118.10756342565314</v>
      </c>
      <c r="L153" s="233"/>
    </row>
    <row r="154" spans="2:12" x14ac:dyDescent="0.35">
      <c r="B154" s="233">
        <f t="shared" si="75"/>
        <v>2036</v>
      </c>
      <c r="C154" s="238">
        <v>-27.761100607253866</v>
      </c>
      <c r="D154" s="238">
        <v>-192.91356153329014</v>
      </c>
      <c r="E154" s="238">
        <v>-209.14316511144511</v>
      </c>
      <c r="F154" s="238">
        <v>-364.95058329434772</v>
      </c>
      <c r="G154" s="47"/>
      <c r="H154" s="238">
        <f t="shared" si="76"/>
        <v>-11.602185635064217</v>
      </c>
      <c r="I154" s="238">
        <f t="shared" si="72"/>
        <v>-80.624287347086579</v>
      </c>
      <c r="J154" s="238">
        <f t="shared" si="73"/>
        <v>-87.407119056865938</v>
      </c>
      <c r="K154" s="238">
        <f t="shared" si="74"/>
        <v>-152.52365080581862</v>
      </c>
      <c r="L154" s="233"/>
    </row>
    <row r="155" spans="2:12" x14ac:dyDescent="0.35">
      <c r="B155" s="233">
        <f t="shared" si="75"/>
        <v>2037</v>
      </c>
      <c r="C155" s="238">
        <v>-22.094090085889377</v>
      </c>
      <c r="D155" s="238">
        <v>-103.95561212192317</v>
      </c>
      <c r="E155" s="238">
        <v>-107.18229656410318</v>
      </c>
      <c r="F155" s="238">
        <v>-191.46710894809553</v>
      </c>
      <c r="G155" s="47"/>
      <c r="H155" s="238">
        <f t="shared" si="76"/>
        <v>-8.6759129966041204</v>
      </c>
      <c r="I155" s="238">
        <f t="shared" si="72"/>
        <v>-40.821316595180548</v>
      </c>
      <c r="J155" s="238">
        <f t="shared" si="73"/>
        <v>-42.088371874625111</v>
      </c>
      <c r="K155" s="238">
        <f t="shared" si="74"/>
        <v>-75.185353752400559</v>
      </c>
      <c r="L155" s="233"/>
    </row>
    <row r="156" spans="2:12" x14ac:dyDescent="0.35">
      <c r="B156" s="233">
        <f t="shared" si="75"/>
        <v>2038</v>
      </c>
      <c r="C156" s="238">
        <v>0.96840612118415947</v>
      </c>
      <c r="D156" s="238">
        <v>-75.42627093628883</v>
      </c>
      <c r="E156" s="238">
        <v>-97.547186030858541</v>
      </c>
      <c r="F156" s="238">
        <v>-171.71171644642504</v>
      </c>
      <c r="G156" s="47"/>
      <c r="H156" s="238">
        <f t="shared" si="76"/>
        <v>0.35729960121847126</v>
      </c>
      <c r="I156" s="238">
        <f t="shared" si="72"/>
        <v>-27.829002664686165</v>
      </c>
      <c r="J156" s="238">
        <f t="shared" si="73"/>
        <v>-35.990655063385091</v>
      </c>
      <c r="K156" s="238">
        <f t="shared" si="74"/>
        <v>-63.354130533402127</v>
      </c>
      <c r="L156" s="233"/>
    </row>
    <row r="157" spans="2:12" x14ac:dyDescent="0.35">
      <c r="B157" s="233">
        <f t="shared" si="75"/>
        <v>2039</v>
      </c>
      <c r="C157" s="238">
        <v>5.4450676160022766</v>
      </c>
      <c r="D157" s="238">
        <v>-5.7716452569358268</v>
      </c>
      <c r="E157" s="238">
        <v>-1.3251164900880639</v>
      </c>
      <c r="F157" s="238">
        <v>-16.627498812944438</v>
      </c>
      <c r="G157" s="47"/>
      <c r="H157" s="238">
        <f t="shared" si="76"/>
        <v>1.8876184803242819</v>
      </c>
      <c r="I157" s="238">
        <f t="shared" si="72"/>
        <v>-2.0008317650363407</v>
      </c>
      <c r="J157" s="238">
        <f t="shared" si="73"/>
        <v>-0.45937250952066627</v>
      </c>
      <c r="K157" s="238">
        <f t="shared" si="74"/>
        <v>-5.7641844425666831</v>
      </c>
      <c r="L157" s="233"/>
    </row>
    <row r="158" spans="2:12" x14ac:dyDescent="0.35">
      <c r="B158" s="233">
        <f t="shared" si="75"/>
        <v>2040</v>
      </c>
      <c r="C158" s="238">
        <v>164.9112080662868</v>
      </c>
      <c r="D158" s="238">
        <v>128.62785029508908</v>
      </c>
      <c r="E158" s="238">
        <v>151.78343964450895</v>
      </c>
      <c r="F158" s="238">
        <v>85.16748054775249</v>
      </c>
      <c r="G158" s="47"/>
      <c r="H158" s="238">
        <f t="shared" si="76"/>
        <v>53.715182354004725</v>
      </c>
      <c r="I158" s="238">
        <f t="shared" si="72"/>
        <v>41.89690024966113</v>
      </c>
      <c r="J158" s="238">
        <f t="shared" si="73"/>
        <v>49.439181450576136</v>
      </c>
      <c r="K158" s="238">
        <f t="shared" si="74"/>
        <v>27.740908588910578</v>
      </c>
      <c r="L158" s="233"/>
    </row>
    <row r="159" spans="2:12" x14ac:dyDescent="0.35">
      <c r="B159" s="233"/>
      <c r="C159" s="239">
        <f>SUM(C143:C158)</f>
        <v>-128.99677249201358</v>
      </c>
      <c r="D159" s="239">
        <f t="shared" ref="D159:F159" si="77">SUM(D143:D158)</f>
        <v>-1210.1083900527087</v>
      </c>
      <c r="E159" s="239">
        <f t="shared" si="77"/>
        <v>-1558.0841784330748</v>
      </c>
      <c r="F159" s="239">
        <f t="shared" si="77"/>
        <v>-1328.8372906485586</v>
      </c>
      <c r="G159" s="234"/>
      <c r="H159" s="239">
        <f>SUM(H143:H158)</f>
        <v>-87.39945684345588</v>
      </c>
      <c r="I159" s="239">
        <f t="shared" ref="I159:K159" si="78">SUM(I143:I158)</f>
        <v>-632.52895158062529</v>
      </c>
      <c r="J159" s="239">
        <f t="shared" si="78"/>
        <v>-832.43118271140804</v>
      </c>
      <c r="K159" s="239">
        <f t="shared" si="78"/>
        <v>-515.08889360623789</v>
      </c>
      <c r="L159" s="233"/>
    </row>
  </sheetData>
  <mergeCells count="15">
    <mergeCell ref="B29:N29"/>
    <mergeCell ref="B30:N30"/>
    <mergeCell ref="B31:N31"/>
    <mergeCell ref="A1:M1"/>
    <mergeCell ref="B4:N4"/>
    <mergeCell ref="B26:N26"/>
    <mergeCell ref="B27:N27"/>
    <mergeCell ref="B28:N28"/>
    <mergeCell ref="B64:N64"/>
    <mergeCell ref="B87:N87"/>
    <mergeCell ref="B41:N41"/>
    <mergeCell ref="B32:N32"/>
    <mergeCell ref="B33:N33"/>
    <mergeCell ref="B34:N34"/>
    <mergeCell ref="B35:N35"/>
  </mergeCells>
  <phoneticPr fontId="13" type="noConversion"/>
  <pageMargins left="0.25" right="0.25" top="0.75" bottom="0.75" header="0.3" footer="0.3"/>
  <pageSetup scale="26" orientation="landscape" r:id="rId1"/>
  <headerFooter>
    <oddFooter>&amp;L&amp;1#&amp;"Calibri"&amp;14&amp;K000000Business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37"/>
  <sheetViews>
    <sheetView zoomScale="90" zoomScaleNormal="90" workbookViewId="0">
      <pane ySplit="3" topLeftCell="A4" activePane="bottomLeft" state="frozen"/>
      <selection pane="bottomLeft"/>
    </sheetView>
  </sheetViews>
  <sheetFormatPr defaultRowHeight="14.5" x14ac:dyDescent="0.35"/>
  <cols>
    <col min="2" max="2" width="7.08984375" bestFit="1" customWidth="1"/>
    <col min="3" max="3" width="73.453125" bestFit="1" customWidth="1"/>
    <col min="4" max="4" width="20.54296875" style="10" bestFit="1" customWidth="1"/>
    <col min="5" max="5" width="19.453125" bestFit="1" customWidth="1"/>
    <col min="6" max="8" width="12.453125" customWidth="1"/>
    <col min="9" max="9" width="12.453125" style="10" customWidth="1"/>
    <col min="10" max="10" width="13" style="10" bestFit="1" customWidth="1"/>
    <col min="11" max="17" width="13" style="10" customWidth="1"/>
    <col min="18" max="18" width="13" style="188" customWidth="1"/>
    <col min="19" max="21" width="13" style="210" customWidth="1"/>
    <col min="22" max="22" width="64.54296875" customWidth="1"/>
  </cols>
  <sheetData>
    <row r="1" spans="1:22" x14ac:dyDescent="0.35">
      <c r="A1" s="12"/>
      <c r="G1" s="3" t="s">
        <v>12</v>
      </c>
      <c r="H1" s="2">
        <v>0.02</v>
      </c>
    </row>
    <row r="3" spans="1:22" x14ac:dyDescent="0.35">
      <c r="F3" s="138">
        <v>2025</v>
      </c>
      <c r="G3" s="138">
        <v>2026</v>
      </c>
      <c r="H3" s="138">
        <v>2027</v>
      </c>
      <c r="I3" s="138">
        <v>2028</v>
      </c>
      <c r="J3" s="138">
        <v>2029</v>
      </c>
      <c r="K3" s="138">
        <v>2030</v>
      </c>
      <c r="L3" s="138">
        <v>2031</v>
      </c>
      <c r="M3" s="138">
        <v>2032</v>
      </c>
      <c r="N3" s="138">
        <v>2033</v>
      </c>
      <c r="O3" s="138">
        <v>2034</v>
      </c>
      <c r="P3" s="138">
        <v>2035</v>
      </c>
      <c r="Q3" s="138">
        <v>2036</v>
      </c>
      <c r="R3" s="138">
        <v>2037</v>
      </c>
      <c r="S3" s="214">
        <v>2038</v>
      </c>
      <c r="T3" s="214">
        <v>2039</v>
      </c>
      <c r="U3" s="214">
        <v>2040</v>
      </c>
    </row>
    <row r="4" spans="1:22" x14ac:dyDescent="0.35">
      <c r="A4" t="s">
        <v>15</v>
      </c>
    </row>
    <row r="5" spans="1:22" x14ac:dyDescent="0.35">
      <c r="A5" s="247">
        <v>1</v>
      </c>
      <c r="C5" s="4" t="s">
        <v>0</v>
      </c>
      <c r="D5" s="23"/>
      <c r="E5" s="4"/>
    </row>
    <row r="6" spans="1:22" x14ac:dyDescent="0.35">
      <c r="A6" s="247"/>
      <c r="B6" s="4"/>
      <c r="C6" s="141" t="s">
        <v>1</v>
      </c>
      <c r="D6" s="141"/>
      <c r="E6" s="15"/>
      <c r="F6" s="131">
        <v>33050197</v>
      </c>
      <c r="G6" s="131">
        <v>33155652</v>
      </c>
      <c r="H6" s="131">
        <v>34025758</v>
      </c>
      <c r="I6" s="131">
        <v>34075501</v>
      </c>
      <c r="J6" s="131">
        <v>33920100</v>
      </c>
      <c r="K6" s="131">
        <v>33808022</v>
      </c>
      <c r="L6" s="131">
        <v>33768870</v>
      </c>
      <c r="M6" s="131">
        <v>33827370</v>
      </c>
      <c r="N6" s="131">
        <v>33717107</v>
      </c>
      <c r="O6" s="131">
        <v>33675260</v>
      </c>
      <c r="P6" s="131">
        <v>33675950</v>
      </c>
      <c r="Q6" s="131">
        <v>33792306</v>
      </c>
      <c r="R6" s="131">
        <v>33709834</v>
      </c>
      <c r="S6" s="131">
        <v>33753359</v>
      </c>
      <c r="T6" s="131">
        <v>33754477</v>
      </c>
      <c r="U6" s="131">
        <v>33870433</v>
      </c>
      <c r="V6" s="16" t="s">
        <v>230</v>
      </c>
    </row>
    <row r="7" spans="1:22" x14ac:dyDescent="0.35">
      <c r="A7" s="247"/>
      <c r="B7" s="4"/>
      <c r="C7" s="141" t="s">
        <v>30</v>
      </c>
      <c r="D7" s="141"/>
      <c r="E7" s="15"/>
      <c r="F7" s="152">
        <v>0.57999999999999996</v>
      </c>
      <c r="G7" s="152">
        <f t="shared" ref="G7:U7" si="0">F7*(1+$H$1)</f>
        <v>0.59160000000000001</v>
      </c>
      <c r="H7" s="152">
        <f t="shared" si="0"/>
        <v>0.60343200000000008</v>
      </c>
      <c r="I7" s="152">
        <f t="shared" si="0"/>
        <v>0.61550064000000004</v>
      </c>
      <c r="J7" s="152">
        <f t="shared" si="0"/>
        <v>0.62781065280000004</v>
      </c>
      <c r="K7" s="152">
        <f t="shared" si="0"/>
        <v>0.640366865856</v>
      </c>
      <c r="L7" s="152">
        <f t="shared" si="0"/>
        <v>0.65317420317312003</v>
      </c>
      <c r="M7" s="152">
        <f t="shared" si="0"/>
        <v>0.66623768723658239</v>
      </c>
      <c r="N7" s="152">
        <f t="shared" si="0"/>
        <v>0.67956244098131402</v>
      </c>
      <c r="O7" s="152">
        <f t="shared" si="0"/>
        <v>0.69315368980094028</v>
      </c>
      <c r="P7" s="152">
        <f t="shared" si="0"/>
        <v>0.70701676359695909</v>
      </c>
      <c r="Q7" s="152">
        <f t="shared" si="0"/>
        <v>0.72115709886889823</v>
      </c>
      <c r="R7" s="152">
        <f t="shared" si="0"/>
        <v>0.73558024084627616</v>
      </c>
      <c r="S7" s="152">
        <f t="shared" si="0"/>
        <v>0.75029184566320173</v>
      </c>
      <c r="T7" s="152">
        <f t="shared" si="0"/>
        <v>0.7652976825764658</v>
      </c>
      <c r="U7" s="152">
        <f t="shared" si="0"/>
        <v>0.78060363622799511</v>
      </c>
      <c r="V7" s="16" t="s">
        <v>216</v>
      </c>
    </row>
    <row r="8" spans="1:22" x14ac:dyDescent="0.35">
      <c r="A8" s="247"/>
      <c r="B8" s="4"/>
      <c r="C8" s="141" t="s">
        <v>2</v>
      </c>
      <c r="D8" s="141"/>
      <c r="E8" s="15"/>
      <c r="F8" s="139">
        <f t="shared" ref="F8:Q8" si="1">-F6*F7/1000000</f>
        <v>-19.169114259999997</v>
      </c>
      <c r="G8" s="139">
        <f t="shared" si="1"/>
        <v>-19.614883723200002</v>
      </c>
      <c r="H8" s="139">
        <f t="shared" si="1"/>
        <v>-20.532231201456003</v>
      </c>
      <c r="I8" s="139">
        <f t="shared" si="1"/>
        <v>-20.97349267382064</v>
      </c>
      <c r="J8" s="139">
        <f t="shared" si="1"/>
        <v>-21.295400124041283</v>
      </c>
      <c r="K8" s="139">
        <f t="shared" si="1"/>
        <v>-21.649537088930696</v>
      </c>
      <c r="L8" s="139">
        <f t="shared" si="1"/>
        <v>-22.056954754306677</v>
      </c>
      <c r="M8" s="139">
        <f t="shared" si="1"/>
        <v>-22.537068754096151</v>
      </c>
      <c r="N8" s="139">
        <f t="shared" si="1"/>
        <v>-22.91287953574815</v>
      </c>
      <c r="O8" s="139">
        <f t="shared" si="1"/>
        <v>-23.342130724006012</v>
      </c>
      <c r="P8" s="139">
        <f t="shared" si="1"/>
        <v>-23.809461180053013</v>
      </c>
      <c r="Q8" s="139">
        <f t="shared" si="1"/>
        <v>-24.36956135905006</v>
      </c>
      <c r="R8" s="139">
        <f t="shared" ref="R8:U8" si="2">-R6*R7/1000000</f>
        <v>-24.796287812607989</v>
      </c>
      <c r="S8" s="139">
        <f t="shared" si="2"/>
        <v>-25.324870021442642</v>
      </c>
      <c r="T8" s="139">
        <f t="shared" si="2"/>
        <v>-25.832223024680616</v>
      </c>
      <c r="U8" s="139">
        <f t="shared" si="2"/>
        <v>-26.439383160416682</v>
      </c>
      <c r="V8" s="13"/>
    </row>
    <row r="9" spans="1:22" s="10" customFormat="1" x14ac:dyDescent="0.35">
      <c r="A9" s="247"/>
      <c r="B9" s="23"/>
      <c r="C9" s="143" t="s">
        <v>126</v>
      </c>
      <c r="D9" s="143"/>
      <c r="E9" s="154">
        <v>0.15</v>
      </c>
      <c r="F9" s="128">
        <f t="shared" ref="F9:Q9" si="3">(-$E9*F6)/1000000</f>
        <v>-4.9575295499999994</v>
      </c>
      <c r="G9" s="128">
        <f t="shared" si="3"/>
        <v>-4.9733478</v>
      </c>
      <c r="H9" s="128">
        <f t="shared" si="3"/>
        <v>-5.1038636999999998</v>
      </c>
      <c r="I9" s="128">
        <f t="shared" si="3"/>
        <v>-5.1113251499999999</v>
      </c>
      <c r="J9" s="128">
        <f t="shared" si="3"/>
        <v>-5.0880150000000004</v>
      </c>
      <c r="K9" s="128">
        <f t="shared" si="3"/>
        <v>-5.0712032999999996</v>
      </c>
      <c r="L9" s="128">
        <f t="shared" si="3"/>
        <v>-5.0653305</v>
      </c>
      <c r="M9" s="128">
        <f t="shared" si="3"/>
        <v>-5.0741054999999999</v>
      </c>
      <c r="N9" s="128">
        <f t="shared" si="3"/>
        <v>-5.0575660500000001</v>
      </c>
      <c r="O9" s="128">
        <f t="shared" si="3"/>
        <v>-5.0512889999999997</v>
      </c>
      <c r="P9" s="128">
        <f t="shared" si="3"/>
        <v>-5.0513925000000004</v>
      </c>
      <c r="Q9" s="128">
        <f t="shared" si="3"/>
        <v>-5.0688458999999995</v>
      </c>
      <c r="R9" s="128">
        <f t="shared" ref="R9:U9" si="4">(-$E9*R6)/1000000</f>
        <v>-5.0564750999999992</v>
      </c>
      <c r="S9" s="128">
        <f t="shared" si="4"/>
        <v>-5.0630038499999994</v>
      </c>
      <c r="T9" s="128">
        <f t="shared" si="4"/>
        <v>-5.0631715499999999</v>
      </c>
      <c r="U9" s="128">
        <f t="shared" si="4"/>
        <v>-5.0805649500000003</v>
      </c>
      <c r="V9" s="16" t="s">
        <v>217</v>
      </c>
    </row>
    <row r="10" spans="1:22" s="10" customFormat="1" x14ac:dyDescent="0.35">
      <c r="A10" s="247"/>
      <c r="B10" s="23"/>
      <c r="C10" s="144" t="s">
        <v>137</v>
      </c>
      <c r="D10" s="144"/>
      <c r="F10" s="153">
        <f t="shared" ref="F10:Q10" si="5">SUM(F8:F9)</f>
        <v>-24.126643809999997</v>
      </c>
      <c r="G10" s="153">
        <f t="shared" si="5"/>
        <v>-24.588231523200001</v>
      </c>
      <c r="H10" s="153">
        <f t="shared" si="5"/>
        <v>-25.636094901456005</v>
      </c>
      <c r="I10" s="153">
        <f t="shared" si="5"/>
        <v>-26.084817823820639</v>
      </c>
      <c r="J10" s="153">
        <f t="shared" si="5"/>
        <v>-26.383415124041285</v>
      </c>
      <c r="K10" s="153">
        <f t="shared" si="5"/>
        <v>-26.720740388930697</v>
      </c>
      <c r="L10" s="153">
        <f t="shared" si="5"/>
        <v>-27.122285254306675</v>
      </c>
      <c r="M10" s="153">
        <f t="shared" si="5"/>
        <v>-27.611174254096149</v>
      </c>
      <c r="N10" s="153">
        <f t="shared" si="5"/>
        <v>-27.970445585748152</v>
      </c>
      <c r="O10" s="153">
        <f t="shared" si="5"/>
        <v>-28.393419724006012</v>
      </c>
      <c r="P10" s="153">
        <f t="shared" si="5"/>
        <v>-28.860853680053012</v>
      </c>
      <c r="Q10" s="153">
        <f t="shared" si="5"/>
        <v>-29.438407259050059</v>
      </c>
      <c r="R10" s="153">
        <f t="shared" ref="R10:U10" si="6">SUM(R8:R9)</f>
        <v>-29.852762912607989</v>
      </c>
      <c r="S10" s="153">
        <f t="shared" si="6"/>
        <v>-30.387873871442643</v>
      </c>
      <c r="T10" s="153">
        <f t="shared" si="6"/>
        <v>-30.895394574680616</v>
      </c>
      <c r="U10" s="153">
        <f t="shared" si="6"/>
        <v>-31.519948110416681</v>
      </c>
    </row>
    <row r="11" spans="1:22" s="10" customFormat="1" x14ac:dyDescent="0.35">
      <c r="A11" s="247"/>
      <c r="B11" s="23"/>
      <c r="C11" s="15"/>
      <c r="D11" s="15"/>
      <c r="E11" s="15"/>
      <c r="F11" s="6"/>
      <c r="G11" s="6"/>
      <c r="H11" s="6"/>
      <c r="I11" s="6"/>
      <c r="J11" s="6"/>
      <c r="K11" s="6"/>
      <c r="L11" s="6"/>
      <c r="M11" s="6"/>
      <c r="N11" s="6"/>
      <c r="O11" s="6"/>
      <c r="P11" s="6"/>
      <c r="Q11" s="6"/>
      <c r="R11" s="6"/>
      <c r="S11" s="6"/>
      <c r="T11" s="6"/>
      <c r="U11" s="6"/>
      <c r="V11" s="13"/>
    </row>
    <row r="12" spans="1:22" s="25" customFormat="1" x14ac:dyDescent="0.35">
      <c r="F12" s="26"/>
    </row>
    <row r="13" spans="1:22" x14ac:dyDescent="0.35">
      <c r="A13" s="248">
        <v>2</v>
      </c>
      <c r="C13" s="4" t="s">
        <v>3</v>
      </c>
      <c r="D13" s="23"/>
      <c r="E13" s="15"/>
      <c r="F13" s="19"/>
      <c r="G13" s="19"/>
      <c r="H13" s="19"/>
      <c r="I13" s="19"/>
      <c r="J13" s="19"/>
      <c r="K13" s="100"/>
      <c r="L13" s="100"/>
      <c r="M13" s="118"/>
      <c r="N13" s="118"/>
      <c r="O13" s="118"/>
      <c r="P13" s="118"/>
      <c r="Q13" s="118"/>
      <c r="R13" s="186"/>
      <c r="S13" s="212"/>
      <c r="T13" s="212"/>
      <c r="U13" s="212"/>
      <c r="V13" s="13"/>
    </row>
    <row r="14" spans="1:22" x14ac:dyDescent="0.35">
      <c r="A14" s="248"/>
      <c r="B14" s="4"/>
      <c r="C14" s="141" t="s">
        <v>109</v>
      </c>
      <c r="D14" s="141"/>
      <c r="E14" s="20"/>
      <c r="F14" s="156">
        <f>'PJM TCIC Calc'!H2</f>
        <v>-21.341414520000004</v>
      </c>
      <c r="G14" s="156">
        <f>'PJM TCIC Calc'!I2</f>
        <v>-20.872449360000001</v>
      </c>
      <c r="H14" s="156">
        <f>'PJM TCIC Calc'!J2</f>
        <v>-20.403484200000005</v>
      </c>
      <c r="I14" s="156">
        <f>'PJM TCIC Calc'!K2</f>
        <v>-19.934519039999998</v>
      </c>
      <c r="J14" s="156">
        <f>'PJM TCIC Calc'!L2</f>
        <v>-19.465553879999998</v>
      </c>
      <c r="K14" s="156">
        <f>'PJM TCIC Calc'!M2</f>
        <v>-18.996588719999998</v>
      </c>
      <c r="L14" s="156">
        <f>'PJM TCIC Calc'!N2</f>
        <v>-18.527623559999999</v>
      </c>
      <c r="M14" s="156">
        <f>'PJM TCIC Calc'!O2</f>
        <v>-18.527623559999999</v>
      </c>
      <c r="N14" s="156">
        <f>'PJM TCIC Calc'!P2</f>
        <v>-18.527623559999999</v>
      </c>
      <c r="O14" s="156">
        <f>'PJM TCIC Calc'!Q2</f>
        <v>-18.527623559999999</v>
      </c>
      <c r="P14" s="156">
        <f>'PJM TCIC Calc'!R2</f>
        <v>-18.527623559999999</v>
      </c>
      <c r="Q14" s="156">
        <f>'PJM TCIC Calc'!S2</f>
        <v>-18.527623559999999</v>
      </c>
      <c r="R14" s="156">
        <f>'PJM TCIC Calc'!T2</f>
        <v>-18.527623559999999</v>
      </c>
      <c r="S14" s="156">
        <f>'PJM TCIC Calc'!U2</f>
        <v>-18.527623559999999</v>
      </c>
      <c r="T14" s="156">
        <f>'PJM TCIC Calc'!V2</f>
        <v>-18.527623559999999</v>
      </c>
      <c r="U14" s="156">
        <f>'PJM TCIC Calc'!W2</f>
        <v>-18.527623559999999</v>
      </c>
      <c r="V14" s="16" t="s">
        <v>204</v>
      </c>
    </row>
    <row r="15" spans="1:22" x14ac:dyDescent="0.35">
      <c r="A15" s="248"/>
      <c r="B15" s="4"/>
      <c r="C15" s="142" t="s">
        <v>110</v>
      </c>
      <c r="D15" s="142"/>
      <c r="E15" s="155">
        <v>0.96</v>
      </c>
      <c r="F15" s="157">
        <f t="shared" ref="F15:Q15" si="7">F14*$E15</f>
        <v>-20.487757939200005</v>
      </c>
      <c r="G15" s="157">
        <f t="shared" si="7"/>
        <v>-20.0375513856</v>
      </c>
      <c r="H15" s="157">
        <f t="shared" si="7"/>
        <v>-19.587344832000003</v>
      </c>
      <c r="I15" s="157">
        <f t="shared" si="7"/>
        <v>-19.137138278399998</v>
      </c>
      <c r="J15" s="157">
        <f t="shared" si="7"/>
        <v>-18.686931724799997</v>
      </c>
      <c r="K15" s="157">
        <f t="shared" si="7"/>
        <v>-18.236725171199996</v>
      </c>
      <c r="L15" s="157">
        <f t="shared" si="7"/>
        <v>-17.786518617599999</v>
      </c>
      <c r="M15" s="157">
        <f t="shared" si="7"/>
        <v>-17.786518617599999</v>
      </c>
      <c r="N15" s="157">
        <f t="shared" si="7"/>
        <v>-17.786518617599999</v>
      </c>
      <c r="O15" s="157">
        <f t="shared" si="7"/>
        <v>-17.786518617599999</v>
      </c>
      <c r="P15" s="157">
        <f t="shared" si="7"/>
        <v>-17.786518617599999</v>
      </c>
      <c r="Q15" s="157">
        <f t="shared" si="7"/>
        <v>-17.786518617599999</v>
      </c>
      <c r="R15" s="157">
        <f t="shared" ref="R15:U15" si="8">R14*$E15</f>
        <v>-17.786518617599999</v>
      </c>
      <c r="S15" s="157">
        <f t="shared" si="8"/>
        <v>-17.786518617599999</v>
      </c>
      <c r="T15" s="157">
        <f t="shared" si="8"/>
        <v>-17.786518617599999</v>
      </c>
      <c r="U15" s="157">
        <f t="shared" si="8"/>
        <v>-17.786518617599999</v>
      </c>
      <c r="V15" s="13"/>
    </row>
    <row r="16" spans="1:22" x14ac:dyDescent="0.35">
      <c r="A16" s="248"/>
      <c r="B16" s="4"/>
      <c r="C16" s="15"/>
      <c r="D16" s="15"/>
      <c r="E16" s="15"/>
      <c r="F16" s="18"/>
      <c r="G16" s="13"/>
      <c r="H16" s="13"/>
      <c r="I16" s="13"/>
      <c r="J16" s="13"/>
      <c r="K16" s="13"/>
      <c r="L16" s="13"/>
      <c r="M16" s="13"/>
      <c r="N16" s="13"/>
      <c r="O16" s="13"/>
      <c r="P16" s="13"/>
      <c r="Q16" s="13"/>
      <c r="R16" s="13"/>
      <c r="S16" s="13"/>
      <c r="T16" s="13"/>
      <c r="U16" s="13"/>
      <c r="V16" s="13"/>
    </row>
    <row r="17" spans="1:22" s="10" customFormat="1" x14ac:dyDescent="0.35">
      <c r="A17" s="25"/>
      <c r="B17" s="25"/>
      <c r="C17" s="25"/>
      <c r="D17" s="25"/>
      <c r="E17" s="25"/>
      <c r="F17" s="25"/>
      <c r="G17" s="25"/>
      <c r="H17" s="25"/>
      <c r="I17" s="25"/>
      <c r="J17" s="25"/>
      <c r="K17" s="25"/>
      <c r="L17" s="25"/>
      <c r="M17" s="25"/>
      <c r="N17" s="25"/>
      <c r="O17" s="25"/>
      <c r="P17" s="25"/>
      <c r="Q17" s="25"/>
      <c r="R17" s="25"/>
      <c r="S17" s="25"/>
      <c r="T17" s="25"/>
      <c r="U17" s="25"/>
      <c r="V17" s="25"/>
    </row>
    <row r="18" spans="1:22" s="10" customFormat="1" x14ac:dyDescent="0.35">
      <c r="A18" s="246">
        <v>3</v>
      </c>
      <c r="C18" s="13" t="s">
        <v>35</v>
      </c>
      <c r="D18" s="13"/>
      <c r="E18" s="15"/>
      <c r="F18" s="22"/>
      <c r="G18" s="22"/>
      <c r="H18" s="22"/>
      <c r="I18" s="22"/>
      <c r="J18" s="22"/>
      <c r="K18" s="99"/>
      <c r="L18" s="99"/>
      <c r="M18" s="119"/>
      <c r="N18" s="119"/>
      <c r="O18" s="119"/>
      <c r="P18" s="119"/>
      <c r="Q18" s="119"/>
      <c r="R18" s="185"/>
      <c r="S18" s="211"/>
      <c r="T18" s="211"/>
      <c r="U18" s="211"/>
      <c r="V18" s="13"/>
    </row>
    <row r="19" spans="1:22" s="10" customFormat="1" x14ac:dyDescent="0.35">
      <c r="A19" s="246"/>
      <c r="B19"/>
      <c r="C19" s="141" t="s">
        <v>105</v>
      </c>
      <c r="D19" s="141"/>
      <c r="E19" s="15"/>
      <c r="F19" s="80">
        <f>-VLOOKUP(F$3,GenNetMeters!$J$3:$M$19,4,0)</f>
        <v>-0.49196582230248354</v>
      </c>
      <c r="G19" s="80">
        <f>-VLOOKUP(G$3,GenNetMeters!$J$3:$M$19,4,0)</f>
        <v>-0.46987068187098119</v>
      </c>
      <c r="H19" s="80">
        <f>-VLOOKUP(H$3,GenNetMeters!$J$3:$M$19,4,0)</f>
        <v>-0.44055307796498661</v>
      </c>
      <c r="I19" s="80">
        <f>-VLOOKUP(I$3,GenNetMeters!$J$3:$M$19,4,0)</f>
        <v>-0.41559921208833772</v>
      </c>
      <c r="J19" s="80">
        <f>-VLOOKUP(J$3,GenNetMeters!$J$3:$M$19,4,0)</f>
        <v>-0.39375814600595549</v>
      </c>
      <c r="K19" s="80">
        <f>-VLOOKUP(K$3,GenNetMeters!$J$3:$M$19,4,0)</f>
        <v>-0.37321529198730363</v>
      </c>
      <c r="L19" s="80">
        <f>-VLOOKUP(L$3,GenNetMeters!$J$3:$M$19,4,0)</f>
        <v>-0.35267243796865183</v>
      </c>
      <c r="M19" s="80">
        <f>-VLOOKUP(M$3,GenNetMeters!$J$3:$M$19,4,0)</f>
        <v>-0.33375143991757356</v>
      </c>
      <c r="N19" s="80">
        <f>-VLOOKUP(N$3,GenNetMeters!$J$3:$M$19,4,0)</f>
        <v>-0.31807779024999994</v>
      </c>
      <c r="O19" s="80">
        <f>-VLOOKUP(O$3,GenNetMeters!$J$3:$M$19,4,0)</f>
        <v>-0.30402599655000001</v>
      </c>
      <c r="P19" s="80">
        <f>-VLOOKUP(P$3,GenNetMeters!$J$3:$M$19,4,0)</f>
        <v>-0.28997420285000003</v>
      </c>
      <c r="Q19" s="80">
        <f>-VLOOKUP(Q$3,GenNetMeters!$J$3:$M$19,4,0)</f>
        <v>-0.27592240915000005</v>
      </c>
      <c r="R19" s="80">
        <f>-VLOOKUP(R$3,GenNetMeters!$J$3:$M$19,4,0)</f>
        <v>-0.26187061544999995</v>
      </c>
      <c r="S19" s="80">
        <f>-VLOOKUP(S$3,GenNetMeters!$J$3:$M$19,4,0)</f>
        <v>-0.24781882175</v>
      </c>
      <c r="T19" s="80">
        <f>-VLOOKUP(T$3,GenNetMeters!$J$3:$M$19,4,0)</f>
        <v>-0.23376702804999999</v>
      </c>
      <c r="U19" s="80">
        <f>-VLOOKUP(U$3,GenNetMeters!$J$3:$M$19,4,0)</f>
        <v>-0.21971523434999998</v>
      </c>
      <c r="V19" s="9" t="s">
        <v>106</v>
      </c>
    </row>
    <row r="20" spans="1:22" s="10" customFormat="1" x14ac:dyDescent="0.35">
      <c r="A20" s="246"/>
      <c r="B20"/>
      <c r="C20" s="141" t="s">
        <v>107</v>
      </c>
      <c r="D20" s="141"/>
      <c r="E20" s="15"/>
      <c r="F20" s="184">
        <v>-0.31445000000000001</v>
      </c>
      <c r="G20" s="184">
        <v>-0.31445000000000001</v>
      </c>
      <c r="H20" s="184">
        <v>-0.31445000000000001</v>
      </c>
      <c r="I20" s="184">
        <v>-0.31445000000000001</v>
      </c>
      <c r="J20" s="184">
        <v>-0.31445000000000001</v>
      </c>
      <c r="K20" s="184">
        <v>-0.31445000000000001</v>
      </c>
      <c r="L20" s="184">
        <v>-0.31445000000000001</v>
      </c>
      <c r="M20" s="184">
        <v>-0.31445000000000001</v>
      </c>
      <c r="N20" s="184">
        <v>-0.31445000000000001</v>
      </c>
      <c r="O20" s="184">
        <v>-0.31445000000000001</v>
      </c>
      <c r="P20" s="184">
        <v>-0.31445000000000001</v>
      </c>
      <c r="Q20" s="184">
        <v>-0.31445000000000001</v>
      </c>
      <c r="R20" s="184">
        <v>-0.31445000000000001</v>
      </c>
      <c r="S20" s="184">
        <v>-0.31445000000000001</v>
      </c>
      <c r="T20" s="184">
        <v>-0.31445000000000001</v>
      </c>
      <c r="U20" s="184">
        <v>-0.31445000000000001</v>
      </c>
      <c r="V20" s="9" t="s">
        <v>194</v>
      </c>
    </row>
    <row r="21" spans="1:22" s="10" customFormat="1" x14ac:dyDescent="0.35">
      <c r="A21" s="246"/>
      <c r="B21"/>
      <c r="C21" s="142" t="s">
        <v>35</v>
      </c>
      <c r="D21" s="142"/>
      <c r="E21" s="15"/>
      <c r="F21" s="158">
        <f t="shared" ref="F21:Q21" si="9">SUM(F19:F20)</f>
        <v>-0.80641582230248354</v>
      </c>
      <c r="G21" s="158">
        <f t="shared" si="9"/>
        <v>-0.78432068187098114</v>
      </c>
      <c r="H21" s="158">
        <f t="shared" si="9"/>
        <v>-0.75500307796498656</v>
      </c>
      <c r="I21" s="158">
        <f t="shared" si="9"/>
        <v>-0.73004921208833773</v>
      </c>
      <c r="J21" s="158">
        <f t="shared" si="9"/>
        <v>-0.7082081460059555</v>
      </c>
      <c r="K21" s="158">
        <f t="shared" si="9"/>
        <v>-0.68766529198730364</v>
      </c>
      <c r="L21" s="158">
        <f t="shared" si="9"/>
        <v>-0.66712243796865178</v>
      </c>
      <c r="M21" s="158">
        <f t="shared" si="9"/>
        <v>-0.64820143991757351</v>
      </c>
      <c r="N21" s="158">
        <f t="shared" si="9"/>
        <v>-0.63252779024999994</v>
      </c>
      <c r="O21" s="158">
        <f t="shared" si="9"/>
        <v>-0.61847599654999996</v>
      </c>
      <c r="P21" s="158">
        <f t="shared" si="9"/>
        <v>-0.60442420284999998</v>
      </c>
      <c r="Q21" s="158">
        <f t="shared" si="9"/>
        <v>-0.59037240915</v>
      </c>
      <c r="R21" s="158">
        <f t="shared" ref="R21:U21" si="10">SUM(R19:R20)</f>
        <v>-0.57632061545000002</v>
      </c>
      <c r="S21" s="158">
        <f t="shared" si="10"/>
        <v>-0.56226882175000004</v>
      </c>
      <c r="T21" s="158">
        <f t="shared" si="10"/>
        <v>-0.54821702805000005</v>
      </c>
      <c r="U21" s="158">
        <f t="shared" si="10"/>
        <v>-0.53416523434999996</v>
      </c>
      <c r="V21" s="75"/>
    </row>
    <row r="22" spans="1:22" s="10" customFormat="1" x14ac:dyDescent="0.35">
      <c r="A22" s="246"/>
      <c r="C22" s="162" t="s">
        <v>143</v>
      </c>
      <c r="D22" s="162"/>
      <c r="E22" s="15"/>
      <c r="F22" s="80"/>
      <c r="G22" s="80"/>
      <c r="H22" s="80"/>
      <c r="I22" s="80"/>
      <c r="J22" s="80"/>
      <c r="K22" s="80"/>
      <c r="L22" s="80"/>
      <c r="M22" s="80"/>
      <c r="N22" s="80"/>
      <c r="O22" s="80"/>
      <c r="P22" s="80"/>
      <c r="Q22" s="80"/>
      <c r="R22" s="80"/>
      <c r="S22" s="80"/>
      <c r="T22" s="80"/>
      <c r="U22" s="80"/>
      <c r="V22" s="75"/>
    </row>
    <row r="23" spans="1:22" s="10" customFormat="1" x14ac:dyDescent="0.35">
      <c r="A23" s="246"/>
      <c r="C23" s="145" t="s">
        <v>139</v>
      </c>
      <c r="D23" s="145"/>
      <c r="E23" s="159">
        <f>50+(50*0.7744)</f>
        <v>88.72</v>
      </c>
      <c r="F23" s="134">
        <v>0</v>
      </c>
      <c r="G23" s="134">
        <f t="shared" ref="G23:J26" si="11">F23*1.025</f>
        <v>0</v>
      </c>
      <c r="H23" s="134">
        <f t="shared" si="11"/>
        <v>0</v>
      </c>
      <c r="I23" s="134">
        <f t="shared" si="11"/>
        <v>0</v>
      </c>
      <c r="J23" s="134">
        <f t="shared" si="11"/>
        <v>0</v>
      </c>
      <c r="K23" s="134">
        <v>0</v>
      </c>
      <c r="L23" s="134">
        <f t="shared" ref="L23:L26" si="12">K23*1.025</f>
        <v>0</v>
      </c>
      <c r="M23" s="134">
        <v>0</v>
      </c>
      <c r="N23" s="134">
        <f t="shared" ref="N23:N26" si="13">M23*1.025</f>
        <v>0</v>
      </c>
      <c r="O23" s="134">
        <f t="shared" ref="O23:O26" si="14">N23*1.025</f>
        <v>0</v>
      </c>
      <c r="P23" s="134">
        <f t="shared" ref="P23:P26" si="15">O23*1.025</f>
        <v>0</v>
      </c>
      <c r="Q23" s="134">
        <f t="shared" ref="Q23:R26" si="16">P23*1.025</f>
        <v>0</v>
      </c>
      <c r="R23" s="134">
        <f t="shared" si="16"/>
        <v>0</v>
      </c>
      <c r="S23" s="134">
        <v>0</v>
      </c>
      <c r="T23" s="134">
        <f t="shared" ref="T23:T26" si="17">S23*1.025</f>
        <v>0</v>
      </c>
      <c r="U23" s="134">
        <f t="shared" ref="U23:U26" si="18">T23*1.025</f>
        <v>0</v>
      </c>
      <c r="V23" s="9" t="s">
        <v>159</v>
      </c>
    </row>
    <row r="24" spans="1:22" s="10" customFormat="1" x14ac:dyDescent="0.35">
      <c r="A24" s="246"/>
      <c r="C24" s="145" t="s">
        <v>140</v>
      </c>
      <c r="D24" s="145"/>
      <c r="E24" s="159">
        <f>50+(50*0.7744)</f>
        <v>88.72</v>
      </c>
      <c r="F24" s="134">
        <v>0</v>
      </c>
      <c r="G24" s="134">
        <f t="shared" si="11"/>
        <v>0</v>
      </c>
      <c r="H24" s="134">
        <f t="shared" si="11"/>
        <v>0</v>
      </c>
      <c r="I24" s="134">
        <f t="shared" si="11"/>
        <v>0</v>
      </c>
      <c r="J24" s="134">
        <f t="shared" si="11"/>
        <v>0</v>
      </c>
      <c r="K24" s="134">
        <v>0</v>
      </c>
      <c r="L24" s="134">
        <f t="shared" si="12"/>
        <v>0</v>
      </c>
      <c r="M24" s="134">
        <v>0</v>
      </c>
      <c r="N24" s="134">
        <f t="shared" si="13"/>
        <v>0</v>
      </c>
      <c r="O24" s="134">
        <f t="shared" si="14"/>
        <v>0</v>
      </c>
      <c r="P24" s="134">
        <f t="shared" si="15"/>
        <v>0</v>
      </c>
      <c r="Q24" s="134">
        <f t="shared" si="16"/>
        <v>0</v>
      </c>
      <c r="R24" s="134">
        <f t="shared" si="16"/>
        <v>0</v>
      </c>
      <c r="S24" s="134">
        <v>0</v>
      </c>
      <c r="T24" s="134">
        <f t="shared" si="17"/>
        <v>0</v>
      </c>
      <c r="U24" s="134">
        <f t="shared" si="18"/>
        <v>0</v>
      </c>
      <c r="V24" s="9" t="s">
        <v>159</v>
      </c>
    </row>
    <row r="25" spans="1:22" s="10" customFormat="1" x14ac:dyDescent="0.35">
      <c r="A25" s="246"/>
      <c r="C25" s="145" t="s">
        <v>141</v>
      </c>
      <c r="D25" s="145"/>
      <c r="E25" s="159">
        <f>52+(52*0.7744)</f>
        <v>92.268799999999999</v>
      </c>
      <c r="F25" s="134">
        <v>0</v>
      </c>
      <c r="G25" s="134">
        <f t="shared" si="11"/>
        <v>0</v>
      </c>
      <c r="H25" s="134">
        <f t="shared" si="11"/>
        <v>0</v>
      </c>
      <c r="I25" s="134">
        <f t="shared" si="11"/>
        <v>0</v>
      </c>
      <c r="J25" s="134">
        <f t="shared" si="11"/>
        <v>0</v>
      </c>
      <c r="K25" s="134">
        <v>0</v>
      </c>
      <c r="L25" s="134">
        <f t="shared" si="12"/>
        <v>0</v>
      </c>
      <c r="M25" s="134">
        <v>0</v>
      </c>
      <c r="N25" s="134">
        <f t="shared" si="13"/>
        <v>0</v>
      </c>
      <c r="O25" s="134">
        <f t="shared" si="14"/>
        <v>0</v>
      </c>
      <c r="P25" s="134">
        <f t="shared" si="15"/>
        <v>0</v>
      </c>
      <c r="Q25" s="134">
        <f t="shared" si="16"/>
        <v>0</v>
      </c>
      <c r="R25" s="134">
        <f t="shared" si="16"/>
        <v>0</v>
      </c>
      <c r="S25" s="134">
        <v>0</v>
      </c>
      <c r="T25" s="134">
        <f t="shared" si="17"/>
        <v>0</v>
      </c>
      <c r="U25" s="134">
        <f t="shared" si="18"/>
        <v>0</v>
      </c>
      <c r="V25" s="9" t="s">
        <v>159</v>
      </c>
    </row>
    <row r="26" spans="1:22" s="10" customFormat="1" x14ac:dyDescent="0.35">
      <c r="A26" s="246"/>
      <c r="C26" s="145" t="s">
        <v>142</v>
      </c>
      <c r="D26" s="145"/>
      <c r="E26" s="159">
        <f>85+(85*0.7744)</f>
        <v>150.82400000000001</v>
      </c>
      <c r="F26" s="135">
        <v>0</v>
      </c>
      <c r="G26" s="135">
        <f t="shared" si="11"/>
        <v>0</v>
      </c>
      <c r="H26" s="135">
        <f t="shared" si="11"/>
        <v>0</v>
      </c>
      <c r="I26" s="135">
        <f t="shared" si="11"/>
        <v>0</v>
      </c>
      <c r="J26" s="135">
        <f t="shared" si="11"/>
        <v>0</v>
      </c>
      <c r="K26" s="135">
        <v>0</v>
      </c>
      <c r="L26" s="135">
        <f t="shared" si="12"/>
        <v>0</v>
      </c>
      <c r="M26" s="135">
        <v>0</v>
      </c>
      <c r="N26" s="135">
        <f t="shared" si="13"/>
        <v>0</v>
      </c>
      <c r="O26" s="135">
        <f t="shared" si="14"/>
        <v>0</v>
      </c>
      <c r="P26" s="135">
        <f t="shared" si="15"/>
        <v>0</v>
      </c>
      <c r="Q26" s="135">
        <f t="shared" si="16"/>
        <v>0</v>
      </c>
      <c r="R26" s="135">
        <f t="shared" si="16"/>
        <v>0</v>
      </c>
      <c r="S26" s="135">
        <v>0</v>
      </c>
      <c r="T26" s="135">
        <f t="shared" si="17"/>
        <v>0</v>
      </c>
      <c r="U26" s="135">
        <f t="shared" si="18"/>
        <v>0</v>
      </c>
      <c r="V26" s="9" t="s">
        <v>159</v>
      </c>
    </row>
    <row r="27" spans="1:22" s="10" customFormat="1" x14ac:dyDescent="0.35">
      <c r="A27" s="246"/>
      <c r="C27" s="145" t="s">
        <v>133</v>
      </c>
      <c r="D27" s="145"/>
      <c r="E27" s="13"/>
      <c r="F27" s="136">
        <f t="shared" ref="F27:J27" si="19">SUM(F23:F26)/1000</f>
        <v>0</v>
      </c>
      <c r="G27" s="136">
        <f t="shared" si="19"/>
        <v>0</v>
      </c>
      <c r="H27" s="136">
        <f t="shared" si="19"/>
        <v>0</v>
      </c>
      <c r="I27" s="136">
        <f t="shared" si="19"/>
        <v>0</v>
      </c>
      <c r="J27" s="136">
        <f t="shared" si="19"/>
        <v>0</v>
      </c>
      <c r="K27" s="136">
        <f t="shared" ref="K27:Q27" si="20">SUM(K23:K26)/1000</f>
        <v>0</v>
      </c>
      <c r="L27" s="136">
        <f t="shared" si="20"/>
        <v>0</v>
      </c>
      <c r="M27" s="136">
        <f t="shared" si="20"/>
        <v>0</v>
      </c>
      <c r="N27" s="136">
        <f t="shared" si="20"/>
        <v>0</v>
      </c>
      <c r="O27" s="136">
        <f t="shared" si="20"/>
        <v>0</v>
      </c>
      <c r="P27" s="136">
        <f t="shared" si="20"/>
        <v>0</v>
      </c>
      <c r="Q27" s="136">
        <f t="shared" si="20"/>
        <v>0</v>
      </c>
      <c r="R27" s="136">
        <f t="shared" ref="R27" si="21">SUM(R23:R26)/1000</f>
        <v>0</v>
      </c>
      <c r="S27" s="136">
        <f t="shared" ref="S27:U27" si="22">SUM(S23:S26)/1000</f>
        <v>0</v>
      </c>
      <c r="T27" s="136">
        <f t="shared" si="22"/>
        <v>0</v>
      </c>
      <c r="U27" s="136">
        <f t="shared" si="22"/>
        <v>0</v>
      </c>
      <c r="V27" s="75"/>
    </row>
    <row r="28" spans="1:22" s="10" customFormat="1" x14ac:dyDescent="0.35">
      <c r="A28" s="246"/>
      <c r="B28"/>
      <c r="C28" s="141"/>
      <c r="D28" s="141"/>
      <c r="E28"/>
      <c r="F28" s="137"/>
      <c r="G28" s="137"/>
      <c r="H28" s="137"/>
      <c r="I28" s="137"/>
      <c r="J28" s="137"/>
      <c r="K28" s="137"/>
      <c r="L28" s="137"/>
      <c r="M28" s="137"/>
      <c r="N28" s="137"/>
      <c r="O28" s="137"/>
      <c r="P28" s="137"/>
      <c r="Q28" s="137"/>
      <c r="R28" s="137"/>
      <c r="S28" s="137"/>
      <c r="T28" s="137"/>
      <c r="U28" s="137"/>
      <c r="V28"/>
    </row>
    <row r="29" spans="1:22" s="10" customFormat="1" x14ac:dyDescent="0.35">
      <c r="A29" s="246"/>
      <c r="B29" s="23"/>
      <c r="C29" s="144" t="s">
        <v>134</v>
      </c>
      <c r="D29" s="144"/>
      <c r="E29" s="15"/>
      <c r="F29" s="121">
        <f t="shared" ref="F29:K29" si="23">SUM(F27:F28)</f>
        <v>0</v>
      </c>
      <c r="G29" s="121">
        <f t="shared" si="23"/>
        <v>0</v>
      </c>
      <c r="H29" s="121">
        <f t="shared" si="23"/>
        <v>0</v>
      </c>
      <c r="I29" s="121">
        <f t="shared" si="23"/>
        <v>0</v>
      </c>
      <c r="J29" s="121">
        <f t="shared" si="23"/>
        <v>0</v>
      </c>
      <c r="K29" s="121">
        <f t="shared" si="23"/>
        <v>0</v>
      </c>
      <c r="L29" s="121">
        <f>SUM(L27:L28)</f>
        <v>0</v>
      </c>
      <c r="M29" s="121">
        <f t="shared" ref="M29:Q29" si="24">SUM(M27:M28)</f>
        <v>0</v>
      </c>
      <c r="N29" s="121">
        <f t="shared" si="24"/>
        <v>0</v>
      </c>
      <c r="O29" s="121">
        <f t="shared" si="24"/>
        <v>0</v>
      </c>
      <c r="P29" s="121">
        <f t="shared" si="24"/>
        <v>0</v>
      </c>
      <c r="Q29" s="121">
        <f t="shared" si="24"/>
        <v>0</v>
      </c>
      <c r="R29" s="121">
        <f t="shared" ref="R29:U29" si="25">SUM(R27:R28)</f>
        <v>0</v>
      </c>
      <c r="S29" s="121">
        <f t="shared" si="25"/>
        <v>0</v>
      </c>
      <c r="T29" s="121">
        <f t="shared" si="25"/>
        <v>0</v>
      </c>
      <c r="U29" s="121">
        <f t="shared" si="25"/>
        <v>0</v>
      </c>
      <c r="V29" s="13"/>
    </row>
    <row r="30" spans="1:22" s="10" customFormat="1" x14ac:dyDescent="0.35">
      <c r="A30" s="246"/>
      <c r="B30" s="23"/>
      <c r="C30" s="141"/>
      <c r="D30" s="141"/>
      <c r="E30" s="15"/>
      <c r="F30" s="18"/>
      <c r="G30" s="13"/>
      <c r="H30" s="13"/>
      <c r="I30" s="13"/>
      <c r="J30" s="13"/>
      <c r="K30" s="13"/>
      <c r="L30" s="13"/>
      <c r="M30" s="13"/>
      <c r="N30" s="13"/>
      <c r="O30" s="13"/>
      <c r="P30" s="13"/>
      <c r="Q30" s="13"/>
      <c r="R30" s="13"/>
      <c r="S30" s="13"/>
      <c r="T30" s="18"/>
      <c r="U30" s="13"/>
      <c r="V30" s="13"/>
    </row>
    <row r="31" spans="1:22" s="10" customFormat="1" x14ac:dyDescent="0.35">
      <c r="A31" s="246"/>
      <c r="B31" s="23"/>
      <c r="C31" s="142" t="s">
        <v>135</v>
      </c>
      <c r="D31" s="142"/>
      <c r="E31" s="15"/>
      <c r="F31" s="160">
        <f t="shared" ref="F31:Q31" si="26">F21+F29</f>
        <v>-0.80641582230248354</v>
      </c>
      <c r="G31" s="160">
        <f t="shared" si="26"/>
        <v>-0.78432068187098114</v>
      </c>
      <c r="H31" s="160">
        <f t="shared" si="26"/>
        <v>-0.75500307796498656</v>
      </c>
      <c r="I31" s="160">
        <f t="shared" si="26"/>
        <v>-0.73004921208833773</v>
      </c>
      <c r="J31" s="160">
        <f t="shared" si="26"/>
        <v>-0.7082081460059555</v>
      </c>
      <c r="K31" s="160">
        <f t="shared" si="26"/>
        <v>-0.68766529198730364</v>
      </c>
      <c r="L31" s="160">
        <f t="shared" si="26"/>
        <v>-0.66712243796865178</v>
      </c>
      <c r="M31" s="160">
        <f t="shared" si="26"/>
        <v>-0.64820143991757351</v>
      </c>
      <c r="N31" s="160">
        <f t="shared" si="26"/>
        <v>-0.63252779024999994</v>
      </c>
      <c r="O31" s="160">
        <f t="shared" si="26"/>
        <v>-0.61847599654999996</v>
      </c>
      <c r="P31" s="160">
        <f t="shared" si="26"/>
        <v>-0.60442420284999998</v>
      </c>
      <c r="Q31" s="160">
        <f t="shared" si="26"/>
        <v>-0.59037240915</v>
      </c>
      <c r="R31" s="160">
        <f t="shared" ref="R31:U31" si="27">R21+R29</f>
        <v>-0.57632061545000002</v>
      </c>
      <c r="S31" s="160">
        <f t="shared" si="27"/>
        <v>-0.56226882175000004</v>
      </c>
      <c r="T31" s="160">
        <f t="shared" si="27"/>
        <v>-0.54821702805000005</v>
      </c>
      <c r="U31" s="160">
        <f t="shared" si="27"/>
        <v>-0.53416523434999996</v>
      </c>
      <c r="V31" s="13"/>
    </row>
    <row r="32" spans="1:22" s="10" customFormat="1" x14ac:dyDescent="0.35">
      <c r="A32" s="82"/>
      <c r="B32" s="79"/>
      <c r="C32" s="83"/>
      <c r="D32" s="83"/>
      <c r="E32" s="79"/>
      <c r="F32" s="84"/>
      <c r="G32" s="84"/>
      <c r="H32" s="84"/>
      <c r="I32" s="84"/>
      <c r="J32" s="84"/>
      <c r="K32" s="84"/>
      <c r="L32" s="84"/>
      <c r="M32" s="84"/>
      <c r="N32" s="84"/>
      <c r="O32" s="84"/>
      <c r="P32" s="84"/>
      <c r="Q32" s="84"/>
      <c r="R32" s="84"/>
      <c r="S32" s="84"/>
      <c r="T32" s="84"/>
      <c r="U32" s="84"/>
      <c r="V32" s="25"/>
    </row>
    <row r="33" spans="1:23" s="10" customFormat="1" x14ac:dyDescent="0.35">
      <c r="A33" s="246">
        <v>4</v>
      </c>
      <c r="B33" s="23"/>
      <c r="C33" s="81"/>
      <c r="D33" s="81"/>
      <c r="E33" s="15"/>
      <c r="F33" s="80"/>
      <c r="G33" s="80"/>
      <c r="H33" s="80"/>
      <c r="I33" s="80"/>
      <c r="J33" s="80"/>
      <c r="K33" s="80"/>
      <c r="L33" s="80"/>
      <c r="M33" s="80"/>
      <c r="N33" s="80"/>
      <c r="O33" s="80"/>
      <c r="P33" s="80"/>
      <c r="Q33" s="80"/>
      <c r="R33" s="80"/>
      <c r="S33" s="80"/>
      <c r="T33" s="80"/>
      <c r="U33" s="80"/>
      <c r="V33" s="13"/>
    </row>
    <row r="34" spans="1:23" s="10" customFormat="1" x14ac:dyDescent="0.35">
      <c r="A34" s="246"/>
      <c r="B34"/>
      <c r="C34" t="s">
        <v>131</v>
      </c>
      <c r="E34"/>
      <c r="F34" s="161">
        <v>-2.3600251632144005</v>
      </c>
      <c r="G34" s="161">
        <v>-3.2823118066901023</v>
      </c>
      <c r="H34" s="161">
        <v>-2.6138563992709387</v>
      </c>
      <c r="I34" s="161">
        <v>-3.1201181920361494</v>
      </c>
      <c r="J34" s="161">
        <v>-4.1068272013031493</v>
      </c>
      <c r="K34" s="161">
        <v>-4.1270153124768836</v>
      </c>
      <c r="L34" s="161">
        <v>-4.4840790338010867</v>
      </c>
      <c r="M34" s="161">
        <v>-3.8004775367721657</v>
      </c>
      <c r="N34" s="161">
        <v>-3.9586431478131376</v>
      </c>
      <c r="O34" s="161">
        <v>-3.7209447154161115</v>
      </c>
      <c r="P34" s="161">
        <v>-3.2360386580335945</v>
      </c>
      <c r="Q34" s="161">
        <v>-3.5326790995431865</v>
      </c>
      <c r="R34" s="161">
        <v>-6.1040632598236675</v>
      </c>
      <c r="S34" s="161">
        <v>-5.785463561109049</v>
      </c>
      <c r="T34" s="161">
        <v>-5.1399680029782671</v>
      </c>
      <c r="U34" s="161">
        <v>-8.0077490239072837</v>
      </c>
      <c r="V34" s="16" t="s">
        <v>166</v>
      </c>
    </row>
    <row r="35" spans="1:23" s="10" customFormat="1" x14ac:dyDescent="0.35">
      <c r="A35" s="246"/>
      <c r="B35"/>
      <c r="E35"/>
      <c r="F35" s="77"/>
      <c r="G35" s="77"/>
      <c r="H35" s="77"/>
      <c r="I35" s="77"/>
      <c r="J35" s="77"/>
      <c r="K35" s="77"/>
      <c r="L35" s="77"/>
      <c r="M35" s="77"/>
      <c r="N35" s="77"/>
      <c r="O35" s="77"/>
      <c r="P35" s="77"/>
      <c r="Q35" s="77"/>
      <c r="R35" s="77"/>
      <c r="S35" s="77"/>
      <c r="T35" s="77"/>
      <c r="U35" s="77"/>
      <c r="V35" s="13"/>
    </row>
    <row r="36" spans="1:23" s="10" customFormat="1" x14ac:dyDescent="0.35">
      <c r="A36" s="246"/>
      <c r="B36"/>
      <c r="C36" s="141" t="s">
        <v>19</v>
      </c>
      <c r="D36" s="141"/>
      <c r="E36"/>
      <c r="F36" s="122">
        <v>-0.6</v>
      </c>
      <c r="G36" s="122">
        <v>-0.6</v>
      </c>
      <c r="H36" s="122">
        <v>-0.6</v>
      </c>
      <c r="I36" s="122">
        <v>-0.6</v>
      </c>
      <c r="J36" s="122">
        <v>-0.6</v>
      </c>
      <c r="K36" s="122">
        <v>-0.6</v>
      </c>
      <c r="L36" s="122">
        <v>-0.6</v>
      </c>
      <c r="M36" s="122">
        <v>-0.6</v>
      </c>
      <c r="N36" s="122">
        <v>-0.6</v>
      </c>
      <c r="O36" s="122">
        <v>-0.6</v>
      </c>
      <c r="P36" s="122">
        <v>-0.6</v>
      </c>
      <c r="Q36" s="122">
        <v>-0.6</v>
      </c>
      <c r="R36" s="122">
        <v>-0.6</v>
      </c>
      <c r="S36" s="122">
        <v>-0.6</v>
      </c>
      <c r="T36" s="122">
        <v>-0.6</v>
      </c>
      <c r="U36" s="122">
        <v>-0.6</v>
      </c>
      <c r="V36" s="16" t="s">
        <v>211</v>
      </c>
    </row>
    <row r="37" spans="1:23" s="10" customFormat="1" x14ac:dyDescent="0.35">
      <c r="A37" s="246"/>
      <c r="B37"/>
      <c r="C37" s="144" t="s">
        <v>132</v>
      </c>
      <c r="D37" s="144"/>
      <c r="E37"/>
      <c r="F37" s="165">
        <f t="shared" ref="F37:Q37" si="28">SUM(F34:F36)</f>
        <v>-2.9600251632144006</v>
      </c>
      <c r="G37" s="165">
        <f t="shared" si="28"/>
        <v>-3.8823118066901023</v>
      </c>
      <c r="H37" s="165">
        <f t="shared" si="28"/>
        <v>-3.2138563992709388</v>
      </c>
      <c r="I37" s="165">
        <f t="shared" si="28"/>
        <v>-3.7201181920361495</v>
      </c>
      <c r="J37" s="165">
        <f t="shared" si="28"/>
        <v>-4.7068272013031489</v>
      </c>
      <c r="K37" s="165">
        <f t="shared" si="28"/>
        <v>-4.7270153124768832</v>
      </c>
      <c r="L37" s="165">
        <f t="shared" si="28"/>
        <v>-5.0840790338010864</v>
      </c>
      <c r="M37" s="165">
        <f t="shared" si="28"/>
        <v>-4.4004775367721658</v>
      </c>
      <c r="N37" s="165">
        <f t="shared" si="28"/>
        <v>-4.5586431478131377</v>
      </c>
      <c r="O37" s="165">
        <f t="shared" si="28"/>
        <v>-4.3209447154161111</v>
      </c>
      <c r="P37" s="165">
        <f t="shared" si="28"/>
        <v>-3.8360386580335946</v>
      </c>
      <c r="Q37" s="165">
        <f t="shared" si="28"/>
        <v>-4.1326790995431866</v>
      </c>
      <c r="R37" s="165">
        <f t="shared" ref="R37:U37" si="29">SUM(R34:R36)</f>
        <v>-6.7040632598236671</v>
      </c>
      <c r="S37" s="165">
        <f t="shared" si="29"/>
        <v>-6.3854635611090487</v>
      </c>
      <c r="T37" s="165">
        <f t="shared" si="29"/>
        <v>-5.7399680029782667</v>
      </c>
      <c r="U37" s="165">
        <f t="shared" si="29"/>
        <v>-8.6077490239072834</v>
      </c>
      <c r="V37"/>
    </row>
    <row r="38" spans="1:23" x14ac:dyDescent="0.35">
      <c r="A38" s="246"/>
      <c r="C38" s="13"/>
      <c r="D38" s="13"/>
      <c r="E38" s="13"/>
      <c r="F38" s="18"/>
      <c r="G38" s="13"/>
      <c r="H38" s="13"/>
      <c r="I38" s="13"/>
      <c r="J38" s="13"/>
      <c r="K38" s="13"/>
      <c r="L38" s="13"/>
      <c r="M38" s="13"/>
      <c r="N38" s="13"/>
      <c r="O38" s="13"/>
      <c r="P38" s="13"/>
      <c r="Q38" s="13"/>
      <c r="R38" s="13"/>
      <c r="S38" s="13"/>
      <c r="T38" s="13"/>
      <c r="U38" s="13"/>
      <c r="V38" s="13"/>
    </row>
    <row r="39" spans="1:23" s="25" customFormat="1" x14ac:dyDescent="0.35"/>
    <row r="40" spans="1:23" x14ac:dyDescent="0.35">
      <c r="A40" s="246">
        <v>5</v>
      </c>
      <c r="C40" s="4" t="s">
        <v>4</v>
      </c>
      <c r="D40" s="23"/>
      <c r="E40" s="15"/>
      <c r="F40" s="19"/>
      <c r="G40" s="19"/>
      <c r="H40" s="19"/>
      <c r="I40" s="19"/>
      <c r="J40" s="19"/>
      <c r="K40" s="100"/>
      <c r="L40" s="100"/>
      <c r="M40" s="118"/>
      <c r="N40" s="118"/>
      <c r="O40" s="118"/>
      <c r="P40" s="118"/>
      <c r="Q40" s="118"/>
      <c r="R40" s="186"/>
      <c r="S40" s="212"/>
      <c r="T40" s="212"/>
      <c r="U40" s="212"/>
      <c r="V40" s="13"/>
    </row>
    <row r="41" spans="1:23" x14ac:dyDescent="0.35">
      <c r="A41" s="246"/>
      <c r="B41" s="4"/>
      <c r="C41" s="141" t="s">
        <v>7</v>
      </c>
      <c r="D41" s="141"/>
      <c r="E41" s="19"/>
      <c r="F41" s="120"/>
      <c r="G41" s="120"/>
      <c r="H41" s="120"/>
      <c r="I41" s="120"/>
      <c r="J41" s="120"/>
      <c r="K41" s="120"/>
      <c r="L41" s="120"/>
      <c r="M41" s="120"/>
      <c r="N41" s="120"/>
      <c r="O41" s="120"/>
      <c r="P41" s="120"/>
      <c r="Q41" s="120"/>
      <c r="R41" s="120"/>
      <c r="S41" s="120"/>
      <c r="T41" s="120"/>
      <c r="U41" s="120"/>
      <c r="V41" s="9" t="s">
        <v>151</v>
      </c>
      <c r="W41" s="249" t="s">
        <v>196</v>
      </c>
    </row>
    <row r="42" spans="1:23" x14ac:dyDescent="0.35">
      <c r="A42" s="246"/>
      <c r="B42" s="4"/>
      <c r="C42" s="141" t="s">
        <v>8</v>
      </c>
      <c r="D42" s="141"/>
      <c r="E42" s="163">
        <f>E44/(E43+E44)</f>
        <v>2.1303792074989347E-2</v>
      </c>
      <c r="F42" s="11"/>
      <c r="G42" s="11"/>
      <c r="H42" s="11"/>
      <c r="I42" s="11"/>
      <c r="J42" s="11"/>
      <c r="K42" s="11"/>
      <c r="L42" s="11"/>
      <c r="M42" s="11"/>
      <c r="N42" s="11"/>
      <c r="O42" s="11"/>
      <c r="P42" s="11"/>
      <c r="Q42" s="11"/>
      <c r="R42" s="11"/>
      <c r="S42" s="11"/>
      <c r="T42" s="11"/>
      <c r="U42" s="11"/>
      <c r="V42" s="9" t="s">
        <v>31</v>
      </c>
      <c r="W42" s="249"/>
    </row>
    <row r="43" spans="1:23" x14ac:dyDescent="0.35">
      <c r="A43" s="246"/>
      <c r="B43" s="4"/>
      <c r="C43" s="141" t="s">
        <v>5</v>
      </c>
      <c r="D43" s="141"/>
      <c r="E43" s="164">
        <v>6891</v>
      </c>
      <c r="F43" s="9"/>
      <c r="G43" s="9"/>
      <c r="H43" s="9"/>
      <c r="I43" s="9"/>
      <c r="J43" s="9"/>
      <c r="K43" s="9"/>
      <c r="L43" s="9"/>
      <c r="M43" s="9"/>
      <c r="N43" s="9"/>
      <c r="O43" s="9"/>
      <c r="P43" s="9"/>
      <c r="Q43" s="9"/>
      <c r="R43" s="9"/>
      <c r="S43" s="9"/>
      <c r="T43" s="9"/>
      <c r="U43" s="9"/>
      <c r="V43" s="9" t="s">
        <v>32</v>
      </c>
      <c r="W43" s="249"/>
    </row>
    <row r="44" spans="1:23" x14ac:dyDescent="0.35">
      <c r="A44" s="246"/>
      <c r="B44" s="4"/>
      <c r="C44" s="141" t="s">
        <v>6</v>
      </c>
      <c r="D44" s="141"/>
      <c r="E44" s="164">
        <v>150</v>
      </c>
      <c r="F44" s="9"/>
      <c r="G44" s="9"/>
      <c r="H44" s="9"/>
      <c r="I44" s="9"/>
      <c r="J44" s="9"/>
      <c r="K44" s="9"/>
      <c r="L44" s="9"/>
      <c r="M44" s="9"/>
      <c r="N44" s="9"/>
      <c r="O44" s="9"/>
      <c r="P44" s="9"/>
      <c r="Q44" s="9"/>
      <c r="R44" s="9"/>
      <c r="S44" s="9"/>
      <c r="T44" s="9"/>
      <c r="U44" s="9"/>
      <c r="V44" s="9" t="s">
        <v>33</v>
      </c>
      <c r="W44" s="249"/>
    </row>
    <row r="45" spans="1:23" s="10" customFormat="1" x14ac:dyDescent="0.35">
      <c r="A45" s="246"/>
      <c r="B45" s="23"/>
      <c r="C45" s="141"/>
      <c r="D45" s="141"/>
      <c r="E45" s="91"/>
      <c r="F45" s="13"/>
      <c r="G45" s="13"/>
      <c r="H45" s="13"/>
      <c r="I45" s="13"/>
      <c r="J45" s="13"/>
      <c r="K45" s="13"/>
      <c r="L45" s="13"/>
      <c r="M45" s="13"/>
      <c r="N45" s="13"/>
      <c r="O45" s="13"/>
      <c r="P45" s="13"/>
      <c r="Q45" s="13"/>
      <c r="R45" s="13"/>
      <c r="S45" s="13"/>
      <c r="T45" s="13"/>
      <c r="U45" s="13"/>
      <c r="V45" s="85"/>
      <c r="W45" s="249"/>
    </row>
    <row r="46" spans="1:23" s="10" customFormat="1" x14ac:dyDescent="0.35">
      <c r="A46" s="246"/>
      <c r="B46" s="23"/>
      <c r="C46" s="141" t="s">
        <v>144</v>
      </c>
      <c r="D46" s="141"/>
      <c r="E46" s="23"/>
      <c r="F46" s="157">
        <v>-1.4967999999999999</v>
      </c>
      <c r="G46" s="157">
        <v>-1.5267360000000001</v>
      </c>
      <c r="H46" s="157">
        <v>-1.5572680000000001</v>
      </c>
      <c r="I46" s="157">
        <v>-1.5884160000000001</v>
      </c>
      <c r="J46" s="157">
        <v>-1.620188</v>
      </c>
      <c r="K46" s="157">
        <v>-1.6525920000000001</v>
      </c>
      <c r="L46" s="157">
        <v>-1.68564</v>
      </c>
      <c r="M46" s="157">
        <f>L46*1.02</f>
        <v>-1.7193528</v>
      </c>
      <c r="N46" s="157">
        <f t="shared" ref="N46:R46" si="30">M46*1.02</f>
        <v>-1.7537398560000002</v>
      </c>
      <c r="O46" s="157">
        <f t="shared" si="30"/>
        <v>-1.7888146531200002</v>
      </c>
      <c r="P46" s="157">
        <f t="shared" si="30"/>
        <v>-1.8245909461824001</v>
      </c>
      <c r="Q46" s="157">
        <f t="shared" si="30"/>
        <v>-1.8610827651060482</v>
      </c>
      <c r="R46" s="157">
        <f t="shared" si="30"/>
        <v>-1.8983044204081692</v>
      </c>
      <c r="S46" s="157">
        <f t="shared" ref="S46" si="31">R46*1.02</f>
        <v>-1.9362705088163326</v>
      </c>
      <c r="T46" s="157">
        <f t="shared" ref="T46" si="32">S46*1.02</f>
        <v>-1.9749959189926591</v>
      </c>
      <c r="U46" s="157">
        <f t="shared" ref="U46" si="33">T46*1.02</f>
        <v>-2.0144958373725124</v>
      </c>
      <c r="V46" s="192" t="s">
        <v>195</v>
      </c>
    </row>
    <row r="47" spans="1:23" x14ac:dyDescent="0.35">
      <c r="A47" s="246"/>
      <c r="C47" s="13"/>
      <c r="D47" s="13"/>
      <c r="E47" s="21"/>
      <c r="F47" s="13"/>
      <c r="G47" s="13"/>
      <c r="H47" s="13"/>
      <c r="I47" s="13"/>
      <c r="J47" s="13"/>
      <c r="K47" s="13"/>
      <c r="L47" s="13"/>
      <c r="M47" s="13"/>
      <c r="N47" s="13"/>
      <c r="O47" s="13"/>
      <c r="P47" s="13"/>
      <c r="Q47" s="13"/>
      <c r="R47" s="13"/>
      <c r="S47" s="13"/>
      <c r="T47" s="13"/>
      <c r="U47" s="13"/>
    </row>
    <row r="48" spans="1:23" s="25" customFormat="1" x14ac:dyDescent="0.35">
      <c r="A48" s="27"/>
      <c r="E48" s="28"/>
    </row>
    <row r="49" spans="1:22" s="13" customFormat="1" x14ac:dyDescent="0.35">
      <c r="A49" s="247">
        <v>6</v>
      </c>
      <c r="C49" s="15" t="s">
        <v>182</v>
      </c>
      <c r="D49" s="177" t="s">
        <v>191</v>
      </c>
      <c r="E49" s="177" t="s">
        <v>192</v>
      </c>
    </row>
    <row r="50" spans="1:22" s="13" customFormat="1" x14ac:dyDescent="0.35">
      <c r="A50" s="247"/>
      <c r="C50" s="170" t="s">
        <v>98</v>
      </c>
      <c r="D50" s="176">
        <f>MIN(F50:Q50)</f>
        <v>8.6489999999999441</v>
      </c>
      <c r="E50" s="115">
        <f>MAX(F50:Q50)</f>
        <v>10.096000000000032</v>
      </c>
      <c r="F50" s="151">
        <v>8.7539999999999907</v>
      </c>
      <c r="G50" s="151">
        <v>8.6489999999999441</v>
      </c>
      <c r="H50" s="151">
        <v>10.096000000000032</v>
      </c>
      <c r="I50" s="151"/>
      <c r="J50" s="151"/>
      <c r="K50" s="151"/>
      <c r="L50" s="151"/>
      <c r="M50" s="151"/>
      <c r="N50" s="151"/>
      <c r="O50" s="151"/>
      <c r="P50" s="151"/>
      <c r="Q50" s="151"/>
      <c r="R50" s="151"/>
      <c r="S50" s="151"/>
      <c r="T50" s="151"/>
      <c r="U50" s="151"/>
      <c r="V50" s="190" t="s">
        <v>184</v>
      </c>
    </row>
    <row r="51" spans="1:22" s="13" customFormat="1" x14ac:dyDescent="0.35">
      <c r="A51" s="247"/>
      <c r="C51" s="170" t="s">
        <v>193</v>
      </c>
      <c r="D51" s="176">
        <f>MIN(F51:Q51)</f>
        <v>12.590000000000032</v>
      </c>
      <c r="E51" s="115">
        <f>MAX(F51:Q51)</f>
        <v>14.030999999999949</v>
      </c>
      <c r="F51" s="151">
        <v>12.590000000000032</v>
      </c>
      <c r="G51" s="151">
        <v>13.949000000000012</v>
      </c>
      <c r="H51" s="151">
        <v>14.030999999999949</v>
      </c>
      <c r="I51" s="151"/>
      <c r="J51" s="151"/>
      <c r="K51" s="151"/>
      <c r="L51" s="151"/>
      <c r="M51" s="151"/>
      <c r="N51" s="151"/>
      <c r="O51" s="151"/>
      <c r="P51" s="151"/>
      <c r="Q51" s="151"/>
      <c r="R51" s="151"/>
      <c r="S51" s="151"/>
      <c r="T51" s="151"/>
      <c r="U51" s="151"/>
      <c r="V51" s="149"/>
    </row>
    <row r="52" spans="1:22" s="13" customFormat="1" x14ac:dyDescent="0.35">
      <c r="A52" s="247"/>
      <c r="C52" s="170" t="s">
        <v>97</v>
      </c>
      <c r="D52" s="176">
        <f>MIN(F52:Q52)</f>
        <v>16.289000000000044</v>
      </c>
      <c r="E52" s="115">
        <f>MAX(F52:Q52)</f>
        <v>17.84499999999997</v>
      </c>
      <c r="F52" s="151">
        <v>17.84499999999997</v>
      </c>
      <c r="G52" s="151">
        <v>16.289000000000044</v>
      </c>
      <c r="H52" s="151">
        <v>17.5</v>
      </c>
      <c r="I52" s="151"/>
      <c r="J52" s="151"/>
      <c r="K52" s="151"/>
      <c r="L52" s="151"/>
      <c r="M52" s="151"/>
      <c r="N52" s="151"/>
      <c r="O52" s="151"/>
      <c r="P52" s="151"/>
      <c r="Q52" s="151"/>
      <c r="R52" s="151"/>
      <c r="S52" s="151"/>
      <c r="T52" s="151"/>
      <c r="U52" s="151"/>
      <c r="V52" s="149"/>
    </row>
    <row r="53" spans="1:22" s="13" customFormat="1" x14ac:dyDescent="0.35">
      <c r="A53" s="247"/>
      <c r="F53" s="181"/>
      <c r="G53" s="181"/>
      <c r="H53" s="181"/>
    </row>
    <row r="54" spans="1:22" s="13" customFormat="1" x14ac:dyDescent="0.35">
      <c r="A54" s="247"/>
      <c r="B54" s="15"/>
    </row>
    <row r="55" spans="1:22" s="25" customFormat="1" x14ac:dyDescent="0.35">
      <c r="A55" s="27"/>
      <c r="B55" s="29"/>
    </row>
    <row r="56" spans="1:22" x14ac:dyDescent="0.35">
      <c r="A56" s="25"/>
      <c r="B56" s="25"/>
      <c r="C56" s="25"/>
      <c r="D56" s="25"/>
      <c r="E56" s="25"/>
      <c r="F56" s="25"/>
      <c r="G56" s="25"/>
      <c r="H56" s="25"/>
      <c r="I56" s="25"/>
      <c r="J56" s="25"/>
      <c r="K56" s="25"/>
      <c r="L56" s="25"/>
      <c r="M56" s="25"/>
      <c r="N56" s="25"/>
      <c r="O56" s="25"/>
      <c r="P56" s="25"/>
      <c r="Q56" s="25"/>
      <c r="R56" s="25"/>
      <c r="S56" s="25"/>
      <c r="T56" s="25"/>
      <c r="U56" s="25"/>
      <c r="V56" s="25"/>
    </row>
    <row r="57" spans="1:22" x14ac:dyDescent="0.35">
      <c r="A57" s="246">
        <v>7</v>
      </c>
    </row>
    <row r="58" spans="1:22" x14ac:dyDescent="0.35">
      <c r="A58" s="246"/>
      <c r="C58" s="15" t="s">
        <v>16</v>
      </c>
      <c r="D58" s="15"/>
      <c r="F58" s="121">
        <v>2.887</v>
      </c>
      <c r="G58" s="121">
        <v>2.93</v>
      </c>
      <c r="H58" s="121">
        <v>2.9740000000000002</v>
      </c>
      <c r="I58" s="121">
        <v>3.0190000000000001</v>
      </c>
      <c r="J58" s="121">
        <v>3.0640000000000001</v>
      </c>
      <c r="K58" s="121">
        <v>3.11</v>
      </c>
      <c r="L58" s="121">
        <v>3.1560000000000001</v>
      </c>
      <c r="M58" s="121">
        <v>3.1560000000000001</v>
      </c>
      <c r="N58" s="121">
        <v>3.1560000000000001</v>
      </c>
      <c r="O58" s="121">
        <v>3.1560000000000001</v>
      </c>
      <c r="P58" s="121">
        <v>3.1560000000000001</v>
      </c>
      <c r="Q58" s="121">
        <v>3.1560000000000001</v>
      </c>
      <c r="R58" s="121">
        <v>3.1560000000000001</v>
      </c>
      <c r="S58" s="121">
        <v>3.1560000000000001</v>
      </c>
      <c r="T58" s="121">
        <v>3.1560000000000001</v>
      </c>
      <c r="U58" s="121">
        <v>3.1560000000000001</v>
      </c>
      <c r="V58" s="192" t="s">
        <v>208</v>
      </c>
    </row>
    <row r="59" spans="1:22" x14ac:dyDescent="0.35">
      <c r="A59" s="246"/>
      <c r="C59" s="15" t="s">
        <v>17</v>
      </c>
      <c r="D59" s="15"/>
      <c r="F59" s="121">
        <v>2.8069999999999999</v>
      </c>
      <c r="G59" s="121">
        <v>2.8490000000000002</v>
      </c>
      <c r="H59" s="121">
        <v>2.891</v>
      </c>
      <c r="I59" s="121">
        <v>2.9340000000000002</v>
      </c>
      <c r="J59" s="121">
        <v>2.9769999999999999</v>
      </c>
      <c r="K59" s="121">
        <v>3.0209999999999999</v>
      </c>
      <c r="L59" s="121">
        <v>3.0659999999999998</v>
      </c>
      <c r="M59" s="121">
        <v>3.0659999999999998</v>
      </c>
      <c r="N59" s="121">
        <v>3.0659999999999998</v>
      </c>
      <c r="O59" s="121">
        <v>3.0659999999999998</v>
      </c>
      <c r="P59" s="121">
        <v>3.0659999999999998</v>
      </c>
      <c r="Q59" s="121">
        <v>3.0659999999999998</v>
      </c>
      <c r="R59" s="121">
        <v>3.0659999999999998</v>
      </c>
      <c r="S59" s="121">
        <v>3.0659999999999998</v>
      </c>
      <c r="T59" s="121">
        <v>3.0659999999999998</v>
      </c>
      <c r="U59" s="121">
        <v>3.0659999999999998</v>
      </c>
      <c r="V59" s="192" t="s">
        <v>208</v>
      </c>
    </row>
    <row r="60" spans="1:22" x14ac:dyDescent="0.35">
      <c r="A60" s="246"/>
      <c r="C60" s="15" t="s">
        <v>20</v>
      </c>
      <c r="D60" s="15"/>
      <c r="F60" s="121">
        <v>0.1</v>
      </c>
      <c r="G60" s="121">
        <v>0.1</v>
      </c>
      <c r="H60" s="121">
        <v>0.1</v>
      </c>
      <c r="I60" s="121">
        <v>0.1</v>
      </c>
      <c r="J60" s="121">
        <v>0.1</v>
      </c>
      <c r="K60" s="121">
        <v>0.1</v>
      </c>
      <c r="L60" s="121">
        <v>0.1</v>
      </c>
      <c r="M60" s="121">
        <v>0.1</v>
      </c>
      <c r="N60" s="121">
        <v>0.1</v>
      </c>
      <c r="O60" s="121">
        <v>0.1</v>
      </c>
      <c r="P60" s="121">
        <v>0.1</v>
      </c>
      <c r="Q60" s="121">
        <v>0.1</v>
      </c>
      <c r="R60" s="121">
        <v>0.1</v>
      </c>
      <c r="S60" s="121">
        <v>0.1</v>
      </c>
      <c r="T60" s="121">
        <v>0.1</v>
      </c>
      <c r="U60" s="121">
        <v>0.1</v>
      </c>
      <c r="V60" s="192" t="s">
        <v>178</v>
      </c>
    </row>
    <row r="61" spans="1:22" s="10" customFormat="1" x14ac:dyDescent="0.35">
      <c r="A61" s="246"/>
      <c r="C61" s="15" t="s">
        <v>10</v>
      </c>
      <c r="D61" s="15"/>
      <c r="F61" s="122">
        <v>1.2</v>
      </c>
      <c r="G61" s="122">
        <f t="shared" ref="G61:R61" si="34">F61*(1+$H$1)</f>
        <v>1.224</v>
      </c>
      <c r="H61" s="122">
        <f t="shared" si="34"/>
        <v>1.24848</v>
      </c>
      <c r="I61" s="122">
        <f t="shared" si="34"/>
        <v>1.2734496</v>
      </c>
      <c r="J61" s="122">
        <f t="shared" si="34"/>
        <v>1.2989185919999999</v>
      </c>
      <c r="K61" s="122">
        <f t="shared" si="34"/>
        <v>1.3248969638399999</v>
      </c>
      <c r="L61" s="122">
        <f t="shared" si="34"/>
        <v>1.3513949031168</v>
      </c>
      <c r="M61" s="122">
        <f t="shared" si="34"/>
        <v>1.378422801179136</v>
      </c>
      <c r="N61" s="122">
        <f t="shared" si="34"/>
        <v>1.4059912572027187</v>
      </c>
      <c r="O61" s="122">
        <f t="shared" si="34"/>
        <v>1.4341110823467731</v>
      </c>
      <c r="P61" s="122">
        <f t="shared" si="34"/>
        <v>1.4627933039937087</v>
      </c>
      <c r="Q61" s="122">
        <f t="shared" si="34"/>
        <v>1.492049170073583</v>
      </c>
      <c r="R61" s="122">
        <f t="shared" si="34"/>
        <v>1.5218901534750546</v>
      </c>
      <c r="S61" s="122">
        <f t="shared" ref="S61" si="35">R61*(1+$H$1)</f>
        <v>1.5523279565445558</v>
      </c>
      <c r="T61" s="122">
        <f t="shared" ref="T61" si="36">S61*(1+$H$1)</f>
        <v>1.5833745156754468</v>
      </c>
      <c r="U61" s="122">
        <f t="shared" ref="U61" si="37">T61*(1+$H$1)</f>
        <v>1.6150420059889559</v>
      </c>
      <c r="V61" s="192" t="s">
        <v>197</v>
      </c>
    </row>
    <row r="62" spans="1:22" x14ac:dyDescent="0.35">
      <c r="A62" s="246"/>
    </row>
    <row r="63" spans="1:22" x14ac:dyDescent="0.35">
      <c r="A63" s="246"/>
      <c r="C63" s="8" t="s">
        <v>136</v>
      </c>
      <c r="D63" s="8"/>
      <c r="F63" s="166">
        <f t="shared" ref="F63:Q63" si="38">SUM(F58:F62)</f>
        <v>6.9939999999999998</v>
      </c>
      <c r="G63" s="166">
        <f t="shared" si="38"/>
        <v>7.1029999999999998</v>
      </c>
      <c r="H63" s="166">
        <f t="shared" si="38"/>
        <v>7.2134799999999997</v>
      </c>
      <c r="I63" s="166">
        <f t="shared" si="38"/>
        <v>7.3264496000000001</v>
      </c>
      <c r="J63" s="166">
        <f t="shared" si="38"/>
        <v>7.4399185919999997</v>
      </c>
      <c r="K63" s="166">
        <f t="shared" si="38"/>
        <v>7.5558969638399995</v>
      </c>
      <c r="L63" s="166">
        <f t="shared" si="38"/>
        <v>7.6733949031167992</v>
      </c>
      <c r="M63" s="166">
        <f t="shared" si="38"/>
        <v>7.7004228011791351</v>
      </c>
      <c r="N63" s="166">
        <f t="shared" si="38"/>
        <v>7.7279912572027181</v>
      </c>
      <c r="O63" s="166">
        <f t="shared" si="38"/>
        <v>7.7561110823467718</v>
      </c>
      <c r="P63" s="166">
        <f t="shared" si="38"/>
        <v>7.7847933039937081</v>
      </c>
      <c r="Q63" s="166">
        <f t="shared" si="38"/>
        <v>7.8140491700735826</v>
      </c>
      <c r="R63" s="166">
        <f t="shared" ref="R63:U63" si="39">SUM(R58:R62)</f>
        <v>7.843890153475054</v>
      </c>
      <c r="S63" s="166">
        <f t="shared" si="39"/>
        <v>7.8743279565445548</v>
      </c>
      <c r="T63" s="166">
        <f t="shared" si="39"/>
        <v>7.9053745156754456</v>
      </c>
      <c r="U63" s="166">
        <f t="shared" si="39"/>
        <v>7.937042005988955</v>
      </c>
    </row>
    <row r="64" spans="1:22" x14ac:dyDescent="0.35">
      <c r="A64" s="246"/>
    </row>
    <row r="65" spans="1:26" x14ac:dyDescent="0.35">
      <c r="A65" s="25"/>
      <c r="B65" s="25"/>
      <c r="C65" s="25"/>
      <c r="D65" s="25"/>
      <c r="E65" s="25"/>
      <c r="F65" s="25"/>
      <c r="G65" s="25"/>
      <c r="H65" s="25"/>
      <c r="I65" s="25"/>
      <c r="J65" s="25"/>
      <c r="K65" s="25"/>
      <c r="L65" s="25"/>
      <c r="M65" s="25"/>
      <c r="N65" s="25"/>
      <c r="O65" s="25"/>
      <c r="P65" s="25"/>
      <c r="Q65" s="25"/>
      <c r="R65" s="25"/>
      <c r="S65" s="25"/>
      <c r="T65" s="25"/>
      <c r="U65" s="25"/>
      <c r="V65" s="25"/>
    </row>
    <row r="66" spans="1:26" x14ac:dyDescent="0.35">
      <c r="A66" s="246">
        <v>8</v>
      </c>
    </row>
    <row r="67" spans="1:26" x14ac:dyDescent="0.35">
      <c r="A67" s="246"/>
      <c r="C67" s="92" t="s">
        <v>13</v>
      </c>
      <c r="E67" s="10"/>
      <c r="F67" s="5"/>
      <c r="G67" s="5"/>
      <c r="H67" s="5"/>
      <c r="I67" s="17"/>
      <c r="J67" s="17"/>
      <c r="K67" s="99"/>
      <c r="L67" s="99"/>
      <c r="M67" s="119"/>
      <c r="N67" s="119"/>
      <c r="O67" s="119"/>
      <c r="P67" s="119"/>
      <c r="Q67" s="119"/>
      <c r="R67" s="185"/>
      <c r="S67" s="211"/>
      <c r="T67" s="211"/>
      <c r="U67" s="211"/>
    </row>
    <row r="68" spans="1:26" x14ac:dyDescent="0.35">
      <c r="A68" s="246"/>
      <c r="B68" s="4"/>
      <c r="C68" s="141" t="s">
        <v>14</v>
      </c>
      <c r="E68" s="10"/>
      <c r="F68" s="132">
        <v>28.5</v>
      </c>
      <c r="G68" s="132">
        <v>29.1</v>
      </c>
      <c r="H68" s="132">
        <v>17</v>
      </c>
      <c r="I68" s="132">
        <v>17.399999999999999</v>
      </c>
      <c r="J68" s="132">
        <v>6.1</v>
      </c>
      <c r="K68" s="132">
        <v>0.5</v>
      </c>
      <c r="L68" s="132">
        <v>0.5</v>
      </c>
      <c r="M68" s="132">
        <v>0.5</v>
      </c>
      <c r="N68" s="132">
        <v>0.5</v>
      </c>
      <c r="O68" s="132">
        <v>0.5</v>
      </c>
      <c r="P68" s="132">
        <v>0.5</v>
      </c>
      <c r="Q68" s="132">
        <v>0.5</v>
      </c>
      <c r="R68" s="132">
        <v>0.5</v>
      </c>
      <c r="S68" s="132">
        <v>0.5</v>
      </c>
      <c r="T68" s="132">
        <v>0.5</v>
      </c>
      <c r="U68" s="132">
        <v>0.5</v>
      </c>
      <c r="V68" s="192" t="s">
        <v>208</v>
      </c>
      <c r="Y68" s="13"/>
      <c r="Z68" s="13"/>
    </row>
    <row r="69" spans="1:26" s="10" customFormat="1" x14ac:dyDescent="0.35">
      <c r="A69" s="246"/>
      <c r="B69" s="23"/>
      <c r="C69" s="141" t="s">
        <v>145</v>
      </c>
      <c r="F69" s="77">
        <v>3.82</v>
      </c>
      <c r="G69" s="77">
        <v>3.76</v>
      </c>
      <c r="H69" s="77">
        <v>2.48</v>
      </c>
      <c r="I69" s="77">
        <v>2.46</v>
      </c>
      <c r="J69" s="77">
        <v>0.9</v>
      </c>
      <c r="K69" s="77">
        <v>0</v>
      </c>
      <c r="L69" s="77">
        <v>0</v>
      </c>
      <c r="M69" s="77">
        <v>0</v>
      </c>
      <c r="N69" s="77">
        <v>0</v>
      </c>
      <c r="O69" s="77">
        <v>0</v>
      </c>
      <c r="P69" s="77">
        <v>0</v>
      </c>
      <c r="Q69" s="77">
        <v>0</v>
      </c>
      <c r="R69" s="77">
        <v>0</v>
      </c>
      <c r="S69" s="77">
        <v>0</v>
      </c>
      <c r="T69" s="77">
        <v>0</v>
      </c>
      <c r="U69" s="77">
        <v>0</v>
      </c>
      <c r="V69" s="16" t="s">
        <v>209</v>
      </c>
      <c r="Y69" s="13"/>
      <c r="Z69" s="13"/>
    </row>
    <row r="70" spans="1:26" s="10" customFormat="1" x14ac:dyDescent="0.35">
      <c r="A70" s="246"/>
      <c r="B70" s="23"/>
      <c r="C70" s="141" t="s">
        <v>146</v>
      </c>
      <c r="D70" s="148" t="s">
        <v>128</v>
      </c>
      <c r="E70" s="148" t="s">
        <v>183</v>
      </c>
      <c r="F70" s="132">
        <f t="shared" ref="F70:Q70" si="40">F68-F69</f>
        <v>24.68</v>
      </c>
      <c r="G70" s="132">
        <f t="shared" si="40"/>
        <v>25.340000000000003</v>
      </c>
      <c r="H70" s="132">
        <f t="shared" si="40"/>
        <v>14.52</v>
      </c>
      <c r="I70" s="132">
        <f t="shared" si="40"/>
        <v>14.939999999999998</v>
      </c>
      <c r="J70" s="132">
        <f t="shared" si="40"/>
        <v>5.1999999999999993</v>
      </c>
      <c r="K70" s="132">
        <f t="shared" si="40"/>
        <v>0.5</v>
      </c>
      <c r="L70" s="132">
        <f t="shared" si="40"/>
        <v>0.5</v>
      </c>
      <c r="M70" s="132">
        <f t="shared" si="40"/>
        <v>0.5</v>
      </c>
      <c r="N70" s="132">
        <f t="shared" si="40"/>
        <v>0.5</v>
      </c>
      <c r="O70" s="132">
        <f t="shared" si="40"/>
        <v>0.5</v>
      </c>
      <c r="P70" s="132">
        <f t="shared" si="40"/>
        <v>0.5</v>
      </c>
      <c r="Q70" s="132">
        <f t="shared" si="40"/>
        <v>0.5</v>
      </c>
      <c r="R70" s="132">
        <f t="shared" ref="R70" si="41">R68-R69</f>
        <v>0.5</v>
      </c>
      <c r="S70" s="132">
        <f t="shared" ref="S70:U70" si="42">S68-S69</f>
        <v>0.5</v>
      </c>
      <c r="T70" s="132">
        <f t="shared" si="42"/>
        <v>0.5</v>
      </c>
      <c r="U70" s="132">
        <f t="shared" si="42"/>
        <v>0.5</v>
      </c>
      <c r="V70" s="16"/>
      <c r="Y70" s="13"/>
      <c r="Z70" s="13"/>
    </row>
    <row r="71" spans="1:26" x14ac:dyDescent="0.35">
      <c r="A71" s="246"/>
      <c r="C71" s="143" t="s">
        <v>129</v>
      </c>
      <c r="D71" s="147">
        <v>0.83</v>
      </c>
      <c r="E71" s="147">
        <v>0.85</v>
      </c>
      <c r="F71" s="146">
        <f t="shared" ref="F71:Q71" si="43">(1-$E$71)*($D$71*F70)</f>
        <v>3.0726599999999999</v>
      </c>
      <c r="G71" s="146">
        <f t="shared" si="43"/>
        <v>3.1548300000000009</v>
      </c>
      <c r="H71" s="146">
        <f t="shared" si="43"/>
        <v>1.8077400000000001</v>
      </c>
      <c r="I71" s="146">
        <f t="shared" si="43"/>
        <v>1.8600300000000001</v>
      </c>
      <c r="J71" s="146">
        <f t="shared" si="43"/>
        <v>0.64739999999999998</v>
      </c>
      <c r="K71" s="146">
        <f t="shared" si="43"/>
        <v>6.2250000000000007E-2</v>
      </c>
      <c r="L71" s="146">
        <f t="shared" si="43"/>
        <v>6.2250000000000007E-2</v>
      </c>
      <c r="M71" s="146">
        <f t="shared" si="43"/>
        <v>6.2250000000000007E-2</v>
      </c>
      <c r="N71" s="146">
        <f t="shared" si="43"/>
        <v>6.2250000000000007E-2</v>
      </c>
      <c r="O71" s="146">
        <f t="shared" si="43"/>
        <v>6.2250000000000007E-2</v>
      </c>
      <c r="P71" s="146">
        <f t="shared" si="43"/>
        <v>6.2250000000000007E-2</v>
      </c>
      <c r="Q71" s="146">
        <f t="shared" si="43"/>
        <v>6.2250000000000007E-2</v>
      </c>
      <c r="R71" s="146">
        <f t="shared" ref="R71" si="44">(1-$E$71)*($D$71*R70)</f>
        <v>6.2250000000000007E-2</v>
      </c>
      <c r="S71" s="146">
        <f t="shared" ref="S71:U71" si="45">(1-$E$71)*($D$71*S70)</f>
        <v>6.2250000000000007E-2</v>
      </c>
      <c r="T71" s="146">
        <f t="shared" si="45"/>
        <v>6.2250000000000007E-2</v>
      </c>
      <c r="U71" s="146">
        <f t="shared" si="45"/>
        <v>6.2250000000000007E-2</v>
      </c>
      <c r="V71" s="192" t="s">
        <v>127</v>
      </c>
      <c r="Y71" s="13"/>
      <c r="Z71" s="13"/>
    </row>
    <row r="72" spans="1:26" x14ac:dyDescent="0.35">
      <c r="A72" s="246"/>
      <c r="B72" s="10"/>
      <c r="C72" s="144" t="s">
        <v>130</v>
      </c>
      <c r="D72" s="8"/>
      <c r="E72" s="8"/>
      <c r="F72" s="140">
        <f t="shared" ref="F72:Q72" si="46">F70-F71</f>
        <v>21.607340000000001</v>
      </c>
      <c r="G72" s="140">
        <f t="shared" si="46"/>
        <v>22.185170000000003</v>
      </c>
      <c r="H72" s="140">
        <f t="shared" si="46"/>
        <v>12.712259999999999</v>
      </c>
      <c r="I72" s="140">
        <f t="shared" si="46"/>
        <v>13.079969999999998</v>
      </c>
      <c r="J72" s="140">
        <f t="shared" si="46"/>
        <v>4.5525999999999991</v>
      </c>
      <c r="K72" s="140">
        <f t="shared" si="46"/>
        <v>0.43774999999999997</v>
      </c>
      <c r="L72" s="140">
        <f t="shared" si="46"/>
        <v>0.43774999999999997</v>
      </c>
      <c r="M72" s="140">
        <f t="shared" si="46"/>
        <v>0.43774999999999997</v>
      </c>
      <c r="N72" s="140">
        <f t="shared" si="46"/>
        <v>0.43774999999999997</v>
      </c>
      <c r="O72" s="140">
        <f t="shared" si="46"/>
        <v>0.43774999999999997</v>
      </c>
      <c r="P72" s="140">
        <f t="shared" si="46"/>
        <v>0.43774999999999997</v>
      </c>
      <c r="Q72" s="140">
        <f t="shared" si="46"/>
        <v>0.43774999999999997</v>
      </c>
      <c r="R72" s="140">
        <f t="shared" ref="R72" si="47">R70-R71</f>
        <v>0.43774999999999997</v>
      </c>
      <c r="S72" s="140">
        <f t="shared" ref="S72:U72" si="48">S70-S71</f>
        <v>0.43774999999999997</v>
      </c>
      <c r="T72" s="140">
        <f t="shared" si="48"/>
        <v>0.43774999999999997</v>
      </c>
      <c r="U72" s="140">
        <f t="shared" si="48"/>
        <v>0.43774999999999997</v>
      </c>
      <c r="V72" s="10"/>
      <c r="W72" s="48"/>
      <c r="X72" s="48"/>
      <c r="Y72" s="10"/>
      <c r="Z72" s="10"/>
    </row>
    <row r="73" spans="1:26" x14ac:dyDescent="0.35">
      <c r="A73" s="246"/>
    </row>
    <row r="74" spans="1:26" x14ac:dyDescent="0.35">
      <c r="A74" s="25"/>
      <c r="B74" s="25"/>
      <c r="C74" s="25"/>
      <c r="D74" s="25"/>
      <c r="E74" s="25"/>
      <c r="F74" s="25"/>
      <c r="G74" s="25"/>
      <c r="H74" s="25"/>
      <c r="I74" s="25"/>
      <c r="J74" s="25"/>
      <c r="K74" s="25"/>
      <c r="L74" s="25"/>
      <c r="M74" s="25"/>
      <c r="N74" s="25"/>
      <c r="O74" s="25"/>
      <c r="P74" s="25"/>
      <c r="Q74" s="25"/>
      <c r="R74" s="25"/>
      <c r="S74" s="25"/>
      <c r="T74" s="25"/>
      <c r="U74" s="25"/>
      <c r="V74" s="25"/>
    </row>
    <row r="75" spans="1:26" s="10" customFormat="1" x14ac:dyDescent="0.35">
      <c r="A75" s="246">
        <v>9</v>
      </c>
      <c r="C75" s="92" t="s">
        <v>153</v>
      </c>
      <c r="D75" s="23"/>
      <c r="E75" s="23"/>
      <c r="F75" s="94"/>
      <c r="G75" s="94"/>
      <c r="H75" s="94"/>
      <c r="I75" s="94"/>
      <c r="J75" s="94"/>
      <c r="K75" s="99"/>
      <c r="L75" s="99"/>
      <c r="M75" s="119"/>
      <c r="N75" s="119"/>
      <c r="O75" s="119"/>
      <c r="P75" s="119"/>
      <c r="Q75" s="119"/>
      <c r="R75" s="185"/>
      <c r="S75" s="211"/>
      <c r="T75" s="211"/>
      <c r="U75" s="211"/>
    </row>
    <row r="76" spans="1:26" s="10" customFormat="1" x14ac:dyDescent="0.35">
      <c r="A76" s="246"/>
      <c r="B76" s="179">
        <v>55</v>
      </c>
      <c r="C76" s="15" t="s">
        <v>98</v>
      </c>
      <c r="D76" s="86"/>
      <c r="E76" s="86"/>
      <c r="F76" s="150">
        <v>-6.6600772045065648</v>
      </c>
      <c r="G76" s="150">
        <v>-6.0321067128049775</v>
      </c>
      <c r="H76" s="150">
        <v>-4.9397105422752956</v>
      </c>
      <c r="I76" s="150"/>
      <c r="J76" s="150"/>
      <c r="K76" s="150"/>
      <c r="L76" s="150"/>
      <c r="M76" s="150"/>
      <c r="N76" s="150"/>
      <c r="O76" s="150"/>
      <c r="P76" s="150"/>
      <c r="Q76" s="150"/>
      <c r="R76" s="150"/>
      <c r="S76" s="150"/>
      <c r="T76" s="150"/>
      <c r="U76" s="150"/>
      <c r="V76" s="9" t="s">
        <v>186</v>
      </c>
    </row>
    <row r="77" spans="1:26" s="10" customFormat="1" x14ac:dyDescent="0.35">
      <c r="A77" s="246"/>
      <c r="B77" s="179">
        <v>41</v>
      </c>
      <c r="C77" s="86" t="s">
        <v>193</v>
      </c>
      <c r="D77" s="86"/>
      <c r="E77" s="86"/>
      <c r="F77" s="150">
        <v>6.9238756364961587</v>
      </c>
      <c r="G77" s="150">
        <v>7.5137584441445071</v>
      </c>
      <c r="H77" s="150">
        <v>8.606154614674189</v>
      </c>
      <c r="I77" s="150"/>
      <c r="J77" s="150"/>
      <c r="K77" s="150"/>
      <c r="L77" s="150"/>
      <c r="M77" s="150"/>
      <c r="N77" s="150"/>
      <c r="O77" s="150"/>
      <c r="P77" s="150"/>
      <c r="Q77" s="150"/>
      <c r="R77" s="150"/>
      <c r="S77" s="150"/>
      <c r="T77" s="150"/>
      <c r="U77" s="150"/>
      <c r="V77" s="9" t="s">
        <v>190</v>
      </c>
    </row>
    <row r="78" spans="1:26" s="10" customFormat="1" x14ac:dyDescent="0.35">
      <c r="A78" s="246"/>
      <c r="B78" s="179">
        <v>27</v>
      </c>
      <c r="C78" s="15" t="s">
        <v>97</v>
      </c>
      <c r="D78" s="86"/>
      <c r="E78" s="86"/>
      <c r="F78" s="150">
        <v>18.767309489926493</v>
      </c>
      <c r="G78" s="150">
        <v>19.315620422521189</v>
      </c>
      <c r="H78" s="150">
        <v>20.408016593050867</v>
      </c>
      <c r="I78" s="150"/>
      <c r="J78" s="150"/>
      <c r="K78" s="150"/>
      <c r="L78" s="150"/>
      <c r="M78" s="150"/>
      <c r="N78" s="150"/>
      <c r="O78" s="150"/>
      <c r="P78" s="150"/>
      <c r="Q78" s="150"/>
      <c r="R78" s="150"/>
      <c r="S78" s="150"/>
      <c r="T78" s="150"/>
      <c r="U78" s="150"/>
      <c r="V78" s="9"/>
    </row>
    <row r="79" spans="1:26" s="10" customFormat="1" x14ac:dyDescent="0.35">
      <c r="A79" s="246"/>
      <c r="R79" s="188"/>
      <c r="S79" s="210"/>
      <c r="T79" s="210"/>
      <c r="U79" s="210"/>
      <c r="W79" s="48"/>
      <c r="X79" s="48"/>
    </row>
    <row r="80" spans="1:26" s="10" customFormat="1" x14ac:dyDescent="0.35">
      <c r="A80" s="25"/>
      <c r="B80" s="25"/>
      <c r="C80" s="25"/>
      <c r="D80" s="25"/>
      <c r="E80" s="25"/>
      <c r="F80" s="25"/>
      <c r="G80" s="25"/>
      <c r="H80" s="25"/>
      <c r="I80" s="25"/>
      <c r="J80" s="25"/>
      <c r="K80" s="25"/>
      <c r="L80" s="25"/>
      <c r="M80" s="25"/>
      <c r="N80" s="25"/>
      <c r="O80" s="25"/>
      <c r="P80" s="25"/>
      <c r="Q80" s="25"/>
      <c r="R80" s="25"/>
      <c r="S80" s="25"/>
      <c r="T80" s="25"/>
      <c r="U80" s="25"/>
      <c r="V80" s="25"/>
    </row>
    <row r="81" spans="1:22" s="10" customFormat="1" x14ac:dyDescent="0.35">
      <c r="D81" s="167"/>
      <c r="F81" s="183"/>
      <c r="G81" s="183"/>
      <c r="H81" s="183"/>
      <c r="I81" s="23"/>
      <c r="J81" s="23"/>
      <c r="K81" s="23"/>
      <c r="L81" s="23"/>
      <c r="M81" s="23"/>
      <c r="N81" s="23"/>
      <c r="O81" s="23"/>
      <c r="P81" s="23"/>
      <c r="Q81" s="23"/>
      <c r="R81" s="23"/>
      <c r="S81" s="23"/>
      <c r="T81" s="23"/>
      <c r="U81" s="23"/>
    </row>
    <row r="82" spans="1:22" x14ac:dyDescent="0.35">
      <c r="D82" s="167"/>
      <c r="E82" s="178"/>
      <c r="F82" s="183"/>
      <c r="G82" s="183"/>
      <c r="H82" s="183"/>
    </row>
    <row r="83" spans="1:22" x14ac:dyDescent="0.35">
      <c r="A83" s="25"/>
      <c r="B83" s="25"/>
      <c r="C83" s="25"/>
      <c r="D83" s="25"/>
      <c r="E83" s="25"/>
      <c r="F83" s="25"/>
      <c r="G83" s="25"/>
      <c r="H83" s="25"/>
      <c r="I83" s="25"/>
      <c r="J83" s="25"/>
      <c r="K83" s="25"/>
      <c r="L83" s="25"/>
      <c r="M83" s="25"/>
      <c r="N83" s="25"/>
      <c r="O83" s="25"/>
      <c r="P83" s="25"/>
      <c r="Q83" s="25"/>
      <c r="R83" s="25"/>
      <c r="S83" s="25"/>
      <c r="T83" s="25"/>
      <c r="U83" s="25"/>
      <c r="V83" s="25"/>
    </row>
    <row r="84" spans="1:22" x14ac:dyDescent="0.35">
      <c r="A84" s="246">
        <v>10</v>
      </c>
      <c r="B84" s="199"/>
      <c r="C84" s="199"/>
      <c r="D84" s="199"/>
      <c r="E84" s="199"/>
      <c r="F84" s="199"/>
      <c r="G84" s="199"/>
      <c r="H84" s="199"/>
      <c r="I84" s="199"/>
      <c r="J84" s="199"/>
      <c r="K84" s="199"/>
      <c r="L84" s="199"/>
      <c r="M84" s="199"/>
      <c r="N84" s="199"/>
      <c r="O84" s="199"/>
      <c r="P84" s="199"/>
      <c r="Q84" s="199"/>
      <c r="R84" s="199"/>
      <c r="V84" s="199"/>
    </row>
    <row r="85" spans="1:22" x14ac:dyDescent="0.35">
      <c r="A85" s="246"/>
      <c r="B85" s="199"/>
      <c r="C85" s="92" t="s">
        <v>210</v>
      </c>
      <c r="D85" s="199"/>
      <c r="E85" s="199"/>
      <c r="F85" s="201"/>
      <c r="G85" s="201"/>
      <c r="H85" s="201"/>
      <c r="I85" s="201"/>
      <c r="J85" s="201"/>
      <c r="K85" s="201"/>
      <c r="L85" s="201"/>
      <c r="M85" s="201"/>
      <c r="N85" s="201"/>
      <c r="O85" s="201"/>
      <c r="P85" s="201"/>
      <c r="Q85" s="201"/>
      <c r="R85" s="201"/>
      <c r="S85" s="211"/>
      <c r="T85" s="211"/>
      <c r="U85" s="211"/>
      <c r="V85" s="199"/>
    </row>
    <row r="86" spans="1:22" x14ac:dyDescent="0.35">
      <c r="A86" s="246"/>
      <c r="B86" s="23"/>
      <c r="C86" s="141" t="s">
        <v>14</v>
      </c>
      <c r="D86" s="199"/>
      <c r="E86" s="199"/>
      <c r="F86" s="132">
        <v>38.1</v>
      </c>
      <c r="G86" s="132">
        <v>39.799999999999997</v>
      </c>
      <c r="H86" s="132">
        <v>40.299999999999997</v>
      </c>
      <c r="I86" s="132">
        <v>42.2</v>
      </c>
      <c r="J86" s="132">
        <v>42.6</v>
      </c>
      <c r="K86" s="132">
        <v>43.9</v>
      </c>
      <c r="L86" s="132">
        <v>46.1</v>
      </c>
      <c r="M86" s="132">
        <v>48.5</v>
      </c>
      <c r="N86" s="132">
        <v>48.5</v>
      </c>
      <c r="O86" s="132">
        <v>48.5</v>
      </c>
      <c r="P86" s="132">
        <v>48.5</v>
      </c>
      <c r="Q86" s="132">
        <v>48.5</v>
      </c>
      <c r="R86" s="132">
        <v>48.5</v>
      </c>
      <c r="S86" s="132">
        <v>48.5</v>
      </c>
      <c r="T86" s="132">
        <v>48.5</v>
      </c>
      <c r="U86" s="132">
        <v>48.5</v>
      </c>
      <c r="V86" s="192" t="s">
        <v>212</v>
      </c>
    </row>
    <row r="87" spans="1:22" x14ac:dyDescent="0.35">
      <c r="A87" s="246"/>
      <c r="B87" s="23"/>
      <c r="C87" s="141" t="s">
        <v>145</v>
      </c>
      <c r="D87" s="199"/>
      <c r="E87" s="199"/>
      <c r="F87" s="77">
        <v>3.82</v>
      </c>
      <c r="G87" s="77">
        <v>3.78</v>
      </c>
      <c r="H87" s="77">
        <v>3.75</v>
      </c>
      <c r="I87" s="77">
        <v>3.71</v>
      </c>
      <c r="J87" s="77">
        <v>3.68</v>
      </c>
      <c r="K87" s="77">
        <v>3.65</v>
      </c>
      <c r="L87" s="77">
        <v>3.61</v>
      </c>
      <c r="M87" s="77">
        <v>3.6</v>
      </c>
      <c r="N87" s="77">
        <v>3.6</v>
      </c>
      <c r="O87" s="77">
        <v>3.6</v>
      </c>
      <c r="P87" s="77">
        <v>3.6</v>
      </c>
      <c r="Q87" s="77">
        <v>3.6</v>
      </c>
      <c r="R87" s="77">
        <v>3.6</v>
      </c>
      <c r="S87" s="77">
        <v>3.6</v>
      </c>
      <c r="T87" s="77">
        <v>3.6</v>
      </c>
      <c r="U87" s="77">
        <v>3.6</v>
      </c>
      <c r="V87" s="16" t="s">
        <v>213</v>
      </c>
    </row>
    <row r="88" spans="1:22" x14ac:dyDescent="0.35">
      <c r="A88" s="246"/>
      <c r="B88" s="23"/>
      <c r="C88" s="141" t="s">
        <v>146</v>
      </c>
      <c r="D88" s="148" t="s">
        <v>128</v>
      </c>
      <c r="E88" s="148" t="s">
        <v>183</v>
      </c>
      <c r="F88" s="132">
        <f t="shared" ref="F88:R88" si="49">F86-F87</f>
        <v>34.28</v>
      </c>
      <c r="G88" s="132">
        <f t="shared" si="49"/>
        <v>36.019999999999996</v>
      </c>
      <c r="H88" s="132">
        <f t="shared" si="49"/>
        <v>36.549999999999997</v>
      </c>
      <c r="I88" s="132">
        <f t="shared" si="49"/>
        <v>38.49</v>
      </c>
      <c r="J88" s="132">
        <f t="shared" si="49"/>
        <v>38.92</v>
      </c>
      <c r="K88" s="132">
        <f t="shared" si="49"/>
        <v>40.25</v>
      </c>
      <c r="L88" s="132">
        <f t="shared" si="49"/>
        <v>42.49</v>
      </c>
      <c r="M88" s="132">
        <f t="shared" si="49"/>
        <v>44.9</v>
      </c>
      <c r="N88" s="132">
        <f t="shared" si="49"/>
        <v>44.9</v>
      </c>
      <c r="O88" s="132">
        <f t="shared" si="49"/>
        <v>44.9</v>
      </c>
      <c r="P88" s="132">
        <f t="shared" si="49"/>
        <v>44.9</v>
      </c>
      <c r="Q88" s="132">
        <f t="shared" si="49"/>
        <v>44.9</v>
      </c>
      <c r="R88" s="132">
        <f t="shared" si="49"/>
        <v>44.9</v>
      </c>
      <c r="S88" s="132">
        <f t="shared" ref="S88:U88" si="50">S86-S87</f>
        <v>44.9</v>
      </c>
      <c r="T88" s="132">
        <f t="shared" si="50"/>
        <v>44.9</v>
      </c>
      <c r="U88" s="132">
        <f t="shared" si="50"/>
        <v>44.9</v>
      </c>
      <c r="V88" s="16"/>
    </row>
    <row r="89" spans="1:22" x14ac:dyDescent="0.35">
      <c r="A89" s="246"/>
      <c r="B89" s="199"/>
      <c r="C89" s="143" t="s">
        <v>129</v>
      </c>
      <c r="D89" s="147">
        <v>0.83</v>
      </c>
      <c r="E89" s="147">
        <v>0.85</v>
      </c>
      <c r="F89" s="146">
        <f t="shared" ref="F89:R89" si="51">(1-$E$71)*($D$71*F88)</f>
        <v>4.2678600000000007</v>
      </c>
      <c r="G89" s="146">
        <f t="shared" si="51"/>
        <v>4.4844900000000001</v>
      </c>
      <c r="H89" s="146">
        <f t="shared" si="51"/>
        <v>4.5504750000000005</v>
      </c>
      <c r="I89" s="146">
        <f t="shared" si="51"/>
        <v>4.7920050000000005</v>
      </c>
      <c r="J89" s="146">
        <f t="shared" si="51"/>
        <v>4.8455400000000015</v>
      </c>
      <c r="K89" s="146">
        <f t="shared" si="51"/>
        <v>5.0111250000000007</v>
      </c>
      <c r="L89" s="146">
        <f t="shared" si="51"/>
        <v>5.2900050000000007</v>
      </c>
      <c r="M89" s="146">
        <f t="shared" si="51"/>
        <v>5.5900500000000006</v>
      </c>
      <c r="N89" s="146">
        <f t="shared" si="51"/>
        <v>5.5900500000000006</v>
      </c>
      <c r="O89" s="146">
        <f t="shared" si="51"/>
        <v>5.5900500000000006</v>
      </c>
      <c r="P89" s="146">
        <f t="shared" si="51"/>
        <v>5.5900500000000006</v>
      </c>
      <c r="Q89" s="146">
        <f t="shared" si="51"/>
        <v>5.5900500000000006</v>
      </c>
      <c r="R89" s="146">
        <f t="shared" si="51"/>
        <v>5.5900500000000006</v>
      </c>
      <c r="S89" s="146">
        <f t="shared" ref="S89:U89" si="52">(1-$E$71)*($D$71*S88)</f>
        <v>5.5900500000000006</v>
      </c>
      <c r="T89" s="146">
        <f t="shared" si="52"/>
        <v>5.5900500000000006</v>
      </c>
      <c r="U89" s="146">
        <f t="shared" si="52"/>
        <v>5.5900500000000006</v>
      </c>
      <c r="V89" s="192" t="s">
        <v>127</v>
      </c>
    </row>
    <row r="90" spans="1:22" x14ac:dyDescent="0.35">
      <c r="A90" s="246"/>
      <c r="B90" s="199"/>
      <c r="C90" s="144" t="s">
        <v>130</v>
      </c>
      <c r="D90" s="200"/>
      <c r="E90" s="200"/>
      <c r="F90" s="140">
        <f t="shared" ref="F90:R90" si="53">F88-F89</f>
        <v>30.012140000000002</v>
      </c>
      <c r="G90" s="140">
        <f t="shared" si="53"/>
        <v>31.535509999999995</v>
      </c>
      <c r="H90" s="140">
        <f t="shared" si="53"/>
        <v>31.999524999999998</v>
      </c>
      <c r="I90" s="140">
        <f t="shared" si="53"/>
        <v>33.697994999999999</v>
      </c>
      <c r="J90" s="140">
        <f t="shared" si="53"/>
        <v>34.074460000000002</v>
      </c>
      <c r="K90" s="140">
        <f t="shared" si="53"/>
        <v>35.238875</v>
      </c>
      <c r="L90" s="140">
        <f t="shared" si="53"/>
        <v>37.199995000000001</v>
      </c>
      <c r="M90" s="140">
        <f t="shared" si="53"/>
        <v>39.309950000000001</v>
      </c>
      <c r="N90" s="140">
        <f t="shared" si="53"/>
        <v>39.309950000000001</v>
      </c>
      <c r="O90" s="140">
        <f t="shared" si="53"/>
        <v>39.309950000000001</v>
      </c>
      <c r="P90" s="140">
        <f t="shared" si="53"/>
        <v>39.309950000000001</v>
      </c>
      <c r="Q90" s="140">
        <f t="shared" si="53"/>
        <v>39.309950000000001</v>
      </c>
      <c r="R90" s="140">
        <f t="shared" si="53"/>
        <v>39.309950000000001</v>
      </c>
      <c r="S90" s="140">
        <f t="shared" ref="S90:U90" si="54">S88-S89</f>
        <v>39.309950000000001</v>
      </c>
      <c r="T90" s="140">
        <f t="shared" si="54"/>
        <v>39.309950000000001</v>
      </c>
      <c r="U90" s="140">
        <f t="shared" si="54"/>
        <v>39.309950000000001</v>
      </c>
      <c r="V90" s="199"/>
    </row>
    <row r="91" spans="1:22" x14ac:dyDescent="0.35">
      <c r="A91" s="246"/>
      <c r="B91" s="199"/>
      <c r="C91" s="199"/>
      <c r="D91" s="199"/>
      <c r="E91" s="199"/>
      <c r="F91" s="199"/>
      <c r="G91" s="199"/>
      <c r="H91" s="199"/>
      <c r="I91" s="199"/>
      <c r="J91" s="199"/>
      <c r="K91" s="199"/>
      <c r="L91" s="199"/>
      <c r="M91" s="199"/>
      <c r="N91" s="199"/>
      <c r="O91" s="199"/>
      <c r="P91" s="199"/>
      <c r="Q91" s="199"/>
      <c r="R91" s="199"/>
      <c r="V91" s="199"/>
    </row>
    <row r="92" spans="1:22" x14ac:dyDescent="0.35">
      <c r="A92" s="25"/>
      <c r="B92" s="25"/>
      <c r="C92" s="25"/>
      <c r="D92" s="25"/>
      <c r="E92" s="25"/>
      <c r="F92" s="25"/>
      <c r="G92" s="25"/>
      <c r="H92" s="25"/>
      <c r="I92" s="25"/>
      <c r="J92" s="25"/>
      <c r="K92" s="25"/>
      <c r="L92" s="25"/>
      <c r="M92" s="25"/>
      <c r="N92" s="25"/>
      <c r="O92" s="25"/>
      <c r="P92" s="25"/>
      <c r="Q92" s="25"/>
      <c r="R92" s="25"/>
      <c r="S92" s="25"/>
      <c r="T92" s="25"/>
      <c r="U92" s="25"/>
      <c r="V92" s="25"/>
    </row>
    <row r="93" spans="1:22" x14ac:dyDescent="0.35">
      <c r="A93" s="174"/>
      <c r="B93" s="174"/>
      <c r="C93" s="175"/>
      <c r="D93" s="174"/>
      <c r="E93" s="174"/>
      <c r="F93" s="174"/>
      <c r="G93" s="174"/>
      <c r="H93" s="174"/>
      <c r="I93" s="174"/>
      <c r="J93" s="174"/>
      <c r="K93" s="174"/>
      <c r="L93" s="174"/>
      <c r="M93" s="174"/>
      <c r="N93" s="174"/>
      <c r="O93" s="174"/>
      <c r="P93" s="174"/>
      <c r="Q93" s="174"/>
      <c r="V93" s="174"/>
    </row>
    <row r="94" spans="1:22" x14ac:dyDescent="0.35">
      <c r="A94" s="174"/>
      <c r="B94" s="174"/>
      <c r="C94" s="175"/>
      <c r="D94" s="174"/>
      <c r="E94" s="174"/>
      <c r="F94" s="174"/>
      <c r="G94" s="174"/>
      <c r="H94" s="174"/>
      <c r="I94" s="174"/>
      <c r="J94" s="174"/>
      <c r="K94" s="174"/>
      <c r="L94" s="174"/>
      <c r="M94" s="174"/>
      <c r="N94" s="174"/>
      <c r="O94" s="174"/>
      <c r="P94" s="174"/>
      <c r="Q94" s="174"/>
      <c r="V94" s="174"/>
    </row>
    <row r="95" spans="1:22" x14ac:dyDescent="0.35">
      <c r="A95" s="174"/>
      <c r="B95" s="174"/>
      <c r="C95" s="175"/>
      <c r="D95" s="174"/>
      <c r="E95" s="174"/>
      <c r="F95" s="174"/>
      <c r="G95" s="174"/>
      <c r="H95" s="174"/>
      <c r="I95" s="174"/>
      <c r="J95" s="174"/>
      <c r="K95" s="174"/>
      <c r="L95" s="174"/>
      <c r="M95" s="174"/>
      <c r="N95" s="174"/>
      <c r="O95" s="174"/>
      <c r="P95" s="174"/>
      <c r="Q95" s="174"/>
      <c r="V95" s="174"/>
    </row>
    <row r="96" spans="1:22" x14ac:dyDescent="0.35">
      <c r="A96" s="174"/>
      <c r="B96" s="174"/>
      <c r="C96" s="175"/>
      <c r="D96" s="174"/>
      <c r="E96" s="174"/>
      <c r="F96" s="174"/>
      <c r="G96" s="174"/>
      <c r="H96" s="174"/>
      <c r="I96" s="174"/>
      <c r="J96" s="174"/>
      <c r="K96" s="174"/>
      <c r="L96" s="174"/>
      <c r="M96" s="174"/>
      <c r="N96" s="174"/>
      <c r="O96" s="174"/>
      <c r="P96" s="174"/>
      <c r="Q96" s="174"/>
      <c r="V96" s="174"/>
    </row>
    <row r="97" spans="1:22" x14ac:dyDescent="0.35">
      <c r="A97" s="174"/>
      <c r="B97" s="174"/>
      <c r="C97" s="175"/>
      <c r="D97" s="174"/>
      <c r="E97" s="174"/>
      <c r="F97" s="174"/>
      <c r="G97" s="174"/>
      <c r="H97" s="174"/>
      <c r="I97" s="174"/>
      <c r="J97" s="174"/>
      <c r="K97" s="174"/>
      <c r="L97" s="174"/>
      <c r="M97" s="174"/>
      <c r="N97" s="174"/>
      <c r="O97" s="174"/>
      <c r="P97" s="174"/>
      <c r="Q97" s="174"/>
      <c r="V97" s="174"/>
    </row>
    <row r="98" spans="1:22" x14ac:dyDescent="0.35">
      <c r="A98" s="174"/>
      <c r="B98" s="174"/>
      <c r="C98" s="175"/>
      <c r="D98" s="174"/>
      <c r="E98" s="174"/>
      <c r="F98" s="174"/>
      <c r="G98" s="174"/>
      <c r="H98" s="174"/>
      <c r="I98" s="174"/>
      <c r="J98" s="174"/>
      <c r="K98" s="174"/>
      <c r="L98" s="174"/>
      <c r="M98" s="174"/>
      <c r="N98" s="174"/>
      <c r="O98" s="174"/>
      <c r="P98" s="174"/>
      <c r="Q98" s="174"/>
      <c r="V98" s="174"/>
    </row>
    <row r="99" spans="1:22" x14ac:dyDescent="0.35">
      <c r="A99" s="174"/>
      <c r="B99" s="174"/>
      <c r="C99" s="175"/>
      <c r="D99" s="174"/>
      <c r="E99" s="174"/>
      <c r="F99" s="174"/>
      <c r="G99" s="174"/>
      <c r="H99" s="174"/>
      <c r="I99" s="174"/>
      <c r="J99" s="174"/>
      <c r="K99" s="174"/>
      <c r="L99" s="174"/>
      <c r="M99" s="174"/>
      <c r="N99" s="174"/>
      <c r="O99" s="174"/>
      <c r="P99" s="174"/>
      <c r="Q99" s="174"/>
      <c r="V99" s="174"/>
    </row>
    <row r="100" spans="1:22" x14ac:dyDescent="0.35">
      <c r="A100" s="174"/>
      <c r="B100" s="174"/>
      <c r="C100" s="175"/>
      <c r="D100" s="174"/>
      <c r="E100" s="174"/>
      <c r="F100" s="174"/>
      <c r="G100" s="174"/>
      <c r="H100" s="174"/>
      <c r="I100" s="174"/>
      <c r="J100" s="174"/>
      <c r="K100" s="174"/>
      <c r="L100" s="174"/>
      <c r="M100" s="174"/>
      <c r="N100" s="174"/>
      <c r="O100" s="174"/>
      <c r="P100" s="174"/>
      <c r="Q100" s="174"/>
      <c r="V100" s="174"/>
    </row>
    <row r="101" spans="1:22" x14ac:dyDescent="0.35">
      <c r="A101" s="174"/>
      <c r="B101" s="174"/>
      <c r="C101" s="175"/>
      <c r="D101" s="174"/>
      <c r="E101" s="174"/>
      <c r="F101" s="174"/>
      <c r="G101" s="174"/>
      <c r="H101" s="174"/>
      <c r="I101" s="174"/>
      <c r="J101" s="174"/>
      <c r="K101" s="174"/>
      <c r="L101" s="174"/>
      <c r="M101" s="174"/>
      <c r="N101" s="174"/>
      <c r="O101" s="174"/>
      <c r="P101" s="174"/>
      <c r="Q101" s="174"/>
      <c r="V101" s="174"/>
    </row>
    <row r="102" spans="1:22" x14ac:dyDescent="0.35">
      <c r="A102" s="174"/>
      <c r="B102" s="174"/>
      <c r="C102" s="175"/>
      <c r="D102" s="174"/>
      <c r="E102" s="174"/>
      <c r="F102" s="174"/>
      <c r="G102" s="174"/>
      <c r="H102" s="174"/>
      <c r="I102" s="174"/>
      <c r="J102" s="174"/>
      <c r="K102" s="174"/>
      <c r="L102" s="174"/>
      <c r="M102" s="174"/>
      <c r="N102" s="174"/>
      <c r="O102" s="174"/>
      <c r="P102" s="174"/>
      <c r="Q102" s="174"/>
      <c r="V102" s="174"/>
    </row>
    <row r="103" spans="1:22" x14ac:dyDescent="0.35">
      <c r="A103" s="174"/>
      <c r="B103" s="174"/>
      <c r="C103" s="175"/>
      <c r="D103" s="174"/>
      <c r="E103" s="174"/>
      <c r="F103" s="174"/>
      <c r="G103" s="174"/>
      <c r="H103" s="174"/>
      <c r="I103" s="174"/>
      <c r="J103" s="174"/>
      <c r="K103" s="174"/>
      <c r="L103" s="174"/>
      <c r="M103" s="174"/>
      <c r="N103" s="174"/>
      <c r="O103" s="174"/>
      <c r="P103" s="174"/>
      <c r="Q103" s="174"/>
      <c r="V103" s="174"/>
    </row>
    <row r="104" spans="1:22" s="171" customFormat="1" x14ac:dyDescent="0.35">
      <c r="A104" s="174"/>
      <c r="B104" s="174"/>
      <c r="C104" s="175"/>
      <c r="D104" s="174"/>
      <c r="E104" s="174"/>
      <c r="F104" s="174"/>
      <c r="G104" s="174"/>
      <c r="H104" s="174"/>
      <c r="I104" s="174"/>
      <c r="J104" s="174"/>
      <c r="K104" s="174"/>
      <c r="L104" s="174"/>
      <c r="M104" s="174"/>
      <c r="N104" s="174"/>
      <c r="O104" s="174"/>
      <c r="P104" s="174"/>
      <c r="Q104" s="174"/>
      <c r="R104" s="188"/>
      <c r="S104" s="210"/>
      <c r="T104" s="210"/>
      <c r="U104" s="210"/>
      <c r="V104" s="174"/>
    </row>
    <row r="105" spans="1:22" s="171" customFormat="1" x14ac:dyDescent="0.35">
      <c r="A105" s="174"/>
      <c r="B105" s="174"/>
      <c r="C105" s="175"/>
      <c r="D105" s="174"/>
      <c r="E105" s="174"/>
      <c r="F105" s="174"/>
      <c r="G105" s="174"/>
      <c r="H105" s="174"/>
      <c r="I105" s="174"/>
      <c r="J105" s="174"/>
      <c r="K105" s="174"/>
      <c r="L105" s="174"/>
      <c r="M105" s="174"/>
      <c r="N105" s="174"/>
      <c r="O105" s="174"/>
      <c r="P105" s="174"/>
      <c r="Q105" s="174"/>
      <c r="R105" s="188"/>
      <c r="S105" s="210"/>
      <c r="T105" s="210"/>
      <c r="U105" s="210"/>
      <c r="V105" s="174"/>
    </row>
    <row r="106" spans="1:22" s="171" customFormat="1" x14ac:dyDescent="0.35">
      <c r="A106" s="174"/>
      <c r="B106" s="174"/>
      <c r="C106" s="175"/>
      <c r="D106" s="174"/>
      <c r="E106" s="174"/>
      <c r="F106" s="174"/>
      <c r="G106" s="174"/>
      <c r="H106" s="174"/>
      <c r="I106" s="174"/>
      <c r="J106" s="174"/>
      <c r="K106" s="174"/>
      <c r="L106" s="174"/>
      <c r="M106" s="174"/>
      <c r="N106" s="174"/>
      <c r="O106" s="174"/>
      <c r="P106" s="174"/>
      <c r="Q106" s="174"/>
      <c r="R106" s="188"/>
      <c r="S106" s="210"/>
      <c r="T106" s="210"/>
      <c r="U106" s="210"/>
      <c r="V106" s="174"/>
    </row>
    <row r="107" spans="1:22" s="171" customFormat="1" x14ac:dyDescent="0.35">
      <c r="A107" s="174"/>
      <c r="B107" s="174"/>
      <c r="C107" s="175"/>
      <c r="D107" s="174"/>
      <c r="E107" s="174"/>
      <c r="F107" s="174"/>
      <c r="G107" s="174"/>
      <c r="H107" s="174"/>
      <c r="I107" s="174"/>
      <c r="J107" s="174"/>
      <c r="K107" s="174"/>
      <c r="L107" s="174"/>
      <c r="M107" s="174"/>
      <c r="N107" s="174"/>
      <c r="O107" s="174"/>
      <c r="P107" s="174"/>
      <c r="Q107" s="174"/>
      <c r="R107" s="188"/>
      <c r="S107" s="210"/>
      <c r="T107" s="210"/>
      <c r="U107" s="210"/>
      <c r="V107" s="174"/>
    </row>
    <row r="108" spans="1:22" s="171" customFormat="1" x14ac:dyDescent="0.35">
      <c r="A108" s="173"/>
      <c r="B108" s="173"/>
      <c r="C108" s="170"/>
      <c r="D108" s="173"/>
      <c r="E108" s="173"/>
      <c r="F108" s="47"/>
      <c r="G108" s="47"/>
      <c r="H108" s="47"/>
      <c r="I108" s="47"/>
      <c r="J108" s="47"/>
      <c r="K108" s="47"/>
      <c r="L108" s="47"/>
      <c r="M108" s="47"/>
      <c r="N108" s="47"/>
      <c r="O108" s="47"/>
      <c r="P108" s="47"/>
      <c r="Q108" s="47"/>
      <c r="R108" s="47"/>
      <c r="S108" s="47"/>
      <c r="T108" s="47"/>
      <c r="U108" s="47"/>
    </row>
    <row r="109" spans="1:22" s="171" customFormat="1" x14ac:dyDescent="0.35">
      <c r="R109" s="188"/>
      <c r="S109" s="210"/>
      <c r="T109" s="210"/>
      <c r="U109" s="210"/>
    </row>
    <row r="110" spans="1:22" s="171" customFormat="1" x14ac:dyDescent="0.35">
      <c r="R110" s="188"/>
      <c r="S110" s="210"/>
      <c r="T110" s="210"/>
      <c r="U110" s="210"/>
    </row>
    <row r="111" spans="1:22" s="171" customFormat="1" x14ac:dyDescent="0.35">
      <c r="R111" s="188"/>
      <c r="S111" s="210"/>
      <c r="T111" s="210"/>
      <c r="U111" s="210"/>
    </row>
    <row r="112" spans="1:22" s="171" customFormat="1" x14ac:dyDescent="0.35">
      <c r="A112" s="180"/>
      <c r="B112" s="180"/>
      <c r="C112" s="180"/>
      <c r="D112" s="180"/>
      <c r="E112" s="180"/>
      <c r="F112" s="180"/>
      <c r="G112" s="180"/>
      <c r="H112" s="180"/>
      <c r="I112" s="180"/>
      <c r="J112" s="180"/>
      <c r="K112" s="180"/>
      <c r="L112" s="180"/>
      <c r="M112" s="180"/>
      <c r="N112" s="180"/>
      <c r="O112" s="180"/>
      <c r="P112" s="180"/>
      <c r="Q112" s="180"/>
      <c r="R112" s="188"/>
      <c r="S112" s="210"/>
      <c r="T112" s="210"/>
      <c r="U112" s="210"/>
    </row>
    <row r="113" spans="1:21" s="171" customFormat="1" x14ac:dyDescent="0.35">
      <c r="A113" s="180"/>
      <c r="B113" s="180"/>
      <c r="C113" s="180"/>
      <c r="D113" s="180"/>
      <c r="E113" s="180"/>
      <c r="F113" s="180"/>
      <c r="G113" s="180"/>
      <c r="H113" s="180"/>
      <c r="I113" s="180"/>
      <c r="J113" s="180"/>
      <c r="K113" s="180"/>
      <c r="L113" s="180"/>
      <c r="M113" s="180"/>
      <c r="N113" s="180"/>
      <c r="O113" s="180"/>
      <c r="P113" s="180"/>
      <c r="Q113" s="180"/>
      <c r="R113" s="188"/>
      <c r="S113" s="210"/>
      <c r="T113" s="210"/>
      <c r="U113" s="210"/>
    </row>
    <row r="114" spans="1:21" s="171" customFormat="1" x14ac:dyDescent="0.35">
      <c r="A114" s="180"/>
      <c r="B114" s="180"/>
      <c r="C114" s="180"/>
      <c r="D114" s="180"/>
      <c r="E114" s="180"/>
      <c r="F114" s="180"/>
      <c r="G114" s="180"/>
      <c r="H114" s="180"/>
      <c r="I114" s="180"/>
      <c r="J114" s="180"/>
      <c r="K114" s="180"/>
      <c r="L114" s="180"/>
      <c r="M114" s="180"/>
      <c r="N114" s="180"/>
      <c r="O114" s="180"/>
      <c r="P114" s="180"/>
      <c r="Q114" s="180"/>
      <c r="R114" s="188"/>
      <c r="S114" s="210"/>
      <c r="T114" s="210"/>
      <c r="U114" s="210"/>
    </row>
    <row r="115" spans="1:21" s="171" customFormat="1" x14ac:dyDescent="0.35">
      <c r="A115" s="180"/>
      <c r="B115" s="180"/>
      <c r="C115" s="180"/>
      <c r="D115" s="180"/>
      <c r="E115" s="180"/>
      <c r="F115" s="180"/>
      <c r="G115" s="180"/>
      <c r="H115" s="180"/>
      <c r="I115" s="180"/>
      <c r="J115" s="180"/>
      <c r="K115" s="180"/>
      <c r="L115" s="180"/>
      <c r="M115" s="180"/>
      <c r="N115" s="180"/>
      <c r="O115" s="180"/>
      <c r="P115" s="180"/>
      <c r="Q115" s="180"/>
      <c r="R115" s="188"/>
      <c r="S115" s="210"/>
      <c r="T115" s="210"/>
      <c r="U115" s="210"/>
    </row>
    <row r="116" spans="1:21" x14ac:dyDescent="0.35">
      <c r="A116" s="180"/>
      <c r="B116" s="180"/>
      <c r="C116" s="180"/>
      <c r="D116" s="180"/>
      <c r="E116" s="180"/>
      <c r="F116" s="180"/>
      <c r="G116" s="180"/>
      <c r="H116" s="180"/>
      <c r="I116" s="180"/>
      <c r="J116" s="180"/>
      <c r="K116" s="180"/>
      <c r="L116" s="180"/>
      <c r="M116" s="180"/>
      <c r="N116" s="180"/>
      <c r="O116" s="180"/>
      <c r="P116" s="180"/>
      <c r="Q116" s="180"/>
    </row>
    <row r="117" spans="1:21" x14ac:dyDescent="0.35">
      <c r="A117" s="180"/>
      <c r="B117" s="180"/>
      <c r="C117" s="180"/>
      <c r="D117" s="180"/>
      <c r="E117" s="180"/>
      <c r="F117" s="180"/>
      <c r="G117" s="180"/>
      <c r="H117" s="180"/>
      <c r="I117" s="180"/>
      <c r="J117" s="180"/>
      <c r="K117" s="180"/>
      <c r="L117" s="180"/>
      <c r="M117" s="180"/>
      <c r="N117" s="180"/>
      <c r="O117" s="180"/>
      <c r="P117" s="180"/>
      <c r="Q117" s="180"/>
    </row>
    <row r="118" spans="1:21" x14ac:dyDescent="0.35">
      <c r="A118" s="180"/>
      <c r="B118" s="180"/>
      <c r="C118" s="180"/>
      <c r="D118" s="180"/>
      <c r="E118" s="180"/>
      <c r="F118" s="180"/>
      <c r="G118" s="180"/>
      <c r="H118" s="180"/>
      <c r="I118" s="180"/>
      <c r="J118" s="180"/>
      <c r="K118" s="180"/>
      <c r="L118" s="180"/>
      <c r="M118" s="180"/>
      <c r="N118" s="180"/>
      <c r="O118" s="180"/>
      <c r="P118" s="180"/>
      <c r="Q118" s="180"/>
    </row>
    <row r="119" spans="1:21" x14ac:dyDescent="0.35">
      <c r="A119" s="180"/>
      <c r="B119" s="180"/>
      <c r="C119" s="180"/>
      <c r="D119" s="180"/>
      <c r="E119" s="180"/>
      <c r="F119" s="180"/>
      <c r="G119" s="180"/>
      <c r="H119" s="180"/>
      <c r="I119" s="180"/>
      <c r="J119" s="180"/>
      <c r="K119" s="180"/>
      <c r="L119" s="180"/>
      <c r="M119" s="180"/>
      <c r="N119" s="180"/>
      <c r="O119" s="180"/>
      <c r="P119" s="180"/>
      <c r="Q119" s="180"/>
    </row>
    <row r="120" spans="1:21" x14ac:dyDescent="0.35">
      <c r="A120" s="180"/>
      <c r="B120" s="180"/>
      <c r="C120" s="180"/>
      <c r="D120" s="180"/>
      <c r="E120" s="180"/>
      <c r="F120" s="180"/>
      <c r="G120" s="180"/>
      <c r="H120" s="180"/>
      <c r="I120" s="180"/>
      <c r="J120" s="180"/>
      <c r="K120" s="180"/>
      <c r="L120" s="180"/>
      <c r="M120" s="180"/>
      <c r="N120" s="180"/>
      <c r="O120" s="180"/>
      <c r="P120" s="180"/>
      <c r="Q120" s="180"/>
    </row>
    <row r="121" spans="1:21" x14ac:dyDescent="0.35">
      <c r="A121" s="180"/>
      <c r="B121" s="180"/>
      <c r="C121" s="180"/>
      <c r="D121" s="180"/>
      <c r="E121" s="180"/>
      <c r="F121" s="180"/>
      <c r="G121" s="180"/>
      <c r="H121" s="180"/>
      <c r="I121" s="180"/>
      <c r="J121" s="180"/>
      <c r="K121" s="180"/>
      <c r="L121" s="180"/>
      <c r="M121" s="180"/>
      <c r="N121" s="180"/>
      <c r="O121" s="180"/>
      <c r="P121" s="180"/>
      <c r="Q121" s="180"/>
    </row>
    <row r="122" spans="1:21" x14ac:dyDescent="0.35">
      <c r="A122" s="180"/>
      <c r="B122" s="180"/>
      <c r="C122" s="180"/>
      <c r="D122" s="180"/>
      <c r="E122" s="180"/>
      <c r="F122" s="180"/>
      <c r="G122" s="180"/>
      <c r="H122" s="180"/>
      <c r="I122" s="180"/>
      <c r="J122" s="180"/>
      <c r="K122" s="180"/>
      <c r="L122" s="180"/>
      <c r="M122" s="180"/>
      <c r="N122" s="180"/>
      <c r="O122" s="180"/>
      <c r="P122" s="180"/>
      <c r="Q122" s="180"/>
    </row>
    <row r="123" spans="1:21" x14ac:dyDescent="0.35">
      <c r="A123" s="180"/>
      <c r="B123" s="180"/>
      <c r="C123" s="180"/>
      <c r="D123" s="180"/>
      <c r="E123" s="180"/>
      <c r="F123" s="180"/>
      <c r="G123" s="180"/>
      <c r="H123" s="180"/>
      <c r="I123" s="180"/>
      <c r="J123" s="180"/>
      <c r="K123" s="180"/>
      <c r="L123" s="180"/>
      <c r="M123" s="180"/>
      <c r="N123" s="180"/>
      <c r="O123" s="180"/>
      <c r="P123" s="180"/>
      <c r="Q123" s="180"/>
    </row>
    <row r="124" spans="1:21" s="172" customFormat="1" x14ac:dyDescent="0.35">
      <c r="A124" s="180"/>
      <c r="B124" s="180"/>
      <c r="C124" s="180"/>
      <c r="D124" s="180"/>
      <c r="E124" s="180"/>
      <c r="F124" s="180"/>
      <c r="G124" s="180"/>
      <c r="H124" s="180"/>
      <c r="I124" s="180"/>
      <c r="J124" s="180"/>
      <c r="K124" s="180"/>
      <c r="L124" s="180"/>
      <c r="M124" s="180"/>
      <c r="N124" s="180"/>
      <c r="O124" s="180"/>
      <c r="P124" s="180"/>
      <c r="Q124" s="180"/>
      <c r="R124" s="188"/>
      <c r="S124" s="210"/>
      <c r="T124" s="210"/>
      <c r="U124" s="210"/>
    </row>
    <row r="125" spans="1:21" s="172" customFormat="1" x14ac:dyDescent="0.35">
      <c r="A125" s="180"/>
      <c r="B125" s="180"/>
      <c r="C125" s="180"/>
      <c r="D125" s="180"/>
      <c r="E125" s="180"/>
      <c r="F125" s="180"/>
      <c r="G125" s="180"/>
      <c r="H125" s="180"/>
      <c r="I125" s="180"/>
      <c r="J125" s="180"/>
      <c r="K125" s="180"/>
      <c r="L125" s="180"/>
      <c r="M125" s="180"/>
      <c r="N125" s="180"/>
      <c r="O125" s="180"/>
      <c r="P125" s="180"/>
      <c r="Q125" s="180"/>
      <c r="R125" s="188"/>
      <c r="S125" s="210"/>
      <c r="T125" s="210"/>
      <c r="U125" s="210"/>
    </row>
    <row r="126" spans="1:21" x14ac:dyDescent="0.35">
      <c r="A126" s="180"/>
      <c r="B126" s="180"/>
      <c r="C126" s="180"/>
      <c r="D126" s="180"/>
      <c r="E126" s="180"/>
      <c r="F126" s="180"/>
      <c r="G126" s="180"/>
      <c r="H126" s="180"/>
      <c r="I126" s="180"/>
      <c r="J126" s="180"/>
      <c r="K126" s="180"/>
      <c r="L126" s="180"/>
      <c r="M126" s="180"/>
      <c r="N126" s="180"/>
      <c r="O126" s="180"/>
      <c r="P126" s="180"/>
      <c r="Q126" s="180"/>
    </row>
    <row r="127" spans="1:21" x14ac:dyDescent="0.35">
      <c r="A127" s="180"/>
      <c r="B127" s="180"/>
      <c r="C127" s="180"/>
      <c r="D127" s="180"/>
      <c r="E127" s="180"/>
      <c r="F127" s="180"/>
      <c r="G127" s="180"/>
      <c r="H127" s="180"/>
      <c r="I127" s="180"/>
      <c r="J127" s="180"/>
      <c r="K127" s="180"/>
      <c r="L127" s="180"/>
      <c r="M127" s="180"/>
      <c r="N127" s="180"/>
      <c r="O127" s="180"/>
      <c r="P127" s="180"/>
      <c r="Q127" s="180"/>
    </row>
    <row r="128" spans="1:21" x14ac:dyDescent="0.35">
      <c r="A128" s="180"/>
      <c r="B128" s="180"/>
      <c r="C128" s="180"/>
      <c r="D128" s="180"/>
      <c r="E128" s="180"/>
      <c r="F128" s="180"/>
      <c r="G128" s="180"/>
      <c r="H128" s="180"/>
      <c r="I128" s="180"/>
      <c r="J128" s="180"/>
      <c r="K128" s="180"/>
      <c r="L128" s="180"/>
      <c r="M128" s="180"/>
      <c r="N128" s="180"/>
      <c r="O128" s="180"/>
      <c r="P128" s="180"/>
      <c r="Q128" s="180"/>
    </row>
    <row r="129" spans="1:17" x14ac:dyDescent="0.35">
      <c r="A129" s="180"/>
      <c r="B129" s="180"/>
      <c r="C129" s="180"/>
      <c r="D129" s="180"/>
      <c r="E129" s="180"/>
      <c r="F129" s="180"/>
      <c r="G129" s="180"/>
      <c r="H129" s="180"/>
      <c r="I129" s="180"/>
      <c r="J129" s="180"/>
      <c r="K129" s="180"/>
      <c r="L129" s="180"/>
      <c r="M129" s="180"/>
      <c r="N129" s="180"/>
      <c r="O129" s="180"/>
      <c r="P129" s="180"/>
      <c r="Q129" s="180"/>
    </row>
    <row r="130" spans="1:17" x14ac:dyDescent="0.35">
      <c r="A130" s="180"/>
      <c r="B130" s="180"/>
      <c r="C130" s="180"/>
      <c r="D130" s="180"/>
      <c r="E130" s="180"/>
      <c r="F130" s="180"/>
      <c r="G130" s="180"/>
      <c r="H130" s="180"/>
      <c r="I130" s="180"/>
      <c r="J130" s="180"/>
      <c r="K130" s="180"/>
      <c r="L130" s="180"/>
      <c r="M130" s="180"/>
      <c r="N130" s="180"/>
      <c r="O130" s="180"/>
      <c r="P130" s="180"/>
      <c r="Q130" s="180"/>
    </row>
    <row r="131" spans="1:17" x14ac:dyDescent="0.35">
      <c r="A131" s="180"/>
      <c r="B131" s="180"/>
      <c r="C131" s="180"/>
      <c r="D131" s="180"/>
      <c r="E131" s="180"/>
      <c r="F131" s="180"/>
      <c r="G131" s="180"/>
      <c r="H131" s="180"/>
      <c r="I131" s="180"/>
      <c r="J131" s="180"/>
      <c r="K131" s="180"/>
      <c r="L131" s="180"/>
      <c r="M131" s="180"/>
      <c r="N131" s="180"/>
      <c r="O131" s="180"/>
      <c r="P131" s="180"/>
      <c r="Q131" s="180"/>
    </row>
    <row r="132" spans="1:17" x14ac:dyDescent="0.35">
      <c r="A132" s="180"/>
      <c r="B132" s="180"/>
      <c r="C132" s="180"/>
      <c r="D132" s="180"/>
      <c r="E132" s="180"/>
      <c r="F132" s="180"/>
      <c r="G132" s="180"/>
      <c r="H132" s="180"/>
      <c r="I132" s="180"/>
      <c r="J132" s="180"/>
      <c r="K132" s="180"/>
      <c r="L132" s="180"/>
      <c r="M132" s="180"/>
      <c r="N132" s="180"/>
      <c r="O132" s="180"/>
      <c r="P132" s="180"/>
      <c r="Q132" s="180"/>
    </row>
    <row r="133" spans="1:17" x14ac:dyDescent="0.35">
      <c r="A133" s="180"/>
      <c r="B133" s="180"/>
      <c r="C133" s="180"/>
      <c r="D133" s="180"/>
      <c r="E133" s="180"/>
      <c r="F133" s="180"/>
      <c r="G133" s="180"/>
      <c r="H133" s="180"/>
      <c r="I133" s="180"/>
      <c r="J133" s="180"/>
      <c r="K133" s="180"/>
      <c r="L133" s="180"/>
      <c r="M133" s="180"/>
      <c r="N133" s="180"/>
      <c r="O133" s="180"/>
      <c r="P133" s="180"/>
      <c r="Q133" s="180"/>
    </row>
    <row r="134" spans="1:17" x14ac:dyDescent="0.35">
      <c r="A134" s="180"/>
      <c r="B134" s="180"/>
      <c r="C134" s="180"/>
      <c r="D134" s="180"/>
      <c r="E134" s="180"/>
      <c r="F134" s="180"/>
      <c r="G134" s="180"/>
      <c r="H134" s="180"/>
      <c r="I134" s="180"/>
      <c r="J134" s="180"/>
      <c r="K134" s="180"/>
      <c r="L134" s="180"/>
      <c r="M134" s="180"/>
      <c r="N134" s="180"/>
      <c r="O134" s="180"/>
      <c r="P134" s="180"/>
      <c r="Q134" s="180"/>
    </row>
    <row r="135" spans="1:17" x14ac:dyDescent="0.35">
      <c r="A135" s="180"/>
      <c r="B135" s="180"/>
      <c r="C135" s="180"/>
      <c r="D135" s="180"/>
      <c r="E135" s="180"/>
      <c r="F135" s="180"/>
      <c r="G135" s="180"/>
      <c r="H135" s="180"/>
      <c r="I135" s="180"/>
      <c r="J135" s="180"/>
      <c r="K135" s="180"/>
      <c r="L135" s="180"/>
      <c r="M135" s="180"/>
      <c r="N135" s="180"/>
      <c r="O135" s="180"/>
      <c r="P135" s="180"/>
      <c r="Q135" s="180"/>
    </row>
    <row r="136" spans="1:17" x14ac:dyDescent="0.35">
      <c r="B136" s="47"/>
      <c r="C136" s="47"/>
      <c r="D136" s="47"/>
      <c r="E136" s="47"/>
      <c r="F136" s="47"/>
      <c r="G136" s="47"/>
      <c r="H136" s="47"/>
    </row>
    <row r="137" spans="1:17" x14ac:dyDescent="0.35">
      <c r="G137" s="47"/>
    </row>
  </sheetData>
  <mergeCells count="11">
    <mergeCell ref="A84:A91"/>
    <mergeCell ref="W41:W45"/>
    <mergeCell ref="A57:A64"/>
    <mergeCell ref="A66:A73"/>
    <mergeCell ref="A75:A79"/>
    <mergeCell ref="A49:A54"/>
    <mergeCell ref="A18:A31"/>
    <mergeCell ref="A5:A11"/>
    <mergeCell ref="A13:A16"/>
    <mergeCell ref="A33:A38"/>
    <mergeCell ref="A40:A47"/>
  </mergeCells>
  <hyperlinks>
    <hyperlink ref="V50" r:id="rId1" display="\\fs3\GenPlanning\Recurring\RTOAnalysis\2021Analysis\PROSYM\20210929_out_unityr.xlsx" xr:uid="{5AE131D8-E8A7-41A4-B41F-B66CF1FB31EE}"/>
  </hyperlinks>
  <pageMargins left="0.7" right="0.7" top="0.75" bottom="0.75" header="0.3" footer="0.3"/>
  <pageSetup scale="30" orientation="landscape" r:id="rId2"/>
  <headerFooter>
    <oddFooter>&amp;L&amp;1#&amp;"Calibri"&amp;14&amp;K000000Business Use</oddFooter>
  </headerFooter>
  <ignoredErrors>
    <ignoredError sqref="F21:J21"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1"/>
  <sheetViews>
    <sheetView workbookViewId="0">
      <pane ySplit="2" topLeftCell="A3" activePane="bottomLeft" state="frozen"/>
      <selection pane="bottomLeft" activeCell="L2" sqref="L2"/>
    </sheetView>
  </sheetViews>
  <sheetFormatPr defaultColWidth="8.54296875" defaultRowHeight="14.5" x14ac:dyDescent="0.35"/>
  <cols>
    <col min="1" max="1" width="33.54296875" style="24" bestFit="1" customWidth="1"/>
    <col min="2" max="2" width="11.453125" style="24" bestFit="1" customWidth="1"/>
    <col min="3" max="3" width="12.54296875" style="10" bestFit="1" customWidth="1"/>
    <col min="4" max="4" width="8.54296875" style="10"/>
    <col min="5" max="5" width="11.453125" style="32" bestFit="1" customWidth="1"/>
    <col min="6" max="6" width="11.453125" style="31" customWidth="1"/>
    <col min="7" max="7" width="16" style="30" customWidth="1"/>
    <col min="8" max="8" width="12.54296875" style="10" bestFit="1" customWidth="1"/>
    <col min="9" max="9" width="8.54296875" style="10"/>
    <col min="10" max="10" width="10.54296875" style="10" bestFit="1" customWidth="1"/>
    <col min="11" max="11" width="12.54296875" style="10" bestFit="1" customWidth="1"/>
    <col min="12" max="12" width="15.54296875" style="10" bestFit="1" customWidth="1"/>
    <col min="13" max="16384" width="8.54296875" style="10"/>
  </cols>
  <sheetData>
    <row r="1" spans="1:13" ht="31.5" customHeight="1" thickBot="1" x14ac:dyDescent="0.4">
      <c r="A1" s="44" t="s">
        <v>104</v>
      </c>
      <c r="B1" s="44"/>
      <c r="C1" s="44"/>
      <c r="D1" s="44"/>
      <c r="E1" s="45"/>
      <c r="F1" s="44"/>
      <c r="G1" s="44"/>
    </row>
    <row r="2" spans="1:13" ht="47" thickBot="1" x14ac:dyDescent="0.4">
      <c r="A2" s="43" t="s">
        <v>103</v>
      </c>
      <c r="B2" s="42" t="s">
        <v>102</v>
      </c>
      <c r="C2" s="42" t="s">
        <v>101</v>
      </c>
      <c r="D2" s="42" t="s">
        <v>100</v>
      </c>
      <c r="E2" s="41" t="s">
        <v>99</v>
      </c>
      <c r="F2" s="40" t="s">
        <v>98</v>
      </c>
      <c r="G2" s="40" t="s">
        <v>218</v>
      </c>
      <c r="H2" s="40" t="s">
        <v>97</v>
      </c>
      <c r="J2" s="88" t="s">
        <v>148</v>
      </c>
      <c r="K2" s="30" t="s">
        <v>147</v>
      </c>
      <c r="L2" s="9" t="s">
        <v>149</v>
      </c>
      <c r="M2" s="10" t="s">
        <v>150</v>
      </c>
    </row>
    <row r="3" spans="1:13" x14ac:dyDescent="0.35">
      <c r="A3" s="24" t="s">
        <v>85</v>
      </c>
      <c r="B3" s="24">
        <v>2</v>
      </c>
      <c r="C3" s="10" t="s">
        <v>96</v>
      </c>
      <c r="D3" s="10" t="s">
        <v>83</v>
      </c>
      <c r="E3" s="39">
        <v>12.58</v>
      </c>
      <c r="F3" s="96">
        <v>0</v>
      </c>
      <c r="G3" s="96">
        <v>100000</v>
      </c>
      <c r="H3" s="96"/>
      <c r="J3" s="216">
        <v>2025</v>
      </c>
      <c r="K3" s="116">
        <f>G48/1000000</f>
        <v>3.4</v>
      </c>
      <c r="L3" s="117">
        <v>0.14469583008896575</v>
      </c>
      <c r="M3" s="116">
        <f>$K$3*L3</f>
        <v>0.49196582230248354</v>
      </c>
    </row>
    <row r="4" spans="1:13" x14ac:dyDescent="0.35">
      <c r="A4" s="24" t="s">
        <v>85</v>
      </c>
      <c r="B4" s="24">
        <v>4</v>
      </c>
      <c r="C4" s="10" t="s">
        <v>95</v>
      </c>
      <c r="D4" s="10" t="s">
        <v>83</v>
      </c>
      <c r="E4" s="39">
        <v>12.58</v>
      </c>
      <c r="F4" s="96">
        <v>0</v>
      </c>
      <c r="G4" s="96">
        <v>100000</v>
      </c>
      <c r="H4" s="96"/>
      <c r="J4" s="87">
        <f>J3+1</f>
        <v>2026</v>
      </c>
      <c r="L4" s="108">
        <v>0.13819725937381799</v>
      </c>
      <c r="M4" s="89">
        <f t="shared" ref="M4:M25" si="0">$K$3*L4</f>
        <v>0.46987068187098119</v>
      </c>
    </row>
    <row r="5" spans="1:13" x14ac:dyDescent="0.35">
      <c r="A5" s="24" t="s">
        <v>85</v>
      </c>
      <c r="B5" s="24">
        <v>8</v>
      </c>
      <c r="C5" s="10" t="s">
        <v>94</v>
      </c>
      <c r="D5" s="10" t="s">
        <v>83</v>
      </c>
      <c r="E5" s="39">
        <v>12.58</v>
      </c>
      <c r="F5" s="96">
        <v>0</v>
      </c>
      <c r="G5" s="96">
        <v>100000</v>
      </c>
      <c r="H5" s="96"/>
      <c r="J5" s="87">
        <f t="shared" ref="J5:J25" si="1">J4+1</f>
        <v>2027</v>
      </c>
      <c r="K5" s="89">
        <f>F48/1000000</f>
        <v>0</v>
      </c>
      <c r="L5" s="108">
        <v>0.1295744346955843</v>
      </c>
      <c r="M5" s="89">
        <f t="shared" si="0"/>
        <v>0.44055307796498661</v>
      </c>
    </row>
    <row r="6" spans="1:13" x14ac:dyDescent="0.35">
      <c r="A6" s="24" t="s">
        <v>91</v>
      </c>
      <c r="B6" s="24">
        <v>1</v>
      </c>
      <c r="C6" s="10" t="s">
        <v>93</v>
      </c>
      <c r="D6" s="10" t="s">
        <v>83</v>
      </c>
      <c r="E6" s="39">
        <v>12.58</v>
      </c>
      <c r="F6" s="96">
        <v>0</v>
      </c>
      <c r="G6" s="96">
        <v>100000</v>
      </c>
      <c r="H6" s="96"/>
      <c r="J6" s="87">
        <f t="shared" si="1"/>
        <v>2028</v>
      </c>
      <c r="L6" s="108">
        <v>0.12223506237892286</v>
      </c>
      <c r="M6" s="89">
        <f t="shared" si="0"/>
        <v>0.41559921208833772</v>
      </c>
    </row>
    <row r="7" spans="1:13" x14ac:dyDescent="0.35">
      <c r="A7" s="24" t="s">
        <v>91</v>
      </c>
      <c r="B7" s="24">
        <v>2</v>
      </c>
      <c r="C7" s="10" t="s">
        <v>92</v>
      </c>
      <c r="D7" s="10" t="s">
        <v>83</v>
      </c>
      <c r="E7" s="39">
        <v>12.58</v>
      </c>
      <c r="F7" s="96">
        <v>0</v>
      </c>
      <c r="G7" s="96">
        <v>100000</v>
      </c>
      <c r="H7" s="96"/>
      <c r="J7" s="87">
        <f t="shared" si="1"/>
        <v>2029</v>
      </c>
      <c r="L7" s="108">
        <v>0.11581121941351633</v>
      </c>
      <c r="M7" s="89">
        <f t="shared" si="0"/>
        <v>0.39375814600595549</v>
      </c>
    </row>
    <row r="8" spans="1:13" x14ac:dyDescent="0.35">
      <c r="A8" s="24" t="s">
        <v>91</v>
      </c>
      <c r="B8" s="24">
        <v>3</v>
      </c>
      <c r="C8" s="10" t="s">
        <v>90</v>
      </c>
      <c r="D8" s="10" t="s">
        <v>83</v>
      </c>
      <c r="E8" s="39">
        <v>12.58</v>
      </c>
      <c r="F8" s="96">
        <v>0</v>
      </c>
      <c r="G8" s="96">
        <v>100000</v>
      </c>
      <c r="H8" s="96"/>
      <c r="J8" s="87">
        <f t="shared" si="1"/>
        <v>2030</v>
      </c>
      <c r="L8" s="108">
        <v>0.10976920352567754</v>
      </c>
      <c r="M8" s="89">
        <f t="shared" si="0"/>
        <v>0.37321529198730363</v>
      </c>
    </row>
    <row r="9" spans="1:13" x14ac:dyDescent="0.35">
      <c r="A9" s="24" t="s">
        <v>85</v>
      </c>
      <c r="B9" s="24">
        <v>5</v>
      </c>
      <c r="C9" s="10" t="s">
        <v>89</v>
      </c>
      <c r="D9" s="10" t="s">
        <v>83</v>
      </c>
      <c r="E9" s="39">
        <v>12.58</v>
      </c>
      <c r="F9" s="96">
        <v>0</v>
      </c>
      <c r="G9" s="96">
        <v>100000</v>
      </c>
      <c r="H9" s="96"/>
      <c r="J9" s="87">
        <f t="shared" si="1"/>
        <v>2031</v>
      </c>
      <c r="L9" s="108">
        <v>0.10372718763783878</v>
      </c>
      <c r="M9" s="89">
        <f t="shared" si="0"/>
        <v>0.35267243796865183</v>
      </c>
    </row>
    <row r="10" spans="1:13" x14ac:dyDescent="0.35">
      <c r="A10" s="24" t="s">
        <v>85</v>
      </c>
      <c r="B10" s="24">
        <v>1</v>
      </c>
      <c r="C10" s="10" t="s">
        <v>88</v>
      </c>
      <c r="D10" s="10" t="s">
        <v>83</v>
      </c>
      <c r="E10" s="39">
        <v>12.6</v>
      </c>
      <c r="F10" s="96">
        <v>0</v>
      </c>
      <c r="G10" s="96">
        <v>100000</v>
      </c>
      <c r="H10" s="96"/>
      <c r="J10" s="87">
        <f t="shared" si="1"/>
        <v>2032</v>
      </c>
      <c r="L10" s="108">
        <v>9.8162188211051049E-2</v>
      </c>
      <c r="M10" s="89">
        <f t="shared" si="0"/>
        <v>0.33375143991757356</v>
      </c>
    </row>
    <row r="11" spans="1:13" x14ac:dyDescent="0.35">
      <c r="A11" s="24" t="s">
        <v>85</v>
      </c>
      <c r="B11" s="24">
        <v>3</v>
      </c>
      <c r="C11" s="10" t="s">
        <v>87</v>
      </c>
      <c r="D11" s="10" t="s">
        <v>83</v>
      </c>
      <c r="E11" s="39">
        <v>12.6</v>
      </c>
      <c r="F11" s="96">
        <v>0</v>
      </c>
      <c r="G11" s="96">
        <v>100000</v>
      </c>
      <c r="H11" s="96"/>
      <c r="J11" s="87">
        <f t="shared" si="1"/>
        <v>2033</v>
      </c>
      <c r="L11" s="108">
        <v>9.3552291249999989E-2</v>
      </c>
      <c r="M11" s="89">
        <f t="shared" si="0"/>
        <v>0.31807779024999994</v>
      </c>
    </row>
    <row r="12" spans="1:13" x14ac:dyDescent="0.35">
      <c r="A12" s="24" t="s">
        <v>85</v>
      </c>
      <c r="B12" s="24">
        <v>6</v>
      </c>
      <c r="C12" s="10" t="s">
        <v>86</v>
      </c>
      <c r="D12" s="10" t="s">
        <v>83</v>
      </c>
      <c r="E12" s="39">
        <v>12.6</v>
      </c>
      <c r="F12" s="96">
        <v>0</v>
      </c>
      <c r="G12" s="96">
        <v>100000</v>
      </c>
      <c r="H12" s="96"/>
      <c r="J12" s="87">
        <f t="shared" si="1"/>
        <v>2034</v>
      </c>
      <c r="L12" s="108">
        <v>8.9419410749999997E-2</v>
      </c>
      <c r="M12" s="89">
        <f t="shared" si="0"/>
        <v>0.30402599655000001</v>
      </c>
    </row>
    <row r="13" spans="1:13" x14ac:dyDescent="0.35">
      <c r="A13" s="24" t="s">
        <v>85</v>
      </c>
      <c r="B13" s="24">
        <v>7</v>
      </c>
      <c r="C13" s="10" t="s">
        <v>84</v>
      </c>
      <c r="D13" s="10" t="s">
        <v>83</v>
      </c>
      <c r="E13" s="39">
        <v>12.6</v>
      </c>
      <c r="F13" s="96">
        <v>0</v>
      </c>
      <c r="G13" s="96">
        <v>100000</v>
      </c>
      <c r="H13" s="96"/>
      <c r="J13" s="87">
        <f t="shared" si="1"/>
        <v>2035</v>
      </c>
      <c r="L13" s="108">
        <v>8.5286530250000006E-2</v>
      </c>
      <c r="M13" s="89">
        <f t="shared" si="0"/>
        <v>0.28997420285000003</v>
      </c>
    </row>
    <row r="14" spans="1:13" x14ac:dyDescent="0.35">
      <c r="A14" s="38" t="s">
        <v>66</v>
      </c>
      <c r="B14" s="38">
        <v>11</v>
      </c>
      <c r="C14" s="25" t="s">
        <v>82</v>
      </c>
      <c r="D14" s="25" t="s">
        <v>57</v>
      </c>
      <c r="E14" s="37">
        <v>16</v>
      </c>
      <c r="F14" s="97">
        <v>0</v>
      </c>
      <c r="G14" s="97">
        <v>0</v>
      </c>
      <c r="H14" s="97"/>
      <c r="J14" s="87">
        <f t="shared" si="1"/>
        <v>2036</v>
      </c>
      <c r="L14" s="108">
        <v>8.1153649750000015E-2</v>
      </c>
      <c r="M14" s="89">
        <f t="shared" si="0"/>
        <v>0.27592240915000005</v>
      </c>
    </row>
    <row r="15" spans="1:13" x14ac:dyDescent="0.35">
      <c r="A15" s="38" t="s">
        <v>40</v>
      </c>
      <c r="B15" s="38">
        <v>11</v>
      </c>
      <c r="C15" s="25" t="s">
        <v>81</v>
      </c>
      <c r="D15" s="25" t="s">
        <v>57</v>
      </c>
      <c r="E15" s="37">
        <v>16.32</v>
      </c>
      <c r="F15" s="97">
        <v>0</v>
      </c>
      <c r="G15" s="97">
        <v>0</v>
      </c>
      <c r="H15" s="97"/>
      <c r="J15" s="87">
        <f t="shared" si="1"/>
        <v>2037</v>
      </c>
      <c r="L15" s="108">
        <v>7.7020769249999996E-2</v>
      </c>
      <c r="M15" s="89">
        <f t="shared" si="0"/>
        <v>0.26187061544999995</v>
      </c>
    </row>
    <row r="16" spans="1:13" x14ac:dyDescent="0.35">
      <c r="A16" s="38" t="s">
        <v>80</v>
      </c>
      <c r="B16" s="38">
        <v>1</v>
      </c>
      <c r="C16" s="25" t="s">
        <v>79</v>
      </c>
      <c r="D16" s="25" t="s">
        <v>57</v>
      </c>
      <c r="E16" s="37">
        <v>18</v>
      </c>
      <c r="F16" s="97">
        <v>0</v>
      </c>
      <c r="G16" s="97">
        <v>0</v>
      </c>
      <c r="H16" s="97"/>
      <c r="J16" s="87">
        <f t="shared" si="1"/>
        <v>2038</v>
      </c>
      <c r="L16" s="108">
        <v>7.2887888750000004E-2</v>
      </c>
      <c r="M16" s="133">
        <f t="shared" si="0"/>
        <v>0.24781882175</v>
      </c>
    </row>
    <row r="17" spans="1:13" x14ac:dyDescent="0.35">
      <c r="A17" s="24" t="s">
        <v>77</v>
      </c>
      <c r="B17" s="24">
        <v>1</v>
      </c>
      <c r="C17" s="10" t="s">
        <v>78</v>
      </c>
      <c r="D17" s="10" t="s">
        <v>57</v>
      </c>
      <c r="E17" s="39">
        <v>20.7</v>
      </c>
      <c r="F17" s="96">
        <v>0</v>
      </c>
      <c r="G17" s="96">
        <v>100000</v>
      </c>
      <c r="H17" s="96"/>
      <c r="J17" s="87">
        <f t="shared" si="1"/>
        <v>2039</v>
      </c>
      <c r="L17" s="108">
        <v>6.8755008249999999E-2</v>
      </c>
      <c r="M17" s="89">
        <f t="shared" si="0"/>
        <v>0.23376702804999999</v>
      </c>
    </row>
    <row r="18" spans="1:13" x14ac:dyDescent="0.35">
      <c r="A18" s="24" t="s">
        <v>77</v>
      </c>
      <c r="B18" s="24">
        <v>2</v>
      </c>
      <c r="C18" s="10" t="s">
        <v>76</v>
      </c>
      <c r="D18" s="10" t="s">
        <v>57</v>
      </c>
      <c r="E18" s="39">
        <v>20.7</v>
      </c>
      <c r="F18" s="96">
        <v>0</v>
      </c>
      <c r="G18" s="96">
        <v>100000</v>
      </c>
      <c r="H18" s="96"/>
      <c r="J18" s="87">
        <f t="shared" si="1"/>
        <v>2040</v>
      </c>
      <c r="L18" s="108">
        <v>6.4622127749999994E-2</v>
      </c>
      <c r="M18" s="89">
        <f t="shared" si="0"/>
        <v>0.21971523434999998</v>
      </c>
    </row>
    <row r="19" spans="1:13" x14ac:dyDescent="0.35">
      <c r="A19" s="24" t="s">
        <v>66</v>
      </c>
      <c r="B19" s="24">
        <v>12</v>
      </c>
      <c r="C19" s="10" t="s">
        <v>75</v>
      </c>
      <c r="D19" s="10" t="s">
        <v>57</v>
      </c>
      <c r="E19" s="39">
        <v>32.64</v>
      </c>
      <c r="F19" s="96">
        <v>0</v>
      </c>
      <c r="G19" s="96">
        <v>100000</v>
      </c>
      <c r="H19" s="96"/>
      <c r="J19" s="87">
        <f t="shared" si="1"/>
        <v>2041</v>
      </c>
      <c r="L19" s="108">
        <v>1.8386344891041518E-19</v>
      </c>
      <c r="M19" s="89">
        <f t="shared" si="0"/>
        <v>6.251357262954116E-19</v>
      </c>
    </row>
    <row r="20" spans="1:13" x14ac:dyDescent="0.35">
      <c r="A20" s="38" t="s">
        <v>52</v>
      </c>
      <c r="B20" s="38">
        <v>1</v>
      </c>
      <c r="C20" s="25" t="s">
        <v>74</v>
      </c>
      <c r="D20" s="25" t="s">
        <v>41</v>
      </c>
      <c r="E20" s="37">
        <v>113.63565</v>
      </c>
      <c r="F20" s="97">
        <v>0</v>
      </c>
      <c r="G20" s="97">
        <v>0</v>
      </c>
      <c r="H20" s="97"/>
      <c r="J20" s="87">
        <f t="shared" si="1"/>
        <v>2042</v>
      </c>
      <c r="L20" s="108">
        <v>1.8386344891041518E-19</v>
      </c>
      <c r="M20" s="89">
        <f t="shared" si="0"/>
        <v>6.251357262954116E-19</v>
      </c>
    </row>
    <row r="21" spans="1:13" x14ac:dyDescent="0.35">
      <c r="A21" s="24" t="s">
        <v>52</v>
      </c>
      <c r="B21" s="24">
        <v>5</v>
      </c>
      <c r="C21" s="10" t="s">
        <v>73</v>
      </c>
      <c r="D21" s="10" t="s">
        <v>57</v>
      </c>
      <c r="E21" s="36">
        <v>123.3</v>
      </c>
      <c r="F21" s="96">
        <v>0</v>
      </c>
      <c r="G21" s="96">
        <v>100000</v>
      </c>
      <c r="H21" s="96"/>
      <c r="J21" s="87">
        <f t="shared" si="1"/>
        <v>2043</v>
      </c>
      <c r="L21" s="108">
        <v>5.072299E-9</v>
      </c>
      <c r="M21" s="89">
        <f t="shared" si="0"/>
        <v>1.7245816599999999E-8</v>
      </c>
    </row>
    <row r="22" spans="1:13" x14ac:dyDescent="0.35">
      <c r="A22" s="24" t="s">
        <v>52</v>
      </c>
      <c r="B22" s="24">
        <v>8</v>
      </c>
      <c r="C22" s="10" t="s">
        <v>72</v>
      </c>
      <c r="D22" s="10" t="s">
        <v>57</v>
      </c>
      <c r="E22" s="36">
        <v>126</v>
      </c>
      <c r="F22" s="96">
        <v>0</v>
      </c>
      <c r="G22" s="96">
        <v>100000</v>
      </c>
      <c r="H22" s="96"/>
      <c r="J22" s="87">
        <f t="shared" si="1"/>
        <v>2044</v>
      </c>
      <c r="L22" s="108">
        <v>5.072299E-9</v>
      </c>
      <c r="M22" s="89">
        <f t="shared" si="0"/>
        <v>1.7245816599999999E-8</v>
      </c>
    </row>
    <row r="23" spans="1:13" x14ac:dyDescent="0.35">
      <c r="A23" s="24" t="s">
        <v>52</v>
      </c>
      <c r="B23" s="24">
        <v>9</v>
      </c>
      <c r="C23" s="10" t="s">
        <v>71</v>
      </c>
      <c r="D23" s="10" t="s">
        <v>57</v>
      </c>
      <c r="E23" s="36">
        <v>126</v>
      </c>
      <c r="F23" s="96">
        <v>0</v>
      </c>
      <c r="G23" s="96">
        <v>100000</v>
      </c>
      <c r="H23" s="96"/>
      <c r="J23" s="87">
        <f t="shared" si="1"/>
        <v>2045</v>
      </c>
      <c r="L23" s="108">
        <v>5.072299E-9</v>
      </c>
      <c r="M23" s="89">
        <f t="shared" si="0"/>
        <v>1.7245816599999999E-8</v>
      </c>
    </row>
    <row r="24" spans="1:13" x14ac:dyDescent="0.35">
      <c r="A24" s="24" t="s">
        <v>52</v>
      </c>
      <c r="B24" s="24">
        <v>10</v>
      </c>
      <c r="C24" s="10" t="s">
        <v>70</v>
      </c>
      <c r="D24" s="10" t="s">
        <v>57</v>
      </c>
      <c r="E24" s="36">
        <v>126</v>
      </c>
      <c r="F24" s="96">
        <v>0</v>
      </c>
      <c r="G24" s="96">
        <v>100000</v>
      </c>
      <c r="H24" s="96"/>
      <c r="J24" s="87">
        <f t="shared" si="1"/>
        <v>2046</v>
      </c>
      <c r="L24" s="108">
        <v>5.072299E-9</v>
      </c>
      <c r="M24" s="89">
        <f t="shared" si="0"/>
        <v>1.7245816599999999E-8</v>
      </c>
    </row>
    <row r="25" spans="1:13" x14ac:dyDescent="0.35">
      <c r="A25" s="24" t="s">
        <v>52</v>
      </c>
      <c r="B25" s="24">
        <v>11</v>
      </c>
      <c r="C25" s="10" t="s">
        <v>69</v>
      </c>
      <c r="D25" s="10" t="s">
        <v>57</v>
      </c>
      <c r="E25" s="36">
        <v>126</v>
      </c>
      <c r="F25" s="96">
        <v>0</v>
      </c>
      <c r="G25" s="96">
        <v>100000</v>
      </c>
      <c r="H25" s="96"/>
      <c r="J25" s="87">
        <f t="shared" si="1"/>
        <v>2047</v>
      </c>
      <c r="L25" s="108">
        <v>5.072299E-9</v>
      </c>
      <c r="M25" s="89">
        <f t="shared" si="0"/>
        <v>1.7245816599999999E-8</v>
      </c>
    </row>
    <row r="26" spans="1:13" x14ac:dyDescent="0.35">
      <c r="A26" s="24" t="s">
        <v>52</v>
      </c>
      <c r="B26" s="24">
        <v>6</v>
      </c>
      <c r="C26" s="10" t="s">
        <v>68</v>
      </c>
      <c r="D26" s="10" t="s">
        <v>57</v>
      </c>
      <c r="E26" s="36">
        <v>177</v>
      </c>
      <c r="F26" s="96">
        <v>0</v>
      </c>
      <c r="G26" s="96">
        <v>100000</v>
      </c>
      <c r="H26" s="96"/>
      <c r="L26" s="108"/>
    </row>
    <row r="27" spans="1:13" x14ac:dyDescent="0.35">
      <c r="A27" s="24" t="s">
        <v>52</v>
      </c>
      <c r="B27" s="24">
        <v>7</v>
      </c>
      <c r="C27" s="10" t="s">
        <v>67</v>
      </c>
      <c r="D27" s="10" t="s">
        <v>57</v>
      </c>
      <c r="E27" s="36">
        <v>177</v>
      </c>
      <c r="F27" s="96">
        <v>0</v>
      </c>
      <c r="G27" s="96">
        <v>100000</v>
      </c>
      <c r="H27" s="96"/>
      <c r="L27" s="90"/>
    </row>
    <row r="28" spans="1:13" x14ac:dyDescent="0.35">
      <c r="A28" s="24" t="s">
        <v>66</v>
      </c>
      <c r="B28" s="24">
        <v>13</v>
      </c>
      <c r="C28" s="10" t="s">
        <v>65</v>
      </c>
      <c r="D28" s="10" t="s">
        <v>57</v>
      </c>
      <c r="E28" s="36">
        <v>178.2</v>
      </c>
      <c r="F28" s="96">
        <v>0</v>
      </c>
      <c r="G28" s="96">
        <v>100000</v>
      </c>
      <c r="H28" s="96"/>
      <c r="L28" s="90"/>
    </row>
    <row r="29" spans="1:13" x14ac:dyDescent="0.35">
      <c r="A29" s="38" t="s">
        <v>52</v>
      </c>
      <c r="B29" s="38">
        <v>2</v>
      </c>
      <c r="C29" s="25" t="s">
        <v>64</v>
      </c>
      <c r="D29" s="25" t="s">
        <v>41</v>
      </c>
      <c r="E29" s="37">
        <v>179.52</v>
      </c>
      <c r="F29" s="97">
        <v>0</v>
      </c>
      <c r="G29" s="97">
        <v>0</v>
      </c>
      <c r="H29" s="97"/>
      <c r="L29" s="90"/>
    </row>
    <row r="30" spans="1:13" x14ac:dyDescent="0.35">
      <c r="A30" s="24" t="s">
        <v>43</v>
      </c>
      <c r="B30" s="24">
        <v>5</v>
      </c>
      <c r="C30" s="10" t="s">
        <v>63</v>
      </c>
      <c r="D30" s="10" t="s">
        <v>57</v>
      </c>
      <c r="E30" s="36">
        <v>198.9</v>
      </c>
      <c r="F30" s="96">
        <v>0</v>
      </c>
      <c r="G30" s="96">
        <v>100000</v>
      </c>
      <c r="H30" s="96"/>
      <c r="L30" s="90"/>
    </row>
    <row r="31" spans="1:13" x14ac:dyDescent="0.35">
      <c r="A31" s="24" t="s">
        <v>43</v>
      </c>
      <c r="B31" s="24">
        <v>6</v>
      </c>
      <c r="C31" s="10" t="s">
        <v>62</v>
      </c>
      <c r="D31" s="10" t="s">
        <v>57</v>
      </c>
      <c r="E31" s="36">
        <v>198.9</v>
      </c>
      <c r="F31" s="96">
        <v>0</v>
      </c>
      <c r="G31" s="96">
        <v>100000</v>
      </c>
      <c r="H31" s="96"/>
      <c r="L31" s="90"/>
    </row>
    <row r="32" spans="1:13" x14ac:dyDescent="0.35">
      <c r="A32" s="24" t="s">
        <v>43</v>
      </c>
      <c r="B32" s="24">
        <v>7</v>
      </c>
      <c r="C32" s="10" t="s">
        <v>61</v>
      </c>
      <c r="D32" s="10" t="s">
        <v>57</v>
      </c>
      <c r="E32" s="36">
        <v>198.9</v>
      </c>
      <c r="F32" s="96">
        <v>0</v>
      </c>
      <c r="G32" s="96">
        <v>100000</v>
      </c>
      <c r="H32" s="96"/>
      <c r="L32" s="90"/>
    </row>
    <row r="33" spans="1:12" x14ac:dyDescent="0.35">
      <c r="A33" s="24" t="s">
        <v>43</v>
      </c>
      <c r="B33" s="24">
        <v>8</v>
      </c>
      <c r="C33" s="10" t="s">
        <v>60</v>
      </c>
      <c r="D33" s="10" t="s">
        <v>57</v>
      </c>
      <c r="E33" s="36">
        <v>198.9</v>
      </c>
      <c r="F33" s="96">
        <v>0</v>
      </c>
      <c r="G33" s="96">
        <v>100000</v>
      </c>
      <c r="H33" s="96"/>
      <c r="L33" s="90"/>
    </row>
    <row r="34" spans="1:12" x14ac:dyDescent="0.35">
      <c r="A34" s="24" t="s">
        <v>43</v>
      </c>
      <c r="B34" s="24">
        <v>9</v>
      </c>
      <c r="C34" s="10" t="s">
        <v>59</v>
      </c>
      <c r="D34" s="10" t="s">
        <v>57</v>
      </c>
      <c r="E34" s="36">
        <v>198.9</v>
      </c>
      <c r="F34" s="96">
        <v>0</v>
      </c>
      <c r="G34" s="96">
        <v>100000</v>
      </c>
      <c r="H34" s="96"/>
      <c r="L34" s="90"/>
    </row>
    <row r="35" spans="1:12" x14ac:dyDescent="0.35">
      <c r="A35" s="24" t="s">
        <v>43</v>
      </c>
      <c r="B35" s="24">
        <v>10</v>
      </c>
      <c r="C35" s="10" t="s">
        <v>58</v>
      </c>
      <c r="D35" s="10" t="s">
        <v>57</v>
      </c>
      <c r="E35" s="36">
        <v>198.9</v>
      </c>
      <c r="F35" s="98">
        <v>0</v>
      </c>
      <c r="G35" s="98">
        <v>100000</v>
      </c>
      <c r="H35" s="98"/>
      <c r="L35" s="90"/>
    </row>
    <row r="36" spans="1:12" x14ac:dyDescent="0.35">
      <c r="A36" s="24" t="s">
        <v>50</v>
      </c>
      <c r="B36" s="24">
        <v>1</v>
      </c>
      <c r="C36" s="10" t="s">
        <v>56</v>
      </c>
      <c r="D36" s="10" t="s">
        <v>41</v>
      </c>
      <c r="E36" s="35">
        <v>355.5</v>
      </c>
      <c r="F36" s="98"/>
      <c r="G36" s="98">
        <v>100000</v>
      </c>
      <c r="H36" s="98"/>
    </row>
    <row r="37" spans="1:12" x14ac:dyDescent="0.35">
      <c r="A37" s="24" t="s">
        <v>50</v>
      </c>
      <c r="B37" s="24">
        <v>2</v>
      </c>
      <c r="C37" s="10" t="s">
        <v>55</v>
      </c>
      <c r="D37" s="10" t="s">
        <v>41</v>
      </c>
      <c r="E37" s="35">
        <v>355.5</v>
      </c>
      <c r="F37" s="98"/>
      <c r="G37" s="98">
        <v>100000</v>
      </c>
      <c r="H37" s="98"/>
    </row>
    <row r="38" spans="1:12" x14ac:dyDescent="0.35">
      <c r="A38" s="38" t="s">
        <v>43</v>
      </c>
      <c r="B38" s="38">
        <v>1</v>
      </c>
      <c r="C38" s="25" t="s">
        <v>54</v>
      </c>
      <c r="D38" s="25" t="s">
        <v>41</v>
      </c>
      <c r="E38" s="37">
        <v>424.57500000000005</v>
      </c>
      <c r="F38" s="97"/>
      <c r="G38" s="97">
        <v>0</v>
      </c>
      <c r="H38" s="97"/>
      <c r="I38" s="10" t="s">
        <v>180</v>
      </c>
    </row>
    <row r="39" spans="1:12" x14ac:dyDescent="0.35">
      <c r="A39" s="24" t="s">
        <v>50</v>
      </c>
      <c r="B39" s="24">
        <v>3</v>
      </c>
      <c r="C39" s="10" t="s">
        <v>53</v>
      </c>
      <c r="D39" s="10" t="s">
        <v>41</v>
      </c>
      <c r="E39" s="35">
        <v>462.6</v>
      </c>
      <c r="F39" s="98"/>
      <c r="G39" s="98">
        <v>100000</v>
      </c>
      <c r="H39" s="98"/>
    </row>
    <row r="40" spans="1:12" x14ac:dyDescent="0.35">
      <c r="A40" s="24" t="s">
        <v>52</v>
      </c>
      <c r="B40" s="24">
        <v>3</v>
      </c>
      <c r="C40" s="10" t="s">
        <v>51</v>
      </c>
      <c r="D40" s="10" t="s">
        <v>41</v>
      </c>
      <c r="E40" s="35">
        <v>464</v>
      </c>
      <c r="F40" s="98"/>
      <c r="G40" s="98">
        <v>100000</v>
      </c>
      <c r="H40" s="98"/>
    </row>
    <row r="41" spans="1:12" x14ac:dyDescent="0.35">
      <c r="A41" s="24" t="s">
        <v>50</v>
      </c>
      <c r="B41" s="24">
        <v>4</v>
      </c>
      <c r="C41" s="10" t="s">
        <v>49</v>
      </c>
      <c r="D41" s="10" t="s">
        <v>41</v>
      </c>
      <c r="E41" s="35">
        <v>543.6</v>
      </c>
      <c r="F41" s="98"/>
      <c r="G41" s="98">
        <v>100000</v>
      </c>
      <c r="H41" s="98"/>
    </row>
    <row r="42" spans="1:12" x14ac:dyDescent="0.35">
      <c r="A42" s="24" t="s">
        <v>45</v>
      </c>
      <c r="B42" s="24">
        <v>4</v>
      </c>
      <c r="C42" s="10" t="s">
        <v>48</v>
      </c>
      <c r="D42" s="10" t="s">
        <v>41</v>
      </c>
      <c r="E42" s="35">
        <v>556.20000000000005</v>
      </c>
      <c r="F42" s="98"/>
      <c r="G42" s="98">
        <v>100000</v>
      </c>
      <c r="H42" s="98"/>
    </row>
    <row r="43" spans="1:12" x14ac:dyDescent="0.35">
      <c r="A43" s="24" t="s">
        <v>45</v>
      </c>
      <c r="B43" s="24">
        <v>2</v>
      </c>
      <c r="C43" s="10" t="s">
        <v>47</v>
      </c>
      <c r="D43" s="10" t="s">
        <v>41</v>
      </c>
      <c r="E43" s="35">
        <v>556.38</v>
      </c>
      <c r="F43" s="98"/>
      <c r="G43" s="98">
        <v>100000</v>
      </c>
      <c r="H43" s="98"/>
    </row>
    <row r="44" spans="1:12" x14ac:dyDescent="0.35">
      <c r="A44" s="24" t="s">
        <v>45</v>
      </c>
      <c r="B44" s="24">
        <v>3</v>
      </c>
      <c r="C44" s="10" t="s">
        <v>46</v>
      </c>
      <c r="D44" s="10" t="s">
        <v>41</v>
      </c>
      <c r="E44" s="35">
        <v>556.55999999999995</v>
      </c>
      <c r="F44" s="98"/>
      <c r="G44" s="98">
        <v>100000</v>
      </c>
      <c r="H44" s="98"/>
    </row>
    <row r="45" spans="1:12" x14ac:dyDescent="0.35">
      <c r="A45" s="24" t="s">
        <v>45</v>
      </c>
      <c r="B45" s="24">
        <v>1</v>
      </c>
      <c r="C45" s="10" t="s">
        <v>44</v>
      </c>
      <c r="D45" s="10" t="s">
        <v>41</v>
      </c>
      <c r="E45" s="35">
        <v>556.91999999999996</v>
      </c>
      <c r="F45" s="98"/>
      <c r="G45" s="98">
        <v>100000</v>
      </c>
      <c r="H45" s="98"/>
    </row>
    <row r="46" spans="1:12" x14ac:dyDescent="0.35">
      <c r="A46" s="38" t="s">
        <v>43</v>
      </c>
      <c r="B46" s="38">
        <v>2</v>
      </c>
      <c r="C46" s="25" t="s">
        <v>42</v>
      </c>
      <c r="D46" s="25" t="s">
        <v>41</v>
      </c>
      <c r="E46" s="37">
        <v>628.5</v>
      </c>
      <c r="F46" s="97"/>
      <c r="G46" s="97">
        <v>0</v>
      </c>
      <c r="H46" s="97"/>
      <c r="I46" s="10" t="s">
        <v>180</v>
      </c>
    </row>
    <row r="47" spans="1:12" x14ac:dyDescent="0.35">
      <c r="A47" s="24" t="s">
        <v>40</v>
      </c>
      <c r="B47" s="24">
        <v>7</v>
      </c>
      <c r="C47" s="10" t="s">
        <v>39</v>
      </c>
      <c r="D47" s="10" t="s">
        <v>38</v>
      </c>
      <c r="E47" s="35">
        <v>691</v>
      </c>
      <c r="F47" s="98"/>
      <c r="G47" s="98">
        <v>300000</v>
      </c>
      <c r="H47" s="98"/>
      <c r="I47" s="10" t="s">
        <v>181</v>
      </c>
    </row>
    <row r="48" spans="1:12" x14ac:dyDescent="0.35">
      <c r="F48" s="96">
        <f>SUM(F9:F47)</f>
        <v>0</v>
      </c>
      <c r="G48" s="96">
        <f>SUM(G9:G47)</f>
        <v>3400000</v>
      </c>
      <c r="H48" s="96">
        <f>SUM(H9:H47)</f>
        <v>0</v>
      </c>
    </row>
    <row r="49" spans="1:7" ht="362.5" x14ac:dyDescent="0.35">
      <c r="A49" s="130" t="s">
        <v>37</v>
      </c>
      <c r="B49" s="34"/>
      <c r="C49" s="34"/>
      <c r="D49" s="34"/>
      <c r="E49" s="34"/>
      <c r="F49" s="34"/>
      <c r="G49" s="34"/>
    </row>
    <row r="50" spans="1:7" x14ac:dyDescent="0.35">
      <c r="A50" s="33"/>
    </row>
    <row r="51" spans="1:7" ht="203" x14ac:dyDescent="0.35">
      <c r="A51" s="130" t="s">
        <v>36</v>
      </c>
    </row>
  </sheetData>
  <pageMargins left="0.7" right="0.7" top="0.75" bottom="0.75" header="0.3" footer="0.3"/>
  <pageSetup orientation="portrait" r:id="rId1"/>
  <headerFooter>
    <oddFooter>&amp;L&amp;1#&amp;"Calibri"&amp;14&amp;K000000Business Use</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5"/>
  <sheetViews>
    <sheetView zoomScale="130" zoomScaleNormal="130" workbookViewId="0">
      <selection activeCell="D21" sqref="D21"/>
    </sheetView>
  </sheetViews>
  <sheetFormatPr defaultRowHeight="14.5" x14ac:dyDescent="0.35"/>
  <cols>
    <col min="1" max="1" width="69.54296875" customWidth="1"/>
    <col min="2" max="2" width="12.54296875" bestFit="1" customWidth="1"/>
    <col min="4" max="4" width="18.54296875" customWidth="1"/>
    <col min="5" max="5" width="9.453125" bestFit="1" customWidth="1"/>
  </cols>
  <sheetData>
    <row r="1" spans="1:10" s="10" customFormat="1" x14ac:dyDescent="0.35">
      <c r="A1" s="59" t="s">
        <v>117</v>
      </c>
      <c r="B1" s="70" t="s">
        <v>114</v>
      </c>
      <c r="C1" s="70" t="s">
        <v>115</v>
      </c>
    </row>
    <row r="2" spans="1:10" ht="29.5" thickBot="1" x14ac:dyDescent="0.4">
      <c r="A2" s="60" t="s">
        <v>228</v>
      </c>
      <c r="B2" s="107">
        <f>+'20-21 PJM Load Ratio Analysis'!F6</f>
        <v>3.9322125732792618E-2</v>
      </c>
      <c r="C2" s="54"/>
    </row>
    <row r="3" spans="1:10" s="10" customFormat="1" x14ac:dyDescent="0.35">
      <c r="A3" s="59" t="s">
        <v>118</v>
      </c>
      <c r="B3" s="55"/>
      <c r="C3" s="53"/>
    </row>
    <row r="4" spans="1:10" x14ac:dyDescent="0.35">
      <c r="A4" s="61" t="s">
        <v>227</v>
      </c>
      <c r="B4" s="52"/>
      <c r="C4" s="56">
        <v>243</v>
      </c>
      <c r="D4" s="125" t="s">
        <v>219</v>
      </c>
    </row>
    <row r="5" spans="1:10" ht="29.5" thickBot="1" x14ac:dyDescent="0.4">
      <c r="A5" s="126" t="s">
        <v>221</v>
      </c>
      <c r="B5" s="127">
        <v>2269</v>
      </c>
      <c r="C5" s="71">
        <f>+B5*B2</f>
        <v>89.221903287706454</v>
      </c>
      <c r="D5" s="124" t="s">
        <v>219</v>
      </c>
    </row>
    <row r="6" spans="1:10" x14ac:dyDescent="0.35">
      <c r="A6" s="59" t="s">
        <v>119</v>
      </c>
      <c r="B6" s="57"/>
      <c r="C6" s="58"/>
    </row>
    <row r="7" spans="1:10" x14ac:dyDescent="0.35">
      <c r="A7" s="61" t="s">
        <v>111</v>
      </c>
      <c r="B7" s="52"/>
      <c r="C7" s="56">
        <v>75</v>
      </c>
    </row>
    <row r="8" spans="1:10" ht="29" x14ac:dyDescent="0.35">
      <c r="A8" s="63" t="s">
        <v>167</v>
      </c>
      <c r="B8" s="62">
        <v>525</v>
      </c>
      <c r="C8" s="72">
        <f>+B8*B2</f>
        <v>20.644116009716125</v>
      </c>
      <c r="D8" s="124" t="s">
        <v>222</v>
      </c>
    </row>
    <row r="9" spans="1:10" ht="29.5" thickBot="1" x14ac:dyDescent="0.4">
      <c r="A9" s="64" t="s">
        <v>168</v>
      </c>
      <c r="B9" s="65">
        <v>800</v>
      </c>
      <c r="C9" s="73">
        <f>+B9*B2</f>
        <v>31.457700586234093</v>
      </c>
      <c r="D9" s="124" t="s">
        <v>222</v>
      </c>
    </row>
    <row r="10" spans="1:10" x14ac:dyDescent="0.35">
      <c r="A10" s="49"/>
    </row>
    <row r="11" spans="1:10" ht="29" x14ac:dyDescent="0.35">
      <c r="A11" s="68" t="s">
        <v>223</v>
      </c>
      <c r="B11" s="69">
        <v>2.0299999999999999E-2</v>
      </c>
      <c r="D11" s="124" t="s">
        <v>219</v>
      </c>
      <c r="H11" s="10"/>
    </row>
    <row r="12" spans="1:10" s="10" customFormat="1" ht="30" customHeight="1" x14ac:dyDescent="0.35">
      <c r="A12" s="49" t="s">
        <v>124</v>
      </c>
      <c r="B12" s="47">
        <f>+'20-21 PJM Load Ratio Analysis'!D6</f>
        <v>3556.820586781806</v>
      </c>
      <c r="C12" s="51">
        <f>+B11*B12</f>
        <v>72.203457911670654</v>
      </c>
      <c r="D12" s="124" t="s">
        <v>225</v>
      </c>
    </row>
    <row r="13" spans="1:10" ht="58" x14ac:dyDescent="0.35">
      <c r="A13" s="68" t="s">
        <v>224</v>
      </c>
      <c r="B13" s="69">
        <v>2.3800000000000002E-2</v>
      </c>
      <c r="C13" s="13"/>
      <c r="D13" s="209" t="s">
        <v>120</v>
      </c>
      <c r="E13" s="124" t="s">
        <v>219</v>
      </c>
    </row>
    <row r="14" spans="1:10" s="10" customFormat="1" ht="29" x14ac:dyDescent="0.35">
      <c r="A14" s="49" t="s">
        <v>125</v>
      </c>
      <c r="B14" s="74">
        <f>+B12</f>
        <v>3556.820586781806</v>
      </c>
      <c r="C14" s="115">
        <f>+B13*B14</f>
        <v>84.652329965406992</v>
      </c>
      <c r="D14" s="13"/>
    </row>
    <row r="15" spans="1:10" ht="29" x14ac:dyDescent="0.35">
      <c r="A15" s="66" t="s">
        <v>226</v>
      </c>
      <c r="B15" s="67">
        <v>4.3999999999999997E-2</v>
      </c>
      <c r="C15" s="51">
        <f>+C12+C14</f>
        <v>156.85578787707766</v>
      </c>
      <c r="D15" s="31">
        <f>+B14*B15</f>
        <v>156.50010581839945</v>
      </c>
      <c r="E15" s="124" t="s">
        <v>219</v>
      </c>
      <c r="F15" s="10"/>
      <c r="G15" s="10"/>
      <c r="H15" s="10"/>
      <c r="J15" s="10"/>
    </row>
    <row r="16" spans="1:10" x14ac:dyDescent="0.35">
      <c r="A16" s="49" t="s">
        <v>161</v>
      </c>
      <c r="B16" s="47">
        <v>7100</v>
      </c>
      <c r="C16" s="47">
        <f>+B16*B15</f>
        <v>312.39999999999998</v>
      </c>
      <c r="J16" s="10"/>
    </row>
    <row r="17" spans="1:5" x14ac:dyDescent="0.35">
      <c r="A17" s="49"/>
    </row>
    <row r="18" spans="1:5" s="10" customFormat="1" ht="29" x14ac:dyDescent="0.35">
      <c r="A18" s="49" t="s">
        <v>121</v>
      </c>
      <c r="B18" s="47"/>
      <c r="C18" s="74">
        <f>+B14*B15+AVERAGE(C8:C9)</f>
        <v>182.55101411637455</v>
      </c>
      <c r="E18" s="48"/>
    </row>
    <row r="19" spans="1:5" s="10" customFormat="1" x14ac:dyDescent="0.35">
      <c r="A19" s="49" t="s">
        <v>163</v>
      </c>
      <c r="B19" s="47"/>
      <c r="C19" s="74">
        <v>-100</v>
      </c>
      <c r="E19" s="48"/>
    </row>
    <row r="20" spans="1:5" s="10" customFormat="1" x14ac:dyDescent="0.35">
      <c r="A20" s="49"/>
      <c r="B20" s="47"/>
      <c r="C20" s="74">
        <f>SUM(C18:C19)</f>
        <v>82.551014116374546</v>
      </c>
      <c r="D20" s="124" t="s">
        <v>229</v>
      </c>
      <c r="E20" s="129"/>
    </row>
    <row r="21" spans="1:5" s="10" customFormat="1" x14ac:dyDescent="0.35">
      <c r="A21" s="49"/>
      <c r="B21" s="47"/>
      <c r="C21" s="74"/>
      <c r="E21" s="48"/>
    </row>
    <row r="22" spans="1:5" s="10" customFormat="1" ht="29" x14ac:dyDescent="0.35">
      <c r="A22" s="49" t="s">
        <v>162</v>
      </c>
      <c r="B22" s="47"/>
      <c r="C22" s="47">
        <f>C5+C12+AVERAGE(C8:C9)</f>
        <v>187.47626949735221</v>
      </c>
      <c r="E22" s="48"/>
    </row>
    <row r="23" spans="1:5" s="10" customFormat="1" x14ac:dyDescent="0.35">
      <c r="A23" s="49" t="s">
        <v>163</v>
      </c>
      <c r="B23" s="47"/>
      <c r="C23" s="74">
        <v>-100</v>
      </c>
      <c r="D23" s="51"/>
      <c r="E23" s="48"/>
    </row>
    <row r="24" spans="1:5" s="10" customFormat="1" x14ac:dyDescent="0.35">
      <c r="A24" s="49"/>
      <c r="B24" s="47"/>
      <c r="C24" s="74">
        <f>SUM(C22:C23)</f>
        <v>87.476269497352206</v>
      </c>
      <c r="E24" s="48"/>
    </row>
    <row r="25" spans="1:5" x14ac:dyDescent="0.35">
      <c r="A25" s="49"/>
      <c r="C25" s="51"/>
    </row>
    <row r="26" spans="1:5" x14ac:dyDescent="0.35">
      <c r="A26" s="49" t="s">
        <v>164</v>
      </c>
    </row>
    <row r="27" spans="1:5" x14ac:dyDescent="0.35">
      <c r="A27" s="50" t="s">
        <v>112</v>
      </c>
    </row>
    <row r="28" spans="1:5" x14ac:dyDescent="0.35">
      <c r="A28" t="s">
        <v>165</v>
      </c>
    </row>
    <row r="29" spans="1:5" x14ac:dyDescent="0.35">
      <c r="A29" s="50" t="s">
        <v>116</v>
      </c>
    </row>
    <row r="35" spans="1:1" x14ac:dyDescent="0.35">
      <c r="A35" t="s">
        <v>113</v>
      </c>
    </row>
  </sheetData>
  <phoneticPr fontId="13" type="noConversion"/>
  <hyperlinks>
    <hyperlink ref="A29" r:id="rId1" xr:uid="{00000000-0004-0000-0C00-000000000000}"/>
    <hyperlink ref="A27" r:id="rId2" xr:uid="{00000000-0004-0000-0C00-000001000000}"/>
  </hyperlinks>
  <pageMargins left="0.7" right="0.7" top="0.75" bottom="0.75" header="0.3" footer="0.3"/>
  <pageSetup orientation="portrait" r:id="rId3"/>
  <headerFooter>
    <oddFooter>&amp;L&amp;1#&amp;"Calibri"&amp;14&amp;K000000Business Use</oddFooter>
  </headerFooter>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3B74-BC64-471E-9639-AB763C2778C2}">
  <dimension ref="B1:U57"/>
  <sheetViews>
    <sheetView zoomScaleNormal="100" workbookViewId="0">
      <selection activeCell="F7" sqref="F7"/>
    </sheetView>
  </sheetViews>
  <sheetFormatPr defaultColWidth="8.90625" defaultRowHeight="14.5" x14ac:dyDescent="0.35"/>
  <cols>
    <col min="1" max="1" width="2.54296875" style="75" customWidth="1"/>
    <col min="2" max="2" width="8.90625" style="75"/>
    <col min="3" max="3" width="16.08984375" style="101" bestFit="1" customWidth="1"/>
    <col min="4" max="4" width="15.54296875" style="101" bestFit="1" customWidth="1"/>
    <col min="5" max="5" width="21.453125" style="101" bestFit="1" customWidth="1"/>
    <col min="6" max="6" width="22.90625" style="101" bestFit="1" customWidth="1"/>
    <col min="7" max="7" width="8.90625" style="75"/>
    <col min="8" max="8" width="22.90625" style="101" bestFit="1" customWidth="1"/>
    <col min="9" max="16" width="8.90625" style="75"/>
    <col min="17" max="17" width="8.90625" style="101"/>
    <col min="18" max="18" width="12" style="101" bestFit="1" customWidth="1"/>
    <col min="19" max="20" width="8.90625" style="101"/>
    <col min="21" max="16384" width="8.90625" style="75"/>
  </cols>
  <sheetData>
    <row r="1" spans="2:21" ht="13.5" customHeight="1" x14ac:dyDescent="0.35">
      <c r="C1" s="123" t="s">
        <v>177</v>
      </c>
      <c r="Q1" s="106" t="s">
        <v>176</v>
      </c>
      <c r="R1" s="106" t="s">
        <v>175</v>
      </c>
      <c r="S1" s="106">
        <v>2020</v>
      </c>
      <c r="T1" s="106">
        <v>2021</v>
      </c>
      <c r="U1" s="113"/>
    </row>
    <row r="2" spans="2:21" x14ac:dyDescent="0.35">
      <c r="C2" s="104" t="s">
        <v>123</v>
      </c>
      <c r="D2" s="104" t="s">
        <v>122</v>
      </c>
      <c r="E2" s="104" t="s">
        <v>174</v>
      </c>
      <c r="F2" s="104" t="s">
        <v>173</v>
      </c>
      <c r="H2" s="76"/>
      <c r="Q2" s="111">
        <v>2.3361736758545804E-2</v>
      </c>
      <c r="R2" s="110">
        <v>1</v>
      </c>
      <c r="S2" s="101">
        <v>1</v>
      </c>
      <c r="T2" s="101">
        <v>0</v>
      </c>
    </row>
    <row r="3" spans="2:21" x14ac:dyDescent="0.35">
      <c r="B3" s="103" t="s">
        <v>160</v>
      </c>
      <c r="C3" s="102">
        <v>54936.828999999998</v>
      </c>
      <c r="D3" s="102">
        <v>2094.9998999999998</v>
      </c>
      <c r="E3" s="102">
        <v>57636.795000000006</v>
      </c>
      <c r="F3" s="112">
        <v>2.3361736758545804E-2</v>
      </c>
      <c r="H3" s="105"/>
      <c r="Q3" s="111">
        <v>2.478518807172499E-2</v>
      </c>
      <c r="R3" s="110">
        <v>15</v>
      </c>
      <c r="S3" s="101">
        <v>10</v>
      </c>
      <c r="T3" s="101">
        <v>5</v>
      </c>
    </row>
    <row r="4" spans="2:21" x14ac:dyDescent="0.35">
      <c r="B4" s="103" t="s">
        <v>172</v>
      </c>
      <c r="C4" s="102">
        <v>148770.34700000001</v>
      </c>
      <c r="D4" s="102">
        <v>6122.75</v>
      </c>
      <c r="E4" s="102">
        <v>154301.079</v>
      </c>
      <c r="F4" s="112">
        <v>6.3218373527563015E-2</v>
      </c>
      <c r="H4" s="105"/>
      <c r="Q4" s="111">
        <v>2.6208639384904177E-2</v>
      </c>
      <c r="R4" s="110">
        <v>53</v>
      </c>
      <c r="S4" s="101">
        <v>33</v>
      </c>
      <c r="T4" s="101">
        <v>20</v>
      </c>
    </row>
    <row r="5" spans="2:21" x14ac:dyDescent="0.35">
      <c r="B5" s="103" t="s">
        <v>171</v>
      </c>
      <c r="C5" s="102">
        <v>93833.518000000011</v>
      </c>
      <c r="D5" s="102">
        <v>4027.7501000000002</v>
      </c>
      <c r="E5" s="102">
        <v>96664.283999999985</v>
      </c>
      <c r="F5" s="112">
        <v>3.9856636769017212E-2</v>
      </c>
      <c r="H5" s="105"/>
      <c r="Q5" s="111">
        <v>2.7632090698083363E-2</v>
      </c>
      <c r="R5" s="110">
        <v>181</v>
      </c>
      <c r="S5" s="101">
        <v>100</v>
      </c>
      <c r="T5" s="101">
        <v>81</v>
      </c>
    </row>
    <row r="6" spans="2:21" x14ac:dyDescent="0.35">
      <c r="B6" s="103" t="s">
        <v>170</v>
      </c>
      <c r="C6" s="102">
        <v>87774.52659387773</v>
      </c>
      <c r="D6" s="102">
        <v>3556.820586781806</v>
      </c>
      <c r="E6" s="102">
        <v>91331.347180660377</v>
      </c>
      <c r="F6" s="114">
        <v>3.9322125732792618E-2</v>
      </c>
      <c r="H6" s="105"/>
      <c r="Q6" s="111">
        <v>2.905554201126255E-2</v>
      </c>
      <c r="R6" s="110">
        <v>364</v>
      </c>
      <c r="S6" s="101">
        <v>183</v>
      </c>
      <c r="T6" s="101">
        <v>181</v>
      </c>
    </row>
    <row r="7" spans="2:21" x14ac:dyDescent="0.35">
      <c r="B7" s="103" t="s">
        <v>169</v>
      </c>
      <c r="C7" s="102">
        <v>85262.752999999997</v>
      </c>
      <c r="D7" s="102">
        <v>3434.5924999999997</v>
      </c>
      <c r="E7" s="102">
        <v>88798.591499999995</v>
      </c>
      <c r="F7" s="114">
        <v>3.8804253286872342E-2</v>
      </c>
      <c r="H7" s="105"/>
      <c r="Q7" s="111">
        <v>3.0478993324441737E-2</v>
      </c>
      <c r="R7" s="110">
        <v>661</v>
      </c>
      <c r="S7" s="101">
        <v>329</v>
      </c>
      <c r="T7" s="101">
        <v>332</v>
      </c>
    </row>
    <row r="8" spans="2:21" x14ac:dyDescent="0.35">
      <c r="H8" s="105"/>
      <c r="Q8" s="111">
        <v>3.1902444637620923E-2</v>
      </c>
      <c r="R8" s="110">
        <v>891</v>
      </c>
      <c r="S8" s="101">
        <v>453</v>
      </c>
      <c r="T8" s="101">
        <v>438</v>
      </c>
    </row>
    <row r="9" spans="2:21" x14ac:dyDescent="0.35">
      <c r="H9" s="105"/>
      <c r="Q9" s="111">
        <v>3.3325895950800107E-2</v>
      </c>
      <c r="R9" s="110">
        <v>1057</v>
      </c>
      <c r="S9" s="101">
        <v>503</v>
      </c>
      <c r="T9" s="101">
        <v>554</v>
      </c>
    </row>
    <row r="10" spans="2:21" x14ac:dyDescent="0.35">
      <c r="H10" s="105"/>
      <c r="Q10" s="111">
        <v>3.474934726397929E-2</v>
      </c>
      <c r="R10" s="110">
        <v>1219</v>
      </c>
      <c r="S10" s="101">
        <v>583</v>
      </c>
      <c r="T10" s="101">
        <v>636</v>
      </c>
    </row>
    <row r="11" spans="2:21" x14ac:dyDescent="0.35">
      <c r="H11" s="105"/>
      <c r="Q11" s="111">
        <v>3.6172798577158473E-2</v>
      </c>
      <c r="R11" s="110">
        <v>1426</v>
      </c>
      <c r="S11" s="101">
        <v>691</v>
      </c>
      <c r="T11" s="101">
        <v>735</v>
      </c>
    </row>
    <row r="12" spans="2:21" x14ac:dyDescent="0.35">
      <c r="H12" s="105"/>
      <c r="Q12" s="111">
        <v>3.7596249890337656E-2</v>
      </c>
      <c r="R12" s="110">
        <v>1535</v>
      </c>
      <c r="S12" s="101">
        <v>767</v>
      </c>
      <c r="T12" s="101">
        <v>768</v>
      </c>
    </row>
    <row r="13" spans="2:21" x14ac:dyDescent="0.35">
      <c r="H13" s="105"/>
      <c r="Q13" s="111">
        <v>3.9019701203516839E-2</v>
      </c>
      <c r="R13" s="110">
        <v>1588</v>
      </c>
      <c r="S13" s="101">
        <v>837</v>
      </c>
      <c r="T13" s="101">
        <v>751</v>
      </c>
    </row>
    <row r="14" spans="2:21" x14ac:dyDescent="0.35">
      <c r="H14" s="105"/>
      <c r="Q14" s="111">
        <v>4.0443152516696022E-2</v>
      </c>
      <c r="R14" s="110">
        <v>1525</v>
      </c>
      <c r="S14" s="101">
        <v>771</v>
      </c>
      <c r="T14" s="101">
        <v>754</v>
      </c>
    </row>
    <row r="15" spans="2:21" x14ac:dyDescent="0.35">
      <c r="H15" s="105"/>
      <c r="Q15" s="111">
        <v>4.1866603829875206E-2</v>
      </c>
      <c r="R15" s="110">
        <v>1348</v>
      </c>
      <c r="S15" s="101">
        <v>678</v>
      </c>
      <c r="T15" s="101">
        <v>670</v>
      </c>
    </row>
    <row r="16" spans="2:21" x14ac:dyDescent="0.35">
      <c r="H16" s="105"/>
      <c r="Q16" s="111">
        <v>4.3290055143054389E-2</v>
      </c>
      <c r="R16" s="110">
        <v>1212</v>
      </c>
      <c r="S16" s="101">
        <v>581</v>
      </c>
      <c r="T16" s="101">
        <v>631</v>
      </c>
    </row>
    <row r="17" spans="8:20" x14ac:dyDescent="0.35">
      <c r="H17" s="105"/>
      <c r="Q17" s="111">
        <v>4.4713506456233572E-2</v>
      </c>
      <c r="R17" s="110">
        <v>1050</v>
      </c>
      <c r="S17" s="101">
        <v>521</v>
      </c>
      <c r="T17" s="101">
        <v>529</v>
      </c>
    </row>
    <row r="18" spans="8:20" x14ac:dyDescent="0.35">
      <c r="H18" s="105"/>
      <c r="Q18" s="111">
        <v>4.6136957769412755E-2</v>
      </c>
      <c r="R18" s="110">
        <v>827</v>
      </c>
      <c r="S18" s="101">
        <v>414</v>
      </c>
      <c r="T18" s="101">
        <v>413</v>
      </c>
    </row>
    <row r="19" spans="8:20" x14ac:dyDescent="0.35">
      <c r="H19" s="105"/>
      <c r="Q19" s="111">
        <v>4.7560409082591938E-2</v>
      </c>
      <c r="R19" s="110">
        <v>687</v>
      </c>
      <c r="S19" s="101">
        <v>320</v>
      </c>
      <c r="T19" s="101">
        <v>367</v>
      </c>
    </row>
    <row r="20" spans="8:20" x14ac:dyDescent="0.35">
      <c r="H20" s="105"/>
      <c r="Q20" s="111">
        <v>4.8983860395771121E-2</v>
      </c>
      <c r="R20" s="110">
        <v>482</v>
      </c>
      <c r="S20" s="101">
        <v>262</v>
      </c>
      <c r="T20" s="101">
        <v>220</v>
      </c>
    </row>
    <row r="21" spans="8:20" x14ac:dyDescent="0.35">
      <c r="H21" s="105"/>
      <c r="Q21" s="111">
        <v>5.0407311708950304E-2</v>
      </c>
      <c r="R21" s="110">
        <v>373</v>
      </c>
      <c r="S21" s="101">
        <v>190</v>
      </c>
      <c r="T21" s="101">
        <v>183</v>
      </c>
    </row>
    <row r="22" spans="8:20" x14ac:dyDescent="0.35">
      <c r="H22" s="105"/>
      <c r="Q22" s="111">
        <v>5.1830763022129488E-2</v>
      </c>
      <c r="R22" s="110">
        <v>312</v>
      </c>
      <c r="S22" s="101">
        <v>159</v>
      </c>
      <c r="T22" s="101">
        <v>153</v>
      </c>
    </row>
    <row r="23" spans="8:20" x14ac:dyDescent="0.35">
      <c r="H23" s="105"/>
      <c r="Q23" s="111">
        <v>5.3254214335308671E-2</v>
      </c>
      <c r="R23" s="110">
        <v>278</v>
      </c>
      <c r="S23" s="101">
        <v>135</v>
      </c>
      <c r="T23" s="101">
        <v>143</v>
      </c>
    </row>
    <row r="24" spans="8:20" x14ac:dyDescent="0.35">
      <c r="H24" s="105"/>
      <c r="Q24" s="111">
        <v>5.4677665648487854E-2</v>
      </c>
      <c r="R24" s="110">
        <v>183</v>
      </c>
      <c r="S24" s="101">
        <v>89</v>
      </c>
      <c r="T24" s="101">
        <v>94</v>
      </c>
    </row>
    <row r="25" spans="8:20" x14ac:dyDescent="0.35">
      <c r="H25" s="105"/>
      <c r="Q25" s="111">
        <v>5.6101116961667037E-2</v>
      </c>
      <c r="R25" s="110">
        <v>127</v>
      </c>
      <c r="S25" s="101">
        <v>75</v>
      </c>
      <c r="T25" s="101">
        <v>52</v>
      </c>
    </row>
    <row r="26" spans="8:20" x14ac:dyDescent="0.35">
      <c r="H26" s="105"/>
      <c r="Q26" s="111">
        <v>5.752456827484622E-2</v>
      </c>
      <c r="R26" s="110">
        <v>84</v>
      </c>
      <c r="S26" s="101">
        <v>43</v>
      </c>
      <c r="T26" s="101">
        <v>41</v>
      </c>
    </row>
    <row r="27" spans="8:20" x14ac:dyDescent="0.35">
      <c r="H27" s="105"/>
      <c r="Q27" s="111">
        <v>5.8948019588025403E-2</v>
      </c>
      <c r="R27" s="110">
        <v>38</v>
      </c>
      <c r="S27" s="101">
        <v>19</v>
      </c>
      <c r="T27" s="101">
        <v>19</v>
      </c>
    </row>
    <row r="28" spans="8:20" x14ac:dyDescent="0.35">
      <c r="H28" s="105"/>
      <c r="Q28" s="111">
        <v>6.0371470901204587E-2</v>
      </c>
      <c r="R28" s="110">
        <v>15</v>
      </c>
      <c r="S28" s="101">
        <v>9</v>
      </c>
      <c r="T28" s="101">
        <v>6</v>
      </c>
    </row>
    <row r="29" spans="8:20" x14ac:dyDescent="0.35">
      <c r="H29" s="105"/>
      <c r="Q29" s="111">
        <v>6.179492221438377E-2</v>
      </c>
      <c r="R29" s="110">
        <v>8</v>
      </c>
      <c r="S29" s="101">
        <v>1</v>
      </c>
      <c r="T29" s="101">
        <v>7</v>
      </c>
    </row>
    <row r="30" spans="8:20" x14ac:dyDescent="0.35">
      <c r="H30" s="105"/>
      <c r="Q30" s="111">
        <v>6.321837352756296E-2</v>
      </c>
      <c r="R30" s="110">
        <v>3</v>
      </c>
      <c r="S30" s="101">
        <v>2</v>
      </c>
      <c r="T30" s="101">
        <v>1</v>
      </c>
    </row>
    <row r="31" spans="8:20" x14ac:dyDescent="0.35">
      <c r="H31" s="105"/>
      <c r="Q31" s="111">
        <v>6.4641824840742143E-2</v>
      </c>
      <c r="R31" s="110">
        <v>1</v>
      </c>
      <c r="S31" s="101">
        <v>1</v>
      </c>
      <c r="T31" s="101">
        <v>0</v>
      </c>
    </row>
    <row r="32" spans="8:20" x14ac:dyDescent="0.35">
      <c r="H32" s="105"/>
      <c r="Q32" s="111">
        <v>6.6065276153921326E-2</v>
      </c>
      <c r="R32" s="110">
        <v>0</v>
      </c>
      <c r="S32" s="101">
        <v>0</v>
      </c>
      <c r="T32" s="101">
        <v>0</v>
      </c>
    </row>
    <row r="33" spans="8:20" x14ac:dyDescent="0.35">
      <c r="H33" s="105"/>
      <c r="Q33" s="111">
        <v>6.7488727467100509E-2</v>
      </c>
      <c r="R33" s="110">
        <v>0</v>
      </c>
      <c r="S33" s="101">
        <v>0</v>
      </c>
      <c r="T33" s="101">
        <v>0</v>
      </c>
    </row>
    <row r="34" spans="8:20" x14ac:dyDescent="0.35">
      <c r="H34" s="105"/>
      <c r="Q34" s="111">
        <v>6.8912178780279693E-2</v>
      </c>
      <c r="R34" s="110">
        <v>0</v>
      </c>
      <c r="S34" s="101">
        <v>0</v>
      </c>
      <c r="T34" s="101">
        <v>0</v>
      </c>
    </row>
    <row r="35" spans="8:20" x14ac:dyDescent="0.35">
      <c r="H35" s="105"/>
      <c r="R35" s="109"/>
    </row>
    <row r="36" spans="8:20" x14ac:dyDescent="0.35">
      <c r="H36" s="105"/>
    </row>
    <row r="37" spans="8:20" x14ac:dyDescent="0.35">
      <c r="H37" s="105"/>
    </row>
    <row r="38" spans="8:20" x14ac:dyDescent="0.35">
      <c r="H38" s="105"/>
    </row>
    <row r="39" spans="8:20" x14ac:dyDescent="0.35">
      <c r="H39" s="105"/>
    </row>
    <row r="40" spans="8:20" x14ac:dyDescent="0.35">
      <c r="H40" s="105"/>
    </row>
    <row r="41" spans="8:20" x14ac:dyDescent="0.35">
      <c r="H41" s="105"/>
    </row>
    <row r="42" spans="8:20" x14ac:dyDescent="0.35">
      <c r="H42" s="105"/>
    </row>
    <row r="43" spans="8:20" x14ac:dyDescent="0.35">
      <c r="H43" s="105"/>
    </row>
    <row r="44" spans="8:20" x14ac:dyDescent="0.35">
      <c r="H44" s="105"/>
    </row>
    <row r="45" spans="8:20" x14ac:dyDescent="0.35">
      <c r="H45" s="105"/>
    </row>
    <row r="46" spans="8:20" x14ac:dyDescent="0.35">
      <c r="H46" s="105"/>
    </row>
    <row r="47" spans="8:20" x14ac:dyDescent="0.35">
      <c r="H47" s="105"/>
    </row>
    <row r="48" spans="8:20" x14ac:dyDescent="0.35">
      <c r="H48" s="105"/>
    </row>
    <row r="49" spans="8:8" x14ac:dyDescent="0.35">
      <c r="H49" s="105"/>
    </row>
    <row r="50" spans="8:8" x14ac:dyDescent="0.35">
      <c r="H50" s="105"/>
    </row>
    <row r="51" spans="8:8" x14ac:dyDescent="0.35">
      <c r="H51" s="105"/>
    </row>
    <row r="52" spans="8:8" x14ac:dyDescent="0.35">
      <c r="H52" s="105"/>
    </row>
    <row r="53" spans="8:8" x14ac:dyDescent="0.35">
      <c r="H53" s="105"/>
    </row>
    <row r="54" spans="8:8" x14ac:dyDescent="0.35">
      <c r="H54" s="105"/>
    </row>
    <row r="55" spans="8:8" x14ac:dyDescent="0.35">
      <c r="H55" s="105"/>
    </row>
    <row r="56" spans="8:8" x14ac:dyDescent="0.35">
      <c r="H56" s="105"/>
    </row>
    <row r="57" spans="8:8" x14ac:dyDescent="0.35">
      <c r="H57" s="105"/>
    </row>
  </sheetData>
  <pageMargins left="0.7" right="0.7" top="0.75" bottom="0.75" header="0.3" footer="0.3"/>
  <pageSetup orientation="portrait" r:id="rId1"/>
  <headerFooter>
    <oddFooter>&amp;L&amp;1#&amp;"Calibri"&amp;14&amp;K000000Business Use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4939-8503-4B3A-8691-42AFDC2C0407}">
  <dimension ref="A1:W15"/>
  <sheetViews>
    <sheetView workbookViewId="0">
      <selection activeCell="O14" sqref="O14"/>
    </sheetView>
  </sheetViews>
  <sheetFormatPr defaultRowHeight="14.5" x14ac:dyDescent="0.35"/>
  <cols>
    <col min="2" max="2" width="8.6328125" bestFit="1" customWidth="1"/>
    <col min="3" max="3" width="70.90625" bestFit="1" customWidth="1"/>
    <col min="4" max="4" width="27.36328125" bestFit="1" customWidth="1"/>
    <col min="5" max="5" width="15" bestFit="1" customWidth="1"/>
  </cols>
  <sheetData>
    <row r="1" spans="1:23" x14ac:dyDescent="0.35">
      <c r="A1" s="191"/>
      <c r="B1" s="191"/>
      <c r="C1" s="191" t="s">
        <v>198</v>
      </c>
      <c r="D1" s="191" t="s">
        <v>199</v>
      </c>
      <c r="E1" s="191" t="s">
        <v>200</v>
      </c>
      <c r="G1">
        <v>2024</v>
      </c>
      <c r="H1" s="191">
        <v>2025</v>
      </c>
      <c r="I1" s="191">
        <v>2026</v>
      </c>
      <c r="J1" s="191">
        <v>2027</v>
      </c>
      <c r="K1" s="191">
        <v>2028</v>
      </c>
      <c r="L1" s="191">
        <v>2029</v>
      </c>
      <c r="M1" s="191">
        <v>2030</v>
      </c>
      <c r="N1" s="191">
        <v>2031</v>
      </c>
      <c r="O1" s="191">
        <v>2032</v>
      </c>
      <c r="P1" s="191">
        <v>2033</v>
      </c>
      <c r="Q1" s="191">
        <v>2034</v>
      </c>
      <c r="R1" s="191">
        <v>2035</v>
      </c>
      <c r="S1" s="191">
        <v>2036</v>
      </c>
      <c r="T1" s="191">
        <v>2037</v>
      </c>
      <c r="U1" s="191">
        <v>2038</v>
      </c>
      <c r="V1" s="213">
        <v>2039</v>
      </c>
      <c r="W1" s="213">
        <v>2040</v>
      </c>
    </row>
    <row r="2" spans="1:23" x14ac:dyDescent="0.35">
      <c r="A2" s="191"/>
      <c r="B2" s="7">
        <v>45292</v>
      </c>
      <c r="C2" s="194">
        <v>280.44</v>
      </c>
      <c r="D2" s="9">
        <v>6481</v>
      </c>
      <c r="E2" s="195">
        <f>C2*D2*12</f>
        <v>21810379.68</v>
      </c>
      <c r="G2" s="196">
        <f>-E2/1000000</f>
        <v>-21.81037968</v>
      </c>
      <c r="H2" s="196">
        <f>-E3/1000000</f>
        <v>-21.341414520000004</v>
      </c>
      <c r="I2" s="196">
        <f>-E4/1000000</f>
        <v>-20.872449360000001</v>
      </c>
      <c r="J2" s="196">
        <f>-E5/1000000</f>
        <v>-20.403484200000005</v>
      </c>
      <c r="K2" s="196">
        <f>-E6/1000000</f>
        <v>-19.934519039999998</v>
      </c>
      <c r="L2" s="196">
        <f>-E7/1000000</f>
        <v>-19.465553879999998</v>
      </c>
      <c r="M2" s="196">
        <f>-E8/1000000</f>
        <v>-18.996588719999998</v>
      </c>
      <c r="N2" s="196">
        <f>-E9/1000000</f>
        <v>-18.527623559999999</v>
      </c>
      <c r="O2" s="196">
        <f>-E10/1000000</f>
        <v>-18.527623559999999</v>
      </c>
      <c r="P2" s="196">
        <f>-E11/1000000</f>
        <v>-18.527623559999999</v>
      </c>
      <c r="Q2" s="196">
        <f>-E12/1000000</f>
        <v>-18.527623559999999</v>
      </c>
      <c r="R2" s="196">
        <f>Q2</f>
        <v>-18.527623559999999</v>
      </c>
      <c r="S2" s="196">
        <f>R2</f>
        <v>-18.527623559999999</v>
      </c>
      <c r="T2" s="196">
        <f>S2</f>
        <v>-18.527623559999999</v>
      </c>
      <c r="U2" s="196">
        <f>T2</f>
        <v>-18.527623559999999</v>
      </c>
      <c r="V2" s="196">
        <f t="shared" ref="V2:W2" si="0">U2</f>
        <v>-18.527623559999999</v>
      </c>
      <c r="W2" s="196">
        <f t="shared" si="0"/>
        <v>-18.527623559999999</v>
      </c>
    </row>
    <row r="3" spans="1:23" x14ac:dyDescent="0.35">
      <c r="A3" s="191"/>
      <c r="B3" s="7">
        <v>45658</v>
      </c>
      <c r="C3" s="194">
        <v>274.41000000000003</v>
      </c>
      <c r="D3" s="9">
        <v>6481</v>
      </c>
      <c r="E3" s="195">
        <f t="shared" ref="E3:E12" si="1">C3*D3*12</f>
        <v>21341414.520000003</v>
      </c>
    </row>
    <row r="4" spans="1:23" x14ac:dyDescent="0.35">
      <c r="A4" s="191"/>
      <c r="B4" s="7">
        <v>46023</v>
      </c>
      <c r="C4" s="194">
        <v>268.38</v>
      </c>
      <c r="D4" s="9">
        <v>6481</v>
      </c>
      <c r="E4" s="195">
        <f t="shared" si="1"/>
        <v>20872449.359999999</v>
      </c>
    </row>
    <row r="5" spans="1:23" x14ac:dyDescent="0.35">
      <c r="A5" s="191"/>
      <c r="B5" s="7">
        <v>46388</v>
      </c>
      <c r="C5" s="194">
        <v>262.35000000000002</v>
      </c>
      <c r="D5" s="9">
        <v>6481</v>
      </c>
      <c r="E5" s="195">
        <f t="shared" si="1"/>
        <v>20403484.200000003</v>
      </c>
    </row>
    <row r="6" spans="1:23" x14ac:dyDescent="0.35">
      <c r="A6" s="191"/>
      <c r="B6" s="7">
        <v>46753</v>
      </c>
      <c r="C6" s="194">
        <v>256.32</v>
      </c>
      <c r="D6" s="9">
        <v>6481</v>
      </c>
      <c r="E6" s="195">
        <f t="shared" si="1"/>
        <v>19934519.039999999</v>
      </c>
    </row>
    <row r="7" spans="1:23" x14ac:dyDescent="0.35">
      <c r="A7" s="191"/>
      <c r="B7" s="7">
        <v>47119</v>
      </c>
      <c r="C7" s="194">
        <v>250.29</v>
      </c>
      <c r="D7" s="9">
        <v>6481</v>
      </c>
      <c r="E7" s="195">
        <f t="shared" si="1"/>
        <v>19465553.879999999</v>
      </c>
    </row>
    <row r="8" spans="1:23" x14ac:dyDescent="0.35">
      <c r="A8" s="191"/>
      <c r="B8" s="7">
        <v>47484</v>
      </c>
      <c r="C8" s="194">
        <v>244.26</v>
      </c>
      <c r="D8" s="9">
        <v>6481</v>
      </c>
      <c r="E8" s="195">
        <f t="shared" si="1"/>
        <v>18996588.719999999</v>
      </c>
    </row>
    <row r="9" spans="1:23" x14ac:dyDescent="0.35">
      <c r="A9" s="191"/>
      <c r="B9" s="7">
        <v>47849</v>
      </c>
      <c r="C9" s="194">
        <v>238.23</v>
      </c>
      <c r="D9" s="9">
        <v>6481</v>
      </c>
      <c r="E9" s="195">
        <f t="shared" si="1"/>
        <v>18527623.559999999</v>
      </c>
    </row>
    <row r="10" spans="1:23" x14ac:dyDescent="0.35">
      <c r="A10" s="191"/>
      <c r="B10" s="7">
        <v>48214</v>
      </c>
      <c r="C10" s="194">
        <v>238.23</v>
      </c>
      <c r="D10" s="9">
        <v>6481</v>
      </c>
      <c r="E10" s="195">
        <f t="shared" si="1"/>
        <v>18527623.559999999</v>
      </c>
    </row>
    <row r="11" spans="1:23" x14ac:dyDescent="0.35">
      <c r="A11" s="191"/>
      <c r="B11" s="7">
        <v>48580</v>
      </c>
      <c r="C11" s="194">
        <v>238.23</v>
      </c>
      <c r="D11" s="9">
        <v>6481</v>
      </c>
      <c r="E11" s="195">
        <f t="shared" si="1"/>
        <v>18527623.559999999</v>
      </c>
    </row>
    <row r="12" spans="1:23" x14ac:dyDescent="0.35">
      <c r="A12" s="191"/>
      <c r="B12" s="7">
        <v>48945</v>
      </c>
      <c r="C12" s="194">
        <v>238.23</v>
      </c>
      <c r="D12" s="9">
        <v>6481</v>
      </c>
      <c r="E12" s="195">
        <f t="shared" si="1"/>
        <v>18527623.559999999</v>
      </c>
    </row>
    <row r="13" spans="1:23" x14ac:dyDescent="0.35">
      <c r="A13" s="191"/>
      <c r="B13" s="191"/>
      <c r="C13" s="191" t="s">
        <v>201</v>
      </c>
      <c r="D13" s="191"/>
      <c r="E13" s="191"/>
    </row>
    <row r="14" spans="1:23" x14ac:dyDescent="0.35">
      <c r="A14" s="191"/>
      <c r="B14" s="191"/>
      <c r="C14" s="191"/>
      <c r="D14" s="191"/>
      <c r="E14" s="191"/>
    </row>
    <row r="15" spans="1:23" x14ac:dyDescent="0.35">
      <c r="A15" s="191"/>
      <c r="B15" s="191"/>
      <c r="C15" s="191" t="s">
        <v>202</v>
      </c>
      <c r="D15" s="191" t="s">
        <v>203</v>
      </c>
      <c r="E15" s="191"/>
    </row>
  </sheetData>
  <pageMargins left="0.7" right="0.7" top="0.75" bottom="0.75" header="0.3" footer="0.3"/>
  <pageSetup orientation="portrait" r:id="rId1"/>
  <headerFooter>
    <oddFooter>&amp;L&amp;1#&amp;"Calibri"&amp;14&amp;K000000Business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Sinclair, David</Witness_x0020_Testimony>
    <Year xmlns="65bfb563-8fe2-4d34-a09f-38a217d8feea">2022</Year>
    <Review_x0020_Case_x0020_Doc_x0020_Types xmlns="65bfb563-8fe2-4d34-a09f-38a217d8feea">2nd Data Request</Review_x0020_Case_x0020_Doc_x0020_Types>
    <Case_x0020__x0023_ xmlns="f789fa03-9022-4931-acb2-79f11ac92edf" xsi:nil="true"/>
    <Data_x0020_Request_x0020_Party xmlns="f789fa03-9022-4931-acb2-79f11ac92edf">Sierra Club-SC</Data_x0020_Request_x0020_Party>
    <Status_x0020__x0028_Internal_x0020_Use_x0020_Only_x0029_ xmlns="2ad705b9-adad-42ba-803b-2580de5ca47a"/>
    <Company xmlns="65bfb563-8fe2-4d34-a09f-38a217d8feea">
      <Value>LGE/KU</Value>
    </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9E08D0A401274E8CF9B547F14148CC" ma:contentTypeVersion="22" ma:contentTypeDescription="Create a new document." ma:contentTypeScope="" ma:versionID="36fa401a959b520bff3cdd3c5e527519">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148a0808ed01ed0a794e9bf932df4d12"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LGE/KU"/>
                  </xsd:restriction>
                </xsd:simpleType>
              </xsd:element>
            </xsd:sequence>
          </xsd:extension>
        </xsd:complexContent>
      </xsd:complexType>
    </xsd:element>
    <xsd:element name="Year" ma:index="3" ma:displayName="Year" ma:default="2022" ma:format="Dropdown" ma:internalName="Year">
      <xsd:simpleType>
        <xsd:restriction base="dms:Choice">
          <xsd:enumeration value="2022"/>
        </xsd:restriction>
      </xsd:simpleType>
    </xsd:element>
    <xsd:element name="Review_x0020_Case_x0020_Doc_x0020_Types" ma:index="4" ma:displayName="Document Types" ma:format="Dropdown" ma:internalName="Review_x0020_Case_x0020_Doc_x0020_Types">
      <xsd:simpleType>
        <xsd:restriction base="dms:Choice">
          <xsd:enumeration value="Timeline"/>
          <xsd:enumeration value="DSM Analysis"/>
          <xsd:enumeration value="Supply Side Analysis"/>
          <xsd:enumeration value="RTO Analysis"/>
          <xsd:enumeration value="Application"/>
          <xsd:enumeration value="Confidential Exhibits"/>
          <xsd:enumeration value="Direct Testimony"/>
          <xsd:enumeration value="Direct Testimony Exhibits"/>
          <xsd:enumeration value="Rebuttal Testimony"/>
          <xsd:enumeration value="1st Data Request"/>
          <xsd:enumeration value="2nd Data Request"/>
          <xsd:enumeration value="3rd Data Request"/>
          <xsd:enumeration value="4th Data Request"/>
          <xsd:enumeration value="Post-Hearing Data Request"/>
          <xsd:enumeration value="Intervenor Testimony"/>
          <xsd:enumeration value="Intervenor Data Requests"/>
          <xsd:enumeration value="Post-Hearing Briefs"/>
          <xsd:enumeration value="Witness Prep"/>
          <xsd:enumeration value="eFiled/Filed Documents"/>
        </xsd:restriction>
      </xsd:simpleType>
    </xsd:element>
    <xsd:element name="Witness_x0020_Testimony" ma:index="5" nillable="true" ma:displayName="Witness" ma:format="Dropdown" ma:internalName="Witness_x0020_Testimony">
      <xsd:simpleType>
        <xsd:restriction base="dms:Choice">
          <xsd:enumeration value="Bellar, Lonnie"/>
          <xsd:enumeration value="Bevington, John"/>
          <xsd:enumeration value="Conroy, Robert"/>
          <xsd:enumeration value="Crockett, John"/>
          <xsd:enumeration value="Garrett, Chris"/>
          <xsd:enumeration value="Imber, Philip"/>
          <xsd:enumeration value="Isaacson, Lana"/>
          <xsd:enumeration value="Jones, Tim"/>
          <xsd:enumeration value="Schram, Chuck"/>
          <xsd:enumeration value="Sinclair, David"/>
          <xsd:enumeration value="Wilson, Stuart"/>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Intervenor" ma:format="Dropdown" ma:internalName="Data_x0020_Request_x0020_Party">
      <xsd:simpleType>
        <xsd:restriction base="dms:Choice">
          <xsd:enumeration value="Ky. Public Service Commission-KPSC"/>
          <xsd:enumeration value="Attorney General-AG"/>
          <xsd:enumeration value="Joint Intervenors - Mountain Association, Metropolitan Housing Coalition, Kentuckians for the Commonwealth, and Kentucky Solar Energy Society – MA/MHC/KFTC/KYSES"/>
          <xsd:enumeration value="Ky. Industrial Utility Cust.-KIUC"/>
          <xsd:enumeration value="Kentucky Coal Association-KCA"/>
          <xsd:enumeration value="Lexington-Fayette Urban County Government-LFUCG"/>
          <xsd:enumeration value="Louisville/Jefferson County Metro Government-Louisville Metro"/>
          <xsd:enumeration value="Mercer County Fiscal Court-Mercer Fiscal Court"/>
          <xsd:enumeration value="Sierra Club-SC"/>
          <xsd:enumeration value="Walmart"/>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587B8D-E5F1-4A58-BB2D-1C4E2A2D343A}">
  <ds:schemaRefs>
    <ds:schemaRef ds:uri="http://schemas.microsoft.com/sharepoint/v3"/>
    <ds:schemaRef ds:uri="26a95c10-65e4-49e8-ae04-b6a5d4678b67"/>
    <ds:schemaRef ds:uri="http://purl.org/dc/terms/"/>
    <ds:schemaRef ds:uri="http://schemas.microsoft.com/office/2006/metadata/propertie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037A849-2956-4123-9F21-B1EB03603A25}">
  <ds:schemaRefs>
    <ds:schemaRef ds:uri="http://schemas.microsoft.com/sharepoint/v3/contenttype/forms"/>
  </ds:schemaRefs>
</ds:datastoreItem>
</file>

<file path=customXml/itemProps3.xml><?xml version="1.0" encoding="utf-8"?>
<ds:datastoreItem xmlns:ds="http://schemas.openxmlformats.org/officeDocument/2006/customXml" ds:itemID="{1CFEAE53-C31A-41F0-9054-74EE2F97DB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PJM Summary (Rolled Up)</vt:lpstr>
      <vt:lpstr>PJM Details</vt:lpstr>
      <vt:lpstr>GenNetMeters</vt:lpstr>
      <vt:lpstr>Spinning Calculation</vt:lpstr>
      <vt:lpstr>20-21 PJM Load Ratio Analysis</vt:lpstr>
      <vt:lpstr>PJM TCIC Calc</vt:lpstr>
      <vt:lpstr>Chart1</vt:lpstr>
      <vt:lpstr>PJM Chart</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Daryn Barker</dc:creator>
  <cp:lastModifiedBy>Sebourn, Michael</cp:lastModifiedBy>
  <cp:lastPrinted>2017-11-07T13:17:45Z</cp:lastPrinted>
  <dcterms:created xsi:type="dcterms:W3CDTF">2012-06-05T12:27:17Z</dcterms:created>
  <dcterms:modified xsi:type="dcterms:W3CDTF">2023-05-03T15:08:44Z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0x010100AB9E08D0A401274E8CF9B547F14148CC</vt:lpwstr>
  </property>
  <property fmtid="{D5CDD505-2E9C-101B-9397-08002B2CF9AE}" pid="3" name="{A44787D4-0540-4523-9961-78E4036D8C6D}">
    <vt:lpwstr>{A2BD191B-8DC3-4817-8214-CB7B93483E9E}</vt:lpwstr>
  </property>
  <property fmtid="{D5CDD505-2E9C-101B-9397-08002B2CF9AE}" pid="4" name="MSIP_Label_0adee1c6-0c13-46fe-9f7d-d5b32ad2c571_Enabled">
    <vt:lpwstr>true</vt:lpwstr>
  </property>
  <property fmtid="{D5CDD505-2E9C-101B-9397-08002B2CF9AE}" pid="5" name="MSIP_Label_0adee1c6-0c13-46fe-9f7d-d5b32ad2c571_SetDate">
    <vt:lpwstr>2023-03-07T21:23:08Z</vt:lpwstr>
  </property>
  <property fmtid="{D5CDD505-2E9C-101B-9397-08002B2CF9AE}" pid="6" name="MSIP_Label_0adee1c6-0c13-46fe-9f7d-d5b32ad2c571_Method">
    <vt:lpwstr>Privileged</vt:lpwstr>
  </property>
  <property fmtid="{D5CDD505-2E9C-101B-9397-08002B2CF9AE}" pid="7" name="MSIP_Label_0adee1c6-0c13-46fe-9f7d-d5b32ad2c571_Name">
    <vt:lpwstr>0adee1c6-0c13-46fe-9f7d-d5b32ad2c571</vt:lpwstr>
  </property>
  <property fmtid="{D5CDD505-2E9C-101B-9397-08002B2CF9AE}" pid="8" name="MSIP_Label_0adee1c6-0c13-46fe-9f7d-d5b32ad2c571_SiteId">
    <vt:lpwstr>5ee3b0ba-a559-45ee-a69e-6d3e963a3e72</vt:lpwstr>
  </property>
  <property fmtid="{D5CDD505-2E9C-101B-9397-08002B2CF9AE}" pid="9" name="MSIP_Label_0adee1c6-0c13-46fe-9f7d-d5b32ad2c571_ActionId">
    <vt:lpwstr>cf970594-db81-4306-a873-0f973b4d3655</vt:lpwstr>
  </property>
  <property fmtid="{D5CDD505-2E9C-101B-9397-08002B2CF9AE}" pid="10" name="MSIP_Label_0adee1c6-0c13-46fe-9f7d-d5b32ad2c571_ContentBits">
    <vt:lpwstr>2</vt:lpwstr>
  </property>
</Properties>
</file>