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ulatory\CCN\2022_MC5_BR12_Solar_Batt\03_DataRequests\DR02\SC\SC 17-28 RTO\SC2-26 RRProfiles, Expansion error\26b Corrected RTO Study and Workpapers\"/>
    </mc:Choice>
  </mc:AlternateContent>
  <xr:revisionPtr revIDLastSave="0" documentId="13_ncr:1_{23FD5191-07EF-4AD1-B9C6-E71D5E8DB094}" xr6:coauthVersionLast="47" xr6:coauthVersionMax="47" xr10:uidLastSave="{00000000-0000-0000-0000-000000000000}"/>
  <bookViews>
    <workbookView xWindow="-110" yWindow="-110" windowWidth="38620" windowHeight="21200" xr2:uid="{B132727C-79F9-405F-8F40-03932F3C4B51}"/>
  </bookViews>
  <sheets>
    <sheet name="Summary" sheetId="15" r:id="rId1"/>
    <sheet name="C1-SA" sheetId="6" r:id="rId2"/>
    <sheet name="C1-RTO" sheetId="4" r:id="rId3"/>
    <sheet name="C2-SA" sheetId="9" r:id="rId4"/>
    <sheet name="C2-RTO" sheetId="7" r:id="rId5"/>
    <sheet name="C3-SA" sheetId="11" r:id="rId6"/>
    <sheet name="C3-RTO" sheetId="10" r:id="rId7"/>
    <sheet name="C4-SA" sheetId="13" r:id="rId8"/>
    <sheet name="C4-RTO" sheetId="12" r:id="rId9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15" l="1"/>
  <c r="AL5" i="15" s="1"/>
  <c r="AG5" i="15" l="1"/>
  <c r="U21" i="15"/>
  <c r="V21" i="15"/>
  <c r="T21" i="15"/>
  <c r="M12" i="15" l="1"/>
  <c r="N15" i="15"/>
  <c r="O17" i="15"/>
  <c r="AB6" i="15"/>
  <c r="AC6" i="15"/>
  <c r="AD6" i="15"/>
  <c r="AB7" i="15"/>
  <c r="AC7" i="15"/>
  <c r="AD7" i="15"/>
  <c r="AB8" i="15"/>
  <c r="AC8" i="15"/>
  <c r="AD8" i="15"/>
  <c r="AB9" i="15"/>
  <c r="AC9" i="15"/>
  <c r="AD9" i="15"/>
  <c r="AB10" i="15"/>
  <c r="AC10" i="15"/>
  <c r="AD10" i="15"/>
  <c r="AB11" i="15"/>
  <c r="AC11" i="15"/>
  <c r="AD11" i="15"/>
  <c r="AB12" i="15"/>
  <c r="AC12" i="15"/>
  <c r="AD12" i="15"/>
  <c r="AB13" i="15"/>
  <c r="AC13" i="15"/>
  <c r="AD13" i="15"/>
  <c r="AB14" i="15"/>
  <c r="AC14" i="15"/>
  <c r="AD14" i="15"/>
  <c r="AB15" i="15"/>
  <c r="AC15" i="15"/>
  <c r="AD15" i="15"/>
  <c r="AB16" i="15"/>
  <c r="AC16" i="15"/>
  <c r="AD16" i="15"/>
  <c r="AB17" i="15"/>
  <c r="AC17" i="15"/>
  <c r="AD17" i="15"/>
  <c r="AB18" i="15"/>
  <c r="AC18" i="15"/>
  <c r="AD18" i="15"/>
  <c r="AB19" i="15"/>
  <c r="AC19" i="15"/>
  <c r="AD19" i="15"/>
  <c r="AB20" i="15"/>
  <c r="AC20" i="15"/>
  <c r="AD20" i="15"/>
  <c r="AC5" i="15"/>
  <c r="AD5" i="15"/>
  <c r="AM18" i="15" l="1"/>
  <c r="AH18" i="15"/>
  <c r="AM16" i="15"/>
  <c r="AH16" i="15"/>
  <c r="AM14" i="15"/>
  <c r="AH14" i="15"/>
  <c r="AM12" i="15"/>
  <c r="AH12" i="15"/>
  <c r="AH10" i="15"/>
  <c r="AM10" i="15"/>
  <c r="AH8" i="15"/>
  <c r="AM8" i="15"/>
  <c r="AH6" i="15"/>
  <c r="AM6" i="15"/>
  <c r="AL6" i="15"/>
  <c r="AB21" i="15"/>
  <c r="AB23" i="15" s="1"/>
  <c r="AG6" i="15"/>
  <c r="AL10" i="15"/>
  <c r="AG10" i="15"/>
  <c r="AN13" i="15"/>
  <c r="AI13" i="15"/>
  <c r="AI7" i="15"/>
  <c r="AN7" i="15"/>
  <c r="AM20" i="15"/>
  <c r="AH20" i="15"/>
  <c r="AL14" i="15"/>
  <c r="AG14" i="15"/>
  <c r="AN19" i="15"/>
  <c r="AI19" i="15"/>
  <c r="AN15" i="15"/>
  <c r="AI15" i="15"/>
  <c r="AM19" i="15"/>
  <c r="AH19" i="15"/>
  <c r="AM13" i="15"/>
  <c r="AH13" i="15"/>
  <c r="AM11" i="15"/>
  <c r="AH11" i="15"/>
  <c r="AM9" i="15"/>
  <c r="AH9" i="15"/>
  <c r="AM7" i="15"/>
  <c r="AH7" i="15"/>
  <c r="AL16" i="15"/>
  <c r="AG16" i="15"/>
  <c r="AN11" i="15"/>
  <c r="AI11" i="15"/>
  <c r="AC21" i="15"/>
  <c r="AC23" i="15" s="1"/>
  <c r="AM5" i="15"/>
  <c r="AH5" i="15"/>
  <c r="AG15" i="15"/>
  <c r="AL15" i="15"/>
  <c r="AG13" i="15"/>
  <c r="AL13" i="15"/>
  <c r="AL11" i="15"/>
  <c r="AG11" i="15"/>
  <c r="AG9" i="15"/>
  <c r="AL9" i="15"/>
  <c r="AG7" i="15"/>
  <c r="AL7" i="15"/>
  <c r="AL20" i="15"/>
  <c r="AG20" i="15"/>
  <c r="AL12" i="15"/>
  <c r="AG12" i="15"/>
  <c r="AI9" i="15"/>
  <c r="AN9" i="15"/>
  <c r="AM17" i="15"/>
  <c r="AH17" i="15"/>
  <c r="AL19" i="15"/>
  <c r="AG19" i="15"/>
  <c r="AL18" i="15"/>
  <c r="AG18" i="15"/>
  <c r="AL8" i="15"/>
  <c r="AG8" i="15"/>
  <c r="AN17" i="15"/>
  <c r="AI17" i="15"/>
  <c r="AN5" i="15"/>
  <c r="AI5" i="15"/>
  <c r="AD21" i="15"/>
  <c r="AD23" i="15" s="1"/>
  <c r="AM15" i="15"/>
  <c r="AH15" i="15"/>
  <c r="AL17" i="15"/>
  <c r="AG17" i="15"/>
  <c r="AN20" i="15"/>
  <c r="AI20" i="15"/>
  <c r="AN18" i="15"/>
  <c r="AI18" i="15"/>
  <c r="AN16" i="15"/>
  <c r="AI16" i="15"/>
  <c r="AN14" i="15"/>
  <c r="AI14" i="15"/>
  <c r="AN12" i="15"/>
  <c r="AI12" i="15"/>
  <c r="AI10" i="15"/>
  <c r="AN10" i="15"/>
  <c r="AI8" i="15"/>
  <c r="AN8" i="15"/>
  <c r="AI6" i="15"/>
  <c r="AN6" i="15"/>
  <c r="L23" i="13"/>
  <c r="Q23" i="13" s="1"/>
  <c r="L22" i="13"/>
  <c r="O22" i="13" s="1"/>
  <c r="L21" i="13"/>
  <c r="Q21" i="13" s="1"/>
  <c r="L20" i="13"/>
  <c r="Q20" i="13" s="1"/>
  <c r="Q19" i="13"/>
  <c r="P19" i="13"/>
  <c r="L19" i="13"/>
  <c r="O19" i="13" s="1"/>
  <c r="R19" i="13" s="1"/>
  <c r="L18" i="13"/>
  <c r="Q18" i="13" s="1"/>
  <c r="L17" i="13"/>
  <c r="Q17" i="13" s="1"/>
  <c r="L16" i="13"/>
  <c r="O16" i="13" s="1"/>
  <c r="L15" i="13"/>
  <c r="Q15" i="13" s="1"/>
  <c r="P14" i="13"/>
  <c r="L14" i="13"/>
  <c r="O14" i="13" s="1"/>
  <c r="L13" i="13"/>
  <c r="Q13" i="13" s="1"/>
  <c r="Q12" i="13"/>
  <c r="P12" i="13"/>
  <c r="L12" i="13"/>
  <c r="O12" i="13" s="1"/>
  <c r="O11" i="13"/>
  <c r="L11" i="13"/>
  <c r="Q11" i="13" s="1"/>
  <c r="L10" i="13"/>
  <c r="Q10" i="13" s="1"/>
  <c r="Q9" i="13"/>
  <c r="P9" i="13"/>
  <c r="O9" i="13"/>
  <c r="L9" i="13"/>
  <c r="L8" i="13"/>
  <c r="Q8" i="13" s="1"/>
  <c r="L23" i="11"/>
  <c r="Q23" i="11" s="1"/>
  <c r="P22" i="11"/>
  <c r="O22" i="11"/>
  <c r="L22" i="11"/>
  <c r="Q22" i="11" s="1"/>
  <c r="P21" i="11"/>
  <c r="L21" i="11"/>
  <c r="Q21" i="11" s="1"/>
  <c r="L20" i="11"/>
  <c r="O20" i="11" s="1"/>
  <c r="O19" i="11"/>
  <c r="L19" i="11"/>
  <c r="Q19" i="11" s="1"/>
  <c r="O18" i="11"/>
  <c r="L18" i="11"/>
  <c r="Q18" i="11" s="1"/>
  <c r="O17" i="11"/>
  <c r="L17" i="11"/>
  <c r="Q17" i="11" s="1"/>
  <c r="L16" i="11"/>
  <c r="Q16" i="11" s="1"/>
  <c r="L15" i="11"/>
  <c r="Q15" i="11" s="1"/>
  <c r="P14" i="11"/>
  <c r="O14" i="11"/>
  <c r="L14" i="11"/>
  <c r="Q14" i="11" s="1"/>
  <c r="P13" i="11"/>
  <c r="L13" i="11"/>
  <c r="O13" i="11" s="1"/>
  <c r="Q12" i="11"/>
  <c r="L12" i="11"/>
  <c r="P12" i="11" s="1"/>
  <c r="O11" i="11"/>
  <c r="L11" i="11"/>
  <c r="Q11" i="11" s="1"/>
  <c r="L10" i="11"/>
  <c r="Q10" i="11" s="1"/>
  <c r="L9" i="11"/>
  <c r="Q9" i="11" s="1"/>
  <c r="L8" i="11"/>
  <c r="Q8" i="11" s="1"/>
  <c r="L23" i="9"/>
  <c r="Q23" i="9" s="1"/>
  <c r="P22" i="9"/>
  <c r="L22" i="9"/>
  <c r="O22" i="9" s="1"/>
  <c r="L21" i="9"/>
  <c r="Q21" i="9" s="1"/>
  <c r="O20" i="9"/>
  <c r="L20" i="9"/>
  <c r="Q20" i="9" s="1"/>
  <c r="L19" i="9"/>
  <c r="Q19" i="9" s="1"/>
  <c r="Q18" i="9"/>
  <c r="O18" i="9"/>
  <c r="L18" i="9"/>
  <c r="P18" i="9" s="1"/>
  <c r="Q17" i="9"/>
  <c r="L17" i="9"/>
  <c r="P17" i="9" s="1"/>
  <c r="L16" i="9"/>
  <c r="O16" i="9" s="1"/>
  <c r="P15" i="9"/>
  <c r="L15" i="9"/>
  <c r="O15" i="9" s="1"/>
  <c r="L14" i="9"/>
  <c r="O14" i="9" s="1"/>
  <c r="L13" i="9"/>
  <c r="Q13" i="9" s="1"/>
  <c r="L12" i="9"/>
  <c r="Q12" i="9" s="1"/>
  <c r="P11" i="9"/>
  <c r="L11" i="9"/>
  <c r="Q11" i="9" s="1"/>
  <c r="Q10" i="9"/>
  <c r="O10" i="9"/>
  <c r="L10" i="9"/>
  <c r="P10" i="9" s="1"/>
  <c r="O9" i="9"/>
  <c r="L9" i="9"/>
  <c r="P9" i="9" s="1"/>
  <c r="L8" i="9"/>
  <c r="O8" i="9" s="1"/>
  <c r="X23" i="12"/>
  <c r="P23" i="12"/>
  <c r="T23" i="12" s="1"/>
  <c r="X22" i="12"/>
  <c r="P22" i="12"/>
  <c r="S22" i="12" s="1"/>
  <c r="X21" i="12"/>
  <c r="P21" i="12"/>
  <c r="S21" i="12" s="1"/>
  <c r="X20" i="12"/>
  <c r="P20" i="12"/>
  <c r="T20" i="12" s="1"/>
  <c r="X19" i="12"/>
  <c r="T19" i="12"/>
  <c r="S19" i="12"/>
  <c r="U19" i="12" s="1"/>
  <c r="P19" i="12"/>
  <c r="X18" i="12"/>
  <c r="T18" i="12"/>
  <c r="P18" i="12"/>
  <c r="S18" i="12" s="1"/>
  <c r="U18" i="12" s="1"/>
  <c r="X17" i="12"/>
  <c r="T17" i="12"/>
  <c r="S17" i="12"/>
  <c r="P17" i="12"/>
  <c r="X16" i="12"/>
  <c r="P16" i="12"/>
  <c r="T16" i="12" s="1"/>
  <c r="X15" i="12"/>
  <c r="P15" i="12"/>
  <c r="S15" i="12" s="1"/>
  <c r="X14" i="12"/>
  <c r="P14" i="12"/>
  <c r="S14" i="12" s="1"/>
  <c r="X13" i="12"/>
  <c r="P13" i="12"/>
  <c r="S13" i="12" s="1"/>
  <c r="X12" i="12"/>
  <c r="P12" i="12"/>
  <c r="T12" i="12" s="1"/>
  <c r="X11" i="12"/>
  <c r="S11" i="12"/>
  <c r="P11" i="12"/>
  <c r="T11" i="12" s="1"/>
  <c r="X10" i="12"/>
  <c r="P10" i="12"/>
  <c r="S10" i="12" s="1"/>
  <c r="X9" i="12"/>
  <c r="P9" i="12"/>
  <c r="T9" i="12" s="1"/>
  <c r="X8" i="12"/>
  <c r="P8" i="12"/>
  <c r="T8" i="12" s="1"/>
  <c r="X23" i="10"/>
  <c r="S23" i="10"/>
  <c r="P23" i="10"/>
  <c r="T23" i="10" s="1"/>
  <c r="X22" i="10"/>
  <c r="P22" i="10"/>
  <c r="T22" i="10" s="1"/>
  <c r="X21" i="10"/>
  <c r="T21" i="10"/>
  <c r="P21" i="10"/>
  <c r="S21" i="10" s="1"/>
  <c r="X20" i="10"/>
  <c r="P20" i="10"/>
  <c r="T20" i="10" s="1"/>
  <c r="X19" i="10"/>
  <c r="S19" i="10"/>
  <c r="P19" i="10"/>
  <c r="T19" i="10" s="1"/>
  <c r="X18" i="10"/>
  <c r="P18" i="10"/>
  <c r="S18" i="10" s="1"/>
  <c r="X17" i="10"/>
  <c r="T17" i="10"/>
  <c r="S17" i="10"/>
  <c r="U17" i="10" s="1"/>
  <c r="P17" i="10"/>
  <c r="X16" i="10"/>
  <c r="P16" i="10"/>
  <c r="T16" i="10" s="1"/>
  <c r="X15" i="10"/>
  <c r="P15" i="10"/>
  <c r="T15" i="10" s="1"/>
  <c r="X14" i="10"/>
  <c r="P14" i="10"/>
  <c r="T14" i="10" s="1"/>
  <c r="X13" i="10"/>
  <c r="T13" i="10"/>
  <c r="P13" i="10"/>
  <c r="S13" i="10" s="1"/>
  <c r="X12" i="10"/>
  <c r="S12" i="10"/>
  <c r="P12" i="10"/>
  <c r="T12" i="10" s="1"/>
  <c r="X11" i="10"/>
  <c r="P11" i="10"/>
  <c r="T11" i="10" s="1"/>
  <c r="X10" i="10"/>
  <c r="P10" i="10"/>
  <c r="S10" i="10" s="1"/>
  <c r="X9" i="10"/>
  <c r="P9" i="10"/>
  <c r="T9" i="10" s="1"/>
  <c r="X8" i="10"/>
  <c r="P8" i="10"/>
  <c r="T8" i="10" s="1"/>
  <c r="X23" i="7"/>
  <c r="P23" i="7"/>
  <c r="T23" i="7" s="1"/>
  <c r="X22" i="7"/>
  <c r="S22" i="7"/>
  <c r="P22" i="7"/>
  <c r="T22" i="7" s="1"/>
  <c r="X21" i="7"/>
  <c r="P21" i="7"/>
  <c r="T21" i="7" s="1"/>
  <c r="X20" i="7"/>
  <c r="P20" i="7"/>
  <c r="T20" i="7" s="1"/>
  <c r="X19" i="7"/>
  <c r="P19" i="7"/>
  <c r="T19" i="7" s="1"/>
  <c r="X18" i="7"/>
  <c r="P18" i="7"/>
  <c r="S18" i="7" s="1"/>
  <c r="X17" i="7"/>
  <c r="T17" i="7"/>
  <c r="S17" i="7"/>
  <c r="P17" i="7"/>
  <c r="X16" i="7"/>
  <c r="P16" i="7"/>
  <c r="T16" i="7" s="1"/>
  <c r="X15" i="7"/>
  <c r="P15" i="7"/>
  <c r="T15" i="7" s="1"/>
  <c r="X14" i="7"/>
  <c r="T14" i="7"/>
  <c r="S14" i="7"/>
  <c r="P14" i="7"/>
  <c r="X13" i="7"/>
  <c r="P13" i="7"/>
  <c r="T13" i="7" s="1"/>
  <c r="X12" i="7"/>
  <c r="P12" i="7"/>
  <c r="T12" i="7" s="1"/>
  <c r="X11" i="7"/>
  <c r="P11" i="7"/>
  <c r="T11" i="7" s="1"/>
  <c r="X10" i="7"/>
  <c r="P10" i="7"/>
  <c r="S10" i="7" s="1"/>
  <c r="X9" i="7"/>
  <c r="T9" i="7"/>
  <c r="S9" i="7"/>
  <c r="U9" i="7" s="1"/>
  <c r="P9" i="7"/>
  <c r="X8" i="7"/>
  <c r="P8" i="7"/>
  <c r="S8" i="7" s="1"/>
  <c r="U11" i="12" l="1"/>
  <c r="AN21" i="15"/>
  <c r="AN23" i="15" s="1"/>
  <c r="AL21" i="15"/>
  <c r="AL23" i="15" s="1"/>
  <c r="AM21" i="15"/>
  <c r="AM23" i="15" s="1"/>
  <c r="S11" i="10"/>
  <c r="S9" i="12"/>
  <c r="U9" i="12" s="1"/>
  <c r="P14" i="9"/>
  <c r="R18" i="9"/>
  <c r="P20" i="9"/>
  <c r="O9" i="11"/>
  <c r="P18" i="11"/>
  <c r="R9" i="13"/>
  <c r="O17" i="13"/>
  <c r="R17" i="13" s="1"/>
  <c r="R14" i="9"/>
  <c r="W14" i="7" s="1"/>
  <c r="Z14" i="7" s="1"/>
  <c r="O11" i="9"/>
  <c r="Q14" i="9"/>
  <c r="P9" i="11"/>
  <c r="P17" i="13"/>
  <c r="P20" i="13"/>
  <c r="T18" i="7"/>
  <c r="U18" i="7" s="1"/>
  <c r="S9" i="10"/>
  <c r="U9" i="10" s="1"/>
  <c r="S20" i="10"/>
  <c r="U20" i="10" s="1"/>
  <c r="R9" i="9"/>
  <c r="W9" i="7" s="1"/>
  <c r="R13" i="11"/>
  <c r="R14" i="13"/>
  <c r="U12" i="10"/>
  <c r="R11" i="13"/>
  <c r="S15" i="10"/>
  <c r="T10" i="12"/>
  <c r="U10" i="12" s="1"/>
  <c r="Q9" i="9"/>
  <c r="O12" i="9"/>
  <c r="R12" i="9" s="1"/>
  <c r="W12" i="7" s="1"/>
  <c r="Q15" i="9"/>
  <c r="R15" i="9" s="1"/>
  <c r="W15" i="7" s="1"/>
  <c r="O19" i="9"/>
  <c r="R19" i="9" s="1"/>
  <c r="W19" i="7" s="1"/>
  <c r="Q22" i="9"/>
  <c r="R22" i="9" s="1"/>
  <c r="W22" i="7" s="1"/>
  <c r="O10" i="11"/>
  <c r="R10" i="11" s="1"/>
  <c r="Q13" i="11"/>
  <c r="P17" i="11"/>
  <c r="R17" i="11" s="1"/>
  <c r="W17" i="10" s="1"/>
  <c r="Z17" i="10" s="1"/>
  <c r="P20" i="11"/>
  <c r="P11" i="13"/>
  <c r="Q14" i="13"/>
  <c r="P22" i="13"/>
  <c r="W19" i="12"/>
  <c r="Z19" i="12" s="1"/>
  <c r="T10" i="7"/>
  <c r="U10" i="7" s="1"/>
  <c r="U21" i="10"/>
  <c r="R10" i="9"/>
  <c r="P12" i="9"/>
  <c r="P19" i="9"/>
  <c r="P10" i="11"/>
  <c r="Q20" i="11"/>
  <c r="R20" i="11" s="1"/>
  <c r="Q22" i="13"/>
  <c r="R22" i="13" s="1"/>
  <c r="U14" i="7"/>
  <c r="U17" i="7"/>
  <c r="U13" i="10"/>
  <c r="U17" i="12"/>
  <c r="R20" i="9"/>
  <c r="R14" i="11"/>
  <c r="R12" i="13"/>
  <c r="O8" i="13"/>
  <c r="P8" i="13"/>
  <c r="O13" i="13"/>
  <c r="P16" i="13"/>
  <c r="O21" i="13"/>
  <c r="O10" i="13"/>
  <c r="R10" i="13" s="1"/>
  <c r="P13" i="13"/>
  <c r="Q16" i="13"/>
  <c r="O18" i="13"/>
  <c r="P21" i="13"/>
  <c r="P10" i="13"/>
  <c r="O15" i="13"/>
  <c r="P18" i="13"/>
  <c r="O23" i="13"/>
  <c r="R23" i="13" s="1"/>
  <c r="P15" i="13"/>
  <c r="O20" i="13"/>
  <c r="R20" i="13" s="1"/>
  <c r="P23" i="13"/>
  <c r="R19" i="11"/>
  <c r="R18" i="11"/>
  <c r="R22" i="11"/>
  <c r="O8" i="11"/>
  <c r="P11" i="11"/>
  <c r="R11" i="11" s="1"/>
  <c r="O16" i="11"/>
  <c r="R16" i="11" s="1"/>
  <c r="P19" i="11"/>
  <c r="P8" i="11"/>
  <c r="P16" i="11"/>
  <c r="O21" i="11"/>
  <c r="R21" i="11" s="1"/>
  <c r="O15" i="11"/>
  <c r="O23" i="11"/>
  <c r="O12" i="11"/>
  <c r="R12" i="11" s="1"/>
  <c r="P15" i="11"/>
  <c r="P23" i="11"/>
  <c r="R11" i="9"/>
  <c r="W11" i="7" s="1"/>
  <c r="Z9" i="7"/>
  <c r="P8" i="9"/>
  <c r="O13" i="9"/>
  <c r="R13" i="9" s="1"/>
  <c r="P16" i="9"/>
  <c r="R16" i="9" s="1"/>
  <c r="W16" i="7" s="1"/>
  <c r="O21" i="9"/>
  <c r="Q8" i="9"/>
  <c r="P13" i="9"/>
  <c r="Q16" i="9"/>
  <c r="P21" i="9"/>
  <c r="O23" i="9"/>
  <c r="Z17" i="7"/>
  <c r="P23" i="9"/>
  <c r="O17" i="9"/>
  <c r="R17" i="9" s="1"/>
  <c r="W17" i="7" s="1"/>
  <c r="S23" i="12"/>
  <c r="U23" i="12" s="1"/>
  <c r="T22" i="12"/>
  <c r="U22" i="12" s="1"/>
  <c r="S12" i="12"/>
  <c r="U12" i="12" s="1"/>
  <c r="T13" i="12"/>
  <c r="U13" i="12" s="1"/>
  <c r="S20" i="12"/>
  <c r="U20" i="12" s="1"/>
  <c r="T21" i="12"/>
  <c r="U21" i="12" s="1"/>
  <c r="S8" i="12"/>
  <c r="U8" i="12" s="1"/>
  <c r="S16" i="12"/>
  <c r="U16" i="12" s="1"/>
  <c r="T15" i="12"/>
  <c r="U15" i="12" s="1"/>
  <c r="T14" i="12"/>
  <c r="U14" i="12" s="1"/>
  <c r="U10" i="10"/>
  <c r="U19" i="10"/>
  <c r="U11" i="10"/>
  <c r="U23" i="10"/>
  <c r="U15" i="10"/>
  <c r="T10" i="10"/>
  <c r="T18" i="10"/>
  <c r="U18" i="10" s="1"/>
  <c r="S8" i="10"/>
  <c r="U8" i="10" s="1"/>
  <c r="S16" i="10"/>
  <c r="U16" i="10" s="1"/>
  <c r="S14" i="10"/>
  <c r="U14" i="10" s="1"/>
  <c r="S22" i="10"/>
  <c r="U22" i="10" s="1"/>
  <c r="U22" i="7"/>
  <c r="S16" i="7"/>
  <c r="U16" i="7" s="1"/>
  <c r="T8" i="7"/>
  <c r="U8" i="7" s="1"/>
  <c r="S15" i="7"/>
  <c r="U15" i="7" s="1"/>
  <c r="S23" i="7"/>
  <c r="U23" i="7" s="1"/>
  <c r="S13" i="7"/>
  <c r="U13" i="7" s="1"/>
  <c r="S21" i="7"/>
  <c r="U21" i="7" s="1"/>
  <c r="S12" i="7"/>
  <c r="U12" i="7" s="1"/>
  <c r="S20" i="7"/>
  <c r="U20" i="7" s="1"/>
  <c r="S11" i="7"/>
  <c r="U11" i="7" s="1"/>
  <c r="S19" i="7"/>
  <c r="U19" i="7" s="1"/>
  <c r="W11" i="12" l="1"/>
  <c r="Z11" i="12" s="1"/>
  <c r="W22" i="12"/>
  <c r="Z22" i="12" s="1"/>
  <c r="W10" i="12"/>
  <c r="Z10" i="12" s="1"/>
  <c r="W22" i="10"/>
  <c r="Z22" i="10" s="1"/>
  <c r="W20" i="12"/>
  <c r="Z20" i="12" s="1"/>
  <c r="W10" i="7"/>
  <c r="Z10" i="7" s="1"/>
  <c r="W18" i="7"/>
  <c r="Z18" i="7" s="1"/>
  <c r="Z12" i="7"/>
  <c r="Z11" i="10"/>
  <c r="W11" i="10"/>
  <c r="W14" i="10"/>
  <c r="Z14" i="10" s="1"/>
  <c r="W19" i="10"/>
  <c r="Z19" i="10" s="1"/>
  <c r="R8" i="13"/>
  <c r="W21" i="10"/>
  <c r="Z21" i="10" s="1"/>
  <c r="Z12" i="10"/>
  <c r="W12" i="10"/>
  <c r="W10" i="10"/>
  <c r="Z10" i="10" s="1"/>
  <c r="W9" i="12"/>
  <c r="Z9" i="12" s="1"/>
  <c r="W12" i="12"/>
  <c r="Z12" i="12" s="1"/>
  <c r="W14" i="12"/>
  <c r="Z14" i="12" s="1"/>
  <c r="W18" i="10"/>
  <c r="Z18" i="10" s="1"/>
  <c r="W13" i="7"/>
  <c r="Z13" i="7" s="1"/>
  <c r="R8" i="11"/>
  <c r="W8" i="10" s="1"/>
  <c r="Z8" i="10" s="1"/>
  <c r="W23" i="12"/>
  <c r="Z23" i="12" s="1"/>
  <c r="R23" i="9"/>
  <c r="W23" i="7" s="1"/>
  <c r="Z19" i="7"/>
  <c r="W16" i="12"/>
  <c r="Z16" i="12" s="1"/>
  <c r="R8" i="9"/>
  <c r="W8" i="7" s="1"/>
  <c r="R21" i="13"/>
  <c r="W20" i="7"/>
  <c r="W16" i="10"/>
  <c r="Z16" i="10" s="1"/>
  <c r="Z11" i="7"/>
  <c r="R16" i="13"/>
  <c r="W17" i="12"/>
  <c r="Z17" i="12" s="1"/>
  <c r="R9" i="11"/>
  <c r="W9" i="10" s="1"/>
  <c r="Z9" i="10" s="1"/>
  <c r="Z23" i="7"/>
  <c r="Z15" i="7"/>
  <c r="W8" i="12"/>
  <c r="Z8" i="12" s="1"/>
  <c r="Z20" i="7"/>
  <c r="Z22" i="7"/>
  <c r="W21" i="12"/>
  <c r="Z21" i="12" s="1"/>
  <c r="W13" i="10"/>
  <c r="Z13" i="10" s="1"/>
  <c r="W20" i="10"/>
  <c r="Z20" i="10" s="1"/>
  <c r="R13" i="13"/>
  <c r="W13" i="12" s="1"/>
  <c r="Z13" i="12" s="1"/>
  <c r="R18" i="13"/>
  <c r="W18" i="12" s="1"/>
  <c r="Z18" i="12" s="1"/>
  <c r="R15" i="13"/>
  <c r="W15" i="12" s="1"/>
  <c r="Z15" i="12" s="1"/>
  <c r="R23" i="11"/>
  <c r="W23" i="10" s="1"/>
  <c r="Z23" i="10" s="1"/>
  <c r="R15" i="11"/>
  <c r="W15" i="10" s="1"/>
  <c r="Z15" i="10" s="1"/>
  <c r="Z8" i="7"/>
  <c r="Z16" i="7"/>
  <c r="R21" i="9"/>
  <c r="W21" i="7" s="1"/>
  <c r="Z21" i="7" s="1"/>
  <c r="X9" i="4" l="1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8" i="4"/>
  <c r="S11" i="4"/>
  <c r="T11" i="4"/>
  <c r="S12" i="4"/>
  <c r="T12" i="4"/>
  <c r="S19" i="4"/>
  <c r="T19" i="4"/>
  <c r="S20" i="4"/>
  <c r="T20" i="4"/>
  <c r="U20" i="4" s="1"/>
  <c r="P9" i="4"/>
  <c r="S9" i="4" s="1"/>
  <c r="P10" i="4"/>
  <c r="S10" i="4" s="1"/>
  <c r="P11" i="4"/>
  <c r="P12" i="4"/>
  <c r="P13" i="4"/>
  <c r="S13" i="4" s="1"/>
  <c r="P14" i="4"/>
  <c r="S14" i="4" s="1"/>
  <c r="P15" i="4"/>
  <c r="S15" i="4" s="1"/>
  <c r="P16" i="4"/>
  <c r="S16" i="4" s="1"/>
  <c r="P17" i="4"/>
  <c r="S17" i="4" s="1"/>
  <c r="P18" i="4"/>
  <c r="S18" i="4" s="1"/>
  <c r="P19" i="4"/>
  <c r="P20" i="4"/>
  <c r="P21" i="4"/>
  <c r="S21" i="4" s="1"/>
  <c r="P22" i="4"/>
  <c r="S22" i="4" s="1"/>
  <c r="P23" i="4"/>
  <c r="S23" i="4" s="1"/>
  <c r="P8" i="4"/>
  <c r="T8" i="4" s="1"/>
  <c r="Q10" i="6"/>
  <c r="P11" i="6"/>
  <c r="O16" i="6"/>
  <c r="P16" i="6"/>
  <c r="Q16" i="6"/>
  <c r="P18" i="6"/>
  <c r="Q18" i="6"/>
  <c r="P19" i="6"/>
  <c r="Q23" i="6"/>
  <c r="Q8" i="6"/>
  <c r="P8" i="6"/>
  <c r="L9" i="6"/>
  <c r="O9" i="6" s="1"/>
  <c r="L10" i="6"/>
  <c r="O10" i="6" s="1"/>
  <c r="L11" i="6"/>
  <c r="Q11" i="6" s="1"/>
  <c r="L12" i="6"/>
  <c r="O12" i="6" s="1"/>
  <c r="L13" i="6"/>
  <c r="O13" i="6" s="1"/>
  <c r="L14" i="6"/>
  <c r="P14" i="6" s="1"/>
  <c r="L15" i="6"/>
  <c r="O15" i="6" s="1"/>
  <c r="L16" i="6"/>
  <c r="L17" i="6"/>
  <c r="O17" i="6" s="1"/>
  <c r="L18" i="6"/>
  <c r="O18" i="6" s="1"/>
  <c r="R18" i="6" s="1"/>
  <c r="L19" i="6"/>
  <c r="Q19" i="6" s="1"/>
  <c r="L20" i="6"/>
  <c r="O20" i="6" s="1"/>
  <c r="L21" i="6"/>
  <c r="O21" i="6" s="1"/>
  <c r="L22" i="6"/>
  <c r="P22" i="6" s="1"/>
  <c r="L23" i="6"/>
  <c r="O23" i="6" s="1"/>
  <c r="L8" i="6"/>
  <c r="O8" i="6" s="1"/>
  <c r="R8" i="6" s="1"/>
  <c r="U11" i="4"/>
  <c r="N23" i="12"/>
  <c r="K20" i="15" s="1"/>
  <c r="N22" i="12"/>
  <c r="K19" i="15" s="1"/>
  <c r="N21" i="12"/>
  <c r="N20" i="12"/>
  <c r="K17" i="15" s="1"/>
  <c r="P17" i="15" s="1"/>
  <c r="N19" i="12"/>
  <c r="K16" i="15" s="1"/>
  <c r="P16" i="15" s="1"/>
  <c r="W16" i="15" s="1"/>
  <c r="AE16" i="15" s="1"/>
  <c r="N18" i="12"/>
  <c r="K15" i="15" s="1"/>
  <c r="N17" i="12"/>
  <c r="N16" i="12"/>
  <c r="N15" i="12"/>
  <c r="N14" i="12"/>
  <c r="K11" i="15" s="1"/>
  <c r="N13" i="12"/>
  <c r="K10" i="15" s="1"/>
  <c r="N12" i="12"/>
  <c r="K9" i="15" s="1"/>
  <c r="P9" i="15" s="1"/>
  <c r="W9" i="15" s="1"/>
  <c r="AE9" i="15" s="1"/>
  <c r="N11" i="12"/>
  <c r="K8" i="15" s="1"/>
  <c r="P8" i="15" s="1"/>
  <c r="W8" i="15" s="1"/>
  <c r="AE8" i="15" s="1"/>
  <c r="N10" i="12"/>
  <c r="K7" i="15" s="1"/>
  <c r="N9" i="12"/>
  <c r="N8" i="12"/>
  <c r="K5" i="15" s="1"/>
  <c r="P5" i="15" s="1"/>
  <c r="N23" i="10"/>
  <c r="N22" i="10"/>
  <c r="N21" i="10"/>
  <c r="N20" i="10"/>
  <c r="N19" i="10"/>
  <c r="N18" i="10"/>
  <c r="N17" i="10"/>
  <c r="J14" i="15" s="1"/>
  <c r="N16" i="10"/>
  <c r="J13" i="15" s="1"/>
  <c r="N15" i="10"/>
  <c r="N14" i="10"/>
  <c r="N13" i="10"/>
  <c r="N12" i="10"/>
  <c r="N11" i="10"/>
  <c r="N10" i="10"/>
  <c r="N9" i="10"/>
  <c r="J6" i="15" s="1"/>
  <c r="N8" i="10"/>
  <c r="J5" i="15" s="1"/>
  <c r="N9" i="7"/>
  <c r="N10" i="7"/>
  <c r="N11" i="7"/>
  <c r="N12" i="7"/>
  <c r="N13" i="7"/>
  <c r="N14" i="7"/>
  <c r="I11" i="15" s="1"/>
  <c r="N15" i="7"/>
  <c r="I12" i="15" s="1"/>
  <c r="N16" i="7"/>
  <c r="I13" i="15" s="1"/>
  <c r="N17" i="7"/>
  <c r="N18" i="7"/>
  <c r="N19" i="7"/>
  <c r="N20" i="7"/>
  <c r="N21" i="7"/>
  <c r="N22" i="7"/>
  <c r="N23" i="7"/>
  <c r="I20" i="15" s="1"/>
  <c r="I15" i="15"/>
  <c r="I14" i="15"/>
  <c r="I7" i="15"/>
  <c r="N8" i="7"/>
  <c r="N9" i="4"/>
  <c r="H6" i="15" s="1"/>
  <c r="N10" i="4"/>
  <c r="N11" i="4"/>
  <c r="H8" i="15" s="1"/>
  <c r="N12" i="4"/>
  <c r="H9" i="15" s="1"/>
  <c r="N13" i="4"/>
  <c r="N14" i="4"/>
  <c r="H11" i="15" s="1"/>
  <c r="N15" i="4"/>
  <c r="N16" i="4"/>
  <c r="H13" i="15" s="1"/>
  <c r="N17" i="4"/>
  <c r="H14" i="15" s="1"/>
  <c r="N18" i="4"/>
  <c r="H15" i="15" s="1"/>
  <c r="N19" i="4"/>
  <c r="H16" i="15" s="1"/>
  <c r="N20" i="4"/>
  <c r="H17" i="15" s="1"/>
  <c r="N21" i="4"/>
  <c r="N22" i="4"/>
  <c r="H19" i="15" s="1"/>
  <c r="N23" i="4"/>
  <c r="N8" i="4"/>
  <c r="H5" i="15" s="1"/>
  <c r="Q29" i="15"/>
  <c r="S30" i="15"/>
  <c r="O31" i="15"/>
  <c r="Q32" i="15"/>
  <c r="R32" i="15"/>
  <c r="P34" i="15"/>
  <c r="Q35" i="15"/>
  <c r="R35" i="15"/>
  <c r="S35" i="15"/>
  <c r="O37" i="15"/>
  <c r="Q37" i="15"/>
  <c r="R38" i="15"/>
  <c r="S38" i="15"/>
  <c r="O39" i="15"/>
  <c r="P40" i="15"/>
  <c r="Q40" i="15"/>
  <c r="R40" i="15"/>
  <c r="O42" i="15"/>
  <c r="P42" i="15"/>
  <c r="Q43" i="15"/>
  <c r="R43" i="15"/>
  <c r="S43" i="15"/>
  <c r="I6" i="15"/>
  <c r="K6" i="15"/>
  <c r="P6" i="15" s="1"/>
  <c r="W6" i="15" s="1"/>
  <c r="AE6" i="15" s="1"/>
  <c r="H7" i="15"/>
  <c r="J7" i="15"/>
  <c r="I8" i="15"/>
  <c r="J8" i="15"/>
  <c r="O8" i="15" s="1"/>
  <c r="V8" i="15" s="1"/>
  <c r="I9" i="15"/>
  <c r="J9" i="15"/>
  <c r="H10" i="15"/>
  <c r="I10" i="15"/>
  <c r="J10" i="15"/>
  <c r="J11" i="15"/>
  <c r="H12" i="15"/>
  <c r="J12" i="15"/>
  <c r="K12" i="15"/>
  <c r="P12" i="15" s="1"/>
  <c r="W12" i="15" s="1"/>
  <c r="AE12" i="15" s="1"/>
  <c r="K13" i="15"/>
  <c r="K14" i="15"/>
  <c r="P14" i="15" s="1"/>
  <c r="W14" i="15" s="1"/>
  <c r="AE14" i="15" s="1"/>
  <c r="J15" i="15"/>
  <c r="O15" i="15" s="1"/>
  <c r="V15" i="15" s="1"/>
  <c r="I16" i="15"/>
  <c r="J16" i="15"/>
  <c r="I17" i="15"/>
  <c r="J17" i="15"/>
  <c r="H18" i="15"/>
  <c r="I18" i="15"/>
  <c r="J18" i="15"/>
  <c r="K18" i="15"/>
  <c r="I19" i="15"/>
  <c r="J19" i="15"/>
  <c r="H20" i="15"/>
  <c r="J20" i="15"/>
  <c r="I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5" i="15"/>
  <c r="N5" i="15" s="1"/>
  <c r="U5" i="15" s="1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5" i="15"/>
  <c r="P43" i="15"/>
  <c r="O43" i="15"/>
  <c r="Q42" i="15"/>
  <c r="S42" i="15"/>
  <c r="R42" i="15"/>
  <c r="R41" i="15"/>
  <c r="Q41" i="15"/>
  <c r="S41" i="15"/>
  <c r="O41" i="15"/>
  <c r="P41" i="15"/>
  <c r="S40" i="15"/>
  <c r="O40" i="15"/>
  <c r="S39" i="15"/>
  <c r="P39" i="15"/>
  <c r="R39" i="15"/>
  <c r="Q39" i="15"/>
  <c r="Q38" i="15"/>
  <c r="P38" i="15"/>
  <c r="O38" i="15"/>
  <c r="P37" i="15"/>
  <c r="S37" i="15"/>
  <c r="R37" i="15"/>
  <c r="S36" i="15"/>
  <c r="R36" i="15"/>
  <c r="Q36" i="15"/>
  <c r="O36" i="15"/>
  <c r="P36" i="15"/>
  <c r="P35" i="15"/>
  <c r="O35" i="15"/>
  <c r="S34" i="15"/>
  <c r="O34" i="15"/>
  <c r="R34" i="15"/>
  <c r="Q34" i="15"/>
  <c r="P33" i="15"/>
  <c r="O33" i="15"/>
  <c r="S33" i="15"/>
  <c r="R33" i="15"/>
  <c r="Q33" i="15"/>
  <c r="P32" i="15"/>
  <c r="S32" i="15"/>
  <c r="O32" i="15"/>
  <c r="S31" i="15"/>
  <c r="R31" i="15"/>
  <c r="Q31" i="15"/>
  <c r="P31" i="15"/>
  <c r="R30" i="15"/>
  <c r="Q30" i="15"/>
  <c r="P30" i="15"/>
  <c r="O30" i="15"/>
  <c r="P29" i="15"/>
  <c r="O29" i="15"/>
  <c r="S29" i="15"/>
  <c r="R29" i="15"/>
  <c r="S28" i="15"/>
  <c r="R28" i="15"/>
  <c r="Q28" i="15"/>
  <c r="J44" i="15"/>
  <c r="I44" i="15"/>
  <c r="P28" i="15"/>
  <c r="N19" i="15"/>
  <c r="U19" i="15" s="1"/>
  <c r="O18" i="15"/>
  <c r="V18" i="15" s="1"/>
  <c r="N18" i="15"/>
  <c r="U18" i="15" s="1"/>
  <c r="O11" i="15"/>
  <c r="V11" i="15" s="1"/>
  <c r="O9" i="15"/>
  <c r="V9" i="15" s="1"/>
  <c r="N9" i="15"/>
  <c r="U9" i="15" s="1"/>
  <c r="AO9" i="15" l="1"/>
  <c r="AJ9" i="15"/>
  <c r="AJ14" i="15"/>
  <c r="AO14" i="15"/>
  <c r="AO8" i="15"/>
  <c r="AJ8" i="15"/>
  <c r="AJ6" i="15"/>
  <c r="AO6" i="15"/>
  <c r="AO12" i="15"/>
  <c r="AJ12" i="15"/>
  <c r="AO16" i="15"/>
  <c r="AJ16" i="15"/>
  <c r="R21" i="6"/>
  <c r="U21" i="4"/>
  <c r="W21" i="4" s="1"/>
  <c r="Z21" i="4" s="1"/>
  <c r="P20" i="15"/>
  <c r="W20" i="15" s="1"/>
  <c r="AE20" i="15" s="1"/>
  <c r="N20" i="15"/>
  <c r="U20" i="15" s="1"/>
  <c r="N12" i="15"/>
  <c r="U12" i="15" s="1"/>
  <c r="O6" i="15"/>
  <c r="V6" i="15" s="1"/>
  <c r="O14" i="15"/>
  <c r="V14" i="15" s="1"/>
  <c r="O22" i="6"/>
  <c r="O14" i="6"/>
  <c r="R11" i="6"/>
  <c r="W11" i="4" s="1"/>
  <c r="Z11" i="4" s="1"/>
  <c r="S8" i="4"/>
  <c r="U8" i="4" s="1"/>
  <c r="W8" i="4" s="1"/>
  <c r="Z8" i="4" s="1"/>
  <c r="T16" i="4"/>
  <c r="U16" i="4" s="1"/>
  <c r="O20" i="15"/>
  <c r="V20" i="15" s="1"/>
  <c r="O10" i="15"/>
  <c r="V10" i="15" s="1"/>
  <c r="N8" i="15"/>
  <c r="U8" i="15" s="1"/>
  <c r="N11" i="15"/>
  <c r="U11" i="15" s="1"/>
  <c r="P7" i="15"/>
  <c r="W7" i="15" s="1"/>
  <c r="AE7" i="15" s="1"/>
  <c r="P15" i="15"/>
  <c r="W15" i="15" s="1"/>
  <c r="AE15" i="15" s="1"/>
  <c r="Q21" i="6"/>
  <c r="O19" i="6"/>
  <c r="R19" i="6" s="1"/>
  <c r="W19" i="4" s="1"/>
  <c r="Z19" i="4" s="1"/>
  <c r="Q13" i="6"/>
  <c r="O11" i="6"/>
  <c r="P10" i="15"/>
  <c r="W10" i="15" s="1"/>
  <c r="AE10" i="15" s="1"/>
  <c r="W17" i="15"/>
  <c r="AE17" i="15" s="1"/>
  <c r="N10" i="15"/>
  <c r="U10" i="15" s="1"/>
  <c r="O7" i="15"/>
  <c r="V7" i="15" s="1"/>
  <c r="P21" i="6"/>
  <c r="P13" i="6"/>
  <c r="R13" i="6" s="1"/>
  <c r="T23" i="4"/>
  <c r="T15" i="4"/>
  <c r="P19" i="15"/>
  <c r="W19" i="15" s="1"/>
  <c r="AE19" i="15" s="1"/>
  <c r="V17" i="15"/>
  <c r="Q15" i="6"/>
  <c r="P10" i="6"/>
  <c r="R10" i="6" s="1"/>
  <c r="O19" i="15"/>
  <c r="V19" i="15" s="1"/>
  <c r="N17" i="15"/>
  <c r="U17" i="15" s="1"/>
  <c r="O12" i="15"/>
  <c r="V12" i="15" s="1"/>
  <c r="P23" i="6"/>
  <c r="R23" i="6" s="1"/>
  <c r="W23" i="4" s="1"/>
  <c r="Z23" i="4" s="1"/>
  <c r="Q20" i="6"/>
  <c r="R20" i="6" s="1"/>
  <c r="W20" i="4" s="1"/>
  <c r="Z20" i="4" s="1"/>
  <c r="P15" i="6"/>
  <c r="R15" i="6" s="1"/>
  <c r="Q12" i="6"/>
  <c r="T22" i="4"/>
  <c r="U22" i="4" s="1"/>
  <c r="T18" i="4"/>
  <c r="U18" i="4" s="1"/>
  <c r="W18" i="4" s="1"/>
  <c r="Z18" i="4" s="1"/>
  <c r="T14" i="4"/>
  <c r="U14" i="4" s="1"/>
  <c r="T10" i="4"/>
  <c r="U10" i="4" s="1"/>
  <c r="W10" i="4" s="1"/>
  <c r="Z10" i="4" s="1"/>
  <c r="N6" i="15"/>
  <c r="U6" i="15" s="1"/>
  <c r="N7" i="15"/>
  <c r="U7" i="15" s="1"/>
  <c r="P20" i="6"/>
  <c r="Q17" i="6"/>
  <c r="P12" i="6"/>
  <c r="R12" i="6" s="1"/>
  <c r="Q9" i="6"/>
  <c r="O16" i="15"/>
  <c r="V16" i="15" s="1"/>
  <c r="P11" i="15"/>
  <c r="W11" i="15" s="1"/>
  <c r="AE11" i="15" s="1"/>
  <c r="N14" i="15"/>
  <c r="U14" i="15" s="1"/>
  <c r="Q22" i="6"/>
  <c r="R22" i="6" s="1"/>
  <c r="P17" i="6"/>
  <c r="R17" i="6" s="1"/>
  <c r="Q14" i="6"/>
  <c r="P9" i="6"/>
  <c r="R9" i="6" s="1"/>
  <c r="T21" i="4"/>
  <c r="T17" i="4"/>
  <c r="U17" i="4" s="1"/>
  <c r="T13" i="4"/>
  <c r="U13" i="4" s="1"/>
  <c r="W13" i="4" s="1"/>
  <c r="Z13" i="4" s="1"/>
  <c r="T9" i="4"/>
  <c r="U9" i="4" s="1"/>
  <c r="W9" i="4" s="1"/>
  <c r="Z9" i="4" s="1"/>
  <c r="N16" i="15"/>
  <c r="U16" i="15" s="1"/>
  <c r="U15" i="15"/>
  <c r="O5" i="15"/>
  <c r="V5" i="15" s="1"/>
  <c r="W5" i="15"/>
  <c r="U19" i="4"/>
  <c r="U12" i="4"/>
  <c r="U23" i="4"/>
  <c r="U15" i="4"/>
  <c r="M15" i="15"/>
  <c r="T15" i="15" s="1"/>
  <c r="M7" i="15"/>
  <c r="T7" i="15" s="1"/>
  <c r="M8" i="15"/>
  <c r="T8" i="15" s="1"/>
  <c r="M16" i="15"/>
  <c r="T16" i="15" s="1"/>
  <c r="T12" i="15"/>
  <c r="M18" i="15"/>
  <c r="T18" i="15" s="1"/>
  <c r="R14" i="6"/>
  <c r="R16" i="6"/>
  <c r="W16" i="4" s="1"/>
  <c r="Z16" i="4" s="1"/>
  <c r="M11" i="15"/>
  <c r="T11" i="15" s="1"/>
  <c r="M5" i="15"/>
  <c r="T5" i="15" s="1"/>
  <c r="M20" i="15"/>
  <c r="T20" i="15" s="1"/>
  <c r="M17" i="15"/>
  <c r="T17" i="15" s="1"/>
  <c r="M9" i="15"/>
  <c r="T9" i="15" s="1"/>
  <c r="M13" i="15"/>
  <c r="T13" i="15" s="1"/>
  <c r="M10" i="15"/>
  <c r="T10" i="15" s="1"/>
  <c r="P18" i="15"/>
  <c r="W18" i="15" s="1"/>
  <c r="AE18" i="15" s="1"/>
  <c r="O13" i="15"/>
  <c r="V13" i="15" s="1"/>
  <c r="N13" i="15"/>
  <c r="U13" i="15" s="1"/>
  <c r="C44" i="15"/>
  <c r="O44" i="15" s="1"/>
  <c r="E44" i="15"/>
  <c r="D44" i="15"/>
  <c r="P44" i="15" s="1"/>
  <c r="F44" i="15"/>
  <c r="G44" i="15"/>
  <c r="M19" i="15"/>
  <c r="T19" i="15" s="1"/>
  <c r="P13" i="15"/>
  <c r="W13" i="15" s="1"/>
  <c r="AE13" i="15" s="1"/>
  <c r="M14" i="15"/>
  <c r="T14" i="15" s="1"/>
  <c r="M6" i="15"/>
  <c r="T6" i="15" s="1"/>
  <c r="M44" i="15"/>
  <c r="S44" i="15" s="1"/>
  <c r="K44" i="15"/>
  <c r="L44" i="15"/>
  <c r="R44" i="15" s="1"/>
  <c r="O28" i="15"/>
  <c r="AO7" i="15" l="1"/>
  <c r="AJ7" i="15"/>
  <c r="AO17" i="15"/>
  <c r="AJ17" i="15"/>
  <c r="AO19" i="15"/>
  <c r="AJ19" i="15"/>
  <c r="AO18" i="15"/>
  <c r="AJ18" i="15"/>
  <c r="AJ13" i="15"/>
  <c r="AO13" i="15"/>
  <c r="AO10" i="15"/>
  <c r="AJ10" i="15"/>
  <c r="AO11" i="15"/>
  <c r="AJ11" i="15"/>
  <c r="AJ20" i="15"/>
  <c r="AO20" i="15"/>
  <c r="W21" i="15"/>
  <c r="AE5" i="15"/>
  <c r="AO15" i="15"/>
  <c r="AJ15" i="15"/>
  <c r="W17" i="4"/>
  <c r="Z17" i="4" s="1"/>
  <c r="W14" i="4"/>
  <c r="Z14" i="4" s="1"/>
  <c r="AH21" i="15"/>
  <c r="AH23" i="15" s="1"/>
  <c r="W15" i="4"/>
  <c r="Z15" i="4" s="1"/>
  <c r="W22" i="4"/>
  <c r="Z22" i="4" s="1"/>
  <c r="W12" i="4"/>
  <c r="Z12" i="4" s="1"/>
  <c r="Q44" i="15"/>
  <c r="AE21" i="15" l="1"/>
  <c r="AE23" i="15" s="1"/>
  <c r="AO5" i="15"/>
  <c r="AO21" i="15" s="1"/>
  <c r="AO23" i="15" s="1"/>
  <c r="AJ5" i="15"/>
  <c r="AJ21" i="15" s="1"/>
  <c r="AJ23" i="15" s="1"/>
  <c r="AG21" i="15"/>
  <c r="AG23" i="15" s="1"/>
  <c r="AI21" i="15"/>
  <c r="AI23" i="15" s="1"/>
  <c r="J23" i="13" l="1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Sprinkle, Dan</author>
  </authors>
  <commentList>
    <comment ref="R5" authorId="0" shapeId="0" xr:uid="{75DD7376-168D-4806-ABAB-355E333D068F}">
      <text>
        <r>
          <rPr>
            <b/>
            <sz val="9"/>
            <color indexed="81"/>
            <rFont val="Tahoma"/>
            <charset val="1"/>
          </rPr>
          <t>Sprinkle, Dan:</t>
        </r>
        <r>
          <rPr>
            <sz val="9"/>
            <color indexed="81"/>
            <rFont val="Tahoma"/>
            <charset val="1"/>
          </rPr>
          <t xml:space="preserve">
"I:\Recurring\RTOAnalysis\2022RTOAnalysis\GuidehouseConsultant\Results\20221017_LAK_ExpPlanFixedCosts_2022RTOAnalysis_D02.xlsx"</t>
        </r>
      </text>
    </comment>
    <comment ref="Y5" authorId="0" shapeId="0" xr:uid="{ED531A8E-4006-4AB6-A295-04B813D422D7}">
      <text>
        <r>
          <rPr>
            <b/>
            <sz val="9"/>
            <color indexed="81"/>
            <rFont val="Tahoma"/>
            <charset val="1"/>
          </rPr>
          <t>Sprinkle, Dan:</t>
        </r>
        <r>
          <rPr>
            <sz val="9"/>
            <color indexed="81"/>
            <rFont val="Tahoma"/>
            <charset val="1"/>
          </rPr>
          <t xml:space="preserve">
"I:\Recurring\RTOAnalysis\2022RTOAnalysis\GuidehouseConsultant\Results\20221017_LAK_ExpPlanFixedCosts_2022RTOAnalysis_D02.xlsx"
"Comparison" tab.</t>
        </r>
      </text>
    </comment>
    <comment ref="Z5" authorId="0" shapeId="0" xr:uid="{726414AB-F3F8-43C6-AFDC-1488588AB289}">
      <text>
        <r>
          <rPr>
            <b/>
            <sz val="9"/>
            <color indexed="81"/>
            <rFont val="Tahoma"/>
            <charset val="1"/>
          </rPr>
          <t>Sprinkle, Dan:</t>
        </r>
        <r>
          <rPr>
            <sz val="9"/>
            <color indexed="81"/>
            <rFont val="Tahoma"/>
            <charset val="1"/>
          </rPr>
          <t xml:space="preserve">
"I:\Recurring\RTOAnalysis\2022RTOAnalysis\Capacity Market\20221026_Capacity Calculation - PJM.xlsx"
"Net Benefits" tab</t>
        </r>
      </text>
    </comment>
  </commentList>
</comments>
</file>

<file path=xl/sharedStrings.xml><?xml version="1.0" encoding="utf-8"?>
<sst xmlns="http://schemas.openxmlformats.org/spreadsheetml/2006/main" count="297" uniqueCount="65">
  <si>
    <t>Guidehouse Spring 2022 Reference Case</t>
  </si>
  <si>
    <t>Confidential and Proprietary</t>
  </si>
  <si>
    <t>Real 2020 USD</t>
  </si>
  <si>
    <t>Production Costs</t>
  </si>
  <si>
    <t>Year</t>
  </si>
  <si>
    <t>LMPs ($/MWh)</t>
  </si>
  <si>
    <t>Load (MWh)</t>
  </si>
  <si>
    <t>Cost to Serve Load ($mil)</t>
  </si>
  <si>
    <t>Generation (MWh)</t>
  </si>
  <si>
    <t>Generator Revenue ($mil)</t>
  </si>
  <si>
    <t>Generator Costs ($mil)</t>
  </si>
  <si>
    <t>Generator Margin ($mil)</t>
  </si>
  <si>
    <t>Imports (MWh)</t>
  </si>
  <si>
    <t>Exports (MWh)</t>
  </si>
  <si>
    <t>Imports Cost ($mil)</t>
  </si>
  <si>
    <t>Exports Revenue ($mil)</t>
  </si>
  <si>
    <t>Total Production Cost</t>
  </si>
  <si>
    <t>C * D</t>
  </si>
  <si>
    <t>G-H</t>
  </si>
  <si>
    <t>RTO</t>
  </si>
  <si>
    <t>E + H - I</t>
  </si>
  <si>
    <t>Net Interchange Cost ($mil)</t>
  </si>
  <si>
    <t>Net Interchange Revenue ($mil)</t>
  </si>
  <si>
    <t>Total Production Cost ($mil)</t>
  </si>
  <si>
    <t>Production Costs (Real 2020 Dollars)</t>
  </si>
  <si>
    <t>WACC</t>
  </si>
  <si>
    <t>Prod Cost Increase/(Savings)</t>
  </si>
  <si>
    <t>Nominal</t>
  </si>
  <si>
    <t>Standalone</t>
  </si>
  <si>
    <t>RTO-Standalone</t>
  </si>
  <si>
    <t>RTO-Standalone, Nominal Dollars</t>
  </si>
  <si>
    <t>Prod Costs net of Cap Savings</t>
  </si>
  <si>
    <t>2022 Present Value</t>
  </si>
  <si>
    <t>Case1</t>
  </si>
  <si>
    <t>Case2</t>
  </si>
  <si>
    <t>Case3</t>
  </si>
  <si>
    <t>Case4</t>
  </si>
  <si>
    <t>Inflation Index from 2020</t>
  </si>
  <si>
    <t>Expansion Plans</t>
  </si>
  <si>
    <t>CC</t>
  </si>
  <si>
    <t>CT Gas</t>
  </si>
  <si>
    <t>Storage</t>
  </si>
  <si>
    <t>Solar</t>
  </si>
  <si>
    <t>Wind</t>
  </si>
  <si>
    <t>E-I</t>
  </si>
  <si>
    <t>Generation</t>
  </si>
  <si>
    <t>Cost</t>
  </si>
  <si>
    <t>Imports</t>
  </si>
  <si>
    <t>Exports</t>
  </si>
  <si>
    <t>Revenue</t>
  </si>
  <si>
    <t>Net Production</t>
  </si>
  <si>
    <t>Load</t>
  </si>
  <si>
    <t>Margin</t>
  </si>
  <si>
    <t>Inflation Index</t>
  </si>
  <si>
    <t>Incremental Production</t>
  </si>
  <si>
    <t>Costs/(Savings)</t>
  </si>
  <si>
    <t>RTO Avoided</t>
  </si>
  <si>
    <t>Capacity Costs/</t>
  </si>
  <si>
    <t>(Savings)</t>
  </si>
  <si>
    <t>RTO Capacity</t>
  </si>
  <si>
    <t>(Revenues)</t>
  </si>
  <si>
    <t>Total Incremental Costs/(Savings)</t>
  </si>
  <si>
    <t>Avoided Capacity Increase/(Savings)</t>
  </si>
  <si>
    <t>PV Year</t>
  </si>
  <si>
    <t>Real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</si>
</sst>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  <numFmt numFmtId="167" formatCode="0.0%"/>
    <numFmt numFmtId="168" formatCode="0.0"/>
    <numFmt numFmtId="169" formatCode="#,##0.0_);\(#,##0.0\)"/>
    <numFmt numFmtId="170" formatCode="#,##0.00000_);\(#,##0.00000\)"/>
    <numFmt numFmtId="171" formatCode="0_);\(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</font>
    <font>
      <i/>
      <sz val="10"/>
      <color rgb="FFC00000"/>
      <name val="Calibri"/>
      <family val="2"/>
      <scheme val="minor"/>
    </font>
    <font>
      <b/>
      <sz val="10"/>
      <color rgb="FFFFFFFF"/>
      <name val="Arial Narrow"/>
      <family val="2"/>
    </font>
    <font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5759"/>
        <bgColor rgb="FF000000"/>
      </patternFill>
    </fill>
    <fill>
      <patternFill patternType="solid">
        <fgColor rgb="FF555759"/>
        <bgColor indexed="64"/>
      </patternFill>
    </fill>
    <fill>
      <patternFill patternType="solid">
        <fgColor rgb="FF6DFFFC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95D600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/>
    <xf numFmtId="0" fontId="4" fillId="0" borderId="0" xfId="4"/>
    <xf numFmtId="0" fontId="5" fillId="2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1" fontId="8" fillId="0" borderId="2" xfId="4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" fontId="8" fillId="0" borderId="3" xfId="4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164" fontId="0" fillId="0" borderId="0" xfId="0" applyNumberFormat="1"/>
    <xf numFmtId="164" fontId="9" fillId="0" borderId="3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166" fontId="9" fillId="0" borderId="2" xfId="2" applyNumberFormat="1" applyFont="1" applyBorder="1" applyAlignment="1">
      <alignment horizontal="center" vertical="center"/>
    </xf>
    <xf numFmtId="166" fontId="9" fillId="0" borderId="3" xfId="2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0" fontId="1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/>
    <xf numFmtId="165" fontId="0" fillId="0" borderId="0" xfId="0" applyNumberFormat="1"/>
    <xf numFmtId="167" fontId="10" fillId="0" borderId="0" xfId="3" applyNumberFormat="1" applyFont="1"/>
    <xf numFmtId="165" fontId="0" fillId="0" borderId="5" xfId="0" applyNumberFormat="1" applyBorder="1"/>
    <xf numFmtId="3" fontId="0" fillId="0" borderId="0" xfId="0" applyNumberFormat="1"/>
    <xf numFmtId="3" fontId="0" fillId="0" borderId="5" xfId="0" applyNumberFormat="1" applyBorder="1"/>
    <xf numFmtId="0" fontId="0" fillId="0" borderId="0" xfId="0" applyFill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37" fontId="13" fillId="0" borderId="8" xfId="0" applyNumberFormat="1" applyFont="1" applyBorder="1" applyAlignment="1">
      <alignment horizontal="center" vertical="center" wrapText="1"/>
    </xf>
    <xf numFmtId="37" fontId="13" fillId="0" borderId="10" xfId="0" applyNumberFormat="1" applyFont="1" applyBorder="1" applyAlignment="1">
      <alignment horizontal="center" vertical="center" wrapText="1"/>
    </xf>
    <xf numFmtId="37" fontId="0" fillId="0" borderId="0" xfId="0" applyNumberFormat="1"/>
    <xf numFmtId="167" fontId="0" fillId="0" borderId="0" xfId="3" applyNumberFormat="1" applyFont="1"/>
    <xf numFmtId="166" fontId="9" fillId="0" borderId="0" xfId="0" applyNumberFormat="1" applyFont="1" applyBorder="1" applyAlignment="1">
      <alignment horizontal="center" vertical="center"/>
    </xf>
    <xf numFmtId="0" fontId="6" fillId="0" borderId="0" xfId="4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7" fontId="0" fillId="0" borderId="0" xfId="3" applyNumberFormat="1" applyFont="1" applyFill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11" xfId="0" applyFont="1" applyBorder="1" applyAlignment="1">
      <alignment horizontal="center" vertical="center" wrapText="1"/>
    </xf>
    <xf numFmtId="168" fontId="0" fillId="0" borderId="0" xfId="0" applyNumberFormat="1"/>
    <xf numFmtId="169" fontId="12" fillId="0" borderId="0" xfId="0" applyNumberFormat="1" applyFont="1"/>
    <xf numFmtId="39" fontId="12" fillId="0" borderId="0" xfId="0" applyNumberFormat="1" applyFont="1"/>
    <xf numFmtId="37" fontId="12" fillId="0" borderId="0" xfId="0" applyNumberFormat="1" applyFont="1"/>
    <xf numFmtId="0" fontId="14" fillId="0" borderId="6" xfId="0" applyFont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37" fontId="13" fillId="0" borderId="0" xfId="0" applyNumberFormat="1" applyFont="1" applyBorder="1" applyAlignment="1">
      <alignment horizontal="center" vertical="center" wrapText="1"/>
    </xf>
    <xf numFmtId="37" fontId="0" fillId="0" borderId="0" xfId="0" applyNumberFormat="1" applyBorder="1"/>
    <xf numFmtId="169" fontId="12" fillId="0" borderId="0" xfId="0" applyNumberFormat="1" applyFont="1" applyBorder="1"/>
    <xf numFmtId="39" fontId="12" fillId="0" borderId="0" xfId="0" applyNumberFormat="1" applyFont="1" applyBorder="1"/>
    <xf numFmtId="37" fontId="12" fillId="0" borderId="0" xfId="0" applyNumberFormat="1" applyFont="1" applyBorder="1"/>
    <xf numFmtId="0" fontId="4" fillId="0" borderId="0" xfId="4" applyBorder="1"/>
    <xf numFmtId="0" fontId="0" fillId="0" borderId="0" xfId="0" applyFill="1" applyBorder="1"/>
    <xf numFmtId="167" fontId="0" fillId="0" borderId="0" xfId="3" applyNumberFormat="1" applyFont="1" applyFill="1" applyBorder="1"/>
    <xf numFmtId="167" fontId="0" fillId="0" borderId="0" xfId="3" applyNumberFormat="1" applyFont="1" applyBorder="1"/>
    <xf numFmtId="168" fontId="4" fillId="0" borderId="0" xfId="4" applyNumberFormat="1"/>
    <xf numFmtId="169" fontId="0" fillId="0" borderId="0" xfId="0" applyNumberFormat="1"/>
    <xf numFmtId="169" fontId="0" fillId="0" borderId="0" xfId="0" applyNumberFormat="1" applyBorder="1"/>
    <xf numFmtId="170" fontId="0" fillId="0" borderId="0" xfId="0" applyNumberFormat="1"/>
    <xf numFmtId="0" fontId="12" fillId="0" borderId="0" xfId="0" applyFont="1"/>
    <xf numFmtId="0" fontId="17" fillId="0" borderId="0" xfId="0" applyFont="1"/>
    <xf numFmtId="165" fontId="17" fillId="0" borderId="0" xfId="1" applyNumberFormat="1" applyFont="1"/>
    <xf numFmtId="165" fontId="12" fillId="5" borderId="0" xfId="1" applyNumberFormat="1" applyFont="1" applyFill="1"/>
    <xf numFmtId="165" fontId="0" fillId="5" borderId="0" xfId="1" applyNumberFormat="1" applyFont="1" applyFill="1"/>
    <xf numFmtId="165" fontId="0" fillId="5" borderId="5" xfId="0" applyNumberFormat="1" applyFill="1" applyBorder="1"/>
    <xf numFmtId="165" fontId="0" fillId="5" borderId="0" xfId="0" applyNumberFormat="1" applyFill="1"/>
    <xf numFmtId="164" fontId="9" fillId="6" borderId="2" xfId="0" applyNumberFormat="1" applyFont="1" applyFill="1" applyBorder="1" applyAlignment="1">
      <alignment horizontal="center" vertical="center"/>
    </xf>
    <xf numFmtId="165" fontId="9" fillId="6" borderId="2" xfId="1" applyNumberFormat="1" applyFont="1" applyFill="1" applyBorder="1" applyAlignment="1">
      <alignment horizontal="center" vertical="center"/>
    </xf>
    <xf numFmtId="166" fontId="9" fillId="6" borderId="2" xfId="0" applyNumberFormat="1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/>
    </xf>
    <xf numFmtId="165" fontId="9" fillId="6" borderId="3" xfId="1" applyNumberFormat="1" applyFont="1" applyFill="1" applyBorder="1" applyAlignment="1">
      <alignment horizontal="center" vertical="center"/>
    </xf>
    <xf numFmtId="166" fontId="9" fillId="6" borderId="3" xfId="0" applyNumberFormat="1" applyFont="1" applyFill="1" applyBorder="1" applyAlignment="1">
      <alignment horizontal="center" vertical="center"/>
    </xf>
    <xf numFmtId="37" fontId="13" fillId="6" borderId="0" xfId="0" applyNumberFormat="1" applyFont="1" applyFill="1" applyBorder="1" applyAlignment="1">
      <alignment horizontal="center" vertical="center" wrapText="1"/>
    </xf>
    <xf numFmtId="37" fontId="0" fillId="6" borderId="0" xfId="0" applyNumberFormat="1" applyFill="1" applyBorder="1"/>
    <xf numFmtId="165" fontId="0" fillId="6" borderId="0" xfId="1" applyNumberFormat="1" applyFont="1" applyFill="1"/>
    <xf numFmtId="165" fontId="0" fillId="6" borderId="0" xfId="0" applyNumberFormat="1" applyFill="1"/>
    <xf numFmtId="165" fontId="0" fillId="6" borderId="5" xfId="0" applyNumberFormat="1" applyFill="1" applyBorder="1"/>
    <xf numFmtId="171" fontId="0" fillId="6" borderId="0" xfId="1" applyNumberFormat="1" applyFont="1" applyFill="1"/>
    <xf numFmtId="171" fontId="0" fillId="6" borderId="5" xfId="1" applyNumberFormat="1" applyFont="1" applyFill="1" applyBorder="1"/>
    <xf numFmtId="0" fontId="0" fillId="6" borderId="0" xfId="0" applyFill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3" borderId="0" xfId="4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6">
    <cellStyle name="Comma" xfId="1" builtinId="3"/>
    <cellStyle name="Comma 2" xfId="5" xr:uid="{11FF21A2-3A87-43DE-A44A-D0EAB377E40F}"/>
    <cellStyle name="Currency" xfId="2" builtinId="4"/>
    <cellStyle name="Normal" xfId="0" builtinId="0"/>
    <cellStyle name="Normal 2 3" xfId="4" xr:uid="{358D8EE4-EF71-4421-ADC5-9A63D65C9D9C}"/>
    <cellStyle name="Percent" xfId="3" builtinId="5"/>
  </cellStyles>
  <dxfs count="0"/>
  <tableStyles count="1" defaultTableStyle="TableStyleMedium2" defaultPivotStyle="PivotStyleLight16">
    <tableStyle name="Invisible" pivot="0" table="0" count="0" xr9:uid="{0984232B-0124-448A-9A7F-C798823874E6}"/>
  </tableStyles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EF5E-E5B3-4794-816A-55C5F9C32C51}">
  <sheetPr>
    <tabColor rgb="FF00FFFF"/>
  </sheetPr>
  <dimension ref="B1:AO44"/>
  <sheetViews>
    <sheetView tabSelected="1" zoomScale="85" zoomScaleNormal="85" workbookViewId="0">
      <selection activeCell="W5" sqref="W5:W20"/>
    </sheetView>
  </sheetViews>
  <sheetFormatPr defaultRowHeight="14.5" x14ac:dyDescent="0.35"/>
  <cols>
    <col min="3" max="3" width="5.7265625" bestFit="1" customWidth="1"/>
    <col min="4" max="4" width="7" bestFit="1" customWidth="1"/>
    <col min="5" max="5" width="7.08984375" bestFit="1" customWidth="1"/>
    <col min="6" max="6" width="10.26953125" bestFit="1" customWidth="1"/>
    <col min="7" max="7" width="5.26953125" bestFit="1" customWidth="1"/>
    <col min="18" max="18" width="22.7265625" bestFit="1" customWidth="1"/>
    <col min="25" max="25" width="32.1796875" style="20" bestFit="1" customWidth="1"/>
    <col min="26" max="26" width="12.90625" bestFit="1" customWidth="1"/>
    <col min="28" max="28" width="8.81640625" bestFit="1" customWidth="1"/>
    <col min="29" max="30" width="9.7265625" bestFit="1" customWidth="1"/>
    <col min="31" max="31" width="8.81640625" bestFit="1" customWidth="1"/>
    <col min="32" max="32" width="10.6328125" bestFit="1" customWidth="1"/>
    <col min="33" max="34" width="8.81640625" bestFit="1" customWidth="1"/>
    <col min="35" max="35" width="10.36328125" bestFit="1" customWidth="1"/>
    <col min="36" max="36" width="8.81640625" bestFit="1" customWidth="1"/>
  </cols>
  <sheetData>
    <row r="1" spans="2:41" x14ac:dyDescent="0.35">
      <c r="C1" s="99" t="s">
        <v>24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AG1" t="s">
        <v>25</v>
      </c>
      <c r="AH1" s="21">
        <v>6.4299999999999996E-2</v>
      </c>
      <c r="AL1" t="s">
        <v>64</v>
      </c>
      <c r="AM1" s="78"/>
    </row>
    <row r="2" spans="2:41" x14ac:dyDescent="0.35">
      <c r="C2" s="100"/>
      <c r="D2" s="100"/>
      <c r="E2" s="100"/>
      <c r="F2" s="100"/>
      <c r="G2" s="20"/>
      <c r="H2" s="20"/>
      <c r="I2" s="20"/>
      <c r="J2" s="20"/>
      <c r="K2" s="20"/>
      <c r="L2" s="20"/>
      <c r="M2" s="20"/>
      <c r="N2" s="20"/>
      <c r="O2" s="20"/>
      <c r="P2" s="20"/>
      <c r="T2" s="101" t="s">
        <v>26</v>
      </c>
      <c r="U2" s="101"/>
      <c r="V2" s="101"/>
      <c r="W2" s="101"/>
      <c r="Y2" s="22" t="s">
        <v>27</v>
      </c>
      <c r="AB2" s="101" t="s">
        <v>27</v>
      </c>
      <c r="AC2" s="101"/>
      <c r="AD2" s="101"/>
      <c r="AE2" s="101"/>
      <c r="AG2" t="s">
        <v>63</v>
      </c>
      <c r="AH2" s="78">
        <v>2022</v>
      </c>
    </row>
    <row r="3" spans="2:41" s="23" customFormat="1" ht="15.5" x14ac:dyDescent="0.35">
      <c r="C3" s="99" t="s">
        <v>28</v>
      </c>
      <c r="D3" s="99"/>
      <c r="E3" s="99"/>
      <c r="F3" s="99"/>
      <c r="G3" s="24"/>
      <c r="H3" s="99" t="s">
        <v>19</v>
      </c>
      <c r="I3" s="99"/>
      <c r="J3" s="99"/>
      <c r="K3" s="99"/>
      <c r="L3" s="24"/>
      <c r="M3" s="99" t="s">
        <v>29</v>
      </c>
      <c r="N3" s="99"/>
      <c r="O3" s="99"/>
      <c r="P3" s="99"/>
      <c r="T3" s="99" t="s">
        <v>30</v>
      </c>
      <c r="U3" s="99"/>
      <c r="V3" s="99"/>
      <c r="W3" s="99"/>
      <c r="X3" s="22"/>
      <c r="Y3" s="22" t="s">
        <v>29</v>
      </c>
      <c r="Z3" s="49" t="s">
        <v>59</v>
      </c>
      <c r="AA3" s="49"/>
      <c r="AB3" s="99" t="s">
        <v>31</v>
      </c>
      <c r="AC3" s="99"/>
      <c r="AD3" s="99"/>
      <c r="AE3" s="99"/>
      <c r="AF3"/>
      <c r="AG3" t="s">
        <v>32</v>
      </c>
      <c r="AH3"/>
      <c r="AI3"/>
      <c r="AJ3"/>
      <c r="AK3"/>
      <c r="AL3"/>
    </row>
    <row r="4" spans="2:41" ht="15.5" x14ac:dyDescent="0.35">
      <c r="C4" s="25" t="s">
        <v>33</v>
      </c>
      <c r="D4" s="25" t="s">
        <v>34</v>
      </c>
      <c r="E4" s="25" t="s">
        <v>35</v>
      </c>
      <c r="F4" s="25" t="s">
        <v>36</v>
      </c>
      <c r="G4" s="25"/>
      <c r="H4" s="25" t="s">
        <v>33</v>
      </c>
      <c r="I4" s="25" t="s">
        <v>34</v>
      </c>
      <c r="J4" s="25" t="s">
        <v>35</v>
      </c>
      <c r="K4" s="25" t="s">
        <v>36</v>
      </c>
      <c r="L4" s="25"/>
      <c r="M4" s="25" t="s">
        <v>33</v>
      </c>
      <c r="N4" s="25" t="s">
        <v>34</v>
      </c>
      <c r="O4" s="25" t="s">
        <v>35</v>
      </c>
      <c r="P4" s="25" t="s">
        <v>36</v>
      </c>
      <c r="R4" s="26" t="s">
        <v>37</v>
      </c>
      <c r="T4" s="25" t="s">
        <v>33</v>
      </c>
      <c r="U4" s="25" t="s">
        <v>34</v>
      </c>
      <c r="V4" s="25" t="s">
        <v>35</v>
      </c>
      <c r="W4" s="25" t="s">
        <v>36</v>
      </c>
      <c r="X4" s="25"/>
      <c r="Y4" s="27" t="s">
        <v>62</v>
      </c>
      <c r="Z4" s="50" t="s">
        <v>60</v>
      </c>
      <c r="AA4" s="50"/>
      <c r="AB4" s="25" t="s">
        <v>33</v>
      </c>
      <c r="AC4" s="25" t="s">
        <v>34</v>
      </c>
      <c r="AD4" s="25" t="s">
        <v>35</v>
      </c>
      <c r="AE4" s="25" t="s">
        <v>36</v>
      </c>
      <c r="AG4" s="25" t="s">
        <v>33</v>
      </c>
      <c r="AH4" s="25" t="s">
        <v>34</v>
      </c>
      <c r="AI4" s="25" t="s">
        <v>35</v>
      </c>
      <c r="AJ4" s="25" t="s">
        <v>36</v>
      </c>
      <c r="AL4" s="25" t="s">
        <v>33</v>
      </c>
      <c r="AM4" s="25" t="s">
        <v>34</v>
      </c>
      <c r="AN4" s="25" t="s">
        <v>35</v>
      </c>
      <c r="AO4" s="25" t="s">
        <v>36</v>
      </c>
    </row>
    <row r="5" spans="2:41" x14ac:dyDescent="0.35">
      <c r="B5">
        <v>2025</v>
      </c>
      <c r="C5" s="28">
        <f>'C1-SA'!J8</f>
        <v>975.66387304674674</v>
      </c>
      <c r="D5" s="29">
        <f>'C2-SA'!J8</f>
        <v>1406.0870738614435</v>
      </c>
      <c r="E5" s="29">
        <f>'C3-SA'!J8</f>
        <v>1333.7449218776585</v>
      </c>
      <c r="F5" s="29">
        <f>'C4-SA'!J8</f>
        <v>1754.470355473816</v>
      </c>
      <c r="G5" s="35"/>
      <c r="H5" s="29">
        <f>'C1-RTO'!N8</f>
        <v>973.56224873619567</v>
      </c>
      <c r="I5" s="29">
        <f>'C2-RTO'!N8</f>
        <v>1400.4559032582383</v>
      </c>
      <c r="J5" s="29">
        <f>'C3-RTO'!N8</f>
        <v>1330.4670030717903</v>
      </c>
      <c r="K5" s="93">
        <f>'C4-RTO'!N8</f>
        <v>1648.3662487445849</v>
      </c>
      <c r="M5" s="30">
        <f>H5-C5</f>
        <v>-2.1016243105510739</v>
      </c>
      <c r="N5" s="30">
        <f t="shared" ref="N5:P20" si="0">I5-D5</f>
        <v>-5.6311706032051916</v>
      </c>
      <c r="O5" s="30">
        <f t="shared" si="0"/>
        <v>-3.2779188058682394</v>
      </c>
      <c r="P5" s="94">
        <f>K5-F5</f>
        <v>-106.10410672923103</v>
      </c>
      <c r="R5" s="31">
        <v>0.21123641653309111</v>
      </c>
      <c r="T5" s="28">
        <f>M5*(1+$R5)</f>
        <v>-2.5455638988107108</v>
      </c>
      <c r="U5" s="28">
        <f t="shared" ref="U5:W20" si="1">N5*(1+$R5)</f>
        <v>-6.820678902312741</v>
      </c>
      <c r="V5" s="28">
        <f t="shared" si="1"/>
        <v>-3.9703346281062752</v>
      </c>
      <c r="W5" s="93">
        <f t="shared" si="1"/>
        <v>-128.51715801415844</v>
      </c>
      <c r="Y5" s="81">
        <v>0</v>
      </c>
      <c r="Z5" s="55">
        <v>-0.10463043625983909</v>
      </c>
      <c r="AA5" s="55"/>
      <c r="AB5" s="96">
        <f>T5+$Y5+$Z5</f>
        <v>-2.6501943350705499</v>
      </c>
      <c r="AC5" s="96">
        <f t="shared" ref="AC5:AE5" si="2">U5+$Y5+$Z5</f>
        <v>-6.9253093385725801</v>
      </c>
      <c r="AD5" s="96">
        <f t="shared" si="2"/>
        <v>-4.0749650643661139</v>
      </c>
      <c r="AE5" s="96">
        <f t="shared" si="2"/>
        <v>-128.62178845041828</v>
      </c>
      <c r="AG5" s="82">
        <f>AB5/(1+$AH$1)^($B5-$AH$2)</f>
        <v>-2.1982927867733353</v>
      </c>
      <c r="AH5" s="82">
        <f t="shared" ref="AH5:AJ5" si="3">AC5/(1+$AH$1)^($B5-$AH$2)</f>
        <v>-5.7444306493670219</v>
      </c>
      <c r="AI5" s="82">
        <f t="shared" si="3"/>
        <v>-3.3801167668373653</v>
      </c>
      <c r="AJ5" s="82">
        <f t="shared" si="3"/>
        <v>-106.68966650134865</v>
      </c>
      <c r="AL5" s="28">
        <f>AB5/(1+$R5)</f>
        <v>-2.1880074764067716</v>
      </c>
      <c r="AM5" s="28">
        <f t="shared" ref="AM5:AO5" si="4">AC5/(1+$R5)</f>
        <v>-5.7175537690608893</v>
      </c>
      <c r="AN5" s="28">
        <f t="shared" si="4"/>
        <v>-3.3643019717239366</v>
      </c>
      <c r="AO5" s="93">
        <f t="shared" si="4"/>
        <v>-106.19048989508674</v>
      </c>
    </row>
    <row r="6" spans="2:41" x14ac:dyDescent="0.35">
      <c r="B6">
        <v>2026</v>
      </c>
      <c r="C6" s="28">
        <f>'C1-SA'!J9</f>
        <v>937.62936293355733</v>
      </c>
      <c r="D6" s="29">
        <f>'C2-SA'!J9</f>
        <v>1395.0353091059201</v>
      </c>
      <c r="E6" s="29">
        <f>'C3-SA'!J9</f>
        <v>1384.73747787404</v>
      </c>
      <c r="F6" s="29">
        <f>'C4-SA'!J9</f>
        <v>1828.5723612232041</v>
      </c>
      <c r="G6" s="35"/>
      <c r="H6" s="29">
        <f>'C1-RTO'!N9</f>
        <v>928.70105087975583</v>
      </c>
      <c r="I6" s="29">
        <f>'C2-RTO'!N9</f>
        <v>1396.6665753405459</v>
      </c>
      <c r="J6" s="29">
        <f>'C3-RTO'!N9</f>
        <v>1390.2007555324449</v>
      </c>
      <c r="K6" s="93">
        <f>'C4-RTO'!N9</f>
        <v>1709.7593082402013</v>
      </c>
      <c r="M6" s="30">
        <f t="shared" ref="M6:M20" si="5">H6-C6</f>
        <v>-8.9283120538015055</v>
      </c>
      <c r="N6" s="30">
        <f t="shared" si="0"/>
        <v>1.6312662346258548</v>
      </c>
      <c r="O6" s="30">
        <f t="shared" si="0"/>
        <v>5.463277658404877</v>
      </c>
      <c r="P6" s="94">
        <f t="shared" si="0"/>
        <v>-118.81305298300276</v>
      </c>
      <c r="R6" s="31">
        <v>0.25362969111174949</v>
      </c>
      <c r="T6" s="28">
        <f t="shared" ref="T6:T20" si="6">M6*(1+$R6)</f>
        <v>-11.19279708215649</v>
      </c>
      <c r="U6" s="28">
        <f t="shared" si="1"/>
        <v>2.0450037858350369</v>
      </c>
      <c r="V6" s="28">
        <f t="shared" si="1"/>
        <v>6.8489270833638276</v>
      </c>
      <c r="W6" s="93">
        <f t="shared" si="1"/>
        <v>-148.94757091112567</v>
      </c>
      <c r="Y6" s="81">
        <v>0</v>
      </c>
      <c r="Z6" s="55">
        <v>-0.11169288565580832</v>
      </c>
      <c r="AA6" s="55"/>
      <c r="AB6" s="96">
        <f t="shared" ref="AB6:AB20" si="7">T6+$Y6+$Z6</f>
        <v>-11.304489967812298</v>
      </c>
      <c r="AC6" s="96">
        <f t="shared" ref="AC6:AC20" si="8">U6+$Y6+$Z6</f>
        <v>1.9333109001792286</v>
      </c>
      <c r="AD6" s="96">
        <f t="shared" ref="AD6:AD20" si="9">V6+$Y6+$Z6</f>
        <v>6.7372341977080197</v>
      </c>
      <c r="AE6" s="96">
        <f t="shared" ref="AE6:AE20" si="10">W6+$Y6+$Z6</f>
        <v>-149.05926379678147</v>
      </c>
      <c r="AG6" s="82">
        <f t="shared" ref="AG6:AG20" si="11">AB6/(1+$AH$1)^($B6-$AH$2)</f>
        <v>-8.810381700421603</v>
      </c>
      <c r="AH6" s="82">
        <f t="shared" ref="AH6:AH20" si="12">AC6/(1+$AH$1)^($B6-$AH$2)</f>
        <v>1.5067647478713313</v>
      </c>
      <c r="AI6" s="82">
        <f t="shared" ref="AI6:AI20" si="13">AD6/(1+$AH$1)^($B6-$AH$2)</f>
        <v>5.2507990237465387</v>
      </c>
      <c r="AJ6" s="82">
        <f t="shared" ref="AJ6:AJ20" si="14">AE6/(1+$AH$1)^($B6-$AH$2)</f>
        <v>-116.17233628167217</v>
      </c>
      <c r="AL6" s="28">
        <f t="shared" ref="AL6:AL20" si="15">AB6/(1+$R6)</f>
        <v>-9.0174076507291403</v>
      </c>
      <c r="AM6" s="28">
        <f t="shared" ref="AM6:AM20" si="16">AC6/(1+$R6)</f>
        <v>1.5421706376982194</v>
      </c>
      <c r="AN6" s="28">
        <f t="shared" ref="AN6:AN20" si="17">AD6/(1+$R6)</f>
        <v>5.3741820614772413</v>
      </c>
      <c r="AO6" s="93">
        <f t="shared" ref="AO6:AO20" si="18">AE6/(1+$R6)</f>
        <v>-118.90214857993038</v>
      </c>
    </row>
    <row r="7" spans="2:41" x14ac:dyDescent="0.35">
      <c r="B7">
        <v>2027</v>
      </c>
      <c r="C7" s="28">
        <f>'C1-SA'!J10</f>
        <v>938.74462196076968</v>
      </c>
      <c r="D7" s="29">
        <f>'C2-SA'!J10</f>
        <v>1423.7887213734957</v>
      </c>
      <c r="E7" s="29">
        <f>'C3-SA'!J10</f>
        <v>1465.6565071830812</v>
      </c>
      <c r="F7" s="29">
        <f>'C4-SA'!J10</f>
        <v>1935.3342815810429</v>
      </c>
      <c r="G7" s="35"/>
      <c r="H7" s="29">
        <f>'C1-RTO'!N10</f>
        <v>945.57986394438944</v>
      </c>
      <c r="I7" s="29">
        <f>'C2-RTO'!N10</f>
        <v>1441.5534015475566</v>
      </c>
      <c r="J7" s="29">
        <f>'C3-RTO'!N10</f>
        <v>1479.0287182691777</v>
      </c>
      <c r="K7" s="93">
        <f>'C4-RTO'!N10</f>
        <v>1815.8713162208835</v>
      </c>
      <c r="M7" s="30">
        <f t="shared" si="5"/>
        <v>6.8352419836197669</v>
      </c>
      <c r="N7" s="30">
        <f t="shared" si="0"/>
        <v>17.764680174060913</v>
      </c>
      <c r="O7" s="30">
        <f t="shared" si="0"/>
        <v>13.372211086096513</v>
      </c>
      <c r="P7" s="94">
        <f t="shared" si="0"/>
        <v>-119.46296536015939</v>
      </c>
      <c r="R7" s="31">
        <v>0.28906557748917816</v>
      </c>
      <c r="T7" s="28">
        <f t="shared" si="6"/>
        <v>8.811075154893091</v>
      </c>
      <c r="U7" s="28">
        <f t="shared" si="1"/>
        <v>22.899837707486384</v>
      </c>
      <c r="V7" s="28">
        <f t="shared" si="1"/>
        <v>17.237657006006192</v>
      </c>
      <c r="W7" s="93">
        <f t="shared" si="1"/>
        <v>-153.99559643056355</v>
      </c>
      <c r="Y7" s="81">
        <v>-15.627090909854164</v>
      </c>
      <c r="Z7" s="56">
        <v>-2.6717733643139115E-2</v>
      </c>
      <c r="AA7" s="56"/>
      <c r="AB7" s="96">
        <f t="shared" si="7"/>
        <v>-6.8427334886042122</v>
      </c>
      <c r="AC7" s="96">
        <f t="shared" si="8"/>
        <v>7.2460290639890808</v>
      </c>
      <c r="AD7" s="96">
        <f t="shared" si="9"/>
        <v>1.5838483625088882</v>
      </c>
      <c r="AE7" s="96">
        <f t="shared" si="10"/>
        <v>-169.64940507406087</v>
      </c>
      <c r="AG7" s="82">
        <f t="shared" si="11"/>
        <v>-5.0108259125532877</v>
      </c>
      <c r="AH7" s="82">
        <f t="shared" si="12"/>
        <v>5.3061529076674585</v>
      </c>
      <c r="AI7" s="82">
        <f t="shared" si="13"/>
        <v>1.1598271991203186</v>
      </c>
      <c r="AJ7" s="82">
        <f t="shared" si="14"/>
        <v>-124.23158616510057</v>
      </c>
      <c r="AL7" s="28">
        <f t="shared" si="15"/>
        <v>-5.30828966974076</v>
      </c>
      <c r="AM7" s="28">
        <f t="shared" si="16"/>
        <v>5.6211485207003848</v>
      </c>
      <c r="AN7" s="28">
        <f t="shared" si="17"/>
        <v>1.2286794327359849</v>
      </c>
      <c r="AO7" s="93">
        <f t="shared" si="18"/>
        <v>-131.60649701351991</v>
      </c>
    </row>
    <row r="8" spans="2:41" x14ac:dyDescent="0.35">
      <c r="B8">
        <v>2028</v>
      </c>
      <c r="C8" s="28">
        <f>'C1-SA'!J11</f>
        <v>828.69171666625311</v>
      </c>
      <c r="D8" s="29">
        <f>'C2-SA'!J11</f>
        <v>1254.5869602729606</v>
      </c>
      <c r="E8" s="29">
        <f>'C3-SA'!J11</f>
        <v>1267.961200885577</v>
      </c>
      <c r="F8" s="29">
        <f>'C4-SA'!J11</f>
        <v>1706.0710971604146</v>
      </c>
      <c r="G8" s="35"/>
      <c r="H8" s="29">
        <f>'C1-RTO'!N11</f>
        <v>800.20577458636626</v>
      </c>
      <c r="I8" s="29">
        <f>'C2-RTO'!N11</f>
        <v>1232.4288810684377</v>
      </c>
      <c r="J8" s="29">
        <f>'C3-RTO'!N11</f>
        <v>1286.1623970080366</v>
      </c>
      <c r="K8" s="93">
        <f>'C4-RTO'!N11</f>
        <v>1601.8333863092971</v>
      </c>
      <c r="M8" s="30">
        <f t="shared" si="5"/>
        <v>-28.485942079886854</v>
      </c>
      <c r="N8" s="30">
        <f t="shared" si="0"/>
        <v>-22.158079204522892</v>
      </c>
      <c r="O8" s="30">
        <f t="shared" si="0"/>
        <v>18.201196122459578</v>
      </c>
      <c r="P8" s="94">
        <f t="shared" si="0"/>
        <v>-104.23771085111753</v>
      </c>
      <c r="R8" s="31">
        <v>0.32051633919281142</v>
      </c>
      <c r="T8" s="28">
        <f t="shared" si="6"/>
        <v>-37.616151953790649</v>
      </c>
      <c r="U8" s="28">
        <f t="shared" si="1"/>
        <v>-29.260105634700931</v>
      </c>
      <c r="V8" s="28">
        <f t="shared" si="1"/>
        <v>24.034976872560716</v>
      </c>
      <c r="W8" s="93">
        <f t="shared" si="1"/>
        <v>-137.64760033895652</v>
      </c>
      <c r="Y8" s="81">
        <v>0.24934341786718051</v>
      </c>
      <c r="Z8" s="57">
        <v>0</v>
      </c>
      <c r="AA8" s="57"/>
      <c r="AB8" s="96">
        <f t="shared" si="7"/>
        <v>-37.366808535923468</v>
      </c>
      <c r="AC8" s="96">
        <f t="shared" si="8"/>
        <v>-29.010762216833751</v>
      </c>
      <c r="AD8" s="96">
        <f t="shared" si="9"/>
        <v>24.284320290427896</v>
      </c>
      <c r="AE8" s="96">
        <f t="shared" si="10"/>
        <v>-137.39825692108934</v>
      </c>
      <c r="AG8" s="82">
        <f t="shared" si="11"/>
        <v>-25.709973786491133</v>
      </c>
      <c r="AH8" s="82">
        <f t="shared" si="12"/>
        <v>-19.960653996015399</v>
      </c>
      <c r="AI8" s="82">
        <f t="shared" si="13"/>
        <v>16.708658366941425</v>
      </c>
      <c r="AJ8" s="82">
        <f t="shared" si="14"/>
        <v>-94.535918965483035</v>
      </c>
      <c r="AL8" s="28">
        <f t="shared" si="15"/>
        <v>-28.297119412217633</v>
      </c>
      <c r="AM8" s="28">
        <f t="shared" si="16"/>
        <v>-21.969256536853671</v>
      </c>
      <c r="AN8" s="28">
        <f t="shared" si="17"/>
        <v>18.390018790128799</v>
      </c>
      <c r="AO8" s="93">
        <f t="shared" si="18"/>
        <v>-104.04888818344831</v>
      </c>
    </row>
    <row r="9" spans="2:41" x14ac:dyDescent="0.35">
      <c r="B9">
        <v>2029</v>
      </c>
      <c r="C9" s="28">
        <f>'C1-SA'!J12</f>
        <v>686.02738864525713</v>
      </c>
      <c r="D9" s="29">
        <f>'C2-SA'!J12</f>
        <v>1048.4534957580577</v>
      </c>
      <c r="E9" s="29">
        <f>'C3-SA'!J12</f>
        <v>1084.3560026690727</v>
      </c>
      <c r="F9" s="29">
        <f>'C4-SA'!J12</f>
        <v>1410.3162660911701</v>
      </c>
      <c r="G9" s="35"/>
      <c r="H9" s="29">
        <f>'C1-RTO'!N12</f>
        <v>775.21365264070073</v>
      </c>
      <c r="I9" s="29">
        <f>'C2-RTO'!N12</f>
        <v>1212.880537861236</v>
      </c>
      <c r="J9" s="29">
        <f>'C3-RTO'!N12</f>
        <v>1277.2638181271818</v>
      </c>
      <c r="K9" s="93">
        <f>'C4-RTO'!N12</f>
        <v>1598.0564783326377</v>
      </c>
      <c r="M9" s="30">
        <f t="shared" si="5"/>
        <v>89.186263995443596</v>
      </c>
      <c r="N9" s="30">
        <f t="shared" si="0"/>
        <v>164.42704210317834</v>
      </c>
      <c r="O9" s="30">
        <f t="shared" si="0"/>
        <v>192.9078154581091</v>
      </c>
      <c r="P9" s="94">
        <f t="shared" si="0"/>
        <v>187.74021224146759</v>
      </c>
      <c r="R9" s="31">
        <v>0.3528444658201555</v>
      </c>
      <c r="T9" s="28">
        <f t="shared" si="6"/>
        <v>120.65514367341126</v>
      </c>
      <c r="U9" s="28">
        <f t="shared" si="1"/>
        <v>222.4442139404625</v>
      </c>
      <c r="V9" s="28">
        <f t="shared" si="1"/>
        <v>260.97427055595875</v>
      </c>
      <c r="W9" s="93">
        <f t="shared" si="1"/>
        <v>253.98330714277083</v>
      </c>
      <c r="Y9" s="81">
        <v>-73.157149061474144</v>
      </c>
      <c r="Z9" s="57">
        <v>0</v>
      </c>
      <c r="AA9" s="57"/>
      <c r="AB9" s="96">
        <f t="shared" si="7"/>
        <v>47.497994611937116</v>
      </c>
      <c r="AC9" s="96">
        <f t="shared" si="8"/>
        <v>149.28706487898836</v>
      </c>
      <c r="AD9" s="96">
        <f t="shared" si="9"/>
        <v>187.81712149448461</v>
      </c>
      <c r="AE9" s="96">
        <f t="shared" si="10"/>
        <v>180.82615808129668</v>
      </c>
      <c r="AG9" s="82">
        <f t="shared" si="11"/>
        <v>30.70625405520423</v>
      </c>
      <c r="AH9" s="82">
        <f t="shared" si="12"/>
        <v>96.510317515129756</v>
      </c>
      <c r="AI9" s="82">
        <f t="shared" si="13"/>
        <v>121.41902612194517</v>
      </c>
      <c r="AJ9" s="82">
        <f t="shared" si="14"/>
        <v>116.89954481731685</v>
      </c>
      <c r="AL9" s="28">
        <f t="shared" si="15"/>
        <v>35.109723114505762</v>
      </c>
      <c r="AM9" s="28">
        <f t="shared" si="16"/>
        <v>110.3505012222405</v>
      </c>
      <c r="AN9" s="28">
        <f t="shared" si="17"/>
        <v>138.83127457717129</v>
      </c>
      <c r="AO9" s="93">
        <f t="shared" si="18"/>
        <v>133.66367136052975</v>
      </c>
    </row>
    <row r="10" spans="2:41" x14ac:dyDescent="0.35">
      <c r="B10">
        <v>2030</v>
      </c>
      <c r="C10" s="28">
        <f>'C1-SA'!J13</f>
        <v>678.68135796547483</v>
      </c>
      <c r="D10" s="29">
        <f>'C2-SA'!J13</f>
        <v>1061.3756836065074</v>
      </c>
      <c r="E10" s="29">
        <f>'C3-SA'!J13</f>
        <v>1108.4735313607455</v>
      </c>
      <c r="F10" s="29">
        <f>'C4-SA'!J13</f>
        <v>1456.3560706992128</v>
      </c>
      <c r="G10" s="35"/>
      <c r="H10" s="29">
        <f>'C1-RTO'!N13</f>
        <v>748.45343550525104</v>
      </c>
      <c r="I10" s="29">
        <f>'C2-RTO'!N13</f>
        <v>1221.9780936282318</v>
      </c>
      <c r="J10" s="29">
        <f>'C3-RTO'!N13</f>
        <v>1305.4206888856099</v>
      </c>
      <c r="K10" s="93">
        <f>'C4-RTO'!N13</f>
        <v>1646.4991418088639</v>
      </c>
      <c r="M10" s="30">
        <f t="shared" si="5"/>
        <v>69.772077539776205</v>
      </c>
      <c r="N10" s="30">
        <f t="shared" si="0"/>
        <v>160.60241002172438</v>
      </c>
      <c r="O10" s="30">
        <f t="shared" si="0"/>
        <v>196.94715752486445</v>
      </c>
      <c r="P10" s="94">
        <f t="shared" si="0"/>
        <v>190.14307110965115</v>
      </c>
      <c r="R10" s="31">
        <v>0.38563573789931382</v>
      </c>
      <c r="T10" s="28">
        <f t="shared" si="6"/>
        <v>96.678684146595941</v>
      </c>
      <c r="U10" s="28">
        <f t="shared" si="1"/>
        <v>222.53643891886023</v>
      </c>
      <c r="V10" s="28">
        <f t="shared" si="1"/>
        <v>272.89701994413792</v>
      </c>
      <c r="W10" s="93">
        <f t="shared" si="1"/>
        <v>263.46903464346315</v>
      </c>
      <c r="Y10" s="81">
        <v>-73.317326745276333</v>
      </c>
      <c r="Z10" s="57">
        <v>0</v>
      </c>
      <c r="AA10" s="57"/>
      <c r="AB10" s="96">
        <f t="shared" si="7"/>
        <v>23.361357401319609</v>
      </c>
      <c r="AC10" s="96">
        <f t="shared" si="8"/>
        <v>149.21911217358388</v>
      </c>
      <c r="AD10" s="96">
        <f t="shared" si="9"/>
        <v>199.57969319886161</v>
      </c>
      <c r="AE10" s="96">
        <f t="shared" si="10"/>
        <v>190.15170789818683</v>
      </c>
      <c r="AG10" s="82">
        <f t="shared" si="11"/>
        <v>14.190103935236912</v>
      </c>
      <c r="AH10" s="82">
        <f t="shared" si="12"/>
        <v>90.638342391325423</v>
      </c>
      <c r="AI10" s="82">
        <f t="shared" si="13"/>
        <v>121.22825489988728</v>
      </c>
      <c r="AJ10" s="82">
        <f t="shared" si="14"/>
        <v>115.50152896447979</v>
      </c>
      <c r="AL10" s="28">
        <f t="shared" si="15"/>
        <v>16.85966719993559</v>
      </c>
      <c r="AM10" s="28">
        <f t="shared" si="16"/>
        <v>107.68999968188376</v>
      </c>
      <c r="AN10" s="28">
        <f>AD10/(1+$R10)</f>
        <v>144.03474718502383</v>
      </c>
      <c r="AO10" s="93">
        <f t="shared" si="18"/>
        <v>137.23066076981053</v>
      </c>
    </row>
    <row r="11" spans="2:41" x14ac:dyDescent="0.35">
      <c r="B11">
        <v>2031</v>
      </c>
      <c r="C11" s="28">
        <f>'C1-SA'!J14</f>
        <v>677.13911329813629</v>
      </c>
      <c r="D11" s="29">
        <f>'C2-SA'!J14</f>
        <v>1077.9106113552341</v>
      </c>
      <c r="E11" s="29">
        <f>'C3-SA'!J14</f>
        <v>1134.0965252419264</v>
      </c>
      <c r="F11" s="29">
        <f>'C4-SA'!J14</f>
        <v>1498.9311876155518</v>
      </c>
      <c r="G11" s="35"/>
      <c r="H11" s="29">
        <f>'C1-RTO'!N14</f>
        <v>763.68279005323348</v>
      </c>
      <c r="I11" s="29">
        <f>'C2-RTO'!N14</f>
        <v>1247.0058822556384</v>
      </c>
      <c r="J11" s="29">
        <f>'C3-RTO'!N14</f>
        <v>1339.7491913362765</v>
      </c>
      <c r="K11" s="93">
        <f>'C4-RTO'!N14</f>
        <v>1712.1265119707029</v>
      </c>
      <c r="M11" s="30">
        <f t="shared" si="5"/>
        <v>86.543676755097181</v>
      </c>
      <c r="N11" s="30">
        <f t="shared" si="0"/>
        <v>169.09527090040433</v>
      </c>
      <c r="O11" s="30">
        <f t="shared" si="0"/>
        <v>205.65266609435002</v>
      </c>
      <c r="P11" s="94">
        <f t="shared" si="0"/>
        <v>213.19532435515112</v>
      </c>
      <c r="R11" s="31">
        <v>0.41857129399151893</v>
      </c>
      <c r="T11" s="28">
        <f t="shared" si="6"/>
        <v>122.76837552126194</v>
      </c>
      <c r="U11" s="28">
        <f t="shared" si="1"/>
        <v>239.873697249033</v>
      </c>
      <c r="V11" s="28">
        <f t="shared" si="1"/>
        <v>291.73296865426789</v>
      </c>
      <c r="W11" s="93">
        <f t="shared" si="1"/>
        <v>302.43276714342829</v>
      </c>
      <c r="Y11" s="81">
        <v>-71.698123201686329</v>
      </c>
      <c r="Z11" s="57">
        <v>0</v>
      </c>
      <c r="AA11" s="57"/>
      <c r="AB11" s="96">
        <f t="shared" si="7"/>
        <v>51.070252319575616</v>
      </c>
      <c r="AC11" s="96">
        <f t="shared" si="8"/>
        <v>168.17557404734669</v>
      </c>
      <c r="AD11" s="96">
        <f t="shared" si="9"/>
        <v>220.03484545258158</v>
      </c>
      <c r="AE11" s="96">
        <f t="shared" si="10"/>
        <v>230.73464394174198</v>
      </c>
      <c r="AG11" s="82">
        <f t="shared" si="11"/>
        <v>29.146837802544646</v>
      </c>
      <c r="AH11" s="82">
        <f t="shared" si="12"/>
        <v>95.981240672839959</v>
      </c>
      <c r="AI11" s="82">
        <f t="shared" si="13"/>
        <v>125.57838780945477</v>
      </c>
      <c r="AJ11" s="82">
        <f t="shared" si="14"/>
        <v>131.68498170548551</v>
      </c>
      <c r="AL11" s="28">
        <f t="shared" si="15"/>
        <v>36.001188333563547</v>
      </c>
      <c r="AM11" s="28">
        <f t="shared" si="16"/>
        <v>118.5527824788707</v>
      </c>
      <c r="AN11" s="28">
        <f t="shared" si="17"/>
        <v>155.11017767281641</v>
      </c>
      <c r="AO11" s="93">
        <f t="shared" si="18"/>
        <v>162.65283593361747</v>
      </c>
    </row>
    <row r="12" spans="2:41" x14ac:dyDescent="0.35">
      <c r="B12">
        <v>2032</v>
      </c>
      <c r="C12" s="28">
        <f>'C1-SA'!J15</f>
        <v>679.44181897005467</v>
      </c>
      <c r="D12" s="29">
        <f>'C2-SA'!J15</f>
        <v>1099.3104796341986</v>
      </c>
      <c r="E12" s="29">
        <f>'C3-SA'!J15</f>
        <v>1166.8289881554529</v>
      </c>
      <c r="F12" s="29">
        <f>'C4-SA'!J15</f>
        <v>1551.6797616337014</v>
      </c>
      <c r="G12" s="35"/>
      <c r="H12" s="29">
        <f>'C1-RTO'!N15</f>
        <v>762.02131136186927</v>
      </c>
      <c r="I12" s="29">
        <f>'C2-RTO'!N15</f>
        <v>1271.7440462380273</v>
      </c>
      <c r="J12" s="29">
        <f>'C3-RTO'!N15</f>
        <v>1376.6370808947158</v>
      </c>
      <c r="K12" s="93">
        <f>'C4-RTO'!N15</f>
        <v>1775.6990542524209</v>
      </c>
      <c r="M12" s="30">
        <f>H12-C12</f>
        <v>82.579492391814597</v>
      </c>
      <c r="N12" s="30">
        <f t="shared" si="0"/>
        <v>172.43356660382869</v>
      </c>
      <c r="O12" s="30">
        <f t="shared" si="0"/>
        <v>209.80809273926297</v>
      </c>
      <c r="P12" s="94">
        <f>K12-F12</f>
        <v>224.01929261871942</v>
      </c>
      <c r="R12" s="31">
        <v>0.45181386458476869</v>
      </c>
      <c r="T12" s="28">
        <f t="shared" si="6"/>
        <v>119.89005198480885</v>
      </c>
      <c r="U12" s="28">
        <f t="shared" si="1"/>
        <v>250.34144271523965</v>
      </c>
      <c r="V12" s="28">
        <f t="shared" si="1"/>
        <v>304.60229794094892</v>
      </c>
      <c r="W12" s="93">
        <f t="shared" si="1"/>
        <v>325.23431495832921</v>
      </c>
      <c r="Y12" s="81">
        <v>-70.126594593371649</v>
      </c>
      <c r="Z12" s="57">
        <v>0</v>
      </c>
      <c r="AA12" s="57"/>
      <c r="AB12" s="96">
        <f t="shared" si="7"/>
        <v>49.7634573914372</v>
      </c>
      <c r="AC12" s="96">
        <f t="shared" si="8"/>
        <v>180.21484812186799</v>
      </c>
      <c r="AD12" s="96">
        <f t="shared" si="9"/>
        <v>234.47570334757728</v>
      </c>
      <c r="AE12" s="96">
        <f t="shared" si="10"/>
        <v>255.10772036495757</v>
      </c>
      <c r="AG12" s="82">
        <f t="shared" si="11"/>
        <v>26.685166966482068</v>
      </c>
      <c r="AH12" s="82">
        <f t="shared" si="12"/>
        <v>96.638448453116339</v>
      </c>
      <c r="AI12" s="82">
        <f t="shared" si="13"/>
        <v>125.73530098996025</v>
      </c>
      <c r="AJ12" s="82">
        <f t="shared" si="14"/>
        <v>136.79901817973149</v>
      </c>
      <c r="AL12" s="28">
        <f t="shared" si="15"/>
        <v>34.27674759509889</v>
      </c>
      <c r="AM12" s="28">
        <f t="shared" si="16"/>
        <v>124.13082180711299</v>
      </c>
      <c r="AN12" s="28">
        <f t="shared" si="17"/>
        <v>161.50534794254727</v>
      </c>
      <c r="AO12" s="93">
        <f t="shared" si="18"/>
        <v>175.71654782200375</v>
      </c>
    </row>
    <row r="13" spans="2:41" x14ac:dyDescent="0.35">
      <c r="B13">
        <v>2033</v>
      </c>
      <c r="C13" s="28">
        <f>'C1-SA'!J16</f>
        <v>677.84112379596161</v>
      </c>
      <c r="D13" s="29">
        <f>'C2-SA'!J16</f>
        <v>1085.1716602990098</v>
      </c>
      <c r="E13" s="29">
        <f>'C3-SA'!J16</f>
        <v>1169.3487069618911</v>
      </c>
      <c r="F13" s="29">
        <f>'C4-SA'!J16</f>
        <v>1568.4447558157096</v>
      </c>
      <c r="G13" s="35"/>
      <c r="H13" s="29">
        <f>'C1-RTO'!N16</f>
        <v>756.51211333633353</v>
      </c>
      <c r="I13" s="29">
        <f>'C2-RTO'!N16</f>
        <v>1262.6318130082091</v>
      </c>
      <c r="J13" s="29">
        <f>'C3-RTO'!N16</f>
        <v>1371.7113000160559</v>
      </c>
      <c r="K13" s="93">
        <f>'C4-RTO'!N16</f>
        <v>1754.4883104306284</v>
      </c>
      <c r="M13" s="30">
        <f t="shared" si="5"/>
        <v>78.67098954037192</v>
      </c>
      <c r="N13" s="30">
        <f t="shared" si="0"/>
        <v>177.46015270919929</v>
      </c>
      <c r="O13" s="30">
        <f t="shared" si="0"/>
        <v>202.36259305416479</v>
      </c>
      <c r="P13" s="94">
        <f t="shared" si="0"/>
        <v>186.04355461491878</v>
      </c>
      <c r="R13" s="31">
        <v>0.48571371832282351</v>
      </c>
      <c r="T13" s="28">
        <f t="shared" si="6"/>
        <v>116.88256839416192</v>
      </c>
      <c r="U13" s="28">
        <f t="shared" si="1"/>
        <v>263.65498333572054</v>
      </c>
      <c r="V13" s="28">
        <f t="shared" si="1"/>
        <v>300.65288057595154</v>
      </c>
      <c r="W13" s="93">
        <f t="shared" si="1"/>
        <v>276.40746129692627</v>
      </c>
      <c r="Y13" s="81">
        <v>-68.693504172167906</v>
      </c>
      <c r="Z13" s="57">
        <v>0</v>
      </c>
      <c r="AA13" s="57"/>
      <c r="AB13" s="96">
        <f t="shared" si="7"/>
        <v>48.189064221994016</v>
      </c>
      <c r="AC13" s="96">
        <f t="shared" si="8"/>
        <v>194.96147916355264</v>
      </c>
      <c r="AD13" s="96">
        <f t="shared" si="9"/>
        <v>231.95937640378364</v>
      </c>
      <c r="AE13" s="96">
        <f t="shared" si="10"/>
        <v>207.71395712475837</v>
      </c>
      <c r="AG13" s="82">
        <f t="shared" si="11"/>
        <v>24.279727556831855</v>
      </c>
      <c r="AH13" s="82">
        <f t="shared" si="12"/>
        <v>98.229996257273996</v>
      </c>
      <c r="AI13" s="82">
        <f t="shared" si="13"/>
        <v>116.87113153705967</v>
      </c>
      <c r="AJ13" s="82">
        <f t="shared" si="14"/>
        <v>104.65524429998783</v>
      </c>
      <c r="AL13" s="28">
        <f t="shared" si="15"/>
        <v>32.43495945934535</v>
      </c>
      <c r="AM13" s="28">
        <f t="shared" si="16"/>
        <v>131.22412262817272</v>
      </c>
      <c r="AN13" s="28">
        <f t="shared" si="17"/>
        <v>156.12656297313822</v>
      </c>
      <c r="AO13" s="93">
        <f t="shared" si="18"/>
        <v>139.80752453389221</v>
      </c>
    </row>
    <row r="14" spans="2:41" x14ac:dyDescent="0.35">
      <c r="B14">
        <v>2034</v>
      </c>
      <c r="C14" s="28">
        <f>'C1-SA'!J17</f>
        <v>591.92583527742704</v>
      </c>
      <c r="D14" s="29">
        <f>'C2-SA'!J17</f>
        <v>936.28181545033453</v>
      </c>
      <c r="E14" s="29">
        <f>'C3-SA'!J17</f>
        <v>988.52151224382908</v>
      </c>
      <c r="F14" s="29">
        <f>'C4-SA'!J17</f>
        <v>1305.7380978902554</v>
      </c>
      <c r="G14" s="35"/>
      <c r="H14" s="29">
        <f>'C1-RTO'!N17</f>
        <v>580.55777447608421</v>
      </c>
      <c r="I14" s="29">
        <f>'C2-RTO'!N17</f>
        <v>901.18052925063478</v>
      </c>
      <c r="J14" s="29">
        <f>'C3-RTO'!N17</f>
        <v>965.721043041141</v>
      </c>
      <c r="K14" s="93">
        <f>'C4-RTO'!N17</f>
        <v>1236.8758844625472</v>
      </c>
      <c r="M14" s="30">
        <f t="shared" si="5"/>
        <v>-11.368060801342835</v>
      </c>
      <c r="N14" s="30">
        <f t="shared" si="0"/>
        <v>-35.101286199699757</v>
      </c>
      <c r="O14" s="30">
        <f t="shared" si="0"/>
        <v>-22.800469202688078</v>
      </c>
      <c r="P14" s="94">
        <f t="shared" si="0"/>
        <v>-68.862213427708184</v>
      </c>
      <c r="R14" s="31">
        <v>0.52040513364566165</v>
      </c>
      <c r="T14" s="28">
        <f t="shared" si="6"/>
        <v>-17.284058001957661</v>
      </c>
      <c r="U14" s="28">
        <f t="shared" si="1"/>
        <v>-53.368175735589126</v>
      </c>
      <c r="V14" s="28">
        <f t="shared" si="1"/>
        <v>-34.665950425296757</v>
      </c>
      <c r="W14" s="93">
        <f t="shared" si="1"/>
        <v>-104.69846280969074</v>
      </c>
      <c r="Y14" s="81">
        <v>28.667702893289857</v>
      </c>
      <c r="Z14" s="57">
        <v>0</v>
      </c>
      <c r="AA14" s="57"/>
      <c r="AB14" s="96">
        <f t="shared" si="7"/>
        <v>11.383644891332196</v>
      </c>
      <c r="AC14" s="96">
        <f t="shared" si="8"/>
        <v>-24.70047284229927</v>
      </c>
      <c r="AD14" s="96">
        <f t="shared" si="9"/>
        <v>-5.9982475320069</v>
      </c>
      <c r="AE14" s="96">
        <f t="shared" si="10"/>
        <v>-76.030759916400882</v>
      </c>
      <c r="AG14" s="82">
        <f t="shared" si="11"/>
        <v>5.3890547250749146</v>
      </c>
      <c r="AH14" s="82">
        <f t="shared" si="12"/>
        <v>-11.693284633617882</v>
      </c>
      <c r="AI14" s="82">
        <f t="shared" si="13"/>
        <v>-2.8395900006634727</v>
      </c>
      <c r="AJ14" s="82">
        <f t="shared" si="14"/>
        <v>-35.993210425116004</v>
      </c>
      <c r="AL14" s="28">
        <f t="shared" si="15"/>
        <v>7.4872444451935225</v>
      </c>
      <c r="AM14" s="28">
        <f t="shared" si="16"/>
        <v>-16.245980953163397</v>
      </c>
      <c r="AN14" s="28">
        <f t="shared" si="17"/>
        <v>-3.9451639561517178</v>
      </c>
      <c r="AO14" s="93">
        <f t="shared" si="18"/>
        <v>-50.006908181171823</v>
      </c>
    </row>
    <row r="15" spans="2:41" x14ac:dyDescent="0.35">
      <c r="B15">
        <v>2035</v>
      </c>
      <c r="C15" s="28">
        <f>'C1-SA'!J18</f>
        <v>487.60778692711335</v>
      </c>
      <c r="D15" s="29">
        <f>'C2-SA'!J18</f>
        <v>735.35211832695961</v>
      </c>
      <c r="E15" s="29">
        <f>'C3-SA'!J18</f>
        <v>780.38401107134428</v>
      </c>
      <c r="F15" s="29">
        <f>'C4-SA'!J18</f>
        <v>997.84108152496526</v>
      </c>
      <c r="G15" s="35"/>
      <c r="H15" s="29">
        <f>'C1-RTO'!N18</f>
        <v>548.92536482820174</v>
      </c>
      <c r="I15" s="29">
        <f>'C2-RTO'!N18</f>
        <v>856.37993708861256</v>
      </c>
      <c r="J15" s="29">
        <f>'C3-RTO'!N18</f>
        <v>919.40947011465846</v>
      </c>
      <c r="K15" s="93">
        <f>'C4-RTO'!N18</f>
        <v>1180.0582250773764</v>
      </c>
      <c r="M15" s="30">
        <f t="shared" si="5"/>
        <v>61.317577901088384</v>
      </c>
      <c r="N15" s="30">
        <f>I15-D15</f>
        <v>121.02781876165295</v>
      </c>
      <c r="O15" s="30">
        <f t="shared" si="0"/>
        <v>139.02545904331419</v>
      </c>
      <c r="P15" s="94">
        <f t="shared" si="0"/>
        <v>182.21714355241113</v>
      </c>
      <c r="R15" s="31">
        <v>0.55590659351628879</v>
      </c>
      <c r="T15" s="28">
        <f t="shared" si="6"/>
        <v>95.404423754752102</v>
      </c>
      <c r="U15" s="28">
        <f t="shared" si="1"/>
        <v>188.30798121015022</v>
      </c>
      <c r="V15" s="28">
        <f t="shared" si="1"/>
        <v>216.31062839212129</v>
      </c>
      <c r="W15" s="93">
        <f t="shared" si="1"/>
        <v>283.51285510490061</v>
      </c>
      <c r="Y15" s="81">
        <v>-17.950732145995801</v>
      </c>
      <c r="Z15" s="57">
        <v>0</v>
      </c>
      <c r="AA15" s="57"/>
      <c r="AB15" s="96">
        <f t="shared" si="7"/>
        <v>77.453691608756301</v>
      </c>
      <c r="AC15" s="96">
        <f t="shared" si="8"/>
        <v>170.35724906415442</v>
      </c>
      <c r="AD15" s="96">
        <f t="shared" si="9"/>
        <v>198.35989624612549</v>
      </c>
      <c r="AE15" s="96">
        <f t="shared" si="10"/>
        <v>265.56212295890481</v>
      </c>
      <c r="AG15" s="82">
        <f t="shared" si="11"/>
        <v>34.451593481526459</v>
      </c>
      <c r="AH15" s="82">
        <f t="shared" si="12"/>
        <v>75.77532548139888</v>
      </c>
      <c r="AI15" s="82">
        <f t="shared" si="13"/>
        <v>88.230972166298969</v>
      </c>
      <c r="AJ15" s="82">
        <f t="shared" si="14"/>
        <v>118.12268872200553</v>
      </c>
      <c r="AL15" s="28">
        <f t="shared" si="15"/>
        <v>49.780425079190614</v>
      </c>
      <c r="AM15" s="28">
        <f t="shared" si="16"/>
        <v>109.49066593975517</v>
      </c>
      <c r="AN15" s="28">
        <f t="shared" si="17"/>
        <v>127.48830622141641</v>
      </c>
      <c r="AO15" s="93">
        <f t="shared" si="18"/>
        <v>170.67999073051337</v>
      </c>
    </row>
    <row r="16" spans="2:41" x14ac:dyDescent="0.35">
      <c r="B16">
        <v>2036</v>
      </c>
      <c r="C16" s="28">
        <f>'C1-SA'!J19</f>
        <v>368.11808374149575</v>
      </c>
      <c r="D16" s="29">
        <f>'C2-SA'!J19</f>
        <v>515.21645783190513</v>
      </c>
      <c r="E16" s="29">
        <f>'C3-SA'!J19</f>
        <v>546.25007355255775</v>
      </c>
      <c r="F16" s="29">
        <f>'C4-SA'!J19</f>
        <v>676.83392477839061</v>
      </c>
      <c r="G16" s="35"/>
      <c r="H16" s="29">
        <f>'C1-RTO'!N19</f>
        <v>484.24415975189413</v>
      </c>
      <c r="I16" s="29">
        <f>'C2-RTO'!N19</f>
        <v>735.06607476749014</v>
      </c>
      <c r="J16" s="29">
        <f>'C3-RTO'!N19</f>
        <v>776.29264759879834</v>
      </c>
      <c r="K16" s="93">
        <f>'C4-RTO'!N19</f>
        <v>1004.730911805977</v>
      </c>
      <c r="M16" s="30">
        <f t="shared" si="5"/>
        <v>116.12607601039838</v>
      </c>
      <c r="N16" s="30">
        <f t="shared" si="0"/>
        <v>219.849616935585</v>
      </c>
      <c r="O16" s="30">
        <f t="shared" si="0"/>
        <v>230.04257404624059</v>
      </c>
      <c r="P16" s="94">
        <f t="shared" si="0"/>
        <v>327.89698702758642</v>
      </c>
      <c r="R16" s="31">
        <v>0.59223701247489391</v>
      </c>
      <c r="T16" s="28">
        <f t="shared" si="6"/>
        <v>184.90023633722916</v>
      </c>
      <c r="U16" s="28">
        <f t="shared" si="1"/>
        <v>350.05269726326571</v>
      </c>
      <c r="V16" s="28">
        <f t="shared" si="1"/>
        <v>366.28230084142069</v>
      </c>
      <c r="W16" s="93">
        <f t="shared" si="1"/>
        <v>522.08971902432324</v>
      </c>
      <c r="Y16" s="81">
        <v>-157.10513120592367</v>
      </c>
      <c r="Z16" s="57">
        <v>0</v>
      </c>
      <c r="AA16" s="57"/>
      <c r="AB16" s="96">
        <f t="shared" si="7"/>
        <v>27.79510513130549</v>
      </c>
      <c r="AC16" s="96">
        <f t="shared" si="8"/>
        <v>192.94756605734204</v>
      </c>
      <c r="AD16" s="96">
        <f t="shared" si="9"/>
        <v>209.17716963549702</v>
      </c>
      <c r="AE16" s="96">
        <f t="shared" si="10"/>
        <v>364.98458781839958</v>
      </c>
      <c r="AG16" s="82">
        <f t="shared" si="11"/>
        <v>11.616397132153631</v>
      </c>
      <c r="AH16" s="82">
        <f t="shared" si="12"/>
        <v>80.638498844176112</v>
      </c>
      <c r="AI16" s="82">
        <f t="shared" si="13"/>
        <v>87.421330553955471</v>
      </c>
      <c r="AJ16" s="82">
        <f t="shared" si="14"/>
        <v>152.53786230290814</v>
      </c>
      <c r="AL16" s="28">
        <f t="shared" si="15"/>
        <v>17.456637996438836</v>
      </c>
      <c r="AM16" s="28">
        <f t="shared" si="16"/>
        <v>121.18017892162547</v>
      </c>
      <c r="AN16" s="28">
        <f t="shared" si="17"/>
        <v>131.37313603228105</v>
      </c>
      <c r="AO16" s="93">
        <f t="shared" si="18"/>
        <v>229.22754901362688</v>
      </c>
    </row>
    <row r="17" spans="2:41" x14ac:dyDescent="0.35">
      <c r="B17">
        <v>2037</v>
      </c>
      <c r="C17" s="28">
        <f>'C1-SA'!J20</f>
        <v>323.60780120981514</v>
      </c>
      <c r="D17" s="29">
        <f>'C2-SA'!J20</f>
        <v>446.56686109431291</v>
      </c>
      <c r="E17" s="29">
        <f>'C3-SA'!J20</f>
        <v>468.80978702251787</v>
      </c>
      <c r="F17" s="29">
        <f>'C4-SA'!J20</f>
        <v>586.69961696422388</v>
      </c>
      <c r="G17" s="35"/>
      <c r="H17" s="29">
        <f>'C1-RTO'!N20</f>
        <v>413.56530055787306</v>
      </c>
      <c r="I17" s="29">
        <f>'C2-RTO'!N20</f>
        <v>586.76416093589864</v>
      </c>
      <c r="J17" s="29">
        <f>'C3-RTO'!N20</f>
        <v>610.98735767508776</v>
      </c>
      <c r="K17" s="93">
        <f>'C4-RTO'!N20</f>
        <v>780.60420237889753</v>
      </c>
      <c r="M17" s="30">
        <f t="shared" si="5"/>
        <v>89.957499348057922</v>
      </c>
      <c r="N17" s="30">
        <f t="shared" si="0"/>
        <v>140.19729984158573</v>
      </c>
      <c r="O17" s="30">
        <f>J17-E17</f>
        <v>142.1775706525699</v>
      </c>
      <c r="P17" s="94">
        <f>K17-F17</f>
        <v>193.90458541467365</v>
      </c>
      <c r="R17" s="31">
        <v>0.62941574671618339</v>
      </c>
      <c r="T17" s="28">
        <f t="shared" si="6"/>
        <v>146.57816597293638</v>
      </c>
      <c r="U17" s="28">
        <f t="shared" si="1"/>
        <v>228.43968800897008</v>
      </c>
      <c r="V17" s="28">
        <f t="shared" si="1"/>
        <v>231.6663724511501</v>
      </c>
      <c r="W17" s="93">
        <f t="shared" si="1"/>
        <v>315.95118483514244</v>
      </c>
      <c r="Y17" s="81">
        <v>-124.450071362995</v>
      </c>
      <c r="Z17" s="57">
        <v>0</v>
      </c>
      <c r="AA17" s="57"/>
      <c r="AB17" s="96">
        <f t="shared" si="7"/>
        <v>22.128094609941371</v>
      </c>
      <c r="AC17" s="96">
        <f t="shared" si="8"/>
        <v>103.98961664597508</v>
      </c>
      <c r="AD17" s="96">
        <f t="shared" si="9"/>
        <v>107.21630108815509</v>
      </c>
      <c r="AE17" s="96">
        <f t="shared" si="10"/>
        <v>191.50111347214744</v>
      </c>
      <c r="AG17" s="82">
        <f t="shared" si="11"/>
        <v>8.6892659018841822</v>
      </c>
      <c r="AH17" s="82">
        <f t="shared" si="12"/>
        <v>40.834669500460571</v>
      </c>
      <c r="AI17" s="82">
        <f t="shared" si="13"/>
        <v>42.10172477990514</v>
      </c>
      <c r="AJ17" s="82">
        <f t="shared" si="14"/>
        <v>75.198706657680589</v>
      </c>
      <c r="AL17" s="28">
        <f t="shared" si="15"/>
        <v>13.580385886497579</v>
      </c>
      <c r="AM17" s="28">
        <f t="shared" si="16"/>
        <v>63.820186380025397</v>
      </c>
      <c r="AN17" s="28">
        <f t="shared" si="17"/>
        <v>65.800457191009556</v>
      </c>
      <c r="AO17" s="93">
        <f t="shared" si="18"/>
        <v>117.52747195311332</v>
      </c>
    </row>
    <row r="18" spans="2:41" x14ac:dyDescent="0.35">
      <c r="B18">
        <v>2038</v>
      </c>
      <c r="C18" s="28">
        <f>'C1-SA'!J21</f>
        <v>303.83262218897062</v>
      </c>
      <c r="D18" s="29">
        <f>'C2-SA'!J21</f>
        <v>425.22195680673826</v>
      </c>
      <c r="E18" s="29">
        <f>'C3-SA'!J21</f>
        <v>436.74088429122401</v>
      </c>
      <c r="F18" s="29">
        <f>'C4-SA'!J21</f>
        <v>556.60742897714761</v>
      </c>
      <c r="G18" s="35"/>
      <c r="H18" s="29">
        <f>'C1-RTO'!N21</f>
        <v>394.18052835920838</v>
      </c>
      <c r="I18" s="29">
        <f>'C2-RTO'!N21</f>
        <v>561.38478971404072</v>
      </c>
      <c r="J18" s="29">
        <f>'C3-RTO'!N21</f>
        <v>586.16993080725854</v>
      </c>
      <c r="K18" s="93">
        <f>'C4-RTO'!N21</f>
        <v>750.51395296090845</v>
      </c>
      <c r="M18" s="30">
        <f t="shared" si="5"/>
        <v>90.347906170237763</v>
      </c>
      <c r="N18" s="30">
        <f t="shared" si="0"/>
        <v>136.16283290730246</v>
      </c>
      <c r="O18" s="30">
        <f t="shared" si="0"/>
        <v>149.42904651603453</v>
      </c>
      <c r="P18" s="94">
        <f t="shared" si="0"/>
        <v>193.90652398376085</v>
      </c>
      <c r="R18" s="31">
        <v>0.66746260440200622</v>
      </c>
      <c r="T18" s="28">
        <f t="shared" si="6"/>
        <v>150.65175492489274</v>
      </c>
      <c r="U18" s="28">
        <f t="shared" si="1"/>
        <v>227.04643198236576</v>
      </c>
      <c r="V18" s="28">
        <f t="shared" si="1"/>
        <v>249.16734707693547</v>
      </c>
      <c r="W18" s="93">
        <f t="shared" si="1"/>
        <v>323.33187749250197</v>
      </c>
      <c r="Y18" s="81">
        <v>-151.58615652202502</v>
      </c>
      <c r="Z18" s="57">
        <v>0</v>
      </c>
      <c r="AA18" s="57"/>
      <c r="AB18" s="96">
        <f t="shared" si="7"/>
        <v>-0.93440159713227899</v>
      </c>
      <c r="AC18" s="96">
        <f t="shared" si="8"/>
        <v>75.460275460340739</v>
      </c>
      <c r="AD18" s="96">
        <f t="shared" si="9"/>
        <v>97.581190554910449</v>
      </c>
      <c r="AE18" s="96">
        <f t="shared" si="10"/>
        <v>171.74572097047695</v>
      </c>
      <c r="AG18" s="82">
        <f t="shared" si="11"/>
        <v>-0.34475341566926787</v>
      </c>
      <c r="AH18" s="82">
        <f t="shared" si="12"/>
        <v>27.84154885023538</v>
      </c>
      <c r="AI18" s="82">
        <f t="shared" si="13"/>
        <v>36.003201248934303</v>
      </c>
      <c r="AJ18" s="82">
        <f t="shared" si="14"/>
        <v>63.366676718951346</v>
      </c>
      <c r="AL18" s="28">
        <f t="shared" si="15"/>
        <v>-0.56037334490471458</v>
      </c>
      <c r="AM18" s="28">
        <f t="shared" si="16"/>
        <v>45.254553392159991</v>
      </c>
      <c r="AN18" s="28">
        <f t="shared" si="17"/>
        <v>58.520767000892057</v>
      </c>
      <c r="AO18" s="93">
        <f t="shared" si="18"/>
        <v>102.9982444686184</v>
      </c>
    </row>
    <row r="19" spans="2:41" x14ac:dyDescent="0.35">
      <c r="B19">
        <v>2039</v>
      </c>
      <c r="C19" s="28">
        <f>'C1-SA'!J22</f>
        <v>291.75673839017998</v>
      </c>
      <c r="D19" s="29">
        <f>'C2-SA'!J22</f>
        <v>399.79819592477662</v>
      </c>
      <c r="E19" s="29">
        <f>'C3-SA'!J22</f>
        <v>418.30203765404354</v>
      </c>
      <c r="F19" s="29">
        <f>'C4-SA'!J22</f>
        <v>520.48495473921957</v>
      </c>
      <c r="G19" s="35"/>
      <c r="H19" s="29">
        <f>'C1-RTO'!N22</f>
        <v>327.8776711744062</v>
      </c>
      <c r="I19" s="29">
        <f>'C2-RTO'!N22</f>
        <v>442.49245674741212</v>
      </c>
      <c r="J19" s="29">
        <f>'C3-RTO'!N22</f>
        <v>458.39050009815128</v>
      </c>
      <c r="K19" s="93">
        <f>'C4-RTO'!N22</f>
        <v>569.54106928575129</v>
      </c>
      <c r="M19" s="30">
        <f t="shared" si="5"/>
        <v>36.120932784226227</v>
      </c>
      <c r="N19" s="30">
        <f t="shared" si="0"/>
        <v>42.694260822635499</v>
      </c>
      <c r="O19" s="30">
        <f t="shared" si="0"/>
        <v>40.088462444107734</v>
      </c>
      <c r="P19" s="94">
        <f t="shared" si="0"/>
        <v>49.056114546531717</v>
      </c>
      <c r="R19" s="31">
        <v>0.70639785621479323</v>
      </c>
      <c r="T19" s="28">
        <f t="shared" si="6"/>
        <v>61.636682267482279</v>
      </c>
      <c r="U19" s="28">
        <f t="shared" si="1"/>
        <v>72.853395140420446</v>
      </c>
      <c r="V19" s="28">
        <f t="shared" si="1"/>
        <v>68.406866373572683</v>
      </c>
      <c r="W19" s="93">
        <f t="shared" si="1"/>
        <v>83.709248696429057</v>
      </c>
      <c r="Y19" s="81">
        <v>-67.047745359432724</v>
      </c>
      <c r="Z19" s="57">
        <v>0</v>
      </c>
      <c r="AA19" s="57"/>
      <c r="AB19" s="96">
        <f t="shared" si="7"/>
        <v>-5.4110630919504459</v>
      </c>
      <c r="AC19" s="96">
        <f t="shared" si="8"/>
        <v>5.8056497809877214</v>
      </c>
      <c r="AD19" s="96">
        <f t="shared" si="9"/>
        <v>1.3591210141399586</v>
      </c>
      <c r="AE19" s="96">
        <f t="shared" si="10"/>
        <v>16.661503336996333</v>
      </c>
      <c r="AG19" s="82">
        <f t="shared" si="11"/>
        <v>-1.8758302762942292</v>
      </c>
      <c r="AH19" s="82">
        <f t="shared" si="12"/>
        <v>2.0126199690664155</v>
      </c>
      <c r="AI19" s="82">
        <f t="shared" si="13"/>
        <v>0.47116071355074107</v>
      </c>
      <c r="AJ19" s="82">
        <f t="shared" si="14"/>
        <v>5.7759726465967578</v>
      </c>
      <c r="AL19" s="28">
        <f t="shared" si="15"/>
        <v>-3.1710442393273417</v>
      </c>
      <c r="AM19" s="28">
        <f t="shared" si="16"/>
        <v>3.4022837990819266</v>
      </c>
      <c r="AN19" s="28">
        <f t="shared" si="17"/>
        <v>0.79648542055416116</v>
      </c>
      <c r="AO19" s="93">
        <f t="shared" si="18"/>
        <v>9.7641375229781477</v>
      </c>
    </row>
    <row r="20" spans="2:41" x14ac:dyDescent="0.35">
      <c r="B20">
        <v>2040</v>
      </c>
      <c r="C20" s="28">
        <f>'C1-SA'!J23</f>
        <v>276.56428223442799</v>
      </c>
      <c r="D20" s="29">
        <f>'C2-SA'!J23</f>
        <v>382.4172417660572</v>
      </c>
      <c r="E20" s="29">
        <f>'C3-SA'!J23</f>
        <v>399.39476266457507</v>
      </c>
      <c r="F20" s="29">
        <f>'C4-SA'!J23</f>
        <v>492.40483308313708</v>
      </c>
      <c r="G20" s="35"/>
      <c r="H20" s="29">
        <f>'C1-RTO'!N23</f>
        <v>341.18252411115736</v>
      </c>
      <c r="I20" s="29">
        <f>'C2-RTO'!N23</f>
        <v>467.81344721057854</v>
      </c>
      <c r="J20" s="29">
        <f>'C3-RTO'!N23</f>
        <v>471.53072921591104</v>
      </c>
      <c r="K20" s="93">
        <f>'C4-RTO'!N23</f>
        <v>602.6889770957298</v>
      </c>
      <c r="M20" s="30">
        <f t="shared" si="5"/>
        <v>64.618241876729371</v>
      </c>
      <c r="N20" s="30">
        <f t="shared" si="0"/>
        <v>85.396205444521343</v>
      </c>
      <c r="O20" s="30">
        <f t="shared" si="0"/>
        <v>72.135966551335969</v>
      </c>
      <c r="P20" s="94">
        <f t="shared" si="0"/>
        <v>110.28414401259272</v>
      </c>
      <c r="R20" s="31">
        <v>0.74624224615740964</v>
      </c>
      <c r="T20" s="28">
        <f t="shared" si="6"/>
        <v>112.83910383756269</v>
      </c>
      <c r="U20" s="28">
        <f t="shared" si="1"/>
        <v>149.12246160876057</v>
      </c>
      <c r="V20" s="28">
        <f t="shared" si="1"/>
        <v>125.96687225934069</v>
      </c>
      <c r="W20" s="93">
        <f t="shared" si="1"/>
        <v>192.58283135609716</v>
      </c>
      <c r="Y20" s="81">
        <v>-277.71630737979774</v>
      </c>
      <c r="Z20" s="57">
        <v>0</v>
      </c>
      <c r="AA20" s="57"/>
      <c r="AB20" s="96">
        <f t="shared" si="7"/>
        <v>-164.87720354223507</v>
      </c>
      <c r="AC20" s="96">
        <f t="shared" si="8"/>
        <v>-128.59384577103717</v>
      </c>
      <c r="AD20" s="96">
        <f t="shared" si="9"/>
        <v>-151.74943512045706</v>
      </c>
      <c r="AE20" s="96">
        <f t="shared" si="10"/>
        <v>-85.133476023700581</v>
      </c>
      <c r="AG20" s="82">
        <f t="shared" si="11"/>
        <v>-53.704106337815659</v>
      </c>
      <c r="AH20" s="82">
        <f t="shared" si="12"/>
        <v>-41.885824233472007</v>
      </c>
      <c r="AI20" s="82">
        <f t="shared" si="13"/>
        <v>-49.428105434387021</v>
      </c>
      <c r="AJ20" s="82">
        <f t="shared" si="14"/>
        <v>-27.72983257272146</v>
      </c>
      <c r="AL20" s="28">
        <f t="shared" si="15"/>
        <v>-94.418288129866212</v>
      </c>
      <c r="AM20" s="28">
        <f t="shared" si="16"/>
        <v>-73.640324562074227</v>
      </c>
      <c r="AN20" s="28">
        <f t="shared" si="17"/>
        <v>-86.900563455259615</v>
      </c>
      <c r="AO20" s="93">
        <f t="shared" si="18"/>
        <v>-48.75238599400285</v>
      </c>
    </row>
    <row r="21" spans="2:41" x14ac:dyDescent="0.35">
      <c r="T21" s="32">
        <f>SUM(T5:T20)</f>
        <v>1269.0576950332729</v>
      </c>
      <c r="U21" s="32">
        <f t="shared" ref="U21:W21" si="19">SUM(U5:U20)</f>
        <v>2350.1693125939673</v>
      </c>
      <c r="V21" s="32">
        <f t="shared" si="19"/>
        <v>2698.1451009743332</v>
      </c>
      <c r="W21" s="95">
        <f t="shared" si="19"/>
        <v>2468.8982131898174</v>
      </c>
      <c r="AB21" s="97">
        <f>SUM(AB5:AB20)</f>
        <v>129.25576762887061</v>
      </c>
      <c r="AC21" s="97">
        <f t="shared" ref="AC21" si="20">SUM(AC5:AC20)</f>
        <v>1210.3673851895651</v>
      </c>
      <c r="AD21" s="97">
        <f t="shared" ref="AD21" si="21">SUM(AD5:AD20)</f>
        <v>1558.3431735699312</v>
      </c>
      <c r="AE21" s="97">
        <f t="shared" ref="AE21" si="22">SUM(AE5:AE20)</f>
        <v>1329.0962857854149</v>
      </c>
      <c r="AG21" s="83">
        <f>SUM(AG5:AG20)</f>
        <v>87.500237340920364</v>
      </c>
      <c r="AH21" s="83">
        <f t="shared" ref="AH21:AJ21" si="23">SUM(AH5:AH20)</f>
        <v>632.62973207808932</v>
      </c>
      <c r="AI21" s="83">
        <f t="shared" si="23"/>
        <v>832.53196320887207</v>
      </c>
      <c r="AJ21" s="83">
        <f t="shared" si="23"/>
        <v>515.18967410370192</v>
      </c>
      <c r="AL21" s="32">
        <f>SUM(AL5:AL20)</f>
        <v>100.02644918657712</v>
      </c>
      <c r="AM21" s="32">
        <f t="shared" ref="AM21:AO21" si="24">SUM(AM5:AM20)</f>
        <v>824.68629958817496</v>
      </c>
      <c r="AN21" s="32">
        <f t="shared" si="24"/>
        <v>1070.3701131180569</v>
      </c>
      <c r="AO21" s="95">
        <f t="shared" si="24"/>
        <v>819.76131626154393</v>
      </c>
    </row>
    <row r="22" spans="2:41" x14ac:dyDescent="0.35">
      <c r="AO22" s="98"/>
    </row>
    <row r="23" spans="2:41" x14ac:dyDescent="0.35">
      <c r="AB23" s="94">
        <f>-AB21</f>
        <v>-129.25576762887061</v>
      </c>
      <c r="AC23" s="94">
        <f t="shared" ref="AC23:AE23" si="25">-AC21</f>
        <v>-1210.3673851895651</v>
      </c>
      <c r="AD23" s="94">
        <f t="shared" si="25"/>
        <v>-1558.3431735699312</v>
      </c>
      <c r="AE23" s="94">
        <f t="shared" si="25"/>
        <v>-1329.0962857854149</v>
      </c>
      <c r="AF23" s="79"/>
      <c r="AG23" s="84">
        <f>-AG21</f>
        <v>-87.500237340920364</v>
      </c>
      <c r="AH23" s="84">
        <f t="shared" ref="AH23:AJ23" si="26">-AH21</f>
        <v>-632.62973207808932</v>
      </c>
      <c r="AI23" s="84">
        <f t="shared" si="26"/>
        <v>-832.53196320887207</v>
      </c>
      <c r="AJ23" s="84">
        <f t="shared" si="26"/>
        <v>-515.18967410370192</v>
      </c>
      <c r="AL23" s="30">
        <f>-AL21</f>
        <v>-100.02644918657712</v>
      </c>
      <c r="AM23" s="30">
        <f t="shared" ref="AM23:AO23" si="27">-AM21</f>
        <v>-824.68629958817496</v>
      </c>
      <c r="AN23" s="30">
        <f t="shared" si="27"/>
        <v>-1070.3701131180569</v>
      </c>
      <c r="AO23" s="94">
        <f t="shared" si="27"/>
        <v>-819.76131626154393</v>
      </c>
    </row>
    <row r="24" spans="2:41" x14ac:dyDescent="0.35">
      <c r="AB24" s="30"/>
      <c r="AC24" s="30"/>
      <c r="AD24" s="30"/>
      <c r="AE24" s="30"/>
    </row>
    <row r="25" spans="2:41" x14ac:dyDescent="0.35">
      <c r="B25" s="23" t="s">
        <v>38</v>
      </c>
      <c r="AB25" s="30"/>
      <c r="AC25" s="30"/>
      <c r="AD25" s="30"/>
      <c r="AE25" s="30"/>
      <c r="AF25" s="79"/>
      <c r="AG25" s="80"/>
      <c r="AH25" s="80"/>
      <c r="AI25" s="80"/>
      <c r="AJ25" s="80"/>
    </row>
    <row r="26" spans="2:41" x14ac:dyDescent="0.35">
      <c r="C26" s="99" t="s">
        <v>28</v>
      </c>
      <c r="D26" s="99"/>
      <c r="E26" s="99"/>
      <c r="F26" s="99"/>
      <c r="G26" s="99"/>
      <c r="I26" s="99" t="s">
        <v>19</v>
      </c>
      <c r="J26" s="99"/>
      <c r="K26" s="99"/>
      <c r="L26" s="99"/>
      <c r="M26" s="99"/>
      <c r="O26" s="99" t="s">
        <v>29</v>
      </c>
      <c r="P26" s="99"/>
      <c r="Q26" s="99"/>
      <c r="R26" s="99"/>
      <c r="S26" s="99"/>
      <c r="AB26" s="30"/>
      <c r="AC26" s="30"/>
      <c r="AD26" s="30"/>
      <c r="AE26" s="30"/>
    </row>
    <row r="27" spans="2:41" x14ac:dyDescent="0.35">
      <c r="C27" s="25" t="s">
        <v>39</v>
      </c>
      <c r="D27" s="25" t="s">
        <v>40</v>
      </c>
      <c r="E27" s="25" t="s">
        <v>41</v>
      </c>
      <c r="F27" s="25" t="s">
        <v>42</v>
      </c>
      <c r="G27" s="25" t="s">
        <v>43</v>
      </c>
      <c r="H27" s="20"/>
      <c r="I27" s="25" t="s">
        <v>39</v>
      </c>
      <c r="J27" s="25" t="s">
        <v>40</v>
      </c>
      <c r="K27" s="25" t="s">
        <v>41</v>
      </c>
      <c r="L27" s="25" t="s">
        <v>42</v>
      </c>
      <c r="M27" s="25" t="s">
        <v>43</v>
      </c>
      <c r="O27" s="25" t="s">
        <v>39</v>
      </c>
      <c r="P27" s="25" t="s">
        <v>40</v>
      </c>
      <c r="Q27" s="25" t="s">
        <v>41</v>
      </c>
      <c r="R27" s="25" t="s">
        <v>42</v>
      </c>
      <c r="S27" s="25" t="s">
        <v>43</v>
      </c>
      <c r="AB27" s="30"/>
      <c r="AC27" s="30"/>
      <c r="AD27" s="30"/>
      <c r="AE27" s="30"/>
    </row>
    <row r="28" spans="2:41" x14ac:dyDescent="0.35">
      <c r="B28">
        <v>2025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O28" s="33">
        <f t="shared" ref="O28:S44" si="28">IFERROR(I28-C28,"")</f>
        <v>0</v>
      </c>
      <c r="P28" s="33">
        <f t="shared" si="28"/>
        <v>0</v>
      </c>
      <c r="Q28" s="33">
        <f t="shared" si="28"/>
        <v>0</v>
      </c>
      <c r="R28" s="33">
        <f t="shared" si="28"/>
        <v>0</v>
      </c>
      <c r="S28" s="33">
        <f t="shared" si="28"/>
        <v>0</v>
      </c>
      <c r="AB28" s="30"/>
      <c r="AC28" s="30"/>
      <c r="AD28" s="30"/>
      <c r="AE28" s="30"/>
    </row>
    <row r="29" spans="2:41" x14ac:dyDescent="0.35">
      <c r="B29">
        <v>2026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f t="shared" si="28"/>
        <v>0</v>
      </c>
      <c r="P29" s="33">
        <f t="shared" si="28"/>
        <v>0</v>
      </c>
      <c r="Q29" s="33">
        <f t="shared" si="28"/>
        <v>0</v>
      </c>
      <c r="R29" s="33">
        <f t="shared" si="28"/>
        <v>0</v>
      </c>
      <c r="S29" s="33">
        <f t="shared" si="28"/>
        <v>0</v>
      </c>
      <c r="AB29" s="30"/>
      <c r="AC29" s="30"/>
      <c r="AD29" s="30"/>
      <c r="AE29" s="30"/>
    </row>
    <row r="30" spans="2:41" x14ac:dyDescent="0.35">
      <c r="B30">
        <v>2027</v>
      </c>
      <c r="C30" s="33">
        <v>0</v>
      </c>
      <c r="D30" s="33">
        <v>0</v>
      </c>
      <c r="E30" s="33">
        <v>0</v>
      </c>
      <c r="F30" s="33">
        <v>100</v>
      </c>
      <c r="G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O30" s="33">
        <f t="shared" si="28"/>
        <v>0</v>
      </c>
      <c r="P30" s="33">
        <f t="shared" si="28"/>
        <v>0</v>
      </c>
      <c r="Q30" s="33">
        <f t="shared" si="28"/>
        <v>0</v>
      </c>
      <c r="R30" s="33">
        <f t="shared" si="28"/>
        <v>-100</v>
      </c>
      <c r="S30" s="33">
        <f t="shared" si="28"/>
        <v>0</v>
      </c>
      <c r="AB30" s="30"/>
      <c r="AC30" s="30"/>
      <c r="AD30" s="30"/>
      <c r="AE30" s="30"/>
    </row>
    <row r="31" spans="2:41" x14ac:dyDescent="0.35">
      <c r="B31">
        <v>2028</v>
      </c>
      <c r="C31" s="33">
        <v>484</v>
      </c>
      <c r="D31" s="33">
        <v>0</v>
      </c>
      <c r="E31" s="33">
        <v>0</v>
      </c>
      <c r="F31" s="33">
        <v>200</v>
      </c>
      <c r="G31" s="33">
        <v>0</v>
      </c>
      <c r="I31" s="33">
        <v>484</v>
      </c>
      <c r="J31" s="33">
        <v>0</v>
      </c>
      <c r="K31" s="33">
        <v>0</v>
      </c>
      <c r="L31" s="33">
        <v>300</v>
      </c>
      <c r="M31" s="33">
        <v>0</v>
      </c>
      <c r="O31" s="33">
        <f t="shared" si="28"/>
        <v>0</v>
      </c>
      <c r="P31" s="33">
        <f t="shared" si="28"/>
        <v>0</v>
      </c>
      <c r="Q31" s="33">
        <f t="shared" si="28"/>
        <v>0</v>
      </c>
      <c r="R31" s="33">
        <f t="shared" si="28"/>
        <v>100</v>
      </c>
      <c r="S31" s="33">
        <f t="shared" si="28"/>
        <v>0</v>
      </c>
      <c r="AB31" s="30"/>
      <c r="AC31" s="30"/>
      <c r="AD31" s="30"/>
      <c r="AE31" s="30"/>
    </row>
    <row r="32" spans="2:41" x14ac:dyDescent="0.35">
      <c r="B32">
        <v>2029</v>
      </c>
      <c r="C32" s="33">
        <v>484</v>
      </c>
      <c r="D32" s="33">
        <v>0</v>
      </c>
      <c r="E32" s="33">
        <v>0</v>
      </c>
      <c r="F32" s="33">
        <v>100</v>
      </c>
      <c r="G32" s="33">
        <v>0</v>
      </c>
      <c r="I32" s="33">
        <v>0</v>
      </c>
      <c r="J32" s="33">
        <v>0</v>
      </c>
      <c r="K32" s="33">
        <v>0</v>
      </c>
      <c r="L32" s="33">
        <v>100</v>
      </c>
      <c r="M32" s="33">
        <v>0</v>
      </c>
      <c r="O32" s="33">
        <f t="shared" si="28"/>
        <v>-484</v>
      </c>
      <c r="P32" s="33">
        <f t="shared" si="28"/>
        <v>0</v>
      </c>
      <c r="Q32" s="33">
        <f t="shared" si="28"/>
        <v>0</v>
      </c>
      <c r="R32" s="33">
        <f t="shared" si="28"/>
        <v>0</v>
      </c>
      <c r="S32" s="33">
        <f t="shared" si="28"/>
        <v>0</v>
      </c>
      <c r="AB32" s="30"/>
      <c r="AC32" s="30"/>
      <c r="AD32" s="30"/>
      <c r="AE32" s="30"/>
    </row>
    <row r="33" spans="2:31" x14ac:dyDescent="0.35">
      <c r="B33">
        <v>2030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O33" s="33">
        <f t="shared" si="28"/>
        <v>0</v>
      </c>
      <c r="P33" s="33">
        <f t="shared" si="28"/>
        <v>0</v>
      </c>
      <c r="Q33" s="33">
        <f t="shared" si="28"/>
        <v>0</v>
      </c>
      <c r="R33" s="33">
        <f t="shared" si="28"/>
        <v>0</v>
      </c>
      <c r="S33" s="33">
        <f t="shared" si="28"/>
        <v>0</v>
      </c>
      <c r="AB33" s="30"/>
      <c r="AC33" s="30"/>
      <c r="AD33" s="30"/>
      <c r="AE33" s="30"/>
    </row>
    <row r="34" spans="2:31" x14ac:dyDescent="0.35">
      <c r="B34">
        <v>2031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O34" s="33">
        <f t="shared" si="28"/>
        <v>0</v>
      </c>
      <c r="P34" s="33">
        <f t="shared" si="28"/>
        <v>0</v>
      </c>
      <c r="Q34" s="33">
        <f t="shared" si="28"/>
        <v>0</v>
      </c>
      <c r="R34" s="33">
        <f t="shared" si="28"/>
        <v>0</v>
      </c>
      <c r="S34" s="33">
        <f t="shared" si="28"/>
        <v>0</v>
      </c>
      <c r="AB34" s="30"/>
      <c r="AC34" s="30"/>
      <c r="AD34" s="30"/>
      <c r="AE34" s="30"/>
    </row>
    <row r="35" spans="2:31" x14ac:dyDescent="0.35">
      <c r="B35">
        <v>2032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O35" s="33">
        <f t="shared" si="28"/>
        <v>0</v>
      </c>
      <c r="P35" s="33">
        <f t="shared" si="28"/>
        <v>0</v>
      </c>
      <c r="Q35" s="33">
        <f t="shared" si="28"/>
        <v>0</v>
      </c>
      <c r="R35" s="33">
        <f t="shared" si="28"/>
        <v>0</v>
      </c>
      <c r="S35" s="33">
        <f t="shared" si="28"/>
        <v>0</v>
      </c>
      <c r="AB35" s="30"/>
      <c r="AC35" s="30"/>
      <c r="AD35" s="30"/>
      <c r="AE35" s="30"/>
    </row>
    <row r="36" spans="2:31" x14ac:dyDescent="0.35">
      <c r="B36">
        <v>2033</v>
      </c>
      <c r="C36" s="33">
        <v>0</v>
      </c>
      <c r="D36" s="33">
        <v>0</v>
      </c>
      <c r="E36" s="33">
        <v>0</v>
      </c>
      <c r="F36" s="33">
        <v>100</v>
      </c>
      <c r="G36" s="33">
        <v>0</v>
      </c>
      <c r="I36" s="33">
        <v>0</v>
      </c>
      <c r="J36" s="33">
        <v>0</v>
      </c>
      <c r="K36" s="33">
        <v>0</v>
      </c>
      <c r="L36" s="33">
        <v>100</v>
      </c>
      <c r="M36" s="33">
        <v>0</v>
      </c>
      <c r="O36" s="33">
        <f t="shared" si="28"/>
        <v>0</v>
      </c>
      <c r="P36" s="33">
        <f t="shared" si="28"/>
        <v>0</v>
      </c>
      <c r="Q36" s="33">
        <f t="shared" si="28"/>
        <v>0</v>
      </c>
      <c r="R36" s="33">
        <f t="shared" si="28"/>
        <v>0</v>
      </c>
      <c r="S36" s="33">
        <f t="shared" si="28"/>
        <v>0</v>
      </c>
      <c r="AB36" s="30"/>
      <c r="AC36" s="30"/>
      <c r="AD36" s="30"/>
      <c r="AE36" s="30"/>
    </row>
    <row r="37" spans="2:31" x14ac:dyDescent="0.35">
      <c r="B37">
        <v>2034</v>
      </c>
      <c r="C37" s="33">
        <v>0</v>
      </c>
      <c r="D37" s="33">
        <v>400</v>
      </c>
      <c r="E37" s="33">
        <v>0</v>
      </c>
      <c r="F37" s="33">
        <v>250</v>
      </c>
      <c r="G37" s="33">
        <v>0</v>
      </c>
      <c r="I37" s="33">
        <v>484</v>
      </c>
      <c r="J37" s="33">
        <v>500</v>
      </c>
      <c r="K37" s="33">
        <v>0</v>
      </c>
      <c r="L37" s="33">
        <v>250</v>
      </c>
      <c r="M37" s="33">
        <v>0</v>
      </c>
      <c r="O37" s="33">
        <f t="shared" si="28"/>
        <v>484</v>
      </c>
      <c r="P37" s="33">
        <f t="shared" si="28"/>
        <v>100</v>
      </c>
      <c r="Q37" s="33">
        <f t="shared" si="28"/>
        <v>0</v>
      </c>
      <c r="R37" s="33">
        <f t="shared" si="28"/>
        <v>0</v>
      </c>
      <c r="S37" s="33">
        <f t="shared" si="28"/>
        <v>0</v>
      </c>
      <c r="AB37" s="30"/>
      <c r="AC37" s="30"/>
      <c r="AD37" s="30"/>
      <c r="AE37" s="30"/>
    </row>
    <row r="38" spans="2:31" x14ac:dyDescent="0.35">
      <c r="B38">
        <v>2035</v>
      </c>
      <c r="C38" s="33">
        <v>484</v>
      </c>
      <c r="D38" s="33">
        <v>0</v>
      </c>
      <c r="E38" s="33">
        <v>0</v>
      </c>
      <c r="F38" s="33">
        <v>250</v>
      </c>
      <c r="G38" s="33">
        <v>0</v>
      </c>
      <c r="I38" s="33">
        <v>0</v>
      </c>
      <c r="J38" s="33">
        <v>0</v>
      </c>
      <c r="K38" s="33">
        <v>100</v>
      </c>
      <c r="L38" s="33">
        <v>350</v>
      </c>
      <c r="M38" s="33">
        <v>0</v>
      </c>
      <c r="O38" s="33">
        <f t="shared" si="28"/>
        <v>-484</v>
      </c>
      <c r="P38" s="33">
        <f t="shared" si="28"/>
        <v>0</v>
      </c>
      <c r="Q38" s="33">
        <f t="shared" si="28"/>
        <v>100</v>
      </c>
      <c r="R38" s="33">
        <f t="shared" si="28"/>
        <v>100</v>
      </c>
      <c r="S38" s="33">
        <f t="shared" si="28"/>
        <v>0</v>
      </c>
      <c r="AB38" s="30"/>
      <c r="AC38" s="30"/>
      <c r="AD38" s="30"/>
      <c r="AE38" s="30"/>
    </row>
    <row r="39" spans="2:31" x14ac:dyDescent="0.35">
      <c r="B39">
        <v>2036</v>
      </c>
      <c r="C39" s="33">
        <v>800</v>
      </c>
      <c r="D39" s="33">
        <v>0</v>
      </c>
      <c r="E39" s="33">
        <v>100</v>
      </c>
      <c r="F39" s="33">
        <v>400</v>
      </c>
      <c r="G39" s="33">
        <v>0</v>
      </c>
      <c r="I39" s="33">
        <v>400</v>
      </c>
      <c r="J39" s="33">
        <v>0</v>
      </c>
      <c r="K39" s="33">
        <v>0</v>
      </c>
      <c r="L39" s="33">
        <v>100</v>
      </c>
      <c r="M39" s="33">
        <v>0</v>
      </c>
      <c r="O39" s="33">
        <f t="shared" si="28"/>
        <v>-400</v>
      </c>
      <c r="P39" s="33">
        <f t="shared" si="28"/>
        <v>0</v>
      </c>
      <c r="Q39" s="33">
        <f t="shared" si="28"/>
        <v>-100</v>
      </c>
      <c r="R39" s="33">
        <f t="shared" si="28"/>
        <v>-300</v>
      </c>
      <c r="S39" s="33">
        <f t="shared" si="28"/>
        <v>0</v>
      </c>
      <c r="AB39" s="30"/>
      <c r="AC39" s="30"/>
      <c r="AD39" s="30"/>
      <c r="AE39" s="30"/>
    </row>
    <row r="40" spans="2:31" x14ac:dyDescent="0.35">
      <c r="B40">
        <v>2037</v>
      </c>
      <c r="C40" s="33">
        <v>0</v>
      </c>
      <c r="D40" s="33">
        <v>200</v>
      </c>
      <c r="E40" s="33">
        <v>200</v>
      </c>
      <c r="F40" s="33">
        <v>250</v>
      </c>
      <c r="G40" s="33">
        <v>100</v>
      </c>
      <c r="I40" s="33">
        <v>0</v>
      </c>
      <c r="J40" s="33">
        <v>400</v>
      </c>
      <c r="K40" s="33">
        <v>200</v>
      </c>
      <c r="L40" s="33">
        <v>250</v>
      </c>
      <c r="M40" s="33">
        <v>100</v>
      </c>
      <c r="O40" s="33">
        <f t="shared" si="28"/>
        <v>0</v>
      </c>
      <c r="P40" s="33">
        <f t="shared" si="28"/>
        <v>200</v>
      </c>
      <c r="Q40" s="33">
        <f t="shared" si="28"/>
        <v>0</v>
      </c>
      <c r="R40" s="33">
        <f t="shared" si="28"/>
        <v>0</v>
      </c>
      <c r="S40" s="33">
        <f t="shared" si="28"/>
        <v>0</v>
      </c>
      <c r="AB40" s="30"/>
      <c r="AC40" s="30"/>
      <c r="AD40" s="30"/>
      <c r="AE40" s="30"/>
    </row>
    <row r="41" spans="2:31" x14ac:dyDescent="0.35">
      <c r="B41">
        <v>2038</v>
      </c>
      <c r="C41" s="33">
        <v>0</v>
      </c>
      <c r="D41" s="33">
        <v>200</v>
      </c>
      <c r="E41" s="33">
        <v>200</v>
      </c>
      <c r="F41" s="33">
        <v>250</v>
      </c>
      <c r="G41" s="33">
        <v>0</v>
      </c>
      <c r="I41" s="33">
        <v>0</v>
      </c>
      <c r="J41" s="33">
        <v>0</v>
      </c>
      <c r="K41" s="33">
        <v>200</v>
      </c>
      <c r="L41" s="33">
        <v>250</v>
      </c>
      <c r="M41" s="33">
        <v>0</v>
      </c>
      <c r="O41" s="33">
        <f t="shared" si="28"/>
        <v>0</v>
      </c>
      <c r="P41" s="33">
        <f t="shared" si="28"/>
        <v>-200</v>
      </c>
      <c r="Q41" s="33">
        <f t="shared" si="28"/>
        <v>0</v>
      </c>
      <c r="R41" s="33">
        <f t="shared" si="28"/>
        <v>0</v>
      </c>
      <c r="S41" s="33">
        <f t="shared" si="28"/>
        <v>0</v>
      </c>
      <c r="AB41" s="30"/>
      <c r="AC41" s="30"/>
      <c r="AD41" s="30"/>
      <c r="AE41" s="30"/>
    </row>
    <row r="42" spans="2:31" x14ac:dyDescent="0.35">
      <c r="B42">
        <v>2039</v>
      </c>
      <c r="C42" s="33">
        <v>0</v>
      </c>
      <c r="D42" s="33">
        <v>200</v>
      </c>
      <c r="E42" s="33">
        <v>200</v>
      </c>
      <c r="F42" s="33">
        <v>250</v>
      </c>
      <c r="G42" s="33">
        <v>0</v>
      </c>
      <c r="I42" s="33">
        <v>484</v>
      </c>
      <c r="J42" s="33">
        <v>400</v>
      </c>
      <c r="K42" s="33">
        <v>0</v>
      </c>
      <c r="L42" s="33">
        <v>250</v>
      </c>
      <c r="M42" s="33">
        <v>0</v>
      </c>
      <c r="O42" s="33">
        <f t="shared" si="28"/>
        <v>484</v>
      </c>
      <c r="P42" s="33">
        <f t="shared" si="28"/>
        <v>200</v>
      </c>
      <c r="Q42" s="33">
        <f t="shared" si="28"/>
        <v>-200</v>
      </c>
      <c r="R42" s="33">
        <f t="shared" si="28"/>
        <v>0</v>
      </c>
      <c r="S42" s="33">
        <f t="shared" si="28"/>
        <v>0</v>
      </c>
      <c r="AB42" s="30"/>
      <c r="AC42" s="30"/>
      <c r="AD42" s="30"/>
      <c r="AE42" s="30"/>
    </row>
    <row r="43" spans="2:31" x14ac:dyDescent="0.35">
      <c r="B43">
        <v>2040</v>
      </c>
      <c r="C43" s="33">
        <v>968</v>
      </c>
      <c r="D43" s="33">
        <v>200</v>
      </c>
      <c r="E43" s="33">
        <v>200</v>
      </c>
      <c r="F43" s="33">
        <v>0</v>
      </c>
      <c r="G43" s="33">
        <v>0</v>
      </c>
      <c r="I43" s="33">
        <v>0</v>
      </c>
      <c r="J43" s="33">
        <v>0</v>
      </c>
      <c r="K43" s="33">
        <v>200</v>
      </c>
      <c r="L43" s="33">
        <v>0</v>
      </c>
      <c r="M43" s="33">
        <v>0</v>
      </c>
      <c r="O43" s="33">
        <f t="shared" si="28"/>
        <v>-968</v>
      </c>
      <c r="P43" s="33">
        <f t="shared" si="28"/>
        <v>-200</v>
      </c>
      <c r="Q43" s="33">
        <f t="shared" si="28"/>
        <v>0</v>
      </c>
      <c r="R43" s="33">
        <f t="shared" si="28"/>
        <v>0</v>
      </c>
      <c r="S43" s="33">
        <f t="shared" si="28"/>
        <v>0</v>
      </c>
      <c r="AB43" s="30"/>
      <c r="AC43" s="30"/>
      <c r="AD43" s="30"/>
      <c r="AE43" s="30"/>
    </row>
    <row r="44" spans="2:31" x14ac:dyDescent="0.35">
      <c r="C44" s="34">
        <f>SUM(C28:C43)</f>
        <v>3220</v>
      </c>
      <c r="D44" s="34">
        <f t="shared" ref="D44:G44" si="29">SUM(D28:D43)</f>
        <v>1200</v>
      </c>
      <c r="E44" s="34">
        <f t="shared" si="29"/>
        <v>900</v>
      </c>
      <c r="F44" s="34">
        <f t="shared" si="29"/>
        <v>2150</v>
      </c>
      <c r="G44" s="34">
        <f t="shared" si="29"/>
        <v>100</v>
      </c>
      <c r="I44" s="34">
        <f>SUM(I28:I43)</f>
        <v>1852</v>
      </c>
      <c r="J44" s="34">
        <f t="shared" ref="J44:M44" si="30">SUM(J28:J43)</f>
        <v>1300</v>
      </c>
      <c r="K44" s="34">
        <f t="shared" si="30"/>
        <v>700</v>
      </c>
      <c r="L44" s="34">
        <f t="shared" si="30"/>
        <v>1950</v>
      </c>
      <c r="M44" s="34">
        <f t="shared" si="30"/>
        <v>100</v>
      </c>
      <c r="O44" s="34">
        <f t="shared" si="28"/>
        <v>-1368</v>
      </c>
      <c r="P44" s="34">
        <f t="shared" si="28"/>
        <v>100</v>
      </c>
      <c r="Q44" s="34">
        <f t="shared" si="28"/>
        <v>-200</v>
      </c>
      <c r="R44" s="34">
        <f t="shared" si="28"/>
        <v>-200</v>
      </c>
      <c r="S44" s="34">
        <f t="shared" si="28"/>
        <v>0</v>
      </c>
    </row>
  </sheetData>
  <mergeCells count="12">
    <mergeCell ref="T2:W2"/>
    <mergeCell ref="AB2:AE2"/>
    <mergeCell ref="C3:F3"/>
    <mergeCell ref="H3:K3"/>
    <mergeCell ref="M3:P3"/>
    <mergeCell ref="T3:W3"/>
    <mergeCell ref="AB3:AE3"/>
    <mergeCell ref="C26:G26"/>
    <mergeCell ref="I26:M26"/>
    <mergeCell ref="O26:S26"/>
    <mergeCell ref="C1:P1"/>
    <mergeCell ref="C2:F2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9CEB-0D3A-4F38-BEC4-B3F4185A525F}">
  <dimension ref="A1:R23"/>
  <sheetViews>
    <sheetView showGridLines="0" zoomScaleNormal="100" workbookViewId="0">
      <selection activeCell="G23" sqref="G23"/>
    </sheetView>
  </sheetViews>
  <sheetFormatPr defaultColWidth="10.453125" defaultRowHeight="13" x14ac:dyDescent="0.3"/>
  <cols>
    <col min="1" max="1" width="10.453125" style="2"/>
    <col min="2" max="2" width="8.7265625" style="2" customWidth="1"/>
    <col min="3" max="10" width="12.1796875" style="2" customWidth="1"/>
    <col min="11" max="17" width="8.54296875" style="2" customWidth="1"/>
    <col min="18" max="18" width="16.54296875" style="2" customWidth="1"/>
    <col min="19" max="34" width="8.54296875" style="2" customWidth="1"/>
    <col min="35" max="35" width="12.7265625" style="2" customWidth="1"/>
    <col min="36" max="38" width="8.54296875" style="2" customWidth="1"/>
    <col min="39" max="16384" width="10.453125" style="2"/>
  </cols>
  <sheetData>
    <row r="1" spans="1:18" customFormat="1" ht="14.5" x14ac:dyDescent="0.3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8" customFormat="1" ht="14.5" x14ac:dyDescent="0.35">
      <c r="A2" s="3" t="s">
        <v>1</v>
      </c>
      <c r="B2" s="3"/>
      <c r="C2" s="2"/>
      <c r="D2" s="2"/>
      <c r="E2" s="2"/>
      <c r="F2" s="2"/>
      <c r="G2" s="2"/>
      <c r="H2" s="2"/>
      <c r="I2" s="2"/>
      <c r="J2" s="2"/>
    </row>
    <row r="3" spans="1:18" customFormat="1" ht="14.5" x14ac:dyDescent="0.35">
      <c r="A3" s="3" t="s">
        <v>2</v>
      </c>
      <c r="B3" s="3"/>
      <c r="C3" s="2"/>
      <c r="D3" s="2"/>
      <c r="E3" s="2"/>
      <c r="F3" s="2"/>
      <c r="G3" s="2"/>
      <c r="H3" s="2"/>
      <c r="I3" s="2"/>
      <c r="J3" s="2"/>
    </row>
    <row r="4" spans="1:18" customFormat="1" ht="14.5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8" customFormat="1" ht="12.5" customHeight="1" thickBot="1" x14ac:dyDescent="0.4">
      <c r="A5" s="2"/>
      <c r="B5" s="102" t="s">
        <v>3</v>
      </c>
      <c r="C5" s="102"/>
      <c r="D5" s="102"/>
      <c r="E5" s="102"/>
      <c r="F5" s="102"/>
      <c r="G5" s="102"/>
      <c r="H5" s="102"/>
      <c r="I5" s="102"/>
      <c r="J5" s="102"/>
    </row>
    <row r="6" spans="1:18" customFormat="1" ht="31.5" customHeight="1" thickBot="1" x14ac:dyDescent="0.4">
      <c r="A6" s="2"/>
      <c r="B6" s="4" t="s">
        <v>4</v>
      </c>
      <c r="C6" s="4" t="s">
        <v>6</v>
      </c>
      <c r="D6" s="4" t="s">
        <v>8</v>
      </c>
      <c r="E6" s="4" t="s">
        <v>10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O6" s="36" t="s">
        <v>45</v>
      </c>
      <c r="P6" s="38" t="s">
        <v>47</v>
      </c>
      <c r="Q6" s="38" t="s">
        <v>48</v>
      </c>
      <c r="R6" s="38" t="s">
        <v>50</v>
      </c>
    </row>
    <row r="7" spans="1:18" customFormat="1" ht="12.75" customHeight="1" thickTop="1" thickBot="1" x14ac:dyDescent="0.4">
      <c r="A7" s="2"/>
      <c r="B7" s="4"/>
      <c r="C7" s="4"/>
      <c r="D7" s="4"/>
      <c r="E7" s="4"/>
      <c r="F7" s="4"/>
      <c r="G7" s="4"/>
      <c r="H7" s="4"/>
      <c r="I7" s="4"/>
      <c r="J7" s="4" t="s">
        <v>20</v>
      </c>
      <c r="L7" t="s">
        <v>53</v>
      </c>
      <c r="O7" s="37" t="s">
        <v>46</v>
      </c>
      <c r="P7" s="39" t="s">
        <v>46</v>
      </c>
      <c r="Q7" s="39" t="s">
        <v>49</v>
      </c>
      <c r="R7" s="39" t="s">
        <v>46</v>
      </c>
    </row>
    <row r="8" spans="1:18" customFormat="1" ht="16.5" thickTop="1" thickBot="1" x14ac:dyDescent="0.4">
      <c r="A8" s="2"/>
      <c r="B8" s="5">
        <v>2025</v>
      </c>
      <c r="C8" s="7">
        <v>33050200.072021484</v>
      </c>
      <c r="D8" s="7">
        <v>33116428.215937354</v>
      </c>
      <c r="E8" s="13">
        <v>977.1891512107685</v>
      </c>
      <c r="F8" s="14">
        <v>14435.18804037571</v>
      </c>
      <c r="G8" s="7">
        <v>80663.437912940979</v>
      </c>
      <c r="H8" s="6">
        <v>1.6509011261918163</v>
      </c>
      <c r="I8" s="6">
        <v>3.1761792902135295</v>
      </c>
      <c r="J8" s="8">
        <v>975.66387304674674</v>
      </c>
      <c r="K8" s="15"/>
      <c r="L8" s="43">
        <f>Summary!R5</f>
        <v>0.21123641653309111</v>
      </c>
      <c r="M8" s="15"/>
      <c r="O8" s="40">
        <f>E8*(1+$L8)</f>
        <v>1183.6070857875441</v>
      </c>
      <c r="P8" s="41">
        <f>H8*(1+$L8)</f>
        <v>1.9996315641390201</v>
      </c>
      <c r="Q8" s="41">
        <f>-I8*(1+$L8)</f>
        <v>-3.8471040217448524</v>
      </c>
      <c r="R8" s="41">
        <f>SUM(O8:Q8)</f>
        <v>1181.7596133299382</v>
      </c>
    </row>
    <row r="9" spans="1:18" customFormat="1" ht="16" thickBot="1" x14ac:dyDescent="0.4">
      <c r="A9" s="2"/>
      <c r="B9" s="5">
        <v>2026</v>
      </c>
      <c r="C9" s="7">
        <v>33155651.835449219</v>
      </c>
      <c r="D9" s="7">
        <v>33191292.640324179</v>
      </c>
      <c r="E9" s="13">
        <v>936.40023706931538</v>
      </c>
      <c r="F9" s="14">
        <v>12555.628001511097</v>
      </c>
      <c r="G9" s="7">
        <v>48196.534069776535</v>
      </c>
      <c r="H9" s="6">
        <v>3.0195905386270807</v>
      </c>
      <c r="I9" s="6">
        <v>1.7904646743851313</v>
      </c>
      <c r="J9" s="8">
        <v>937.62936293355733</v>
      </c>
      <c r="K9" s="15"/>
      <c r="L9" s="43">
        <f>Summary!R6</f>
        <v>0.25362969111174949</v>
      </c>
      <c r="M9" s="15"/>
      <c r="O9" s="40">
        <f t="shared" ref="O9:O23" si="0">E9*(1+$L9)</f>
        <v>1173.8991399541749</v>
      </c>
      <c r="P9" s="41">
        <f t="shared" ref="P9:P23" si="1">H9*(1+$L9)</f>
        <v>3.7854483542230284</v>
      </c>
      <c r="Q9" s="41">
        <f t="shared" ref="Q9:Q23" si="2">-I9*(1+$L9)</f>
        <v>-2.2445796766959312</v>
      </c>
      <c r="R9" s="41">
        <f t="shared" ref="R9:R23" si="3">SUM(O9:Q9)</f>
        <v>1175.4400086317021</v>
      </c>
    </row>
    <row r="10" spans="1:18" customFormat="1" ht="16" thickBot="1" x14ac:dyDescent="0.4">
      <c r="A10" s="2"/>
      <c r="B10" s="5">
        <v>2027</v>
      </c>
      <c r="C10" s="7">
        <v>34025754.001953125</v>
      </c>
      <c r="D10" s="7">
        <v>34059263.527419291</v>
      </c>
      <c r="E10" s="13">
        <v>936.76194466392269</v>
      </c>
      <c r="F10" s="14">
        <v>14901.183026923798</v>
      </c>
      <c r="G10" s="7">
        <v>48410.805985540152</v>
      </c>
      <c r="H10" s="6">
        <v>3.741818404344972</v>
      </c>
      <c r="I10" s="6">
        <v>1.7591411074980032</v>
      </c>
      <c r="J10" s="8">
        <v>938.74462196076968</v>
      </c>
      <c r="K10" s="15"/>
      <c r="L10" s="43">
        <f>Summary!R7</f>
        <v>0.28906557748917816</v>
      </c>
      <c r="M10" s="15"/>
      <c r="O10" s="40">
        <f t="shared" si="0"/>
        <v>1207.5475771680851</v>
      </c>
      <c r="P10" s="41">
        <f t="shared" si="1"/>
        <v>4.823449302256587</v>
      </c>
      <c r="Q10" s="41">
        <f t="shared" si="2"/>
        <v>-2.267648247621866</v>
      </c>
      <c r="R10" s="41">
        <f t="shared" si="3"/>
        <v>1210.10337822272</v>
      </c>
    </row>
    <row r="11" spans="1:18" customFormat="1" ht="16" thickBot="1" x14ac:dyDescent="0.4">
      <c r="A11" s="2"/>
      <c r="B11" s="5">
        <v>2028</v>
      </c>
      <c r="C11" s="7">
        <v>34075501.323486328</v>
      </c>
      <c r="D11" s="7">
        <v>34412763.805924669</v>
      </c>
      <c r="E11" s="13">
        <v>815.31734841183834</v>
      </c>
      <c r="F11" s="14">
        <v>12308.996993690729</v>
      </c>
      <c r="G11" s="7">
        <v>351272.81404030323</v>
      </c>
      <c r="H11" s="6">
        <v>25.111387353993763</v>
      </c>
      <c r="I11" s="6">
        <v>11.737019099578992</v>
      </c>
      <c r="J11" s="8">
        <v>828.69171666625311</v>
      </c>
      <c r="K11" s="15"/>
      <c r="L11" s="43">
        <f>Summary!R8</f>
        <v>0.32051633919281142</v>
      </c>
      <c r="M11" s="15"/>
      <c r="O11" s="40">
        <f t="shared" si="0"/>
        <v>1076.6398802051908</v>
      </c>
      <c r="P11" s="41">
        <f t="shared" si="1"/>
        <v>33.1599973007485</v>
      </c>
      <c r="Q11" s="41">
        <f t="shared" si="2"/>
        <v>-15.498925494412159</v>
      </c>
      <c r="R11" s="41">
        <f t="shared" si="3"/>
        <v>1094.3009520115272</v>
      </c>
    </row>
    <row r="12" spans="1:18" customFormat="1" ht="16" thickBot="1" x14ac:dyDescent="0.4">
      <c r="A12" s="2"/>
      <c r="B12" s="5">
        <v>2029</v>
      </c>
      <c r="C12" s="7">
        <v>33920099.497802734</v>
      </c>
      <c r="D12" s="7">
        <v>34701367.414921224</v>
      </c>
      <c r="E12" s="13">
        <v>710.61308594574211</v>
      </c>
      <c r="F12" s="14">
        <v>5430.7770152688026</v>
      </c>
      <c r="G12" s="7">
        <v>786698.70809394121</v>
      </c>
      <c r="H12" s="6">
        <v>0.42993410637846963</v>
      </c>
      <c r="I12" s="6">
        <v>25.01563140686347</v>
      </c>
      <c r="J12" s="8">
        <v>686.02738864525713</v>
      </c>
      <c r="K12" s="15"/>
      <c r="L12" s="43">
        <f>Summary!R9</f>
        <v>0.3528444658201555</v>
      </c>
      <c r="M12" s="15"/>
      <c r="O12" s="40">
        <f t="shared" si="0"/>
        <v>961.34898066107974</v>
      </c>
      <c r="P12" s="41">
        <f t="shared" si="1"/>
        <v>0.58163397648144666</v>
      </c>
      <c r="Q12" s="41">
        <f t="shared" si="2"/>
        <v>-33.842258507772115</v>
      </c>
      <c r="R12" s="41">
        <f t="shared" si="3"/>
        <v>928.08835612978908</v>
      </c>
    </row>
    <row r="13" spans="1:18" customFormat="1" ht="16" thickBot="1" x14ac:dyDescent="0.4">
      <c r="A13" s="2"/>
      <c r="B13" s="5">
        <v>2030</v>
      </c>
      <c r="C13" s="7">
        <v>33808022.219238281</v>
      </c>
      <c r="D13" s="7">
        <v>34901771.531900264</v>
      </c>
      <c r="E13" s="13">
        <v>712.48257107018412</v>
      </c>
      <c r="F13" s="14">
        <v>4801.1280125379562</v>
      </c>
      <c r="G13" s="7">
        <v>1098550.4957144875</v>
      </c>
      <c r="H13" s="6">
        <v>0.37570959524817671</v>
      </c>
      <c r="I13" s="6">
        <v>34.176922699957508</v>
      </c>
      <c r="J13" s="8">
        <v>678.68135796547483</v>
      </c>
      <c r="K13" s="15"/>
      <c r="L13" s="43">
        <f>Summary!R10</f>
        <v>0.38563573789931382</v>
      </c>
      <c r="M13" s="15"/>
      <c r="O13" s="40">
        <f t="shared" si="0"/>
        <v>987.24131310523489</v>
      </c>
      <c r="P13" s="41">
        <f t="shared" si="1"/>
        <v>0.52059664224755986</v>
      </c>
      <c r="Q13" s="41">
        <f t="shared" si="2"/>
        <v>-47.356765504483434</v>
      </c>
      <c r="R13" s="41">
        <f t="shared" si="3"/>
        <v>940.40514424299909</v>
      </c>
    </row>
    <row r="14" spans="1:18" customFormat="1" ht="16" thickBot="1" x14ac:dyDescent="0.4">
      <c r="A14" s="2"/>
      <c r="B14" s="5">
        <v>2031</v>
      </c>
      <c r="C14" s="7">
        <v>33768873.138916016</v>
      </c>
      <c r="D14" s="7">
        <v>35103821.20330292</v>
      </c>
      <c r="E14" s="13">
        <v>718.26036720859702</v>
      </c>
      <c r="F14" s="14">
        <v>6832.4290072917938</v>
      </c>
      <c r="G14" s="7">
        <v>1341780.5281337854</v>
      </c>
      <c r="H14" s="6">
        <v>0.59153545475131741</v>
      </c>
      <c r="I14" s="6">
        <v>41.712789365212039</v>
      </c>
      <c r="J14" s="8">
        <v>677.13911329813629</v>
      </c>
      <c r="K14" s="15"/>
      <c r="L14" s="43">
        <f>Summary!R11</f>
        <v>0.41857129399151893</v>
      </c>
      <c r="M14" s="15"/>
      <c r="O14" s="40">
        <f t="shared" si="0"/>
        <v>1018.903538533923</v>
      </c>
      <c r="P14" s="41">
        <f t="shared" si="1"/>
        <v>0.83913521548843795</v>
      </c>
      <c r="Q14" s="41">
        <f t="shared" si="2"/>
        <v>-59.172565585804513</v>
      </c>
      <c r="R14" s="41">
        <f t="shared" si="3"/>
        <v>960.57010816360696</v>
      </c>
    </row>
    <row r="15" spans="1:18" customFormat="1" ht="16" thickBot="1" x14ac:dyDescent="0.4">
      <c r="A15" s="2"/>
      <c r="B15" s="5">
        <v>2032</v>
      </c>
      <c r="C15" s="7">
        <v>33827370.076416016</v>
      </c>
      <c r="D15" s="7">
        <v>35342777.445186891</v>
      </c>
      <c r="E15" s="13">
        <v>724.03793402819326</v>
      </c>
      <c r="F15" s="14">
        <v>5909.3060096502304</v>
      </c>
      <c r="G15" s="7">
        <v>1521361.6637739837</v>
      </c>
      <c r="H15" s="6">
        <v>3.0676519704699365</v>
      </c>
      <c r="I15" s="6">
        <v>47.663767028608547</v>
      </c>
      <c r="J15" s="8">
        <v>679.44181897005467</v>
      </c>
      <c r="K15" s="15"/>
      <c r="L15" s="43">
        <f>Summary!R12</f>
        <v>0.45181386458476869</v>
      </c>
      <c r="M15" s="15"/>
      <c r="O15" s="40">
        <f t="shared" si="0"/>
        <v>1051.1683111074431</v>
      </c>
      <c r="P15" s="41">
        <f t="shared" si="1"/>
        <v>4.4536596624490397</v>
      </c>
      <c r="Q15" s="41">
        <f t="shared" si="2"/>
        <v>-69.198917810472253</v>
      </c>
      <c r="R15" s="41">
        <f t="shared" si="3"/>
        <v>986.42305295941992</v>
      </c>
    </row>
    <row r="16" spans="1:18" customFormat="1" ht="16" thickBot="1" x14ac:dyDescent="0.4">
      <c r="A16" s="2"/>
      <c r="B16" s="5">
        <v>2033</v>
      </c>
      <c r="C16" s="7">
        <v>33717104.604492188</v>
      </c>
      <c r="D16" s="7">
        <v>35128457.106310219</v>
      </c>
      <c r="E16" s="13">
        <v>711.64679427315468</v>
      </c>
      <c r="F16" s="14">
        <v>8527.3419772386551</v>
      </c>
      <c r="G16" s="7">
        <v>1420228.4843951762</v>
      </c>
      <c r="H16" s="6">
        <v>12.166224006368132</v>
      </c>
      <c r="I16" s="6">
        <v>45.971894483561215</v>
      </c>
      <c r="J16" s="8">
        <v>677.84112379596161</v>
      </c>
      <c r="K16" s="15"/>
      <c r="L16" s="43">
        <f>Summary!R13</f>
        <v>0.48571371832282351</v>
      </c>
      <c r="M16" s="15"/>
      <c r="O16" s="40">
        <f t="shared" si="0"/>
        <v>1057.303404852086</v>
      </c>
      <c r="P16" s="41">
        <f t="shared" si="1"/>
        <v>18.075525906449595</v>
      </c>
      <c r="Q16" s="41">
        <f t="shared" si="2"/>
        <v>-68.30107429151623</v>
      </c>
      <c r="R16" s="41">
        <f t="shared" si="3"/>
        <v>1007.0778564670195</v>
      </c>
    </row>
    <row r="17" spans="1:18" customFormat="1" ht="16" thickBot="1" x14ac:dyDescent="0.4">
      <c r="A17" s="2"/>
      <c r="B17" s="5">
        <v>2034</v>
      </c>
      <c r="C17" s="7">
        <v>33675258.977294922</v>
      </c>
      <c r="D17" s="7">
        <v>35502908.712847419</v>
      </c>
      <c r="E17" s="13">
        <v>645.43188194551101</v>
      </c>
      <c r="F17" s="14">
        <v>4381.7859934568405</v>
      </c>
      <c r="G17" s="7">
        <v>1832031.6081306636</v>
      </c>
      <c r="H17" s="6">
        <v>0.94953954117289185</v>
      </c>
      <c r="I17" s="6">
        <v>54.455586209256765</v>
      </c>
      <c r="J17" s="8">
        <v>591.92583527742704</v>
      </c>
      <c r="K17" s="15"/>
      <c r="L17" s="43">
        <f>Summary!R14</f>
        <v>0.52040513364566165</v>
      </c>
      <c r="M17" s="15"/>
      <c r="O17" s="40">
        <f t="shared" si="0"/>
        <v>981.31794672853562</v>
      </c>
      <c r="P17" s="41">
        <f t="shared" si="1"/>
        <v>1.4436847929988108</v>
      </c>
      <c r="Q17" s="41">
        <f t="shared" si="2"/>
        <v>-82.794552828237883</v>
      </c>
      <c r="R17" s="41">
        <f t="shared" si="3"/>
        <v>899.96707869329657</v>
      </c>
    </row>
    <row r="18" spans="1:18" customFormat="1" ht="16" thickBot="1" x14ac:dyDescent="0.4">
      <c r="A18" s="2"/>
      <c r="B18" s="5">
        <v>2035</v>
      </c>
      <c r="C18" s="7">
        <v>33675950.144287109</v>
      </c>
      <c r="D18" s="7">
        <v>35908564.115329102</v>
      </c>
      <c r="E18" s="13">
        <v>547.21392368992144</v>
      </c>
      <c r="F18" s="14">
        <v>1471.2950006425381</v>
      </c>
      <c r="G18" s="7">
        <v>2234085.3091570549</v>
      </c>
      <c r="H18" s="6">
        <v>0.12558373853157462</v>
      </c>
      <c r="I18" s="6">
        <v>59.731720501339602</v>
      </c>
      <c r="J18" s="8">
        <v>487.60778692711335</v>
      </c>
      <c r="K18" s="15"/>
      <c r="L18" s="43">
        <f>Summary!R15</f>
        <v>0.55590659351628879</v>
      </c>
      <c r="M18" s="15"/>
      <c r="O18" s="40">
        <f t="shared" si="0"/>
        <v>851.41375193306806</v>
      </c>
      <c r="P18" s="41">
        <f t="shared" si="1"/>
        <v>0.19539656681970258</v>
      </c>
      <c r="Q18" s="41">
        <f t="shared" si="2"/>
        <v>-92.936977770106367</v>
      </c>
      <c r="R18" s="41">
        <f t="shared" si="3"/>
        <v>758.67217072978133</v>
      </c>
    </row>
    <row r="19" spans="1:18" customFormat="1" ht="16" thickBot="1" x14ac:dyDescent="0.4">
      <c r="A19" s="2"/>
      <c r="B19" s="5">
        <v>2036</v>
      </c>
      <c r="C19" s="7">
        <v>33792305.426757813</v>
      </c>
      <c r="D19" s="7">
        <v>36259920.582589917</v>
      </c>
      <c r="E19" s="13">
        <v>423.19863247621367</v>
      </c>
      <c r="F19" s="14">
        <v>141.11500358581543</v>
      </c>
      <c r="G19" s="7">
        <v>2467756.2621247768</v>
      </c>
      <c r="H19" s="6">
        <v>1.2730772783901542E-2</v>
      </c>
      <c r="I19" s="6">
        <v>55.093279507501876</v>
      </c>
      <c r="J19" s="8">
        <v>368.11808374149575</v>
      </c>
      <c r="K19" s="15"/>
      <c r="L19" s="43">
        <f>Summary!R16</f>
        <v>0.59223701247489391</v>
      </c>
      <c r="M19" s="15"/>
      <c r="O19" s="40">
        <f t="shared" si="0"/>
        <v>673.83252625738703</v>
      </c>
      <c r="P19" s="41">
        <f t="shared" si="1"/>
        <v>2.0270407623936081E-2</v>
      </c>
      <c r="Q19" s="41">
        <f t="shared" si="2"/>
        <v>-87.721558770469088</v>
      </c>
      <c r="R19" s="41">
        <f t="shared" si="3"/>
        <v>586.13123789454187</v>
      </c>
    </row>
    <row r="20" spans="1:18" customFormat="1" ht="16" thickBot="1" x14ac:dyDescent="0.4">
      <c r="A20" s="2"/>
      <c r="B20" s="5">
        <v>2037</v>
      </c>
      <c r="C20" s="7">
        <v>33709834.706542969</v>
      </c>
      <c r="D20" s="7">
        <v>36219410.306813449</v>
      </c>
      <c r="E20" s="13">
        <v>374.08226883498185</v>
      </c>
      <c r="F20" s="14">
        <v>0</v>
      </c>
      <c r="G20" s="7">
        <v>2509575.6120932102</v>
      </c>
      <c r="H20" s="6">
        <v>0</v>
      </c>
      <c r="I20" s="6">
        <v>50.474467625166689</v>
      </c>
      <c r="J20" s="8">
        <v>323.60780120981514</v>
      </c>
      <c r="K20" s="15"/>
      <c r="L20" s="43">
        <f>Summary!R17</f>
        <v>0.62941574671618339</v>
      </c>
      <c r="M20" s="15"/>
      <c r="O20" s="40">
        <f t="shared" si="0"/>
        <v>609.53553940703603</v>
      </c>
      <c r="P20" s="41">
        <f t="shared" si="1"/>
        <v>0</v>
      </c>
      <c r="Q20" s="41">
        <f t="shared" si="2"/>
        <v>-82.243892355562807</v>
      </c>
      <c r="R20" s="41">
        <f t="shared" si="3"/>
        <v>527.29164705147321</v>
      </c>
    </row>
    <row r="21" spans="1:18" customFormat="1" ht="16" thickBot="1" x14ac:dyDescent="0.4">
      <c r="A21" s="2"/>
      <c r="B21" s="5">
        <v>2038</v>
      </c>
      <c r="C21" s="7">
        <v>33753359.391113281</v>
      </c>
      <c r="D21" s="7">
        <v>36315815.544292644</v>
      </c>
      <c r="E21" s="13">
        <v>350.65112833151841</v>
      </c>
      <c r="F21" s="14">
        <v>0</v>
      </c>
      <c r="G21" s="7">
        <v>2562456.0839538574</v>
      </c>
      <c r="H21" s="6">
        <v>0</v>
      </c>
      <c r="I21" s="6">
        <v>46.81850614254779</v>
      </c>
      <c r="J21" s="8">
        <v>303.83262218897062</v>
      </c>
      <c r="K21" s="15"/>
      <c r="L21" s="43">
        <f>Summary!R18</f>
        <v>0.66746260440200622</v>
      </c>
      <c r="M21" s="15"/>
      <c r="O21" s="40">
        <f t="shared" si="0"/>
        <v>584.69764368417577</v>
      </c>
      <c r="P21" s="41">
        <f t="shared" si="1"/>
        <v>0</v>
      </c>
      <c r="Q21" s="41">
        <f t="shared" si="2"/>
        <v>-78.068108186664062</v>
      </c>
      <c r="R21" s="41">
        <f t="shared" si="3"/>
        <v>506.62953549751171</v>
      </c>
    </row>
    <row r="22" spans="1:18" customFormat="1" ht="16" thickBot="1" x14ac:dyDescent="0.4">
      <c r="A22" s="2"/>
      <c r="B22" s="5">
        <v>2039</v>
      </c>
      <c r="C22" s="7">
        <v>33754476.710449219</v>
      </c>
      <c r="D22" s="7">
        <v>36286804.310972586</v>
      </c>
      <c r="E22" s="13">
        <v>336.05097238859645</v>
      </c>
      <c r="F22" s="14">
        <v>307.95000886917114</v>
      </c>
      <c r="G22" s="7">
        <v>2532635.5150633454</v>
      </c>
      <c r="H22" s="6">
        <v>2.552262747514248E-2</v>
      </c>
      <c r="I22" s="6">
        <v>44.319756625891642</v>
      </c>
      <c r="J22" s="8">
        <v>291.75673839017998</v>
      </c>
      <c r="K22" s="15"/>
      <c r="L22" s="43">
        <f>Summary!R19</f>
        <v>0.70639785621479323</v>
      </c>
      <c r="M22" s="15"/>
      <c r="O22" s="40">
        <f t="shared" si="0"/>
        <v>573.43665886279769</v>
      </c>
      <c r="P22" s="41">
        <f t="shared" si="1"/>
        <v>4.355175680855191E-2</v>
      </c>
      <c r="Q22" s="41">
        <f t="shared" si="2"/>
        <v>-75.627137694382881</v>
      </c>
      <c r="R22" s="41">
        <f t="shared" si="3"/>
        <v>497.85307292522339</v>
      </c>
    </row>
    <row r="23" spans="1:18" customFormat="1" ht="16" thickBot="1" x14ac:dyDescent="0.4">
      <c r="A23" s="2"/>
      <c r="B23" s="9">
        <v>2040</v>
      </c>
      <c r="C23" s="11">
        <v>33870433.217041016</v>
      </c>
      <c r="D23" s="11">
        <v>36499741.280386508</v>
      </c>
      <c r="E23" s="16">
        <v>303.91928384173957</v>
      </c>
      <c r="F23" s="17">
        <v>0</v>
      </c>
      <c r="G23" s="11">
        <v>2629308.1390037537</v>
      </c>
      <c r="H23" s="10">
        <v>0</v>
      </c>
      <c r="I23" s="10">
        <v>27.355001607311603</v>
      </c>
      <c r="J23" s="12">
        <v>276.56428223442799</v>
      </c>
      <c r="K23" s="15"/>
      <c r="L23" s="43">
        <f>Summary!R20</f>
        <v>0.74624224615740964</v>
      </c>
      <c r="M23" s="15"/>
      <c r="O23" s="40">
        <f t="shared" si="0"/>
        <v>530.71669286635063</v>
      </c>
      <c r="P23" s="41">
        <f t="shared" si="1"/>
        <v>0</v>
      </c>
      <c r="Q23" s="41">
        <f t="shared" si="2"/>
        <v>-47.768459450391369</v>
      </c>
      <c r="R23" s="41">
        <f t="shared" si="3"/>
        <v>482.94823341595924</v>
      </c>
    </row>
  </sheetData>
  <mergeCells count="1">
    <mergeCell ref="B5:J5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923DD-5371-4C81-A2DD-59D14BA455B4}">
  <sheetPr>
    <tabColor rgb="FF00FFFF"/>
  </sheetPr>
  <dimension ref="A1:AI48"/>
  <sheetViews>
    <sheetView showGridLines="0" zoomScaleNormal="100" workbookViewId="0">
      <selection activeCell="C8" sqref="C8:N23"/>
    </sheetView>
  </sheetViews>
  <sheetFormatPr defaultColWidth="10.453125" defaultRowHeight="13" x14ac:dyDescent="0.3"/>
  <cols>
    <col min="1" max="1" width="10.453125" style="2"/>
    <col min="2" max="2" width="8.7265625" style="2" customWidth="1"/>
    <col min="3" max="17" width="12.1796875" style="2" customWidth="1"/>
    <col min="18" max="18" width="8.54296875" style="2" customWidth="1"/>
    <col min="19" max="19" width="6.1796875" style="2" bestFit="1" customWidth="1"/>
    <col min="20" max="20" width="11.08984375" style="2" bestFit="1" customWidth="1"/>
    <col min="21" max="21" width="14.7265625" style="2" bestFit="1" customWidth="1"/>
    <col min="22" max="22" width="8.54296875" style="2" customWidth="1"/>
    <col min="23" max="23" width="22.6328125" style="2" bestFit="1" customWidth="1"/>
    <col min="24" max="24" width="8.54296875" style="2" customWidth="1"/>
    <col min="25" max="25" width="12.90625" style="2" bestFit="1" customWidth="1"/>
    <col min="26" max="26" width="18.6328125" style="2" customWidth="1"/>
    <col min="27" max="39" width="8.54296875" style="2" customWidth="1"/>
    <col min="40" max="40" width="12.7265625" style="2" customWidth="1"/>
    <col min="41" max="43" width="8.54296875" style="2" customWidth="1"/>
    <col min="44" max="16384" width="10.453125" style="2"/>
  </cols>
  <sheetData>
    <row r="1" spans="1:26" customFormat="1" ht="14.5" x14ac:dyDescent="0.3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6" customFormat="1" ht="14.5" x14ac:dyDescent="0.3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6" customFormat="1" ht="14.5" x14ac:dyDescent="0.35">
      <c r="A3" s="3" t="s">
        <v>2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6" customFormat="1" ht="15" thickBo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6" customFormat="1" ht="12.5" customHeight="1" thickBot="1" x14ac:dyDescent="0.4">
      <c r="A5" s="2"/>
      <c r="B5" s="102" t="s">
        <v>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45"/>
      <c r="P5" s="45"/>
      <c r="Q5" s="45"/>
      <c r="X5" s="36" t="s">
        <v>56</v>
      </c>
    </row>
    <row r="6" spans="1:26" customFormat="1" ht="31.5" customHeight="1" thickBot="1" x14ac:dyDescent="0.4">
      <c r="A6" s="2"/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6"/>
      <c r="P6" s="46"/>
      <c r="Q6" s="46"/>
      <c r="S6" s="36" t="s">
        <v>51</v>
      </c>
      <c r="T6" s="38" t="s">
        <v>45</v>
      </c>
      <c r="U6" s="38" t="s">
        <v>50</v>
      </c>
      <c r="W6" s="51" t="s">
        <v>54</v>
      </c>
      <c r="X6" s="53" t="s">
        <v>57</v>
      </c>
      <c r="Y6" s="49" t="s">
        <v>59</v>
      </c>
    </row>
    <row r="7" spans="1:26" customFormat="1" ht="12.75" customHeight="1" thickTop="1" thickBot="1" x14ac:dyDescent="0.4">
      <c r="A7" s="2"/>
      <c r="B7" s="4"/>
      <c r="C7" s="4"/>
      <c r="D7" s="4"/>
      <c r="E7" s="4" t="s">
        <v>17</v>
      </c>
      <c r="F7" s="4"/>
      <c r="G7" s="4"/>
      <c r="H7" s="4"/>
      <c r="I7" s="4" t="s">
        <v>18</v>
      </c>
      <c r="J7" s="4"/>
      <c r="K7" s="4"/>
      <c r="L7" s="4"/>
      <c r="M7" s="4"/>
      <c r="N7" s="4" t="s">
        <v>44</v>
      </c>
      <c r="O7" s="46"/>
      <c r="P7" s="35" t="s">
        <v>53</v>
      </c>
      <c r="Q7" s="46"/>
      <c r="S7" s="37" t="s">
        <v>46</v>
      </c>
      <c r="T7" s="39" t="s">
        <v>52</v>
      </c>
      <c r="U7" s="39" t="s">
        <v>46</v>
      </c>
      <c r="W7" s="52" t="s">
        <v>55</v>
      </c>
      <c r="X7" s="37" t="s">
        <v>58</v>
      </c>
      <c r="Y7" s="50" t="s">
        <v>60</v>
      </c>
      <c r="Z7" s="58" t="s">
        <v>61</v>
      </c>
    </row>
    <row r="8" spans="1:26" customFormat="1" ht="16.5" thickTop="1" thickBot="1" x14ac:dyDescent="0.4">
      <c r="A8" s="2"/>
      <c r="B8" s="5">
        <v>2025</v>
      </c>
      <c r="C8" s="6">
        <v>38.481597184157494</v>
      </c>
      <c r="D8" s="7">
        <v>33050200.072021484</v>
      </c>
      <c r="E8" s="8">
        <v>1271.8244860273437</v>
      </c>
      <c r="F8" s="7">
        <v>34496710.948377259</v>
      </c>
      <c r="G8" s="8">
        <v>1316.8136185030551</v>
      </c>
      <c r="H8" s="8">
        <v>1018.551381211907</v>
      </c>
      <c r="I8" s="8">
        <v>298.26223729114804</v>
      </c>
      <c r="J8" s="7">
        <v>506658.68126669526</v>
      </c>
      <c r="K8" s="7">
        <v>1953169.6308008134</v>
      </c>
      <c r="L8" s="85">
        <v>19.746094448262014</v>
      </c>
      <c r="M8" s="85">
        <v>72.730917780330017</v>
      </c>
      <c r="N8" s="8">
        <f>E8-I8</f>
        <v>973.56224873619567</v>
      </c>
      <c r="O8" s="47"/>
      <c r="P8" s="48">
        <f>Summary!$R5</f>
        <v>0.21123641653309111</v>
      </c>
      <c r="Q8" s="47"/>
      <c r="S8" s="40">
        <f>E8*(1+$P8)</f>
        <v>1540.4801329148002</v>
      </c>
      <c r="T8" s="40">
        <f>-I8*(1+$P8)</f>
        <v>-361.26608348367267</v>
      </c>
      <c r="U8" s="40">
        <f>SUM(S8:T8)</f>
        <v>1179.2140494311275</v>
      </c>
      <c r="W8" s="75">
        <f>U8-'C1-SA'!R8</f>
        <v>-2.5455638988107694</v>
      </c>
      <c r="X8" s="42">
        <f>Summary!$Y5</f>
        <v>0</v>
      </c>
      <c r="Y8" s="55">
        <v>-0.10463043625983909</v>
      </c>
      <c r="Z8" s="42">
        <f>SUM(W8:Y8)</f>
        <v>-2.6501943350706085</v>
      </c>
    </row>
    <row r="9" spans="1:26" customFormat="1" ht="16" thickBot="1" x14ac:dyDescent="0.4">
      <c r="A9" s="2"/>
      <c r="B9" s="5">
        <v>2026</v>
      </c>
      <c r="C9" s="6">
        <v>36.940871346871695</v>
      </c>
      <c r="D9" s="7">
        <v>33155651.835449219</v>
      </c>
      <c r="E9" s="8">
        <v>1224.798668875</v>
      </c>
      <c r="F9" s="7">
        <v>35080117.215664409</v>
      </c>
      <c r="G9" s="8">
        <v>1288.1854821159259</v>
      </c>
      <c r="H9" s="8">
        <v>992.08786412068162</v>
      </c>
      <c r="I9" s="8">
        <v>296.09761799524415</v>
      </c>
      <c r="J9" s="7">
        <v>296007.82623404264</v>
      </c>
      <c r="K9" s="7">
        <v>2220473.25073722</v>
      </c>
      <c r="L9" s="85">
        <v>12.500615497893998</v>
      </c>
      <c r="M9" s="85">
        <v>78.824998838292004</v>
      </c>
      <c r="N9" s="8">
        <f t="shared" ref="N9:N23" si="0">E9-I9</f>
        <v>928.70105087975583</v>
      </c>
      <c r="O9" s="47"/>
      <c r="P9" s="48">
        <f>Summary!$R6</f>
        <v>0.25362969111174949</v>
      </c>
      <c r="Q9" s="47"/>
      <c r="S9" s="40">
        <f t="shared" ref="S9:S23" si="1">E9*(1+$P9)</f>
        <v>1535.4439769358482</v>
      </c>
      <c r="T9" s="40">
        <f t="shared" ref="T9:T23" si="2">-I9*(1+$P9)</f>
        <v>-371.19676538630273</v>
      </c>
      <c r="U9" s="40">
        <f t="shared" ref="U9:U23" si="3">SUM(S9:T9)</f>
        <v>1164.2472115495455</v>
      </c>
      <c r="W9" s="75">
        <f>U9-'C1-SA'!R9</f>
        <v>-11.19279708215663</v>
      </c>
      <c r="X9" s="42">
        <f>Summary!$Y6</f>
        <v>0</v>
      </c>
      <c r="Y9" s="55">
        <v>-0.11169288565580832</v>
      </c>
      <c r="Z9" s="42">
        <f t="shared" ref="Z9:Z23" si="4">SUM(W9:Y9)</f>
        <v>-11.304489967812438</v>
      </c>
    </row>
    <row r="10" spans="1:26" customFormat="1" ht="16" thickBot="1" x14ac:dyDescent="0.4">
      <c r="A10" s="2"/>
      <c r="B10" s="5">
        <v>2027</v>
      </c>
      <c r="C10" s="6">
        <v>38.025646675073865</v>
      </c>
      <c r="D10" s="7">
        <v>34025754.001953125</v>
      </c>
      <c r="E10" s="8">
        <v>1293.8512995312501</v>
      </c>
      <c r="F10" s="7">
        <v>34989560.833563648</v>
      </c>
      <c r="G10" s="8">
        <v>1317.5287021435847</v>
      </c>
      <c r="H10" s="8">
        <v>969.25726655672406</v>
      </c>
      <c r="I10" s="8">
        <v>348.27143558686066</v>
      </c>
      <c r="J10" s="7">
        <v>909216.57547929883</v>
      </c>
      <c r="K10" s="7">
        <v>1873023.4299684763</v>
      </c>
      <c r="L10" s="85">
        <v>37.857724118107051</v>
      </c>
      <c r="M10" s="85">
        <v>66.775595277044829</v>
      </c>
      <c r="N10" s="8">
        <f t="shared" si="0"/>
        <v>945.57986394438944</v>
      </c>
      <c r="O10" s="47"/>
      <c r="P10" s="48">
        <f>Summary!$R7</f>
        <v>0.28906557748917816</v>
      </c>
      <c r="Q10" s="47"/>
      <c r="S10" s="40">
        <f t="shared" si="1"/>
        <v>1667.8591726153745</v>
      </c>
      <c r="T10" s="40">
        <f t="shared" si="2"/>
        <v>-448.94471923776166</v>
      </c>
      <c r="U10" s="40">
        <f t="shared" si="3"/>
        <v>1218.914453377613</v>
      </c>
      <c r="W10" s="75">
        <f>U10-'C1-SA'!R10</f>
        <v>8.8110751548929329</v>
      </c>
      <c r="X10" s="42">
        <f>Summary!$Y7</f>
        <v>-15.627090909854164</v>
      </c>
      <c r="Y10" s="56">
        <v>-2.6717733643139115E-2</v>
      </c>
      <c r="Z10" s="42">
        <f t="shared" si="4"/>
        <v>-6.8427334886043703</v>
      </c>
    </row>
    <row r="11" spans="1:26" customFormat="1" ht="16" thickBot="1" x14ac:dyDescent="0.4">
      <c r="A11" s="2"/>
      <c r="B11" s="5">
        <v>2028</v>
      </c>
      <c r="C11" s="6">
        <v>36.078028088857039</v>
      </c>
      <c r="D11" s="7">
        <v>34075501.323486328</v>
      </c>
      <c r="E11" s="8">
        <v>1229.3768938906251</v>
      </c>
      <c r="F11" s="7">
        <v>36130379.344854444</v>
      </c>
      <c r="G11" s="8">
        <v>1290.8782721220184</v>
      </c>
      <c r="H11" s="8">
        <v>861.70715281775949</v>
      </c>
      <c r="I11" s="8">
        <v>429.17111930425881</v>
      </c>
      <c r="J11" s="7">
        <v>268801.57005113363</v>
      </c>
      <c r="K11" s="7">
        <v>2323679.5990034938</v>
      </c>
      <c r="L11" s="85">
        <v>12.15156033263999</v>
      </c>
      <c r="M11" s="85">
        <v>78.938768915633446</v>
      </c>
      <c r="N11" s="8">
        <f t="shared" si="0"/>
        <v>800.20577458636626</v>
      </c>
      <c r="O11" s="44"/>
      <c r="P11" s="43">
        <f>Summary!$R8</f>
        <v>0.32051633919281142</v>
      </c>
      <c r="Q11" s="44"/>
      <c r="S11" s="40">
        <f t="shared" si="1"/>
        <v>1623.4122754086775</v>
      </c>
      <c r="T11" s="40">
        <f t="shared" si="2"/>
        <v>-566.72747535094118</v>
      </c>
      <c r="U11" s="40">
        <f t="shared" si="3"/>
        <v>1056.6848000577363</v>
      </c>
      <c r="W11" s="75">
        <f>U11-'C1-SA'!R11</f>
        <v>-37.616151953790904</v>
      </c>
      <c r="X11" s="42">
        <f>Summary!$Y8</f>
        <v>0.24934341786718051</v>
      </c>
      <c r="Y11" s="57">
        <v>0</v>
      </c>
      <c r="Z11" s="42">
        <f t="shared" si="4"/>
        <v>-37.366808535923724</v>
      </c>
    </row>
    <row r="12" spans="1:26" customFormat="1" ht="16" thickBot="1" x14ac:dyDescent="0.4">
      <c r="A12" s="2"/>
      <c r="B12" s="5">
        <v>2029</v>
      </c>
      <c r="C12" s="6">
        <v>35.549313124043316</v>
      </c>
      <c r="D12" s="7">
        <v>33920099.497802734</v>
      </c>
      <c r="E12" s="8">
        <v>1205.8362382460937</v>
      </c>
      <c r="F12" s="7">
        <v>36185124.402822748</v>
      </c>
      <c r="G12" s="8">
        <v>1276.7767586706402</v>
      </c>
      <c r="H12" s="8">
        <v>846.15417306524728</v>
      </c>
      <c r="I12" s="8">
        <v>430.62258560539294</v>
      </c>
      <c r="J12" s="7">
        <v>149168.87900454551</v>
      </c>
      <c r="K12" s="7">
        <v>2414193.784706831</v>
      </c>
      <c r="L12" s="85">
        <v>7.1050030414960004</v>
      </c>
      <c r="M12" s="85">
        <v>81.568426324096976</v>
      </c>
      <c r="N12" s="8">
        <f t="shared" si="0"/>
        <v>775.21365264070073</v>
      </c>
      <c r="O12" s="44"/>
      <c r="P12" s="43">
        <f>Summary!$R9</f>
        <v>0.3528444658201555</v>
      </c>
      <c r="Q12" s="44"/>
      <c r="S12" s="40">
        <f t="shared" si="1"/>
        <v>1631.3088815966223</v>
      </c>
      <c r="T12" s="40">
        <f t="shared" si="2"/>
        <v>-582.56538179342203</v>
      </c>
      <c r="U12" s="40">
        <f t="shared" si="3"/>
        <v>1048.7434998032004</v>
      </c>
      <c r="W12" s="75">
        <f>U12-'C1-SA'!R12</f>
        <v>120.65514367341132</v>
      </c>
      <c r="X12" s="42">
        <f>Summary!$Y9</f>
        <v>-73.157149061474144</v>
      </c>
      <c r="Y12" s="57">
        <v>0</v>
      </c>
      <c r="Z12" s="42">
        <f t="shared" si="4"/>
        <v>47.497994611937173</v>
      </c>
    </row>
    <row r="13" spans="1:26" customFormat="1" ht="16" thickBot="1" x14ac:dyDescent="0.4">
      <c r="A13" s="2"/>
      <c r="B13" s="5">
        <v>2030</v>
      </c>
      <c r="C13" s="6">
        <v>34.71909133527339</v>
      </c>
      <c r="D13" s="7">
        <v>33233480.598632813</v>
      </c>
      <c r="E13" s="8">
        <v>1153.8362482929688</v>
      </c>
      <c r="F13" s="7">
        <v>35594820.231192231</v>
      </c>
      <c r="G13" s="8">
        <v>1229.5007193548383</v>
      </c>
      <c r="H13" s="8">
        <v>824.1179065671206</v>
      </c>
      <c r="I13" s="8">
        <v>405.3828127877178</v>
      </c>
      <c r="J13" s="7">
        <v>81125.378110766411</v>
      </c>
      <c r="K13" s="7">
        <v>2442465.0259243399</v>
      </c>
      <c r="L13" s="85">
        <v>3.7162732055709977</v>
      </c>
      <c r="M13" s="85">
        <v>81.403883915331235</v>
      </c>
      <c r="N13" s="8">
        <f t="shared" si="0"/>
        <v>748.45343550525104</v>
      </c>
      <c r="O13" s="44"/>
      <c r="P13" s="43">
        <f>Summary!$R10</f>
        <v>0.38563573789931382</v>
      </c>
      <c r="Q13" s="44"/>
      <c r="S13" s="40">
        <f t="shared" si="1"/>
        <v>1598.7967413184037</v>
      </c>
      <c r="T13" s="40">
        <f t="shared" si="2"/>
        <v>-561.71291292880869</v>
      </c>
      <c r="U13" s="40">
        <f t="shared" si="3"/>
        <v>1037.0838283895951</v>
      </c>
      <c r="W13" s="75">
        <f>U13-'C1-SA'!R13</f>
        <v>96.67868414659597</v>
      </c>
      <c r="X13" s="42">
        <f>Summary!$Y10</f>
        <v>-73.317326745276333</v>
      </c>
      <c r="Y13" s="57">
        <v>0</v>
      </c>
      <c r="Z13" s="42">
        <f t="shared" si="4"/>
        <v>23.361357401319637</v>
      </c>
    </row>
    <row r="14" spans="1:26" customFormat="1" ht="16" thickBot="1" x14ac:dyDescent="0.4">
      <c r="A14" s="2"/>
      <c r="B14" s="5">
        <v>2031</v>
      </c>
      <c r="C14" s="6">
        <v>36.361352151541141</v>
      </c>
      <c r="D14" s="7">
        <v>33768873.138916016</v>
      </c>
      <c r="E14" s="8">
        <v>1227.8818879648438</v>
      </c>
      <c r="F14" s="7">
        <v>36094633.823236533</v>
      </c>
      <c r="G14" s="8">
        <v>1303.9455321960804</v>
      </c>
      <c r="H14" s="8">
        <v>839.74643428447007</v>
      </c>
      <c r="I14" s="8">
        <v>464.19909791161035</v>
      </c>
      <c r="J14" s="7">
        <v>144100.82983029634</v>
      </c>
      <c r="K14" s="7">
        <v>2469861.5373163223</v>
      </c>
      <c r="L14" s="85">
        <v>6.9240933679240069</v>
      </c>
      <c r="M14" s="85">
        <v>84.663828460042666</v>
      </c>
      <c r="N14" s="8">
        <f t="shared" si="0"/>
        <v>763.68279005323348</v>
      </c>
      <c r="O14" s="44"/>
      <c r="P14" s="43">
        <f>Summary!$R11</f>
        <v>0.41857129399151893</v>
      </c>
      <c r="Q14" s="44"/>
      <c r="S14" s="40">
        <f t="shared" si="1"/>
        <v>1741.8379986790378</v>
      </c>
      <c r="T14" s="40">
        <f t="shared" si="2"/>
        <v>-658.49951499416886</v>
      </c>
      <c r="U14" s="40">
        <f t="shared" si="3"/>
        <v>1083.3384836848691</v>
      </c>
      <c r="W14" s="75">
        <f>U14-'C1-SA'!R14</f>
        <v>122.7683755212621</v>
      </c>
      <c r="X14" s="42">
        <f>Summary!$Y11</f>
        <v>-71.698123201686329</v>
      </c>
      <c r="Y14" s="57">
        <v>0</v>
      </c>
      <c r="Z14" s="42">
        <f t="shared" si="4"/>
        <v>51.070252319575772</v>
      </c>
    </row>
    <row r="15" spans="1:26" customFormat="1" ht="16" thickBot="1" x14ac:dyDescent="0.4">
      <c r="A15" s="2"/>
      <c r="B15" s="5">
        <v>2032</v>
      </c>
      <c r="C15" s="6">
        <v>36.848045936429408</v>
      </c>
      <c r="D15" s="7">
        <v>33827370.076416016</v>
      </c>
      <c r="E15" s="8">
        <v>1246.4724864843749</v>
      </c>
      <c r="F15" s="7">
        <v>36339562.093065761</v>
      </c>
      <c r="G15" s="8">
        <v>1332.9034963101142</v>
      </c>
      <c r="H15" s="8">
        <v>848.4523211876085</v>
      </c>
      <c r="I15" s="8">
        <v>484.45117512250567</v>
      </c>
      <c r="J15" s="7">
        <v>43372.973011016846</v>
      </c>
      <c r="K15" s="7">
        <v>2555564.997262001</v>
      </c>
      <c r="L15" s="85">
        <v>2.1635376771379993</v>
      </c>
      <c r="M15" s="85">
        <v>89.726509658494109</v>
      </c>
      <c r="N15" s="8">
        <f t="shared" si="0"/>
        <v>762.02131136186927</v>
      </c>
      <c r="O15" s="44"/>
      <c r="P15" s="43">
        <f>Summary!$R12</f>
        <v>0.45181386458476869</v>
      </c>
      <c r="Q15" s="44"/>
      <c r="S15" s="40">
        <f t="shared" si="1"/>
        <v>1809.6460377014662</v>
      </c>
      <c r="T15" s="40">
        <f t="shared" si="2"/>
        <v>-703.33293275723747</v>
      </c>
      <c r="U15" s="40">
        <f t="shared" si="3"/>
        <v>1106.3131049442286</v>
      </c>
      <c r="W15" s="75">
        <f>U15-'C1-SA'!R15</f>
        <v>119.89005198480868</v>
      </c>
      <c r="X15" s="42">
        <f>Summary!$Y12</f>
        <v>-70.126594593371649</v>
      </c>
      <c r="Y15" s="57">
        <v>0</v>
      </c>
      <c r="Z15" s="42">
        <f t="shared" si="4"/>
        <v>49.763457391437029</v>
      </c>
    </row>
    <row r="16" spans="1:26" customFormat="1" ht="16" thickBot="1" x14ac:dyDescent="0.4">
      <c r="A16" s="2"/>
      <c r="B16" s="5">
        <v>2033</v>
      </c>
      <c r="C16" s="6">
        <v>39.159117472359895</v>
      </c>
      <c r="D16" s="7">
        <v>33717104.604492188</v>
      </c>
      <c r="E16" s="8">
        <v>1320.3320600351562</v>
      </c>
      <c r="F16" s="7">
        <v>36218402.001319662</v>
      </c>
      <c r="G16" s="8">
        <v>1411.8795683360474</v>
      </c>
      <c r="H16" s="8">
        <v>848.05962163722472</v>
      </c>
      <c r="I16" s="8">
        <v>563.81994669882272</v>
      </c>
      <c r="J16" s="7">
        <v>36977.778037667274</v>
      </c>
      <c r="K16" s="7">
        <v>2538275.1968590021</v>
      </c>
      <c r="L16" s="85">
        <v>2.0518662085740007</v>
      </c>
      <c r="M16" s="85">
        <v>95.275116769680423</v>
      </c>
      <c r="N16" s="8">
        <f t="shared" si="0"/>
        <v>756.51211333633353</v>
      </c>
      <c r="O16" s="44"/>
      <c r="P16" s="43">
        <f>Summary!$R13</f>
        <v>0.48571371832282351</v>
      </c>
      <c r="Q16" s="44"/>
      <c r="S16" s="40">
        <f t="shared" si="1"/>
        <v>1961.6354543356654</v>
      </c>
      <c r="T16" s="40">
        <f t="shared" si="2"/>
        <v>-837.67502947448406</v>
      </c>
      <c r="U16" s="40">
        <f t="shared" si="3"/>
        <v>1123.9604248611813</v>
      </c>
      <c r="W16" s="75">
        <f>U16-'C1-SA'!R16</f>
        <v>116.88256839416181</v>
      </c>
      <c r="X16" s="42">
        <f>Summary!$Y13</f>
        <v>-68.693504172167906</v>
      </c>
      <c r="Y16" s="57">
        <v>0</v>
      </c>
      <c r="Z16" s="42">
        <f t="shared" si="4"/>
        <v>48.189064221993902</v>
      </c>
    </row>
    <row r="17" spans="1:35" customFormat="1" ht="16" thickBot="1" x14ac:dyDescent="0.4">
      <c r="A17" s="2"/>
      <c r="B17" s="5">
        <v>2034</v>
      </c>
      <c r="C17" s="6">
        <v>31.79496508490433</v>
      </c>
      <c r="D17" s="7">
        <v>33675258.977294922</v>
      </c>
      <c r="E17" s="8">
        <v>1070.7036834082032</v>
      </c>
      <c r="F17" s="7">
        <v>36275067.966417983</v>
      </c>
      <c r="G17" s="8">
        <v>1146.8915688102779</v>
      </c>
      <c r="H17" s="8">
        <v>656.7456598781589</v>
      </c>
      <c r="I17" s="8">
        <v>490.14590893211903</v>
      </c>
      <c r="J17" s="7">
        <v>4546.8890371322632</v>
      </c>
      <c r="K17" s="7">
        <v>2604355.9220819473</v>
      </c>
      <c r="L17" s="85">
        <v>0.2291741159349997</v>
      </c>
      <c r="M17" s="85">
        <v>80.123737668052357</v>
      </c>
      <c r="N17" s="8">
        <f t="shared" si="0"/>
        <v>580.55777447608421</v>
      </c>
      <c r="O17" s="44"/>
      <c r="P17" s="43">
        <f>Summary!$R14</f>
        <v>0.52040513364566165</v>
      </c>
      <c r="Q17" s="44"/>
      <c r="S17" s="40">
        <f t="shared" si="1"/>
        <v>1627.9033768671513</v>
      </c>
      <c r="T17" s="40">
        <f t="shared" si="2"/>
        <v>-745.22035617581275</v>
      </c>
      <c r="U17" s="40">
        <f t="shared" si="3"/>
        <v>882.68302069133858</v>
      </c>
      <c r="W17" s="75">
        <f>U17-'C1-SA'!R17</f>
        <v>-17.284058001957987</v>
      </c>
      <c r="X17" s="42">
        <f>Summary!$Y14</f>
        <v>28.667702893289857</v>
      </c>
      <c r="Y17" s="57">
        <v>0</v>
      </c>
      <c r="Z17" s="42">
        <f t="shared" si="4"/>
        <v>11.383644891331869</v>
      </c>
    </row>
    <row r="18" spans="1:35" customFormat="1" ht="16" thickBot="1" x14ac:dyDescent="0.4">
      <c r="A18" s="2"/>
      <c r="B18" s="5">
        <v>2035</v>
      </c>
      <c r="C18" s="6">
        <v>30.157484056286592</v>
      </c>
      <c r="D18" s="7">
        <v>33675950.144287109</v>
      </c>
      <c r="E18" s="8">
        <v>1015.5819295566406</v>
      </c>
      <c r="F18" s="7">
        <v>36288089.024587072</v>
      </c>
      <c r="G18" s="8">
        <v>1086.6689328406339</v>
      </c>
      <c r="H18" s="8">
        <v>620.01236811219496</v>
      </c>
      <c r="I18" s="8">
        <v>466.65656472843887</v>
      </c>
      <c r="J18" s="7">
        <v>1610.1959991455078</v>
      </c>
      <c r="K18" s="7">
        <v>2613749.1298799515</v>
      </c>
      <c r="L18" s="85">
        <v>8.162874379599995E-2</v>
      </c>
      <c r="M18" s="85">
        <v>77.041307611313073</v>
      </c>
      <c r="N18" s="8">
        <f t="shared" si="0"/>
        <v>548.92536482820174</v>
      </c>
      <c r="O18" s="44"/>
      <c r="P18" s="43">
        <f>Summary!$R15</f>
        <v>0.55590659351628879</v>
      </c>
      <c r="Q18" s="44"/>
      <c r="S18" s="40">
        <f t="shared" si="1"/>
        <v>1580.1506204531722</v>
      </c>
      <c r="T18" s="40">
        <f t="shared" si="2"/>
        <v>-726.07402596863881</v>
      </c>
      <c r="U18" s="40">
        <f t="shared" si="3"/>
        <v>854.07659448453342</v>
      </c>
      <c r="W18" s="75">
        <f>U18-'C1-SA'!R18</f>
        <v>95.404423754752088</v>
      </c>
      <c r="X18" s="42">
        <f>Summary!$Y15</f>
        <v>-17.950732145995801</v>
      </c>
      <c r="Y18" s="57">
        <v>0</v>
      </c>
      <c r="Z18" s="42">
        <f t="shared" si="4"/>
        <v>77.453691608756287</v>
      </c>
    </row>
    <row r="19" spans="1:35" customFormat="1" ht="16" thickBot="1" x14ac:dyDescent="0.4">
      <c r="A19" s="2"/>
      <c r="B19" s="5">
        <v>2036</v>
      </c>
      <c r="C19" s="6">
        <v>30.570510979817058</v>
      </c>
      <c r="D19" s="7">
        <v>33792305.426757813</v>
      </c>
      <c r="E19" s="8">
        <v>1033.0480440820313</v>
      </c>
      <c r="F19" s="7">
        <v>36408711.227111951</v>
      </c>
      <c r="G19" s="8">
        <v>1102.6927960825324</v>
      </c>
      <c r="H19" s="8">
        <v>553.8889117523953</v>
      </c>
      <c r="I19" s="8">
        <v>548.80388433013718</v>
      </c>
      <c r="J19" s="7">
        <v>2291.0010242462158</v>
      </c>
      <c r="K19" s="7">
        <v>2618696.8279647827</v>
      </c>
      <c r="L19" s="85">
        <v>7.9025120072999958E-2</v>
      </c>
      <c r="M19" s="85">
        <v>77.594140569733241</v>
      </c>
      <c r="N19" s="8">
        <f t="shared" si="0"/>
        <v>484.24415975189413</v>
      </c>
      <c r="O19" s="44"/>
      <c r="P19" s="43">
        <f>Summary!$R16</f>
        <v>0.59223701247489391</v>
      </c>
      <c r="Q19" s="44"/>
      <c r="S19" s="40">
        <f t="shared" si="1"/>
        <v>1644.8573314522062</v>
      </c>
      <c r="T19" s="40">
        <f t="shared" si="2"/>
        <v>-873.82585722043484</v>
      </c>
      <c r="U19" s="40">
        <f t="shared" si="3"/>
        <v>771.03147423177131</v>
      </c>
      <c r="W19" s="75">
        <f>U19-'C1-SA'!R19</f>
        <v>184.90023633722944</v>
      </c>
      <c r="X19" s="42">
        <f>Summary!$Y16</f>
        <v>-157.10513120592367</v>
      </c>
      <c r="Y19" s="57">
        <v>0</v>
      </c>
      <c r="Z19" s="42">
        <f t="shared" si="4"/>
        <v>27.795105131305775</v>
      </c>
    </row>
    <row r="20" spans="1:35" customFormat="1" ht="16" thickBot="1" x14ac:dyDescent="0.4">
      <c r="A20" s="2"/>
      <c r="B20" s="5">
        <v>2037</v>
      </c>
      <c r="C20" s="6">
        <v>26.794599108875637</v>
      </c>
      <c r="D20" s="7">
        <v>33709834.706542969</v>
      </c>
      <c r="E20" s="8">
        <v>903.24150698828123</v>
      </c>
      <c r="F20" s="7">
        <v>36325556.017830238</v>
      </c>
      <c r="G20" s="8">
        <v>962.6673030815864</v>
      </c>
      <c r="H20" s="8">
        <v>472.99109665117817</v>
      </c>
      <c r="I20" s="8">
        <v>489.67620643040817</v>
      </c>
      <c r="J20" s="7">
        <v>1884.9459991455078</v>
      </c>
      <c r="K20" s="7">
        <v>2617606.3039236069</v>
      </c>
      <c r="L20" s="85">
        <v>9.1721190719000076E-2</v>
      </c>
      <c r="M20" s="85">
        <v>67.931027338482068</v>
      </c>
      <c r="N20" s="8">
        <f t="shared" si="0"/>
        <v>413.56530055787306</v>
      </c>
      <c r="O20" s="44"/>
      <c r="P20" s="43">
        <f>Summary!$R17</f>
        <v>0.62941574671618339</v>
      </c>
      <c r="Q20" s="44"/>
      <c r="S20" s="40">
        <f t="shared" si="1"/>
        <v>1471.7559345743609</v>
      </c>
      <c r="T20" s="40">
        <f t="shared" si="2"/>
        <v>-797.88612154995144</v>
      </c>
      <c r="U20" s="40">
        <f t="shared" si="3"/>
        <v>673.8698130244095</v>
      </c>
      <c r="W20" s="75">
        <f>U20-'C1-SA'!R20</f>
        <v>146.57816597293629</v>
      </c>
      <c r="X20" s="42">
        <f>Summary!$Y17</f>
        <v>-124.450071362995</v>
      </c>
      <c r="Y20" s="57">
        <v>0</v>
      </c>
      <c r="Z20" s="42">
        <f t="shared" si="4"/>
        <v>22.128094609941286</v>
      </c>
    </row>
    <row r="21" spans="1:35" customFormat="1" ht="16" thickBot="1" x14ac:dyDescent="0.4">
      <c r="A21" s="2"/>
      <c r="B21" s="5">
        <v>2038</v>
      </c>
      <c r="C21" s="6">
        <v>25.559340263708442</v>
      </c>
      <c r="D21" s="7">
        <v>33753359.391113281</v>
      </c>
      <c r="E21" s="8">
        <v>862.71359772070309</v>
      </c>
      <c r="F21" s="7">
        <v>36375901.547066875</v>
      </c>
      <c r="G21" s="8">
        <v>918.62918848726474</v>
      </c>
      <c r="H21" s="8">
        <v>450.09611912577003</v>
      </c>
      <c r="I21" s="8">
        <v>468.53306936149471</v>
      </c>
      <c r="J21" s="7">
        <v>416.66399192810059</v>
      </c>
      <c r="K21" s="7">
        <v>2622958.8829917908</v>
      </c>
      <c r="L21" s="85">
        <v>2.213215328899994E-2</v>
      </c>
      <c r="M21" s="85">
        <v>65.474770999494226</v>
      </c>
      <c r="N21" s="8">
        <f t="shared" si="0"/>
        <v>394.18052835920838</v>
      </c>
      <c r="O21" s="44"/>
      <c r="P21" s="43">
        <f>Summary!$R18</f>
        <v>0.66746260440200622</v>
      </c>
      <c r="Q21" s="44"/>
      <c r="S21" s="40">
        <f t="shared" si="1"/>
        <v>1438.5426625083883</v>
      </c>
      <c r="T21" s="40">
        <f t="shared" si="2"/>
        <v>-781.26137208598379</v>
      </c>
      <c r="U21" s="40">
        <f t="shared" si="3"/>
        <v>657.28129042240448</v>
      </c>
      <c r="W21" s="75">
        <f>U21-'C1-SA'!R21</f>
        <v>150.65175492489277</v>
      </c>
      <c r="X21" s="42">
        <f>Summary!$Y18</f>
        <v>-151.58615652202502</v>
      </c>
      <c r="Y21" s="57">
        <v>0</v>
      </c>
      <c r="Z21" s="42">
        <f t="shared" si="4"/>
        <v>-0.93440159713225057</v>
      </c>
    </row>
    <row r="22" spans="1:35" customFormat="1" ht="16" thickBot="1" x14ac:dyDescent="0.4">
      <c r="A22" s="2"/>
      <c r="B22" s="5">
        <v>2039</v>
      </c>
      <c r="C22" s="6">
        <v>20.801129526557279</v>
      </c>
      <c r="D22" s="7">
        <v>33754476.710449219</v>
      </c>
      <c r="E22" s="8">
        <v>702.13124215521532</v>
      </c>
      <c r="F22" s="7">
        <v>36372162.968116939</v>
      </c>
      <c r="G22" s="8">
        <v>746.42052915984902</v>
      </c>
      <c r="H22" s="8">
        <v>372.16695817903997</v>
      </c>
      <c r="I22" s="8">
        <v>374.25357098080912</v>
      </c>
      <c r="J22" s="7">
        <v>4736.4349517822266</v>
      </c>
      <c r="K22" s="7">
        <v>2622422.7130126953</v>
      </c>
      <c r="L22" s="85">
        <v>0.26320018717499993</v>
      </c>
      <c r="M22" s="85">
        <v>52.443099823529785</v>
      </c>
      <c r="N22" s="8">
        <f t="shared" si="0"/>
        <v>327.8776711744062</v>
      </c>
      <c r="O22" s="44"/>
      <c r="P22" s="43">
        <f>Summary!$R19</f>
        <v>0.70639785621479323</v>
      </c>
      <c r="Q22" s="44"/>
      <c r="S22" s="40">
        <f t="shared" si="1"/>
        <v>1198.1152463950893</v>
      </c>
      <c r="T22" s="40">
        <f t="shared" si="2"/>
        <v>-638.62549120238361</v>
      </c>
      <c r="U22" s="40">
        <f t="shared" si="3"/>
        <v>559.48975519270573</v>
      </c>
      <c r="W22" s="75">
        <f>U22-'C1-SA'!R22</f>
        <v>61.636682267482342</v>
      </c>
      <c r="X22" s="42">
        <f>Summary!$Y19</f>
        <v>-67.047745359432724</v>
      </c>
      <c r="Y22" s="57">
        <v>0</v>
      </c>
      <c r="Z22" s="42">
        <f t="shared" si="4"/>
        <v>-5.4110630919503819</v>
      </c>
    </row>
    <row r="23" spans="1:35" customFormat="1" ht="16" thickBot="1" x14ac:dyDescent="0.4">
      <c r="A23" s="2"/>
      <c r="B23" s="9">
        <v>2040</v>
      </c>
      <c r="C23" s="10">
        <v>21.969024153179525</v>
      </c>
      <c r="D23" s="11">
        <v>33870433.217041016</v>
      </c>
      <c r="E23" s="12">
        <v>744.10036542382818</v>
      </c>
      <c r="F23" s="11">
        <v>36444385.993715443</v>
      </c>
      <c r="G23" s="12">
        <v>785.54135911257072</v>
      </c>
      <c r="H23" s="12">
        <v>382.62351779989996</v>
      </c>
      <c r="I23" s="12">
        <v>402.91784131267082</v>
      </c>
      <c r="J23" s="11">
        <v>23572.040999531746</v>
      </c>
      <c r="K23" s="11">
        <v>2597524.8740639687</v>
      </c>
      <c r="L23" s="88">
        <v>1.3703808954399996</v>
      </c>
      <c r="M23" s="88">
        <v>53.717183585769035</v>
      </c>
      <c r="N23" s="8">
        <f t="shared" si="0"/>
        <v>341.18252411115736</v>
      </c>
      <c r="O23" s="44"/>
      <c r="P23" s="43">
        <f>Summary!$R20</f>
        <v>0.74624224615740964</v>
      </c>
      <c r="Q23" s="44"/>
      <c r="S23" s="40">
        <f t="shared" si="1"/>
        <v>1299.3794934842551</v>
      </c>
      <c r="T23" s="40">
        <f t="shared" si="2"/>
        <v>-703.59215623073305</v>
      </c>
      <c r="U23" s="40">
        <f t="shared" si="3"/>
        <v>595.78733725352208</v>
      </c>
      <c r="W23" s="75">
        <f>U23-'C1-SA'!R23</f>
        <v>112.83910383756285</v>
      </c>
      <c r="X23" s="42">
        <f>Summary!$Y20</f>
        <v>-277.71630737979774</v>
      </c>
      <c r="Y23" s="57">
        <v>0</v>
      </c>
      <c r="Z23" s="42">
        <f t="shared" si="4"/>
        <v>-164.87720354223489</v>
      </c>
    </row>
    <row r="24" spans="1:35" customFormat="1" ht="14.5" x14ac:dyDescent="0.35"/>
    <row r="25" spans="1:35" customFormat="1" ht="14.5" x14ac:dyDescent="0.35"/>
    <row r="26" spans="1:35" ht="14.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5" ht="14.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5" ht="14.5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5" ht="14.5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5" ht="14.5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5" ht="14.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5" ht="14.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74"/>
      <c r="AI32" s="74"/>
    </row>
    <row r="33" spans="1:33" ht="14.5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14.5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4.5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4.5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33" ht="14.5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33" ht="14.5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33" ht="14.5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33" ht="14.5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33" ht="14.5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33" ht="14.5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33" ht="14.5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33" ht="14.5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33" ht="14.5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33" ht="14.5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33" ht="14.5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33" ht="14.5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</sheetData>
  <mergeCells count="1">
    <mergeCell ref="B5:N5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7681E-BE19-42D4-9798-4DEC32A6B5EA}">
  <dimension ref="A1:R23"/>
  <sheetViews>
    <sheetView showGridLines="0" zoomScaleNormal="100" workbookViewId="0">
      <selection activeCell="K5" sqref="K5:R23"/>
    </sheetView>
  </sheetViews>
  <sheetFormatPr defaultColWidth="10.453125" defaultRowHeight="13" x14ac:dyDescent="0.3"/>
  <cols>
    <col min="1" max="1" width="10.453125" style="2"/>
    <col min="2" max="2" width="8.7265625" style="2" customWidth="1"/>
    <col min="3" max="10" width="12.1796875" style="2" customWidth="1"/>
    <col min="11" max="31" width="8.54296875" style="2" customWidth="1"/>
    <col min="32" max="32" width="12.7265625" style="2" customWidth="1"/>
    <col min="33" max="35" width="8.54296875" style="2" customWidth="1"/>
    <col min="36" max="16384" width="10.453125" style="2"/>
  </cols>
  <sheetData>
    <row r="1" spans="1:18" customFormat="1" ht="14.5" x14ac:dyDescent="0.3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8" customFormat="1" ht="14.5" x14ac:dyDescent="0.35">
      <c r="A2" s="3" t="s">
        <v>1</v>
      </c>
      <c r="B2" s="3"/>
      <c r="C2" s="2"/>
      <c r="D2" s="2"/>
      <c r="E2" s="2"/>
      <c r="F2" s="2"/>
      <c r="G2" s="2"/>
      <c r="H2" s="2"/>
      <c r="I2" s="2"/>
      <c r="J2" s="2"/>
    </row>
    <row r="3" spans="1:18" customFormat="1" ht="14.5" x14ac:dyDescent="0.35">
      <c r="A3" s="3" t="s">
        <v>2</v>
      </c>
      <c r="B3" s="3"/>
      <c r="C3" s="2"/>
      <c r="D3" s="2"/>
      <c r="E3" s="2"/>
      <c r="F3" s="2"/>
      <c r="G3" s="2"/>
      <c r="H3" s="2"/>
      <c r="I3" s="2"/>
      <c r="J3" s="2"/>
    </row>
    <row r="4" spans="1:18" customFormat="1" ht="14.5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8" customFormat="1" ht="15" thickBot="1" x14ac:dyDescent="0.4">
      <c r="A5" s="2"/>
      <c r="B5" s="102" t="s">
        <v>3</v>
      </c>
      <c r="C5" s="102"/>
      <c r="D5" s="102"/>
      <c r="E5" s="102"/>
      <c r="F5" s="102"/>
      <c r="G5" s="102"/>
      <c r="H5" s="102"/>
      <c r="I5" s="102"/>
      <c r="J5" s="102"/>
    </row>
    <row r="6" spans="1:18" customFormat="1" ht="31.5" customHeight="1" thickBot="1" x14ac:dyDescent="0.4">
      <c r="A6" s="2"/>
      <c r="B6" s="4" t="s">
        <v>4</v>
      </c>
      <c r="C6" s="4" t="s">
        <v>6</v>
      </c>
      <c r="D6" s="4" t="s">
        <v>8</v>
      </c>
      <c r="E6" s="4" t="s">
        <v>10</v>
      </c>
      <c r="F6" s="4" t="s">
        <v>12</v>
      </c>
      <c r="G6" s="4" t="s">
        <v>13</v>
      </c>
      <c r="H6" s="4" t="s">
        <v>21</v>
      </c>
      <c r="I6" s="4" t="s">
        <v>22</v>
      </c>
      <c r="J6" s="4" t="s">
        <v>23</v>
      </c>
      <c r="O6" s="36" t="s">
        <v>45</v>
      </c>
      <c r="P6" s="38" t="s">
        <v>47</v>
      </c>
      <c r="Q6" s="38" t="s">
        <v>48</v>
      </c>
      <c r="R6" s="38" t="s">
        <v>50</v>
      </c>
    </row>
    <row r="7" spans="1:18" customFormat="1" ht="12.75" customHeight="1" thickTop="1" thickBot="1" x14ac:dyDescent="0.4">
      <c r="A7" s="2"/>
      <c r="B7" s="4"/>
      <c r="C7" s="4"/>
      <c r="D7" s="4"/>
      <c r="E7" s="4"/>
      <c r="F7" s="4"/>
      <c r="G7" s="4"/>
      <c r="H7" s="4"/>
      <c r="I7" s="4"/>
      <c r="J7" s="4" t="s">
        <v>20</v>
      </c>
      <c r="L7" t="s">
        <v>53</v>
      </c>
      <c r="O7" s="37" t="s">
        <v>46</v>
      </c>
      <c r="P7" s="39" t="s">
        <v>46</v>
      </c>
      <c r="Q7" s="39" t="s">
        <v>49</v>
      </c>
      <c r="R7" s="39" t="s">
        <v>46</v>
      </c>
    </row>
    <row r="8" spans="1:18" customFormat="1" ht="16.5" thickTop="1" thickBot="1" x14ac:dyDescent="0.4">
      <c r="A8" s="2"/>
      <c r="B8" s="5">
        <v>2025</v>
      </c>
      <c r="C8" s="7">
        <v>33050200.072021484</v>
      </c>
      <c r="D8" s="7">
        <v>33045700.779381104</v>
      </c>
      <c r="E8" s="8">
        <v>1405.4859751268007</v>
      </c>
      <c r="F8" s="7">
        <v>12075.18601436913</v>
      </c>
      <c r="G8" s="7">
        <v>7576.047024294734</v>
      </c>
      <c r="H8" s="6">
        <v>1.0197795711349287</v>
      </c>
      <c r="I8" s="6">
        <v>0.41868083649208399</v>
      </c>
      <c r="J8" s="8">
        <v>1406.0870738614435</v>
      </c>
      <c r="K8" s="15"/>
      <c r="L8" s="43">
        <f>Summary!R5</f>
        <v>0.21123641653309111</v>
      </c>
      <c r="M8" s="15"/>
      <c r="O8" s="40">
        <f>E8*(1+$L8)</f>
        <v>1702.3757960001033</v>
      </c>
      <c r="P8" s="41">
        <f>H8*(1+$L8)</f>
        <v>1.2351941533951234</v>
      </c>
      <c r="Q8" s="41">
        <f>-I8*(1+$L8)</f>
        <v>-0.5071214760637488</v>
      </c>
      <c r="R8" s="41">
        <f>SUM(O8:Q8)</f>
        <v>1703.1038686774345</v>
      </c>
    </row>
    <row r="9" spans="1:18" customFormat="1" ht="16" thickBot="1" x14ac:dyDescent="0.4">
      <c r="A9" s="2"/>
      <c r="B9" s="5">
        <v>2026</v>
      </c>
      <c r="C9" s="7">
        <v>33155651.835449219</v>
      </c>
      <c r="D9" s="7">
        <v>33140300.41181124</v>
      </c>
      <c r="E9" s="8">
        <v>1391.4473935350288</v>
      </c>
      <c r="F9" s="7">
        <v>21165.066959559917</v>
      </c>
      <c r="G9" s="7">
        <v>5813.7490158081055</v>
      </c>
      <c r="H9" s="6">
        <v>3.889035670500204</v>
      </c>
      <c r="I9" s="6">
        <v>0.30112009960881247</v>
      </c>
      <c r="J9" s="8">
        <v>1395.0353091059201</v>
      </c>
      <c r="K9" s="15"/>
      <c r="L9" s="43">
        <f>Summary!R6</f>
        <v>0.25362969111174949</v>
      </c>
      <c r="M9" s="15"/>
      <c r="O9" s="40">
        <f t="shared" ref="O9:O23" si="0">E9*(1+$L9)</f>
        <v>1744.3597661555671</v>
      </c>
      <c r="P9" s="41">
        <f t="shared" ref="P9:P23" si="1">H9*(1+$L9)</f>
        <v>4.8754105863317463</v>
      </c>
      <c r="Q9" s="41">
        <f t="shared" ref="Q9:Q23" si="2">-I9*(1+$L9)</f>
        <v>-0.37749309746013482</v>
      </c>
      <c r="R9" s="41">
        <f t="shared" ref="R9:R23" si="3">SUM(O9:Q9)</f>
        <v>1748.8576836444388</v>
      </c>
    </row>
    <row r="10" spans="1:18" customFormat="1" ht="16" thickBot="1" x14ac:dyDescent="0.4">
      <c r="A10" s="2"/>
      <c r="B10" s="5">
        <v>2027</v>
      </c>
      <c r="C10" s="7">
        <v>34025754.001953125</v>
      </c>
      <c r="D10" s="7">
        <v>34007078.588309236</v>
      </c>
      <c r="E10" s="8">
        <v>1418.9339610878262</v>
      </c>
      <c r="F10" s="7">
        <v>19527.749965414405</v>
      </c>
      <c r="G10" s="7">
        <v>852.46799683570862</v>
      </c>
      <c r="H10" s="6">
        <v>4.898001896603029</v>
      </c>
      <c r="I10" s="6">
        <v>4.324161093351804E-2</v>
      </c>
      <c r="J10" s="8">
        <v>1423.7887213734957</v>
      </c>
      <c r="K10" s="15"/>
      <c r="L10" s="43">
        <f>Summary!R7</f>
        <v>0.28906557748917816</v>
      </c>
      <c r="M10" s="15"/>
      <c r="O10" s="40">
        <f t="shared" si="0"/>
        <v>1829.0989259686858</v>
      </c>
      <c r="P10" s="41">
        <f t="shared" si="1"/>
        <v>6.3138456433876735</v>
      </c>
      <c r="Q10" s="41">
        <f t="shared" si="2"/>
        <v>-5.5741272169577791E-2</v>
      </c>
      <c r="R10" s="41">
        <f t="shared" si="3"/>
        <v>1835.3570303399038</v>
      </c>
    </row>
    <row r="11" spans="1:18" customFormat="1" ht="16" thickBot="1" x14ac:dyDescent="0.4">
      <c r="A11" s="2"/>
      <c r="B11" s="5">
        <v>2028</v>
      </c>
      <c r="C11" s="7">
        <v>34075501.323486328</v>
      </c>
      <c r="D11" s="7">
        <v>34087419.327065654</v>
      </c>
      <c r="E11" s="8">
        <v>1230.5312689939037</v>
      </c>
      <c r="F11" s="7">
        <v>17120.787032946944</v>
      </c>
      <c r="G11" s="7">
        <v>30737.119985699654</v>
      </c>
      <c r="H11" s="6">
        <v>25.632182987847887</v>
      </c>
      <c r="I11" s="6">
        <v>1.5764917087910297</v>
      </c>
      <c r="J11" s="8">
        <v>1254.5869602729606</v>
      </c>
      <c r="K11" s="15"/>
      <c r="L11" s="43">
        <f>Summary!R8</f>
        <v>0.32051633919281142</v>
      </c>
      <c r="M11" s="15"/>
      <c r="O11" s="40">
        <f t="shared" si="0"/>
        <v>1624.9366465941143</v>
      </c>
      <c r="P11" s="41">
        <f t="shared" si="1"/>
        <v>33.84771644463315</v>
      </c>
      <c r="Q11" s="41">
        <f t="shared" si="2"/>
        <v>-2.0817830600605505</v>
      </c>
      <c r="R11" s="41">
        <f t="shared" si="3"/>
        <v>1656.7025799786868</v>
      </c>
    </row>
    <row r="12" spans="1:18" customFormat="1" ht="16" thickBot="1" x14ac:dyDescent="0.4">
      <c r="A12" s="2"/>
      <c r="B12" s="5">
        <v>2029</v>
      </c>
      <c r="C12" s="7">
        <v>33920099.497802734</v>
      </c>
      <c r="D12" s="7">
        <v>34030336.081028022</v>
      </c>
      <c r="E12" s="8">
        <v>1053.4428694556316</v>
      </c>
      <c r="F12" s="7">
        <v>13212.933002918959</v>
      </c>
      <c r="G12" s="7">
        <v>123449.58501039445</v>
      </c>
      <c r="H12" s="6">
        <v>1.1604205125530493</v>
      </c>
      <c r="I12" s="6">
        <v>6.149794210126811</v>
      </c>
      <c r="J12" s="8">
        <v>1048.4534957580577</v>
      </c>
      <c r="K12" s="15"/>
      <c r="L12" s="43">
        <f>Summary!R9</f>
        <v>0.3528444658201555</v>
      </c>
      <c r="M12" s="15"/>
      <c r="O12" s="40">
        <f t="shared" si="0"/>
        <v>1425.1443560007558</v>
      </c>
      <c r="P12" s="41">
        <f t="shared" si="1"/>
        <v>1.5698684684315811</v>
      </c>
      <c r="Q12" s="41">
        <f t="shared" si="2"/>
        <v>-8.3197150631028904</v>
      </c>
      <c r="R12" s="41">
        <f t="shared" si="3"/>
        <v>1418.3945094060846</v>
      </c>
    </row>
    <row r="13" spans="1:18" customFormat="1" ht="16" thickBot="1" x14ac:dyDescent="0.4">
      <c r="A13" s="2"/>
      <c r="B13" s="5">
        <v>2030</v>
      </c>
      <c r="C13" s="7">
        <v>33808022.219238281</v>
      </c>
      <c r="D13" s="7">
        <v>33997389.212725945</v>
      </c>
      <c r="E13" s="8">
        <v>1070.488728949344</v>
      </c>
      <c r="F13" s="7">
        <v>11160.370979785919</v>
      </c>
      <c r="G13" s="7">
        <v>200527.42309194803</v>
      </c>
      <c r="H13" s="6">
        <v>0.977631111976631</v>
      </c>
      <c r="I13" s="6">
        <v>10.090676454813355</v>
      </c>
      <c r="J13" s="8">
        <v>1061.3756836065074</v>
      </c>
      <c r="K13" s="15"/>
      <c r="L13" s="43">
        <f>Summary!R10</f>
        <v>0.38563573789931382</v>
      </c>
      <c r="M13" s="15"/>
      <c r="O13" s="40">
        <f t="shared" si="0"/>
        <v>1483.3074398506228</v>
      </c>
      <c r="P13" s="41">
        <f t="shared" si="1"/>
        <v>1.3546406072370658</v>
      </c>
      <c r="Q13" s="41">
        <f t="shared" si="2"/>
        <v>-13.982001915368535</v>
      </c>
      <c r="R13" s="41">
        <f t="shared" si="3"/>
        <v>1470.6800785424914</v>
      </c>
    </row>
    <row r="14" spans="1:18" customFormat="1" ht="16" thickBot="1" x14ac:dyDescent="0.4">
      <c r="A14" s="2"/>
      <c r="B14" s="5">
        <v>2031</v>
      </c>
      <c r="C14" s="7">
        <v>33768873.138916016</v>
      </c>
      <c r="D14" s="7">
        <v>34024678.947562233</v>
      </c>
      <c r="E14" s="8">
        <v>1087.5358305365519</v>
      </c>
      <c r="F14" s="7">
        <v>13651.100029051304</v>
      </c>
      <c r="G14" s="7">
        <v>269501.72907310724</v>
      </c>
      <c r="H14" s="6">
        <v>4.4164049203460722</v>
      </c>
      <c r="I14" s="6">
        <v>14.041624101664029</v>
      </c>
      <c r="J14" s="8">
        <v>1077.9106113552341</v>
      </c>
      <c r="K14" s="15"/>
      <c r="L14" s="43">
        <f>Summary!R11</f>
        <v>0.41857129399151893</v>
      </c>
      <c r="M14" s="15"/>
      <c r="O14" s="40">
        <f t="shared" si="0"/>
        <v>1542.7471103863777</v>
      </c>
      <c r="P14" s="41">
        <f t="shared" si="1"/>
        <v>6.2649852426458388</v>
      </c>
      <c r="Q14" s="41">
        <f t="shared" si="2"/>
        <v>-19.91904487164004</v>
      </c>
      <c r="R14" s="41">
        <f t="shared" si="3"/>
        <v>1529.0930507573835</v>
      </c>
    </row>
    <row r="15" spans="1:18" customFormat="1" ht="16" thickBot="1" x14ac:dyDescent="0.4">
      <c r="A15" s="2"/>
      <c r="B15" s="5">
        <v>2032</v>
      </c>
      <c r="C15" s="7">
        <v>33827370.076416016</v>
      </c>
      <c r="D15" s="7">
        <v>34119984.819231555</v>
      </c>
      <c r="E15" s="8">
        <v>1113.9354358045969</v>
      </c>
      <c r="F15" s="7">
        <v>11728.216969400644</v>
      </c>
      <c r="G15" s="7">
        <v>304343.00488484651</v>
      </c>
      <c r="H15" s="6">
        <v>1.3901310235560929</v>
      </c>
      <c r="I15" s="6">
        <v>16.01508719395434</v>
      </c>
      <c r="J15" s="8">
        <v>1099.3104796341986</v>
      </c>
      <c r="K15" s="15"/>
      <c r="L15" s="43">
        <f>Summary!R12</f>
        <v>0.45181386458476869</v>
      </c>
      <c r="M15" s="15"/>
      <c r="O15" s="40">
        <f t="shared" si="0"/>
        <v>1617.2269099533903</v>
      </c>
      <c r="P15" s="41">
        <f t="shared" si="1"/>
        <v>2.0182114935881512</v>
      </c>
      <c r="Q15" s="41">
        <f t="shared" si="2"/>
        <v>-23.250925630716889</v>
      </c>
      <c r="R15" s="41">
        <f t="shared" si="3"/>
        <v>1595.9941958162615</v>
      </c>
    </row>
    <row r="16" spans="1:18" customFormat="1" ht="16" thickBot="1" x14ac:dyDescent="0.4">
      <c r="A16" s="2"/>
      <c r="B16" s="5">
        <v>2033</v>
      </c>
      <c r="C16" s="7">
        <v>33717104.604492188</v>
      </c>
      <c r="D16" s="7">
        <v>33921411.280677095</v>
      </c>
      <c r="E16" s="8">
        <v>1091.6546419808044</v>
      </c>
      <c r="F16" s="7">
        <v>23843.112992689013</v>
      </c>
      <c r="G16" s="7">
        <v>228149.86996474862</v>
      </c>
      <c r="H16" s="6">
        <v>6.1183310003330407</v>
      </c>
      <c r="I16" s="6">
        <v>12.601312682127721</v>
      </c>
      <c r="J16" s="8">
        <v>1085.1716602990098</v>
      </c>
      <c r="K16" s="15"/>
      <c r="L16" s="43">
        <f>Summary!R13</f>
        <v>0.48571371832282351</v>
      </c>
      <c r="M16" s="15"/>
      <c r="O16" s="40">
        <f t="shared" si="0"/>
        <v>1621.8862772616715</v>
      </c>
      <c r="P16" s="41">
        <f t="shared" si="1"/>
        <v>9.0900883004346014</v>
      </c>
      <c r="Q16" s="41">
        <f t="shared" si="2"/>
        <v>-18.721943120712528</v>
      </c>
      <c r="R16" s="41">
        <f t="shared" si="3"/>
        <v>1612.2544224413937</v>
      </c>
    </row>
    <row r="17" spans="1:18" customFormat="1" ht="16" thickBot="1" x14ac:dyDescent="0.4">
      <c r="A17" s="2"/>
      <c r="B17" s="5">
        <v>2034</v>
      </c>
      <c r="C17" s="7">
        <v>33675258.977294922</v>
      </c>
      <c r="D17" s="7">
        <v>34112349.838973798</v>
      </c>
      <c r="E17" s="8">
        <v>952.88808943183506</v>
      </c>
      <c r="F17" s="7">
        <v>25152.029068497941</v>
      </c>
      <c r="G17" s="7">
        <v>462242.91133145988</v>
      </c>
      <c r="H17" s="6">
        <v>6.2241690282669051</v>
      </c>
      <c r="I17" s="6">
        <v>22.83044300976745</v>
      </c>
      <c r="J17" s="8">
        <v>936.28181545033453</v>
      </c>
      <c r="K17" s="15"/>
      <c r="L17" s="43">
        <f>Summary!R14</f>
        <v>0.52040513364566165</v>
      </c>
      <c r="M17" s="15"/>
      <c r="O17" s="40">
        <f t="shared" si="0"/>
        <v>1448.7759429619684</v>
      </c>
      <c r="P17" s="41">
        <f t="shared" si="1"/>
        <v>9.463258543255332</v>
      </c>
      <c r="Q17" s="41">
        <f t="shared" si="2"/>
        <v>-34.711522755455142</v>
      </c>
      <c r="R17" s="41">
        <f t="shared" si="3"/>
        <v>1423.5276787497685</v>
      </c>
    </row>
    <row r="18" spans="1:18" customFormat="1" ht="16" thickBot="1" x14ac:dyDescent="0.4">
      <c r="A18" s="2"/>
      <c r="B18" s="5">
        <v>2035</v>
      </c>
      <c r="C18" s="7">
        <v>33675950.144287109</v>
      </c>
      <c r="D18" s="7">
        <v>34602899.793614298</v>
      </c>
      <c r="E18" s="8">
        <v>773.33781781627033</v>
      </c>
      <c r="F18" s="7">
        <v>16799.027030328289</v>
      </c>
      <c r="G18" s="7">
        <v>943748.74483796954</v>
      </c>
      <c r="H18" s="6">
        <v>1.6122312236739713</v>
      </c>
      <c r="I18" s="6">
        <v>39.597930712984649</v>
      </c>
      <c r="J18" s="8">
        <v>735.35211832695961</v>
      </c>
      <c r="K18" s="15"/>
      <c r="L18" s="43">
        <f>Summary!R15</f>
        <v>0.55590659351628879</v>
      </c>
      <c r="M18" s="15"/>
      <c r="O18" s="40">
        <f t="shared" si="0"/>
        <v>1203.2414097558335</v>
      </c>
      <c r="P18" s="41">
        <f t="shared" si="1"/>
        <v>2.5084811911871667</v>
      </c>
      <c r="Q18" s="41">
        <f t="shared" si="2"/>
        <v>-61.610681485933974</v>
      </c>
      <c r="R18" s="41">
        <f t="shared" si="3"/>
        <v>1144.1392094610867</v>
      </c>
    </row>
    <row r="19" spans="1:18" customFormat="1" ht="16" thickBot="1" x14ac:dyDescent="0.4">
      <c r="A19" s="2"/>
      <c r="B19" s="5">
        <v>2036</v>
      </c>
      <c r="C19" s="7">
        <v>33792305.426757813</v>
      </c>
      <c r="D19" s="7">
        <v>35548210.888341464</v>
      </c>
      <c r="E19" s="8">
        <v>565.79030927375197</v>
      </c>
      <c r="F19" s="7">
        <v>7711.7110161781311</v>
      </c>
      <c r="G19" s="7">
        <v>1763617.1628934741</v>
      </c>
      <c r="H19" s="6">
        <v>0.78165637972568347</v>
      </c>
      <c r="I19" s="6">
        <v>51.355507821572452</v>
      </c>
      <c r="J19" s="8">
        <v>515.21645783190513</v>
      </c>
      <c r="K19" s="15"/>
      <c r="L19" s="43">
        <f>Summary!R16</f>
        <v>0.59223701247489391</v>
      </c>
      <c r="M19" s="15"/>
      <c r="O19" s="40">
        <f t="shared" si="0"/>
        <v>900.87227172528515</v>
      </c>
      <c r="P19" s="41">
        <f t="shared" si="1"/>
        <v>1.2445822188363636</v>
      </c>
      <c r="Q19" s="41">
        <f t="shared" si="2"/>
        <v>-81.770140347951568</v>
      </c>
      <c r="R19" s="41">
        <f t="shared" si="3"/>
        <v>820.34671359616993</v>
      </c>
    </row>
    <row r="20" spans="1:18" customFormat="1" ht="16" thickBot="1" x14ac:dyDescent="0.4">
      <c r="A20" s="2"/>
      <c r="B20" s="5">
        <v>2037</v>
      </c>
      <c r="C20" s="7">
        <v>33709834.706542969</v>
      </c>
      <c r="D20" s="7">
        <v>35753545.254499242</v>
      </c>
      <c r="E20" s="8">
        <v>496.58705854255533</v>
      </c>
      <c r="F20" s="7">
        <v>3033.2650096416473</v>
      </c>
      <c r="G20" s="7">
        <v>2046743.8561020494</v>
      </c>
      <c r="H20" s="6">
        <v>0.30425569535264557</v>
      </c>
      <c r="I20" s="6">
        <v>50.324453143595036</v>
      </c>
      <c r="J20" s="8">
        <v>446.56686109431291</v>
      </c>
      <c r="K20" s="15"/>
      <c r="L20" s="43">
        <f>Summary!R17</f>
        <v>0.62941574671618339</v>
      </c>
      <c r="M20" s="15"/>
      <c r="O20" s="40">
        <f t="shared" si="0"/>
        <v>809.14677280471085</v>
      </c>
      <c r="P20" s="41">
        <f t="shared" si="1"/>
        <v>0.49575902103568259</v>
      </c>
      <c r="Q20" s="41">
        <f t="shared" si="2"/>
        <v>-81.999456397054487</v>
      </c>
      <c r="R20" s="41">
        <f t="shared" si="3"/>
        <v>727.6430754286921</v>
      </c>
    </row>
    <row r="21" spans="1:18" customFormat="1" ht="16" thickBot="1" x14ac:dyDescent="0.4">
      <c r="A21" s="2"/>
      <c r="B21" s="5">
        <v>2038</v>
      </c>
      <c r="C21" s="7">
        <v>33753359.391113281</v>
      </c>
      <c r="D21" s="7">
        <v>36026740.705497324</v>
      </c>
      <c r="E21" s="8">
        <v>474.69105734449545</v>
      </c>
      <c r="F21" s="7">
        <v>1411.2870008349419</v>
      </c>
      <c r="G21" s="7">
        <v>2274792.5621263385</v>
      </c>
      <c r="H21" s="6">
        <v>0.13717346054503135</v>
      </c>
      <c r="I21" s="6">
        <v>49.60627399830225</v>
      </c>
      <c r="J21" s="8">
        <v>425.22195680673826</v>
      </c>
      <c r="K21" s="15"/>
      <c r="L21" s="43">
        <f>Summary!R18</f>
        <v>0.66746260440200622</v>
      </c>
      <c r="M21" s="15"/>
      <c r="O21" s="40">
        <f t="shared" si="0"/>
        <v>791.52958676599451</v>
      </c>
      <c r="P21" s="41">
        <f t="shared" si="1"/>
        <v>0.22873161577525383</v>
      </c>
      <c r="Q21" s="41">
        <f t="shared" si="2"/>
        <v>-82.716606835888598</v>
      </c>
      <c r="R21" s="41">
        <f t="shared" si="3"/>
        <v>709.04171154588118</v>
      </c>
    </row>
    <row r="22" spans="1:18" customFormat="1" ht="16" thickBot="1" x14ac:dyDescent="0.4">
      <c r="A22" s="2"/>
      <c r="B22" s="5">
        <v>2039</v>
      </c>
      <c r="C22" s="7">
        <v>33754476.710449219</v>
      </c>
      <c r="D22" s="7">
        <v>36145118.912884235</v>
      </c>
      <c r="E22" s="8">
        <v>446.41214704829804</v>
      </c>
      <c r="F22" s="7">
        <v>2505.5669885873795</v>
      </c>
      <c r="G22" s="7">
        <v>2393147.7850612402</v>
      </c>
      <c r="H22" s="6">
        <v>0.53625563503632689</v>
      </c>
      <c r="I22" s="6">
        <v>47.150206758557751</v>
      </c>
      <c r="J22" s="8">
        <v>399.79819592477662</v>
      </c>
      <c r="K22" s="15"/>
      <c r="L22" s="43">
        <f>Summary!R19</f>
        <v>0.70639785621479323</v>
      </c>
      <c r="M22" s="15"/>
      <c r="O22" s="40">
        <f t="shared" si="0"/>
        <v>761.75673071145877</v>
      </c>
      <c r="P22" s="41">
        <f t="shared" si="1"/>
        <v>0.91506546600909078</v>
      </c>
      <c r="Q22" s="41">
        <f t="shared" si="2"/>
        <v>-80.457011732887196</v>
      </c>
      <c r="R22" s="41">
        <f t="shared" si="3"/>
        <v>682.21478444458069</v>
      </c>
    </row>
    <row r="23" spans="1:18" customFormat="1" ht="16" thickBot="1" x14ac:dyDescent="0.4">
      <c r="A23" s="2"/>
      <c r="B23" s="9">
        <v>2040</v>
      </c>
      <c r="C23" s="11">
        <v>33870433.217041016</v>
      </c>
      <c r="D23" s="11">
        <v>36495786.443326563</v>
      </c>
      <c r="E23" s="12">
        <v>409.58042323507971</v>
      </c>
      <c r="F23" s="11">
        <v>0</v>
      </c>
      <c r="G23" s="11">
        <v>2625353.2649688721</v>
      </c>
      <c r="H23" s="10">
        <v>0</v>
      </c>
      <c r="I23" s="10">
        <v>27.163181469022486</v>
      </c>
      <c r="J23" s="12">
        <v>382.4172417660572</v>
      </c>
      <c r="K23" s="15"/>
      <c r="L23" s="43">
        <f>Summary!R20</f>
        <v>0.74624224615740964</v>
      </c>
      <c r="M23" s="15"/>
      <c r="O23" s="40">
        <f t="shared" si="0"/>
        <v>715.22663825212805</v>
      </c>
      <c r="P23" s="41">
        <f t="shared" si="1"/>
        <v>0</v>
      </c>
      <c r="Q23" s="41">
        <f t="shared" si="2"/>
        <v>-47.433495021247154</v>
      </c>
      <c r="R23" s="41">
        <f t="shared" si="3"/>
        <v>667.7931432308809</v>
      </c>
    </row>
  </sheetData>
  <mergeCells count="1">
    <mergeCell ref="B5:J5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00CE-8D21-49BF-803D-2523CC1E379F}">
  <dimension ref="A1:AB48"/>
  <sheetViews>
    <sheetView showGridLines="0" zoomScaleNormal="100" workbookViewId="0"/>
  </sheetViews>
  <sheetFormatPr defaultColWidth="10.453125" defaultRowHeight="13" x14ac:dyDescent="0.3"/>
  <cols>
    <col min="1" max="1" width="10.453125" style="2"/>
    <col min="2" max="2" width="8.7265625" style="2" customWidth="1"/>
    <col min="3" max="14" width="12.1796875" style="2" customWidth="1"/>
    <col min="15" max="22" width="8.54296875" style="2" customWidth="1"/>
    <col min="23" max="23" width="22.6328125" style="2" bestFit="1" customWidth="1"/>
    <col min="24" max="24" width="8.54296875" style="2" customWidth="1"/>
    <col min="25" max="25" width="12.90625" style="2" bestFit="1" customWidth="1"/>
    <col min="26" max="26" width="8.26953125" style="2" bestFit="1" customWidth="1"/>
    <col min="27" max="34" width="8.54296875" style="2" customWidth="1"/>
    <col min="35" max="35" width="12.7265625" style="2" customWidth="1"/>
    <col min="36" max="38" width="8.54296875" style="2" customWidth="1"/>
    <col min="39" max="16384" width="10.453125" style="2"/>
  </cols>
  <sheetData>
    <row r="1" spans="1:26" customFormat="1" ht="14.5" x14ac:dyDescent="0.3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6" customFormat="1" ht="14.5" x14ac:dyDescent="0.3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6" customFormat="1" ht="14.5" x14ac:dyDescent="0.35">
      <c r="A3" s="3" t="s">
        <v>2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customFormat="1" ht="14.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W4" s="59"/>
      <c r="X4" s="59"/>
      <c r="Y4" s="59"/>
    </row>
    <row r="5" spans="1:26" customFormat="1" ht="12.5" customHeight="1" x14ac:dyDescent="0.35">
      <c r="A5" s="2"/>
      <c r="B5" s="102" t="s">
        <v>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45"/>
      <c r="P5" s="45"/>
      <c r="Q5" s="45"/>
      <c r="W5" s="59"/>
      <c r="X5" s="60" t="s">
        <v>56</v>
      </c>
      <c r="Y5" s="59"/>
    </row>
    <row r="6" spans="1:26" customFormat="1" ht="31.5" customHeight="1" thickBot="1" x14ac:dyDescent="0.4">
      <c r="A6" s="2"/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6"/>
      <c r="P6" s="46"/>
      <c r="Q6" s="46"/>
      <c r="R6" s="59"/>
      <c r="S6" s="60" t="s">
        <v>51</v>
      </c>
      <c r="T6" s="60" t="s">
        <v>45</v>
      </c>
      <c r="U6" s="60" t="s">
        <v>50</v>
      </c>
      <c r="V6" s="59"/>
      <c r="W6" s="61" t="s">
        <v>54</v>
      </c>
      <c r="X6" s="60" t="s">
        <v>57</v>
      </c>
      <c r="Y6" s="62" t="s">
        <v>59</v>
      </c>
      <c r="Z6" s="59"/>
    </row>
    <row r="7" spans="1:26" customFormat="1" ht="12.75" customHeight="1" thickTop="1" thickBot="1" x14ac:dyDescent="0.4">
      <c r="A7" s="2"/>
      <c r="B7" s="4"/>
      <c r="C7" s="4"/>
      <c r="D7" s="4"/>
      <c r="E7" s="4" t="s">
        <v>17</v>
      </c>
      <c r="F7" s="4"/>
      <c r="G7" s="4"/>
      <c r="H7" s="4"/>
      <c r="I7" s="4" t="s">
        <v>18</v>
      </c>
      <c r="J7" s="4"/>
      <c r="K7" s="4"/>
      <c r="L7" s="4"/>
      <c r="M7" s="4"/>
      <c r="N7" s="4" t="s">
        <v>44</v>
      </c>
      <c r="O7" s="46"/>
      <c r="P7" s="71" t="s">
        <v>53</v>
      </c>
      <c r="Q7" s="46"/>
      <c r="R7" s="59"/>
      <c r="S7" s="60" t="s">
        <v>46</v>
      </c>
      <c r="T7" s="60" t="s">
        <v>52</v>
      </c>
      <c r="U7" s="60" t="s">
        <v>46</v>
      </c>
      <c r="V7" s="59"/>
      <c r="W7" s="63" t="s">
        <v>55</v>
      </c>
      <c r="X7" s="60" t="s">
        <v>58</v>
      </c>
      <c r="Y7" s="64" t="s">
        <v>60</v>
      </c>
      <c r="Z7" s="60" t="s">
        <v>61</v>
      </c>
    </row>
    <row r="8" spans="1:26" customFormat="1" ht="16" thickTop="1" x14ac:dyDescent="0.35">
      <c r="A8" s="2"/>
      <c r="B8" s="5">
        <v>2025</v>
      </c>
      <c r="C8" s="6">
        <v>50.152611541178175</v>
      </c>
      <c r="D8" s="7">
        <v>33050200.072021484</v>
      </c>
      <c r="E8" s="8">
        <v>1657.5538455703124</v>
      </c>
      <c r="F8" s="7">
        <v>25515162.433492623</v>
      </c>
      <c r="G8" s="8">
        <v>1302.3883383672292</v>
      </c>
      <c r="H8" s="8">
        <v>1045.290396055155</v>
      </c>
      <c r="I8" s="8">
        <v>257.09794231207417</v>
      </c>
      <c r="J8" s="7">
        <v>7909899.3230146468</v>
      </c>
      <c r="K8" s="7">
        <v>374861.79985380173</v>
      </c>
      <c r="L8" s="8">
        <v>372.03256395191886</v>
      </c>
      <c r="M8" s="8">
        <v>20.2314478227382</v>
      </c>
      <c r="N8" s="8">
        <f>E8-I8</f>
        <v>1400.4559032582383</v>
      </c>
      <c r="O8" s="47"/>
      <c r="P8" s="72">
        <f>Summary!$R5</f>
        <v>0.21123641653309111</v>
      </c>
      <c r="Q8" s="47"/>
      <c r="R8" s="59"/>
      <c r="S8" s="65">
        <f>E8*(1+$P8)</f>
        <v>2007.68958011923</v>
      </c>
      <c r="T8" s="65">
        <f>-I8*(1+$P8)</f>
        <v>-311.4063903441081</v>
      </c>
      <c r="U8" s="65">
        <f>SUM(S8:T8)</f>
        <v>1696.2831897751219</v>
      </c>
      <c r="V8" s="59"/>
      <c r="W8" s="76">
        <f>U8-'C2-SA'!R8</f>
        <v>-6.820678902312693</v>
      </c>
      <c r="X8" s="66">
        <f>Summary!$Y5</f>
        <v>0</v>
      </c>
      <c r="Y8" s="67">
        <v>-0.94627735147925052</v>
      </c>
      <c r="Z8" s="66">
        <f>SUM(W8:Y8)</f>
        <v>-7.7669562537919434</v>
      </c>
    </row>
    <row r="9" spans="1:26" customFormat="1" ht="15.5" x14ac:dyDescent="0.35">
      <c r="A9" s="2"/>
      <c r="B9" s="5">
        <v>2026</v>
      </c>
      <c r="C9" s="6">
        <v>49.49467763126443</v>
      </c>
      <c r="D9" s="7">
        <v>33155651.835449219</v>
      </c>
      <c r="E9" s="8">
        <v>1641.0282992499999</v>
      </c>
      <c r="F9" s="7">
        <v>27746814.371648185</v>
      </c>
      <c r="G9" s="8">
        <v>1391.0269822399509</v>
      </c>
      <c r="H9" s="8">
        <v>1146.665258330497</v>
      </c>
      <c r="I9" s="8">
        <v>244.36172390945387</v>
      </c>
      <c r="J9" s="7">
        <v>5988115.5567558184</v>
      </c>
      <c r="K9" s="7">
        <v>579278.18187699467</v>
      </c>
      <c r="L9" s="8">
        <v>278.3871539624152</v>
      </c>
      <c r="M9" s="8">
        <v>29.95841869501276</v>
      </c>
      <c r="N9" s="8">
        <f t="shared" ref="N9:N23" si="0">E9-I9</f>
        <v>1396.6665753405459</v>
      </c>
      <c r="O9" s="47"/>
      <c r="P9" s="72">
        <f>Summary!$R6</f>
        <v>0.25362969111174949</v>
      </c>
      <c r="Q9" s="47"/>
      <c r="R9" s="59"/>
      <c r="S9" s="65">
        <f t="shared" ref="S9:S23" si="1">E9*(1+$P9)</f>
        <v>2057.241799894417</v>
      </c>
      <c r="T9" s="65">
        <f t="shared" ref="T9:T23" si="2">-I9*(1+$P9)</f>
        <v>-306.33911246414328</v>
      </c>
      <c r="U9" s="65">
        <f t="shared" ref="U9:U23" si="3">SUM(S9:T9)</f>
        <v>1750.9026874302738</v>
      </c>
      <c r="V9" s="59"/>
      <c r="W9" s="76">
        <f>U9-'C2-SA'!R9</f>
        <v>2.0450037858349788</v>
      </c>
      <c r="X9" s="66">
        <f>Summary!$Y6</f>
        <v>0</v>
      </c>
      <c r="Y9" s="67">
        <v>-0.11169288565580832</v>
      </c>
      <c r="Z9" s="66">
        <f t="shared" ref="Z9:Z23" si="4">SUM(W9:Y9)</f>
        <v>1.9333109001791704</v>
      </c>
    </row>
    <row r="10" spans="1:26" customFormat="1" ht="15.5" x14ac:dyDescent="0.35">
      <c r="A10" s="2"/>
      <c r="B10" s="5">
        <v>2027</v>
      </c>
      <c r="C10" s="6">
        <v>50.216489793025112</v>
      </c>
      <c r="D10" s="7">
        <v>34025754.001953125</v>
      </c>
      <c r="E10" s="8">
        <v>1708.6539285390625</v>
      </c>
      <c r="F10" s="7">
        <v>29362252.541625563</v>
      </c>
      <c r="G10" s="8">
        <v>1490.0854399295015</v>
      </c>
      <c r="H10" s="8">
        <v>1222.9849129379957</v>
      </c>
      <c r="I10" s="8">
        <v>267.10052699150589</v>
      </c>
      <c r="J10" s="7">
        <v>5233210.4556741118</v>
      </c>
      <c r="K10" s="7">
        <v>569709.05374676548</v>
      </c>
      <c r="L10" s="8">
        <v>246.26586694444299</v>
      </c>
      <c r="M10" s="8">
        <v>29.737223020713913</v>
      </c>
      <c r="N10" s="8">
        <f t="shared" si="0"/>
        <v>1441.5534015475566</v>
      </c>
      <c r="O10" s="47"/>
      <c r="P10" s="72">
        <f>Summary!$R7</f>
        <v>0.28906557748917816</v>
      </c>
      <c r="Q10" s="47"/>
      <c r="R10" s="59"/>
      <c r="S10" s="65">
        <f t="shared" si="1"/>
        <v>2202.5669631213595</v>
      </c>
      <c r="T10" s="65">
        <f t="shared" si="2"/>
        <v>-344.31009507396936</v>
      </c>
      <c r="U10" s="65">
        <f t="shared" si="3"/>
        <v>1858.2568680473901</v>
      </c>
      <c r="V10" s="59"/>
      <c r="W10" s="76">
        <f>U10-'C2-SA'!R10</f>
        <v>22.899837707486313</v>
      </c>
      <c r="X10" s="66">
        <f>Summary!$Y7</f>
        <v>-15.627090909854164</v>
      </c>
      <c r="Y10" s="68">
        <v>-2.6717733643139115E-2</v>
      </c>
      <c r="Z10" s="66">
        <f t="shared" si="4"/>
        <v>7.2460290639890097</v>
      </c>
    </row>
    <row r="11" spans="1:26" customFormat="1" ht="15.5" x14ac:dyDescent="0.35">
      <c r="A11" s="2"/>
      <c r="B11" s="5">
        <v>2028</v>
      </c>
      <c r="C11" s="6">
        <v>50.495670262248048</v>
      </c>
      <c r="D11" s="7">
        <v>34075501.323486328</v>
      </c>
      <c r="E11" s="8">
        <v>1720.6652788515626</v>
      </c>
      <c r="F11" s="7">
        <v>33234763.370729093</v>
      </c>
      <c r="G11" s="8">
        <v>1678.482476309852</v>
      </c>
      <c r="H11" s="8">
        <v>1190.2460785267272</v>
      </c>
      <c r="I11" s="8">
        <v>488.23639778312491</v>
      </c>
      <c r="J11" s="7">
        <v>2107476.4452261031</v>
      </c>
      <c r="K11" s="7">
        <v>1266738.5473167747</v>
      </c>
      <c r="L11" s="8">
        <v>102.62633449314598</v>
      </c>
      <c r="M11" s="8">
        <v>63.914443348308467</v>
      </c>
      <c r="N11" s="8">
        <f t="shared" si="0"/>
        <v>1232.4288810684377</v>
      </c>
      <c r="O11" s="44"/>
      <c r="P11" s="73">
        <f>Summary!$R8</f>
        <v>0.32051633919281142</v>
      </c>
      <c r="Q11" s="44"/>
      <c r="R11" s="59"/>
      <c r="S11" s="65">
        <f t="shared" si="1"/>
        <v>2272.1666150052433</v>
      </c>
      <c r="T11" s="65">
        <f t="shared" si="2"/>
        <v>-644.72414066125737</v>
      </c>
      <c r="U11" s="65">
        <f t="shared" si="3"/>
        <v>1627.4424743439859</v>
      </c>
      <c r="V11" s="59"/>
      <c r="W11" s="76">
        <f>U11-'C2-SA'!R11</f>
        <v>-29.260105634700949</v>
      </c>
      <c r="X11" s="66">
        <f>Summary!$Y8</f>
        <v>0.24934341786718051</v>
      </c>
      <c r="Y11" s="69">
        <v>0</v>
      </c>
      <c r="Z11" s="66">
        <f t="shared" si="4"/>
        <v>-29.010762216833768</v>
      </c>
    </row>
    <row r="12" spans="1:26" customFormat="1" ht="15.5" x14ac:dyDescent="0.35">
      <c r="A12" s="2"/>
      <c r="B12" s="5">
        <v>2029</v>
      </c>
      <c r="C12" s="6">
        <v>51.147451883668843</v>
      </c>
      <c r="D12" s="7">
        <v>33920099.497802734</v>
      </c>
      <c r="E12" s="8">
        <v>1734.9266569531251</v>
      </c>
      <c r="F12" s="7">
        <v>33851801.72859171</v>
      </c>
      <c r="G12" s="8">
        <v>1731.3813022305367</v>
      </c>
      <c r="H12" s="8">
        <v>1209.3351831386478</v>
      </c>
      <c r="I12" s="8">
        <v>522.04611909188895</v>
      </c>
      <c r="J12" s="7">
        <v>1505224.9499813318</v>
      </c>
      <c r="K12" s="7">
        <v>1436927.2238373458</v>
      </c>
      <c r="L12" s="8">
        <v>73.662945461789491</v>
      </c>
      <c r="M12" s="8">
        <v>73.220218162965637</v>
      </c>
      <c r="N12" s="8">
        <f t="shared" si="0"/>
        <v>1212.880537861236</v>
      </c>
      <c r="O12" s="44"/>
      <c r="P12" s="73">
        <f>Summary!$R9</f>
        <v>0.3528444658201555</v>
      </c>
      <c r="Q12" s="44"/>
      <c r="R12" s="59"/>
      <c r="S12" s="65">
        <f t="shared" si="1"/>
        <v>2347.0859264628984</v>
      </c>
      <c r="T12" s="65">
        <f t="shared" si="2"/>
        <v>-706.24720311635178</v>
      </c>
      <c r="U12" s="65">
        <f t="shared" si="3"/>
        <v>1640.8387233465467</v>
      </c>
      <c r="V12" s="59"/>
      <c r="W12" s="76">
        <f>U12-'C2-SA'!R12</f>
        <v>222.44421394046208</v>
      </c>
      <c r="X12" s="66">
        <f>Summary!$Y9</f>
        <v>-73.157149061474144</v>
      </c>
      <c r="Y12" s="69">
        <v>0</v>
      </c>
      <c r="Z12" s="66">
        <f t="shared" si="4"/>
        <v>149.28706487898793</v>
      </c>
    </row>
    <row r="13" spans="1:26" customFormat="1" ht="15.5" x14ac:dyDescent="0.35">
      <c r="A13" s="2"/>
      <c r="B13" s="5">
        <v>2030</v>
      </c>
      <c r="C13" s="6">
        <v>51.568149803199077</v>
      </c>
      <c r="D13" s="7">
        <v>33808022.219238281</v>
      </c>
      <c r="E13" s="8">
        <v>1743.4171543515624</v>
      </c>
      <c r="F13" s="7">
        <v>34513000.44717928</v>
      </c>
      <c r="G13" s="8">
        <v>1779.1335863350723</v>
      </c>
      <c r="H13" s="8">
        <v>1257.6945256117417</v>
      </c>
      <c r="I13" s="8">
        <v>521.4390607233305</v>
      </c>
      <c r="J13" s="7">
        <v>1023661.2568980455</v>
      </c>
      <c r="K13" s="7">
        <v>1728639.5368486345</v>
      </c>
      <c r="L13" s="8">
        <v>50.076490072287811</v>
      </c>
      <c r="M13" s="8">
        <v>88.593884182918217</v>
      </c>
      <c r="N13" s="8">
        <f t="shared" si="0"/>
        <v>1221.9780936282318</v>
      </c>
      <c r="O13" s="44"/>
      <c r="P13" s="73">
        <f>Summary!$R10</f>
        <v>0.38563573789931382</v>
      </c>
      <c r="Q13" s="44"/>
      <c r="R13" s="59"/>
      <c r="S13" s="65">
        <f t="shared" si="1"/>
        <v>2415.7411151362489</v>
      </c>
      <c r="T13" s="65">
        <f t="shared" si="2"/>
        <v>-722.52459767489711</v>
      </c>
      <c r="U13" s="65">
        <f t="shared" si="3"/>
        <v>1693.2165174613519</v>
      </c>
      <c r="V13" s="59"/>
      <c r="W13" s="76">
        <f>U13-'C2-SA'!R13</f>
        <v>222.53643891886054</v>
      </c>
      <c r="X13" s="66">
        <f>Summary!$Y10</f>
        <v>-73.317326745276333</v>
      </c>
      <c r="Y13" s="69">
        <v>0</v>
      </c>
      <c r="Z13" s="66">
        <f t="shared" si="4"/>
        <v>149.21911217358422</v>
      </c>
    </row>
    <row r="14" spans="1:26" customFormat="1" ht="15.5" x14ac:dyDescent="0.35">
      <c r="A14" s="2"/>
      <c r="B14" s="5">
        <v>2031</v>
      </c>
      <c r="C14" s="6">
        <v>53.43199351531706</v>
      </c>
      <c r="D14" s="7">
        <v>33768873.138916016</v>
      </c>
      <c r="E14" s="8">
        <v>1804.338210578125</v>
      </c>
      <c r="F14" s="7">
        <v>34783742.295609616</v>
      </c>
      <c r="G14" s="8">
        <v>1855.4508961306801</v>
      </c>
      <c r="H14" s="8">
        <v>1298.1185678081933</v>
      </c>
      <c r="I14" s="8">
        <v>557.33232832248666</v>
      </c>
      <c r="J14" s="7">
        <v>805177.55678620934</v>
      </c>
      <c r="K14" s="7">
        <v>1820046.7465898802</v>
      </c>
      <c r="L14" s="8">
        <v>41.091989822113852</v>
      </c>
      <c r="M14" s="8">
        <v>96.119357908904917</v>
      </c>
      <c r="N14" s="8">
        <f t="shared" si="0"/>
        <v>1247.0058822556384</v>
      </c>
      <c r="O14" s="44"/>
      <c r="P14" s="73">
        <f>Summary!$R11</f>
        <v>0.41857129399151893</v>
      </c>
      <c r="Q14" s="44"/>
      <c r="R14" s="59"/>
      <c r="S14" s="65">
        <f t="shared" si="1"/>
        <v>2559.5823901781523</v>
      </c>
      <c r="T14" s="65">
        <f t="shared" si="2"/>
        <v>-790.615642171736</v>
      </c>
      <c r="U14" s="65">
        <f t="shared" si="3"/>
        <v>1768.9667480064163</v>
      </c>
      <c r="V14" s="59"/>
      <c r="W14" s="76">
        <f>U14-'C2-SA'!R14</f>
        <v>239.87369724903283</v>
      </c>
      <c r="X14" s="66">
        <f>Summary!$Y11</f>
        <v>-71.698123201686329</v>
      </c>
      <c r="Y14" s="69">
        <v>0</v>
      </c>
      <c r="Z14" s="66">
        <f t="shared" si="4"/>
        <v>168.17557404734652</v>
      </c>
    </row>
    <row r="15" spans="1:26" customFormat="1" ht="15.5" x14ac:dyDescent="0.35">
      <c r="A15" s="2"/>
      <c r="B15" s="5">
        <v>2032</v>
      </c>
      <c r="C15" s="6">
        <v>54.642033110995946</v>
      </c>
      <c r="D15" s="7">
        <v>33827370.076416016</v>
      </c>
      <c r="E15" s="8">
        <v>1848.3962757734375</v>
      </c>
      <c r="F15" s="7">
        <v>34829276.927237749</v>
      </c>
      <c r="G15" s="8">
        <v>1899.7597605032965</v>
      </c>
      <c r="H15" s="8">
        <v>1323.1075309678863</v>
      </c>
      <c r="I15" s="8">
        <v>576.65222953541036</v>
      </c>
      <c r="J15" s="7">
        <v>842517.8920904249</v>
      </c>
      <c r="K15" s="7">
        <v>1844424.7909963727</v>
      </c>
      <c r="L15" s="8">
        <v>43.99798219602549</v>
      </c>
      <c r="M15" s="8">
        <v>99.770974953920955</v>
      </c>
      <c r="N15" s="8">
        <f t="shared" si="0"/>
        <v>1271.7440462380273</v>
      </c>
      <c r="O15" s="44"/>
      <c r="P15" s="73">
        <f>Summary!$R12</f>
        <v>0.45181386458476869</v>
      </c>
      <c r="Q15" s="44"/>
      <c r="R15" s="59"/>
      <c r="S15" s="65">
        <f t="shared" si="1"/>
        <v>2683.5273404147283</v>
      </c>
      <c r="T15" s="65">
        <f t="shared" si="2"/>
        <v>-837.19170188322721</v>
      </c>
      <c r="U15" s="65">
        <f t="shared" si="3"/>
        <v>1846.335638531501</v>
      </c>
      <c r="V15" s="59"/>
      <c r="W15" s="76">
        <f>U15-'C2-SA'!R15</f>
        <v>250.34144271523951</v>
      </c>
      <c r="X15" s="66">
        <f>Summary!$Y12</f>
        <v>-70.126594593371649</v>
      </c>
      <c r="Y15" s="69">
        <v>0</v>
      </c>
      <c r="Z15" s="66">
        <f t="shared" si="4"/>
        <v>180.21484812186787</v>
      </c>
    </row>
    <row r="16" spans="1:26" customFormat="1" ht="15.5" x14ac:dyDescent="0.35">
      <c r="A16" s="2"/>
      <c r="B16" s="5">
        <v>2033</v>
      </c>
      <c r="C16" s="6">
        <v>56.726783425929469</v>
      </c>
      <c r="D16" s="7">
        <v>33717104.604492188</v>
      </c>
      <c r="E16" s="8">
        <v>1912.6628906484375</v>
      </c>
      <c r="F16" s="7">
        <v>33931518.536001295</v>
      </c>
      <c r="G16" s="8">
        <v>1922.0508473447958</v>
      </c>
      <c r="H16" s="8">
        <v>1272.0197697045671</v>
      </c>
      <c r="I16" s="8">
        <v>650.03107764022855</v>
      </c>
      <c r="J16" s="7">
        <v>1320490.888822481</v>
      </c>
      <c r="K16" s="7">
        <v>1534904.8698201776</v>
      </c>
      <c r="L16" s="8">
        <v>71.306804370088116</v>
      </c>
      <c r="M16" s="8">
        <v>86.995583566802679</v>
      </c>
      <c r="N16" s="8">
        <f t="shared" si="0"/>
        <v>1262.6318130082091</v>
      </c>
      <c r="O16" s="44"/>
      <c r="P16" s="73">
        <f>Summary!$R13</f>
        <v>0.48571371832282351</v>
      </c>
      <c r="Q16" s="44"/>
      <c r="R16" s="59"/>
      <c r="S16" s="65">
        <f t="shared" si="1"/>
        <v>2841.6694951633699</v>
      </c>
      <c r="T16" s="65">
        <f t="shared" si="2"/>
        <v>-965.76008938625591</v>
      </c>
      <c r="U16" s="65">
        <f t="shared" si="3"/>
        <v>1875.909405777114</v>
      </c>
      <c r="V16" s="59"/>
      <c r="W16" s="76">
        <f>U16-'C2-SA'!R16</f>
        <v>263.65498333572032</v>
      </c>
      <c r="X16" s="66">
        <f>Summary!$Y13</f>
        <v>-68.693504172167906</v>
      </c>
      <c r="Y16" s="69">
        <v>0</v>
      </c>
      <c r="Z16" s="66">
        <f t="shared" si="4"/>
        <v>194.96147916355241</v>
      </c>
    </row>
    <row r="17" spans="1:28" customFormat="1" ht="15.5" x14ac:dyDescent="0.35">
      <c r="A17" s="2"/>
      <c r="B17" s="5">
        <v>2034</v>
      </c>
      <c r="C17" s="6">
        <v>52.577612975890474</v>
      </c>
      <c r="D17" s="7">
        <v>33675258.977294922</v>
      </c>
      <c r="E17" s="8">
        <v>1770.5647333710938</v>
      </c>
      <c r="F17" s="7">
        <v>35778985.717724018</v>
      </c>
      <c r="G17" s="8">
        <v>1868.3122061669592</v>
      </c>
      <c r="H17" s="8">
        <v>998.9280020465003</v>
      </c>
      <c r="I17" s="8">
        <v>869.384204120459</v>
      </c>
      <c r="J17" s="7">
        <v>191029.77684622258</v>
      </c>
      <c r="K17" s="7">
        <v>2294756.5808410645</v>
      </c>
      <c r="L17" s="8">
        <v>10.29428247220209</v>
      </c>
      <c r="M17" s="8">
        <v>117.71998237211679</v>
      </c>
      <c r="N17" s="8">
        <f t="shared" si="0"/>
        <v>901.18052925063478</v>
      </c>
      <c r="O17" s="44"/>
      <c r="P17" s="73">
        <f>Summary!$R14</f>
        <v>0.52040513364566165</v>
      </c>
      <c r="Q17" s="44"/>
      <c r="R17" s="59"/>
      <c r="S17" s="65">
        <f t="shared" si="1"/>
        <v>2691.9757100693732</v>
      </c>
      <c r="T17" s="65">
        <f t="shared" si="2"/>
        <v>-1321.8162070551937</v>
      </c>
      <c r="U17" s="65">
        <f t="shared" si="3"/>
        <v>1370.1595030141796</v>
      </c>
      <c r="V17" s="59"/>
      <c r="W17" s="76">
        <f>U17-'C2-SA'!R17</f>
        <v>-53.36817573558892</v>
      </c>
      <c r="X17" s="66">
        <f>Summary!$Y14</f>
        <v>28.667702893289857</v>
      </c>
      <c r="Y17" s="69">
        <v>0</v>
      </c>
      <c r="Z17" s="66">
        <f t="shared" si="4"/>
        <v>-24.700472842299064</v>
      </c>
    </row>
    <row r="18" spans="1:28" customFormat="1" ht="15.5" x14ac:dyDescent="0.35">
      <c r="A18" s="2"/>
      <c r="B18" s="5">
        <v>2035</v>
      </c>
      <c r="C18" s="6">
        <v>51.915231458923806</v>
      </c>
      <c r="D18" s="7">
        <v>33675950.144287109</v>
      </c>
      <c r="E18" s="8">
        <v>1748.2947463398436</v>
      </c>
      <c r="F18" s="7">
        <v>35893626.957431361</v>
      </c>
      <c r="G18" s="8">
        <v>1847.5498656323232</v>
      </c>
      <c r="H18" s="8">
        <v>955.63505638109223</v>
      </c>
      <c r="I18" s="8">
        <v>891.91480925123108</v>
      </c>
      <c r="J18" s="7">
        <v>129102.47460961342</v>
      </c>
      <c r="K18" s="7">
        <v>2346779.3134018779</v>
      </c>
      <c r="L18" s="8">
        <v>6.7393996026887608</v>
      </c>
      <c r="M18" s="8">
        <v>119.22826260442413</v>
      </c>
      <c r="N18" s="8">
        <f t="shared" si="0"/>
        <v>856.37993708861256</v>
      </c>
      <c r="O18" s="44"/>
      <c r="P18" s="73">
        <f>Summary!$R15</f>
        <v>0.55590659351628879</v>
      </c>
      <c r="Q18" s="44"/>
      <c r="R18" s="59"/>
      <c r="S18" s="65">
        <f t="shared" si="1"/>
        <v>2720.1833232400504</v>
      </c>
      <c r="T18" s="65">
        <f t="shared" si="2"/>
        <v>-1387.7361325688134</v>
      </c>
      <c r="U18" s="65">
        <f t="shared" si="3"/>
        <v>1332.447190671237</v>
      </c>
      <c r="V18" s="59"/>
      <c r="W18" s="76">
        <f>U18-'C2-SA'!R18</f>
        <v>188.30798121015027</v>
      </c>
      <c r="X18" s="66">
        <f>Summary!$Y15</f>
        <v>-17.950732145995801</v>
      </c>
      <c r="Y18" s="69">
        <v>0</v>
      </c>
      <c r="Z18" s="66">
        <f t="shared" si="4"/>
        <v>170.35724906415447</v>
      </c>
    </row>
    <row r="19" spans="1:28" customFormat="1" ht="15.5" x14ac:dyDescent="0.35">
      <c r="A19" s="2"/>
      <c r="B19" s="5">
        <v>2036</v>
      </c>
      <c r="C19" s="6">
        <v>50.506352408054809</v>
      </c>
      <c r="D19" s="7">
        <v>33792305.426757813</v>
      </c>
      <c r="E19" s="8">
        <v>1706.7260865644532</v>
      </c>
      <c r="F19" s="7">
        <v>35924188.991877303</v>
      </c>
      <c r="G19" s="8">
        <v>1792.7030696754803</v>
      </c>
      <c r="H19" s="8">
        <v>821.04305787851729</v>
      </c>
      <c r="I19" s="8">
        <v>971.66001179696309</v>
      </c>
      <c r="J19" s="7">
        <v>200982.65049916506</v>
      </c>
      <c r="K19" s="7">
        <v>2332866.2709884644</v>
      </c>
      <c r="L19" s="8">
        <v>11.241566646775878</v>
      </c>
      <c r="M19" s="8">
        <v>112.72231813709332</v>
      </c>
      <c r="N19" s="8">
        <f t="shared" si="0"/>
        <v>735.06607476749014</v>
      </c>
      <c r="O19" s="44"/>
      <c r="P19" s="73">
        <f>Summary!$R16</f>
        <v>0.59223701247489391</v>
      </c>
      <c r="Q19" s="44"/>
      <c r="R19" s="59"/>
      <c r="S19" s="65">
        <f t="shared" si="1"/>
        <v>2717.5124451843521</v>
      </c>
      <c r="T19" s="65">
        <f t="shared" si="2"/>
        <v>-1547.1130343249167</v>
      </c>
      <c r="U19" s="65">
        <f t="shared" si="3"/>
        <v>1170.3994108594354</v>
      </c>
      <c r="V19" s="59"/>
      <c r="W19" s="76">
        <f>U19-'C2-SA'!R19</f>
        <v>350.05269726326549</v>
      </c>
      <c r="X19" s="66">
        <f>Summary!$Y16</f>
        <v>-157.10513120592367</v>
      </c>
      <c r="Y19" s="69">
        <v>0</v>
      </c>
      <c r="Z19" s="66">
        <f t="shared" si="4"/>
        <v>192.94756605734182</v>
      </c>
    </row>
    <row r="20" spans="1:28" customFormat="1" ht="15.5" x14ac:dyDescent="0.35">
      <c r="A20" s="2"/>
      <c r="B20" s="5">
        <v>2037</v>
      </c>
      <c r="C20" s="6">
        <v>43.328184530107954</v>
      </c>
      <c r="D20" s="7">
        <v>33709834.706542969</v>
      </c>
      <c r="E20" s="8">
        <v>1460.5859386445313</v>
      </c>
      <c r="F20" s="7">
        <v>36123912.834438145</v>
      </c>
      <c r="G20" s="8">
        <v>1542.096325353521</v>
      </c>
      <c r="H20" s="8">
        <v>668.27454764488846</v>
      </c>
      <c r="I20" s="8">
        <v>873.82177770863268</v>
      </c>
      <c r="J20" s="7">
        <v>69469.889901638031</v>
      </c>
      <c r="K20" s="7">
        <v>2483548.0620576143</v>
      </c>
      <c r="L20" s="8">
        <v>4.054419730362695</v>
      </c>
      <c r="M20" s="8">
        <v>101.81680672196218</v>
      </c>
      <c r="N20" s="8">
        <f t="shared" si="0"/>
        <v>586.76416093589864</v>
      </c>
      <c r="O20" s="44"/>
      <c r="P20" s="73">
        <f>Summary!$R17</f>
        <v>0.62941574671618339</v>
      </c>
      <c r="Q20" s="44"/>
      <c r="R20" s="59"/>
      <c r="S20" s="65">
        <f t="shared" si="1"/>
        <v>2379.9017278596366</v>
      </c>
      <c r="T20" s="65">
        <f t="shared" si="2"/>
        <v>-1423.8189644219744</v>
      </c>
      <c r="U20" s="65">
        <f t="shared" si="3"/>
        <v>956.08276343766215</v>
      </c>
      <c r="V20" s="59"/>
      <c r="W20" s="76">
        <f>U20-'C2-SA'!R20</f>
        <v>228.43968800897005</v>
      </c>
      <c r="X20" s="66">
        <f>Summary!$Y17</f>
        <v>-124.450071362995</v>
      </c>
      <c r="Y20" s="69">
        <v>0</v>
      </c>
      <c r="Z20" s="66">
        <f t="shared" si="4"/>
        <v>103.98961664597505</v>
      </c>
    </row>
    <row r="21" spans="1:28" customFormat="1" ht="15.5" x14ac:dyDescent="0.35">
      <c r="A21" s="2"/>
      <c r="B21" s="5">
        <v>2038</v>
      </c>
      <c r="C21" s="6">
        <v>42.477587922646585</v>
      </c>
      <c r="D21" s="7">
        <v>33753359.391113281</v>
      </c>
      <c r="E21" s="8">
        <v>1433.761291220703</v>
      </c>
      <c r="F21" s="7">
        <v>36119236.07861504</v>
      </c>
      <c r="G21" s="8">
        <v>1508.7225400256884</v>
      </c>
      <c r="H21" s="8">
        <v>636.34603851902614</v>
      </c>
      <c r="I21" s="8">
        <v>872.37650150666229</v>
      </c>
      <c r="J21" s="7">
        <v>89731.633180141449</v>
      </c>
      <c r="K21" s="7">
        <v>2455608.37214607</v>
      </c>
      <c r="L21" s="8">
        <v>5.2074888580421899</v>
      </c>
      <c r="M21" s="8">
        <v>98.48519658673159</v>
      </c>
      <c r="N21" s="8">
        <f t="shared" si="0"/>
        <v>561.38478971404072</v>
      </c>
      <c r="O21" s="44"/>
      <c r="P21" s="73">
        <f>Summary!$R18</f>
        <v>0.66746260440200622</v>
      </c>
      <c r="Q21" s="44"/>
      <c r="R21" s="59"/>
      <c r="S21" s="65">
        <f t="shared" si="1"/>
        <v>2390.7433367496569</v>
      </c>
      <c r="T21" s="65">
        <f t="shared" si="2"/>
        <v>-1454.6551932214097</v>
      </c>
      <c r="U21" s="65">
        <f t="shared" si="3"/>
        <v>936.0881435282472</v>
      </c>
      <c r="V21" s="59"/>
      <c r="W21" s="76">
        <f>U21-'C2-SA'!R21</f>
        <v>227.04643198236602</v>
      </c>
      <c r="X21" s="66">
        <f>Summary!$Y18</f>
        <v>-151.58615652202502</v>
      </c>
      <c r="Y21" s="69">
        <v>0</v>
      </c>
      <c r="Z21" s="66">
        <f t="shared" si="4"/>
        <v>75.460275460340995</v>
      </c>
    </row>
    <row r="22" spans="1:28" customFormat="1" ht="15.5" x14ac:dyDescent="0.35">
      <c r="A22" s="2"/>
      <c r="B22" s="5">
        <v>2039</v>
      </c>
      <c r="C22" s="6">
        <v>27.890837007793703</v>
      </c>
      <c r="D22" s="7">
        <v>33754476.710449219</v>
      </c>
      <c r="E22" s="8">
        <v>941.44060821450773</v>
      </c>
      <c r="F22" s="7">
        <v>36263085.909561962</v>
      </c>
      <c r="G22" s="8">
        <v>987.33433567772101</v>
      </c>
      <c r="H22" s="8">
        <v>488.3861842106254</v>
      </c>
      <c r="I22" s="8">
        <v>498.94815146709561</v>
      </c>
      <c r="J22" s="7">
        <v>47725.001098632813</v>
      </c>
      <c r="K22" s="7">
        <v>2556334.2351211309</v>
      </c>
      <c r="L22" s="8">
        <v>2.9510028034862801</v>
      </c>
      <c r="M22" s="8">
        <v>65.326813581878554</v>
      </c>
      <c r="N22" s="8">
        <f t="shared" si="0"/>
        <v>442.49245674741212</v>
      </c>
      <c r="O22" s="44"/>
      <c r="P22" s="73">
        <f>Summary!$R19</f>
        <v>0.70639785621479323</v>
      </c>
      <c r="Q22" s="44"/>
      <c r="R22" s="59"/>
      <c r="S22" s="65">
        <f t="shared" si="1"/>
        <v>1606.472235610787</v>
      </c>
      <c r="T22" s="65">
        <f t="shared" si="2"/>
        <v>-851.40405602578585</v>
      </c>
      <c r="U22" s="65">
        <f t="shared" si="3"/>
        <v>755.06817958500119</v>
      </c>
      <c r="V22" s="59"/>
      <c r="W22" s="76">
        <f>U22-'C2-SA'!R22</f>
        <v>72.853395140420503</v>
      </c>
      <c r="X22" s="66">
        <f>Summary!$Y19</f>
        <v>-67.047745359432724</v>
      </c>
      <c r="Y22" s="69">
        <v>0</v>
      </c>
      <c r="Z22" s="66">
        <f t="shared" si="4"/>
        <v>5.8056497809877783</v>
      </c>
    </row>
    <row r="23" spans="1:28" customFormat="1" ht="15.5" x14ac:dyDescent="0.35">
      <c r="A23" s="2"/>
      <c r="B23" s="9">
        <v>2040</v>
      </c>
      <c r="C23" s="10">
        <v>27.731328566029688</v>
      </c>
      <c r="D23" s="11">
        <v>33870433.217041016</v>
      </c>
      <c r="E23" s="12">
        <v>939.27211221553034</v>
      </c>
      <c r="F23" s="11">
        <v>36344124.775592119</v>
      </c>
      <c r="G23" s="12">
        <v>975.46139152122873</v>
      </c>
      <c r="H23" s="12">
        <v>504.00272651627699</v>
      </c>
      <c r="I23" s="12">
        <v>471.4586650049518</v>
      </c>
      <c r="J23" s="11">
        <v>83929.517105221748</v>
      </c>
      <c r="K23" s="11">
        <v>2557621.1599440575</v>
      </c>
      <c r="L23" s="12">
        <v>5.8638984972115766</v>
      </c>
      <c r="M23" s="12">
        <v>64.084713218599489</v>
      </c>
      <c r="N23" s="8">
        <f t="shared" si="0"/>
        <v>467.81344721057854</v>
      </c>
      <c r="O23" s="44"/>
      <c r="P23" s="73">
        <f>Summary!$R20</f>
        <v>0.74624224615740964</v>
      </c>
      <c r="Q23" s="44"/>
      <c r="R23" s="59"/>
      <c r="S23" s="65">
        <f t="shared" si="1"/>
        <v>1640.1966429882623</v>
      </c>
      <c r="T23" s="65">
        <f t="shared" si="2"/>
        <v>-823.28103814862072</v>
      </c>
      <c r="U23" s="65">
        <f t="shared" si="3"/>
        <v>816.91560483964156</v>
      </c>
      <c r="V23" s="59"/>
      <c r="W23" s="76">
        <f>U23-'C2-SA'!R23</f>
        <v>149.12246160876066</v>
      </c>
      <c r="X23" s="66">
        <f>Summary!$Y20</f>
        <v>-277.71630737979774</v>
      </c>
      <c r="Y23" s="69">
        <v>0</v>
      </c>
      <c r="Z23" s="66">
        <f t="shared" si="4"/>
        <v>-128.59384577103708</v>
      </c>
    </row>
    <row r="24" spans="1:28" customFormat="1" ht="14.5" x14ac:dyDescent="0.35"/>
    <row r="25" spans="1:28" customFormat="1" ht="14.5" x14ac:dyDescent="0.35"/>
    <row r="26" spans="1:28" ht="14.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4.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4.5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4.5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4.5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4.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4.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14.5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ht="14.5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ht="14.5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14.5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28" ht="14.5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28" ht="14.5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28" ht="14.5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28" ht="14.5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8" ht="14.5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8" ht="14.5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8" ht="14.5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8" ht="14.5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8" ht="14.5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8" ht="14.5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8" ht="14.5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8" ht="14.5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</sheetData>
  <mergeCells count="1">
    <mergeCell ref="B5:N5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4672-9F31-48FC-918D-12F00F698B12}">
  <dimension ref="A1:R23"/>
  <sheetViews>
    <sheetView showGridLines="0" zoomScaleNormal="100" workbookViewId="0">
      <selection activeCell="K5" sqref="K5:R23"/>
    </sheetView>
  </sheetViews>
  <sheetFormatPr defaultColWidth="10.453125" defaultRowHeight="13" x14ac:dyDescent="0.3"/>
  <cols>
    <col min="1" max="1" width="10.453125" style="2"/>
    <col min="2" max="2" width="8.7265625" style="2" customWidth="1"/>
    <col min="3" max="10" width="12.1796875" style="2" customWidth="1"/>
    <col min="11" max="31" width="8.54296875" style="2" customWidth="1"/>
    <col min="32" max="32" width="12.7265625" style="2" customWidth="1"/>
    <col min="33" max="35" width="8.54296875" style="2" customWidth="1"/>
    <col min="36" max="16384" width="10.453125" style="2"/>
  </cols>
  <sheetData>
    <row r="1" spans="1:18" customFormat="1" ht="14.5" x14ac:dyDescent="0.3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8" customFormat="1" ht="14.5" x14ac:dyDescent="0.35">
      <c r="A2" s="3" t="s">
        <v>1</v>
      </c>
      <c r="B2" s="3"/>
      <c r="C2" s="2"/>
      <c r="D2" s="2"/>
      <c r="E2" s="2"/>
      <c r="F2" s="2"/>
      <c r="G2" s="2"/>
      <c r="H2" s="2"/>
      <c r="I2" s="2"/>
      <c r="J2" s="2"/>
    </row>
    <row r="3" spans="1:18" customFormat="1" ht="14.5" x14ac:dyDescent="0.35">
      <c r="A3" s="3" t="s">
        <v>2</v>
      </c>
      <c r="B3" s="3"/>
      <c r="C3" s="2"/>
      <c r="D3" s="2"/>
      <c r="E3" s="2"/>
      <c r="F3" s="2"/>
      <c r="G3" s="2"/>
      <c r="H3" s="2"/>
      <c r="I3" s="2"/>
      <c r="J3" s="2"/>
    </row>
    <row r="4" spans="1:18" customFormat="1" ht="14.5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8" customFormat="1" ht="12.5" customHeight="1" thickBot="1" x14ac:dyDescent="0.4">
      <c r="A5" s="2"/>
      <c r="B5" s="102" t="s">
        <v>3</v>
      </c>
      <c r="C5" s="102"/>
      <c r="D5" s="102"/>
      <c r="E5" s="102"/>
      <c r="F5" s="102"/>
      <c r="G5" s="102"/>
      <c r="H5" s="102"/>
      <c r="I5" s="102"/>
      <c r="J5" s="102"/>
    </row>
    <row r="6" spans="1:18" customFormat="1" ht="31.5" customHeight="1" thickBot="1" x14ac:dyDescent="0.4">
      <c r="A6" s="2"/>
      <c r="B6" s="4" t="s">
        <v>4</v>
      </c>
      <c r="C6" s="4" t="s">
        <v>6</v>
      </c>
      <c r="D6" s="4" t="s">
        <v>8</v>
      </c>
      <c r="E6" s="4" t="s">
        <v>10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O6" s="36" t="s">
        <v>45</v>
      </c>
      <c r="P6" s="38" t="s">
        <v>47</v>
      </c>
      <c r="Q6" s="38" t="s">
        <v>48</v>
      </c>
      <c r="R6" s="38" t="s">
        <v>50</v>
      </c>
    </row>
    <row r="7" spans="1:18" customFormat="1" ht="12.75" customHeight="1" thickTop="1" thickBot="1" x14ac:dyDescent="0.4">
      <c r="A7" s="2"/>
      <c r="B7" s="4"/>
      <c r="C7" s="4"/>
      <c r="D7" s="4"/>
      <c r="E7" s="4"/>
      <c r="F7" s="4"/>
      <c r="G7" s="4"/>
      <c r="H7" s="4"/>
      <c r="I7" s="4"/>
      <c r="J7" s="4" t="s">
        <v>20</v>
      </c>
      <c r="L7" t="s">
        <v>53</v>
      </c>
      <c r="O7" s="37" t="s">
        <v>46</v>
      </c>
      <c r="P7" s="39" t="s">
        <v>46</v>
      </c>
      <c r="Q7" s="39" t="s">
        <v>49</v>
      </c>
      <c r="R7" s="39" t="s">
        <v>46</v>
      </c>
    </row>
    <row r="8" spans="1:18" customFormat="1" ht="16.5" thickTop="1" thickBot="1" x14ac:dyDescent="0.4">
      <c r="A8" s="2"/>
      <c r="B8" s="5">
        <v>2025</v>
      </c>
      <c r="C8" s="7">
        <v>33050200.072021484</v>
      </c>
      <c r="D8" s="7">
        <v>33033587.238123029</v>
      </c>
      <c r="E8" s="18">
        <v>1331.846664933486</v>
      </c>
      <c r="F8" s="7">
        <v>17630.327012725174</v>
      </c>
      <c r="G8" s="7">
        <v>1017.6480066776276</v>
      </c>
      <c r="H8" s="6">
        <v>1.9509578044836726</v>
      </c>
      <c r="I8" s="6">
        <v>5.2700860311191526E-2</v>
      </c>
      <c r="J8" s="8">
        <v>1333.7449218776585</v>
      </c>
      <c r="K8" s="15"/>
      <c r="L8" s="43">
        <f>Summary!R5</f>
        <v>0.21123641653309111</v>
      </c>
      <c r="M8" s="15"/>
      <c r="O8" s="40">
        <f>E8*(1+$L8)</f>
        <v>1613.1811818055839</v>
      </c>
      <c r="P8" s="41">
        <f>H8*(1+$L8)</f>
        <v>2.3630711399100708</v>
      </c>
      <c r="Q8" s="41">
        <f>-I8*(1+$L8)</f>
        <v>-6.3833201191538624E-2</v>
      </c>
      <c r="R8" s="41">
        <f>SUM(O8:Q8)</f>
        <v>1615.4804197443025</v>
      </c>
    </row>
    <row r="9" spans="1:18" customFormat="1" ht="16" thickBot="1" x14ac:dyDescent="0.4">
      <c r="A9" s="2"/>
      <c r="B9" s="5">
        <v>2026</v>
      </c>
      <c r="C9" s="7">
        <v>33155651.835449219</v>
      </c>
      <c r="D9" s="7">
        <v>33137423.10557314</v>
      </c>
      <c r="E9" s="18">
        <v>1381.0089000907749</v>
      </c>
      <c r="F9" s="7">
        <v>18228.586970597506</v>
      </c>
      <c r="G9" s="7">
        <v>0</v>
      </c>
      <c r="H9" s="6">
        <v>3.7285777832650822</v>
      </c>
      <c r="I9" s="6">
        <v>0</v>
      </c>
      <c r="J9" s="8">
        <v>1384.73747787404</v>
      </c>
      <c r="K9" s="15"/>
      <c r="L9" s="43">
        <f>Summary!R6</f>
        <v>0.25362969111174949</v>
      </c>
      <c r="M9" s="15"/>
      <c r="O9" s="40">
        <f t="shared" ref="O9:O23" si="0">E9*(1+$L9)</f>
        <v>1731.2737608433749</v>
      </c>
      <c r="P9" s="41">
        <f t="shared" ref="P9:P23" si="1">H9*(1+$L9)</f>
        <v>4.6742558147207367</v>
      </c>
      <c r="Q9" s="41">
        <f t="shared" ref="Q9:Q23" si="2">-I9*(1+$L9)</f>
        <v>0</v>
      </c>
      <c r="R9" s="41">
        <f t="shared" ref="R9:R23" si="3">SUM(O9:Q9)</f>
        <v>1735.9480166580956</v>
      </c>
    </row>
    <row r="10" spans="1:18" customFormat="1" ht="16" thickBot="1" x14ac:dyDescent="0.4">
      <c r="A10" s="2"/>
      <c r="B10" s="5">
        <v>2027</v>
      </c>
      <c r="C10" s="7">
        <v>34025754.001953125</v>
      </c>
      <c r="D10" s="7">
        <v>33981673.207397401</v>
      </c>
      <c r="E10" s="18">
        <v>1450.820758129667</v>
      </c>
      <c r="F10" s="7">
        <v>44067.767920285463</v>
      </c>
      <c r="G10" s="7">
        <v>0</v>
      </c>
      <c r="H10" s="6">
        <v>14.835749053414226</v>
      </c>
      <c r="I10" s="6">
        <v>0</v>
      </c>
      <c r="J10" s="8">
        <v>1465.6565071830812</v>
      </c>
      <c r="K10" s="15"/>
      <c r="L10" s="43">
        <f>Summary!R7</f>
        <v>0.28906557748917816</v>
      </c>
      <c r="M10" s="15"/>
      <c r="O10" s="40">
        <f t="shared" si="0"/>
        <v>1870.2030984117064</v>
      </c>
      <c r="P10" s="41">
        <f t="shared" si="1"/>
        <v>19.124253421023937</v>
      </c>
      <c r="Q10" s="41">
        <f t="shared" si="2"/>
        <v>0</v>
      </c>
      <c r="R10" s="41">
        <f t="shared" si="3"/>
        <v>1889.3273518327303</v>
      </c>
    </row>
    <row r="11" spans="1:18" customFormat="1" ht="16" thickBot="1" x14ac:dyDescent="0.4">
      <c r="A11" s="2"/>
      <c r="B11" s="5">
        <v>2028</v>
      </c>
      <c r="C11" s="7">
        <v>33345957.59765625</v>
      </c>
      <c r="D11" s="7">
        <v>33320396.567155454</v>
      </c>
      <c r="E11" s="18">
        <v>1240.1400288242462</v>
      </c>
      <c r="F11" s="7">
        <v>23859.601044213399</v>
      </c>
      <c r="G11" s="7">
        <v>0</v>
      </c>
      <c r="H11" s="6">
        <v>27.821172061330905</v>
      </c>
      <c r="I11" s="6">
        <v>0</v>
      </c>
      <c r="J11" s="8">
        <v>1267.961200885577</v>
      </c>
      <c r="K11" s="15"/>
      <c r="L11" s="43">
        <f>Summary!R8</f>
        <v>0.32051633919281142</v>
      </c>
      <c r="M11" s="15"/>
      <c r="O11" s="40">
        <f t="shared" si="0"/>
        <v>1637.6251709494613</v>
      </c>
      <c r="P11" s="41">
        <f t="shared" si="1"/>
        <v>36.738312282482013</v>
      </c>
      <c r="Q11" s="41">
        <f t="shared" si="2"/>
        <v>0</v>
      </c>
      <c r="R11" s="41">
        <f t="shared" si="3"/>
        <v>1674.3634832319433</v>
      </c>
    </row>
    <row r="12" spans="1:18" customFormat="1" ht="16" thickBot="1" x14ac:dyDescent="0.4">
      <c r="A12" s="2"/>
      <c r="B12" s="5">
        <v>2029</v>
      </c>
      <c r="C12" s="7">
        <v>33920099.497802734</v>
      </c>
      <c r="D12" s="7">
        <v>33904091.56615971</v>
      </c>
      <c r="E12" s="18">
        <v>1082.5387500007419</v>
      </c>
      <c r="F12" s="7">
        <v>23672.429993465543</v>
      </c>
      <c r="G12" s="7">
        <v>7664.5989463329315</v>
      </c>
      <c r="H12" s="6">
        <v>2.2158884179050502</v>
      </c>
      <c r="I12" s="6">
        <v>0.39863574957427711</v>
      </c>
      <c r="J12" s="8">
        <v>1084.3560026690727</v>
      </c>
      <c r="K12" s="15"/>
      <c r="L12" s="43">
        <f>Summary!R9</f>
        <v>0.3528444658201555</v>
      </c>
      <c r="M12" s="15"/>
      <c r="O12" s="40">
        <f t="shared" si="0"/>
        <v>1464.5065569743724</v>
      </c>
      <c r="P12" s="41">
        <f t="shared" si="1"/>
        <v>2.997752383037827</v>
      </c>
      <c r="Q12" s="41">
        <f t="shared" si="2"/>
        <v>-0.53929216768963018</v>
      </c>
      <c r="R12" s="41">
        <f t="shared" si="3"/>
        <v>1466.9650171897206</v>
      </c>
    </row>
    <row r="13" spans="1:18" customFormat="1" ht="16" thickBot="1" x14ac:dyDescent="0.4">
      <c r="A13" s="2"/>
      <c r="B13" s="5">
        <v>2030</v>
      </c>
      <c r="C13" s="7">
        <v>33808022.219238281</v>
      </c>
      <c r="D13" s="7">
        <v>33794247.962389559</v>
      </c>
      <c r="E13" s="18">
        <v>1106.986639263896</v>
      </c>
      <c r="F13" s="7">
        <v>26625.367977116257</v>
      </c>
      <c r="G13" s="7">
        <v>12851.241023540497</v>
      </c>
      <c r="H13" s="6">
        <v>2.1750362273173369</v>
      </c>
      <c r="I13" s="6">
        <v>0.68814413046780187</v>
      </c>
      <c r="J13" s="8">
        <v>1108.4735313607455</v>
      </c>
      <c r="K13" s="15"/>
      <c r="L13" s="43">
        <f>Summary!R10</f>
        <v>0.38563573789931382</v>
      </c>
      <c r="M13" s="15"/>
      <c r="O13" s="40">
        <f t="shared" si="0"/>
        <v>1533.8802487411101</v>
      </c>
      <c r="P13" s="41">
        <f t="shared" si="1"/>
        <v>3.0138079277965977</v>
      </c>
      <c r="Q13" s="41">
        <f t="shared" si="2"/>
        <v>-0.95351710000183432</v>
      </c>
      <c r="R13" s="41">
        <f t="shared" si="3"/>
        <v>1535.9405395689048</v>
      </c>
    </row>
    <row r="14" spans="1:18" customFormat="1" ht="16" thickBot="1" x14ac:dyDescent="0.4">
      <c r="A14" s="2"/>
      <c r="B14" s="5">
        <v>2031</v>
      </c>
      <c r="C14" s="7">
        <v>33768873.138916016</v>
      </c>
      <c r="D14" s="7">
        <v>33742663.715826444</v>
      </c>
      <c r="E14" s="18">
        <v>1131.0323234503026</v>
      </c>
      <c r="F14" s="7">
        <v>34979.143877267838</v>
      </c>
      <c r="G14" s="7">
        <v>8769.8460176587105</v>
      </c>
      <c r="H14" s="6">
        <v>3.557751109527223</v>
      </c>
      <c r="I14" s="6">
        <v>0.49354931790334217</v>
      </c>
      <c r="J14" s="8">
        <v>1134.0965252419264</v>
      </c>
      <c r="K14" s="15"/>
      <c r="L14" s="43">
        <f>Summary!R11</f>
        <v>0.41857129399151893</v>
      </c>
      <c r="M14" s="15"/>
      <c r="O14" s="40">
        <f t="shared" si="0"/>
        <v>1604.4499866231299</v>
      </c>
      <c r="P14" s="41">
        <f t="shared" si="1"/>
        <v>5.046923595141795</v>
      </c>
      <c r="Q14" s="41">
        <f t="shared" si="2"/>
        <v>-0.70013489454677569</v>
      </c>
      <c r="R14" s="41">
        <f t="shared" si="3"/>
        <v>1608.7967753237249</v>
      </c>
    </row>
    <row r="15" spans="1:18" customFormat="1" ht="16" thickBot="1" x14ac:dyDescent="0.4">
      <c r="A15" s="2"/>
      <c r="B15" s="5">
        <v>2032</v>
      </c>
      <c r="C15" s="7">
        <v>33827370.076416016</v>
      </c>
      <c r="D15" s="7">
        <v>33824675.653130084</v>
      </c>
      <c r="E15" s="18">
        <v>1163.0562638772199</v>
      </c>
      <c r="F15" s="7">
        <v>24533.979926392436</v>
      </c>
      <c r="G15" s="7">
        <v>21884.619003295898</v>
      </c>
      <c r="H15" s="6">
        <v>4.995097056812396</v>
      </c>
      <c r="I15" s="6">
        <v>1.2223727785794651</v>
      </c>
      <c r="J15" s="8">
        <v>1166.8289881554529</v>
      </c>
      <c r="K15" s="15"/>
      <c r="L15" s="43">
        <f>Summary!R12</f>
        <v>0.45181386458476869</v>
      </c>
      <c r="M15" s="15"/>
      <c r="O15" s="40">
        <f t="shared" si="0"/>
        <v>1688.5412091891092</v>
      </c>
      <c r="P15" s="41">
        <f t="shared" si="1"/>
        <v>7.2519511620268089</v>
      </c>
      <c r="Q15" s="41">
        <f t="shared" si="2"/>
        <v>-1.774657747632675</v>
      </c>
      <c r="R15" s="41">
        <f t="shared" si="3"/>
        <v>1694.0185026035033</v>
      </c>
    </row>
    <row r="16" spans="1:18" customFormat="1" ht="16" thickBot="1" x14ac:dyDescent="0.4">
      <c r="A16" s="2"/>
      <c r="B16" s="5">
        <v>2033</v>
      </c>
      <c r="C16" s="7">
        <v>33717104.604492188</v>
      </c>
      <c r="D16" s="7">
        <v>33672275.218124129</v>
      </c>
      <c r="E16" s="18">
        <v>1151.9672196487577</v>
      </c>
      <c r="F16" s="7">
        <v>52525.193006819114</v>
      </c>
      <c r="G16" s="7">
        <v>8044.4859943389893</v>
      </c>
      <c r="H16" s="6">
        <v>17.827919903447356</v>
      </c>
      <c r="I16" s="6">
        <v>0.44643259031392124</v>
      </c>
      <c r="J16" s="8">
        <v>1169.3487069618911</v>
      </c>
      <c r="K16" s="15"/>
      <c r="L16" s="43">
        <f>Summary!R13</f>
        <v>0.48571371832282351</v>
      </c>
      <c r="M16" s="15"/>
      <c r="O16" s="40">
        <f t="shared" si="0"/>
        <v>1711.4935012903604</v>
      </c>
      <c r="P16" s="41">
        <f t="shared" si="1"/>
        <v>26.487185169712244</v>
      </c>
      <c r="Q16" s="41">
        <f t="shared" si="2"/>
        <v>-0.66327102373578561</v>
      </c>
      <c r="R16" s="41">
        <f t="shared" si="3"/>
        <v>1737.3174154363369</v>
      </c>
    </row>
    <row r="17" spans="1:18" customFormat="1" ht="16" thickBot="1" x14ac:dyDescent="0.4">
      <c r="A17" s="2"/>
      <c r="B17" s="5">
        <v>2034</v>
      </c>
      <c r="C17" s="7">
        <v>33675258.977294922</v>
      </c>
      <c r="D17" s="7">
        <v>33682053.635534532</v>
      </c>
      <c r="E17" s="18">
        <v>983.80838191966438</v>
      </c>
      <c r="F17" s="7">
        <v>53901.451979987323</v>
      </c>
      <c r="G17" s="7">
        <v>60696.149983406067</v>
      </c>
      <c r="H17" s="6">
        <v>7.0308897317602446</v>
      </c>
      <c r="I17" s="6">
        <v>2.3177594075954877</v>
      </c>
      <c r="J17" s="8">
        <v>988.52151224382908</v>
      </c>
      <c r="K17" s="15"/>
      <c r="L17" s="43">
        <f>Summary!R14</f>
        <v>0.52040513364566165</v>
      </c>
      <c r="M17" s="15"/>
      <c r="O17" s="40">
        <f t="shared" si="0"/>
        <v>1495.7873143942895</v>
      </c>
      <c r="P17" s="41">
        <f t="shared" si="1"/>
        <v>10.689800842264845</v>
      </c>
      <c r="Q17" s="41">
        <f t="shared" si="2"/>
        <v>-3.5239333018637069</v>
      </c>
      <c r="R17" s="41">
        <f t="shared" si="3"/>
        <v>1502.9531819346905</v>
      </c>
    </row>
    <row r="18" spans="1:18" customFormat="1" ht="16" thickBot="1" x14ac:dyDescent="0.4">
      <c r="A18" s="2"/>
      <c r="B18" s="5">
        <v>2035</v>
      </c>
      <c r="C18" s="7">
        <v>33675950.144287109</v>
      </c>
      <c r="D18" s="7">
        <v>33995936.298803322</v>
      </c>
      <c r="E18" s="18">
        <v>788.62136265310664</v>
      </c>
      <c r="F18" s="7">
        <v>37426.42304440774</v>
      </c>
      <c r="G18" s="7">
        <v>357412.68204681575</v>
      </c>
      <c r="H18" s="6">
        <v>3.3346965095885395</v>
      </c>
      <c r="I18" s="6">
        <v>11.57204809135091</v>
      </c>
      <c r="J18" s="8">
        <v>780.38401107134428</v>
      </c>
      <c r="K18" s="15"/>
      <c r="L18" s="43">
        <f>Summary!R15</f>
        <v>0.55590659351628879</v>
      </c>
      <c r="M18" s="15"/>
      <c r="O18" s="40">
        <f t="shared" si="0"/>
        <v>1227.0211779397689</v>
      </c>
      <c r="P18" s="41">
        <f t="shared" si="1"/>
        <v>5.1884762866445628</v>
      </c>
      <c r="Q18" s="41">
        <f t="shared" si="2"/>
        <v>-18.005025925820465</v>
      </c>
      <c r="R18" s="41">
        <f t="shared" si="3"/>
        <v>1214.204628300593</v>
      </c>
    </row>
    <row r="19" spans="1:18" customFormat="1" ht="16" thickBot="1" x14ac:dyDescent="0.4">
      <c r="A19" s="2"/>
      <c r="B19" s="5">
        <v>2036</v>
      </c>
      <c r="C19" s="7">
        <v>33792305.426757813</v>
      </c>
      <c r="D19" s="7">
        <v>34997570.857433677</v>
      </c>
      <c r="E19" s="18">
        <v>570.90542321876251</v>
      </c>
      <c r="F19" s="7">
        <v>25010.560996264219</v>
      </c>
      <c r="G19" s="7">
        <v>1230275.9607977718</v>
      </c>
      <c r="H19" s="6">
        <v>2.5319041586814541</v>
      </c>
      <c r="I19" s="6">
        <v>27.187253824886159</v>
      </c>
      <c r="J19" s="8">
        <v>546.25007355255775</v>
      </c>
      <c r="K19" s="15"/>
      <c r="L19" s="43">
        <f>Summary!R16</f>
        <v>0.59223701247489391</v>
      </c>
      <c r="M19" s="15"/>
      <c r="O19" s="40">
        <f t="shared" si="0"/>
        <v>909.01674547155733</v>
      </c>
      <c r="P19" s="41">
        <f t="shared" si="1"/>
        <v>4.0313915134917186</v>
      </c>
      <c r="Q19" s="41">
        <f t="shared" si="2"/>
        <v>-43.288551807533374</v>
      </c>
      <c r="R19" s="41">
        <f t="shared" si="3"/>
        <v>869.75958517751565</v>
      </c>
    </row>
    <row r="20" spans="1:18" customFormat="1" ht="16" thickBot="1" x14ac:dyDescent="0.4">
      <c r="A20" s="2"/>
      <c r="B20" s="5">
        <v>2037</v>
      </c>
      <c r="C20" s="7">
        <v>33709834.706542969</v>
      </c>
      <c r="D20" s="7">
        <v>35319978.566090845</v>
      </c>
      <c r="E20" s="18">
        <v>499.16641564952482</v>
      </c>
      <c r="F20" s="7">
        <v>9301.4930176138878</v>
      </c>
      <c r="G20" s="7">
        <v>1619445.3890521526</v>
      </c>
      <c r="H20" s="6">
        <v>1.120121804120535</v>
      </c>
      <c r="I20" s="6">
        <v>31.47675043112746</v>
      </c>
      <c r="J20" s="8">
        <v>468.80978702251787</v>
      </c>
      <c r="K20" s="15"/>
      <c r="L20" s="43">
        <f>Summary!R17</f>
        <v>0.62941574671618339</v>
      </c>
      <c r="M20" s="15"/>
      <c r="O20" s="40">
        <f t="shared" si="0"/>
        <v>813.34961789121121</v>
      </c>
      <c r="P20" s="41">
        <f t="shared" si="1"/>
        <v>1.82514410587414</v>
      </c>
      <c r="Q20" s="41">
        <f t="shared" si="2"/>
        <v>-51.288712807934495</v>
      </c>
      <c r="R20" s="41">
        <f t="shared" si="3"/>
        <v>763.88604918915087</v>
      </c>
    </row>
    <row r="21" spans="1:18" customFormat="1" ht="16" thickBot="1" x14ac:dyDescent="0.4">
      <c r="A21" s="2"/>
      <c r="B21" s="5">
        <v>2038</v>
      </c>
      <c r="C21" s="7">
        <v>33753359.391113281</v>
      </c>
      <c r="D21" s="7">
        <v>35774564.164096817</v>
      </c>
      <c r="E21" s="18">
        <v>473.43017273623337</v>
      </c>
      <c r="F21" s="7">
        <v>5205.4609903097153</v>
      </c>
      <c r="G21" s="7">
        <v>2026410.1981333643</v>
      </c>
      <c r="H21" s="6">
        <v>0.45995805362810382</v>
      </c>
      <c r="I21" s="6">
        <v>37.149246498637439</v>
      </c>
      <c r="J21" s="8">
        <v>436.74088429122401</v>
      </c>
      <c r="K21" s="15"/>
      <c r="L21" s="43">
        <f>Summary!R18</f>
        <v>0.66746260440200622</v>
      </c>
      <c r="M21" s="15"/>
      <c r="O21" s="40">
        <f t="shared" si="0"/>
        <v>789.4271088332514</v>
      </c>
      <c r="P21" s="41">
        <f t="shared" si="1"/>
        <v>0.7669628540183957</v>
      </c>
      <c r="Q21" s="41">
        <f t="shared" si="2"/>
        <v>-61.944979318190093</v>
      </c>
      <c r="R21" s="41">
        <f t="shared" si="3"/>
        <v>728.24909236907968</v>
      </c>
    </row>
    <row r="22" spans="1:18" customFormat="1" ht="16" thickBot="1" x14ac:dyDescent="0.4">
      <c r="A22" s="2"/>
      <c r="B22" s="5">
        <v>2039</v>
      </c>
      <c r="C22" s="7">
        <v>33754476.710449219</v>
      </c>
      <c r="D22" s="7">
        <v>35932932.148190483</v>
      </c>
      <c r="E22" s="18">
        <v>453.03591967810837</v>
      </c>
      <c r="F22" s="7">
        <v>11417.49396777153</v>
      </c>
      <c r="G22" s="7">
        <v>2189872.9670598451</v>
      </c>
      <c r="H22" s="6">
        <v>3.1931592699938545</v>
      </c>
      <c r="I22" s="6">
        <v>37.927041294058668</v>
      </c>
      <c r="J22" s="8">
        <v>418.30203765404354</v>
      </c>
      <c r="K22" s="15"/>
      <c r="L22" s="43">
        <f>Summary!R19</f>
        <v>0.70639785621479323</v>
      </c>
      <c r="M22" s="15"/>
      <c r="O22" s="40">
        <f t="shared" si="0"/>
        <v>773.05952212702141</v>
      </c>
      <c r="P22" s="41">
        <f t="shared" si="1"/>
        <v>5.4488001328699074</v>
      </c>
      <c r="Q22" s="41">
        <f t="shared" si="2"/>
        <v>-64.718621956751647</v>
      </c>
      <c r="R22" s="41">
        <f t="shared" si="3"/>
        <v>713.78970030313963</v>
      </c>
    </row>
    <row r="23" spans="1:18" customFormat="1" ht="16" thickBot="1" x14ac:dyDescent="0.4">
      <c r="A23" s="2"/>
      <c r="B23" s="9">
        <v>2040</v>
      </c>
      <c r="C23" s="11">
        <v>33870433.217041016</v>
      </c>
      <c r="D23" s="11">
        <v>36472866.05850035</v>
      </c>
      <c r="E23" s="19">
        <v>426.31020117415233</v>
      </c>
      <c r="F23" s="11">
        <v>839.14999103546143</v>
      </c>
      <c r="G23" s="11">
        <v>2603272.0619897842</v>
      </c>
      <c r="H23" s="10">
        <v>7.3638634803447872E-2</v>
      </c>
      <c r="I23" s="10">
        <v>26.989077144380701</v>
      </c>
      <c r="J23" s="12">
        <v>399.39476266457507</v>
      </c>
      <c r="K23" s="15"/>
      <c r="L23" s="43">
        <f>Summary!R20</f>
        <v>0.74624224615740964</v>
      </c>
      <c r="M23" s="15"/>
      <c r="O23" s="40">
        <f t="shared" si="0"/>
        <v>744.44088325816892</v>
      </c>
      <c r="P23" s="41">
        <f t="shared" si="1"/>
        <v>0.128590895043138</v>
      </c>
      <c r="Q23" s="41">
        <f t="shared" si="2"/>
        <v>-47.129466694318964</v>
      </c>
      <c r="R23" s="41">
        <f t="shared" si="3"/>
        <v>697.44000745889309</v>
      </c>
    </row>
  </sheetData>
  <mergeCells count="1">
    <mergeCell ref="B5:J5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A71E-9768-40C0-AAC8-C70AA1BFEA84}">
  <dimension ref="A1:AB48"/>
  <sheetViews>
    <sheetView showGridLines="0" zoomScaleNormal="100" workbookViewId="0">
      <selection activeCell="A42" sqref="A42"/>
    </sheetView>
  </sheetViews>
  <sheetFormatPr defaultColWidth="10.453125" defaultRowHeight="13" x14ac:dyDescent="0.3"/>
  <cols>
    <col min="1" max="1" width="10.453125" style="2"/>
    <col min="2" max="2" width="8.7265625" style="2" customWidth="1"/>
    <col min="3" max="14" width="12.1796875" style="2" customWidth="1"/>
    <col min="15" max="22" width="8.54296875" style="2" customWidth="1"/>
    <col min="23" max="23" width="22.6328125" style="2" bestFit="1" customWidth="1"/>
    <col min="24" max="34" width="8.54296875" style="2" customWidth="1"/>
    <col min="35" max="35" width="12.7265625" style="2" customWidth="1"/>
    <col min="36" max="38" width="8.54296875" style="2" customWidth="1"/>
    <col min="39" max="16384" width="10.453125" style="2"/>
  </cols>
  <sheetData>
    <row r="1" spans="1:26" customFormat="1" ht="14.5" x14ac:dyDescent="0.3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6" customFormat="1" ht="14.5" x14ac:dyDescent="0.3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6" customFormat="1" ht="14.5" x14ac:dyDescent="0.35">
      <c r="A3" s="3" t="s">
        <v>2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customFormat="1" ht="15" thickBo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6" customFormat="1" ht="12.5" customHeight="1" thickBot="1" x14ac:dyDescent="0.4">
      <c r="A5" s="2"/>
      <c r="B5" s="102" t="s">
        <v>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45"/>
      <c r="P5" s="45"/>
      <c r="Q5" s="45"/>
      <c r="X5" s="36" t="s">
        <v>56</v>
      </c>
    </row>
    <row r="6" spans="1:26" customFormat="1" ht="31.5" customHeight="1" thickBot="1" x14ac:dyDescent="0.4">
      <c r="A6" s="2"/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6"/>
      <c r="P6" s="46"/>
      <c r="Q6" s="46"/>
      <c r="S6" s="36" t="s">
        <v>51</v>
      </c>
      <c r="T6" s="38" t="s">
        <v>45</v>
      </c>
      <c r="U6" s="38" t="s">
        <v>50</v>
      </c>
      <c r="W6" s="51" t="s">
        <v>54</v>
      </c>
      <c r="X6" s="53" t="s">
        <v>57</v>
      </c>
      <c r="Y6" s="49" t="s">
        <v>59</v>
      </c>
    </row>
    <row r="7" spans="1:26" customFormat="1" ht="12.75" customHeight="1" thickTop="1" thickBot="1" x14ac:dyDescent="0.4">
      <c r="A7" s="2"/>
      <c r="B7" s="4"/>
      <c r="C7" s="4"/>
      <c r="D7" s="4"/>
      <c r="E7" s="4" t="s">
        <v>17</v>
      </c>
      <c r="F7" s="4"/>
      <c r="G7" s="4"/>
      <c r="H7" s="4"/>
      <c r="I7" s="4" t="s">
        <v>18</v>
      </c>
      <c r="J7" s="4"/>
      <c r="K7" s="4"/>
      <c r="L7" s="4"/>
      <c r="M7" s="4"/>
      <c r="N7" s="4" t="s">
        <v>44</v>
      </c>
      <c r="O7" s="46"/>
      <c r="P7" s="35" t="s">
        <v>53</v>
      </c>
      <c r="Q7" s="46"/>
      <c r="S7" s="37" t="s">
        <v>46</v>
      </c>
      <c r="T7" s="39" t="s">
        <v>52</v>
      </c>
      <c r="U7" s="39" t="s">
        <v>46</v>
      </c>
      <c r="W7" s="52" t="s">
        <v>55</v>
      </c>
      <c r="X7" s="37" t="s">
        <v>58</v>
      </c>
      <c r="Y7" s="50" t="s">
        <v>60</v>
      </c>
      <c r="Z7" s="58" t="s">
        <v>61</v>
      </c>
    </row>
    <row r="8" spans="1:26" customFormat="1" ht="16.5" thickTop="1" thickBot="1" x14ac:dyDescent="0.4">
      <c r="A8" s="2"/>
      <c r="B8" s="5">
        <v>2025</v>
      </c>
      <c r="C8" s="6">
        <v>47.221272540445788</v>
      </c>
      <c r="D8" s="7">
        <v>33050200.072021484</v>
      </c>
      <c r="E8" s="8">
        <v>1560.6725051171875</v>
      </c>
      <c r="F8" s="7">
        <v>19278482.723620377</v>
      </c>
      <c r="G8" s="8">
        <v>954.35225167940757</v>
      </c>
      <c r="H8" s="8">
        <v>724.14674963401035</v>
      </c>
      <c r="I8" s="8">
        <v>230.20550204539728</v>
      </c>
      <c r="J8" s="7">
        <v>14006102.341008425</v>
      </c>
      <c r="K8" s="7">
        <v>234385.04801392555</v>
      </c>
      <c r="L8" s="6">
        <v>613.09387067950729</v>
      </c>
      <c r="M8" s="6">
        <v>13.035887981643423</v>
      </c>
      <c r="N8" s="8">
        <f>E8-I8</f>
        <v>1330.4670030717903</v>
      </c>
      <c r="O8" s="47"/>
      <c r="P8" s="48">
        <f>Summary!$R5</f>
        <v>0.21123641653309111</v>
      </c>
      <c r="Q8" s="47"/>
      <c r="S8" s="40">
        <f>E8*(1+$P8)</f>
        <v>1890.3433724798645</v>
      </c>
      <c r="T8" s="40">
        <f>-I8*(1+$P8)</f>
        <v>-278.83328736366821</v>
      </c>
      <c r="U8" s="40">
        <f>SUM(S8:T8)</f>
        <v>1611.5100851161963</v>
      </c>
      <c r="W8" s="77">
        <f>U8-'C3-SA'!R8</f>
        <v>-3.9703346281062295</v>
      </c>
      <c r="X8" s="42">
        <f>Summary!$Y5</f>
        <v>0</v>
      </c>
      <c r="Y8" s="55">
        <v>-0.94627735147925052</v>
      </c>
      <c r="Z8" s="42">
        <f>SUM(W8:Y8)</f>
        <v>-4.9166119795854799</v>
      </c>
    </row>
    <row r="9" spans="1:26" customFormat="1" ht="16" thickBot="1" x14ac:dyDescent="0.4">
      <c r="A9" s="2"/>
      <c r="B9" s="5">
        <v>2026</v>
      </c>
      <c r="C9" s="6">
        <v>48.307270362199453</v>
      </c>
      <c r="D9" s="7">
        <v>33155651.835449219</v>
      </c>
      <c r="E9" s="8">
        <v>1601.65903725</v>
      </c>
      <c r="F9" s="7">
        <v>18489388.989711314</v>
      </c>
      <c r="G9" s="8">
        <v>935.48292955046702</v>
      </c>
      <c r="H9" s="8">
        <v>724.02464783291202</v>
      </c>
      <c r="I9" s="8">
        <v>211.45828171755505</v>
      </c>
      <c r="J9" s="7">
        <v>14870551.997090891</v>
      </c>
      <c r="K9" s="7">
        <v>204289.20012867451</v>
      </c>
      <c r="L9" s="6">
        <v>675.42721217841813</v>
      </c>
      <c r="M9" s="6">
        <v>11.524802325695099</v>
      </c>
      <c r="N9" s="8">
        <f t="shared" ref="N9:N23" si="0">E9-I9</f>
        <v>1390.2007555324449</v>
      </c>
      <c r="O9" s="47"/>
      <c r="P9" s="48">
        <f>Summary!$R6</f>
        <v>0.25362969111174949</v>
      </c>
      <c r="Q9" s="47"/>
      <c r="S9" s="40">
        <f t="shared" ref="S9:S23" si="1">E9*(1+$P9)</f>
        <v>2007.8873241340596</v>
      </c>
      <c r="T9" s="40">
        <f t="shared" ref="T9:T23" si="2">-I9*(1+$P9)</f>
        <v>-265.09038039259985</v>
      </c>
      <c r="U9" s="40">
        <f t="shared" ref="U9:U23" si="3">SUM(S9:T9)</f>
        <v>1742.7969437414597</v>
      </c>
      <c r="W9" s="77">
        <f>U9-'C3-SA'!R9</f>
        <v>6.8489270833640603</v>
      </c>
      <c r="X9" s="42">
        <f>Summary!$Y6</f>
        <v>0</v>
      </c>
      <c r="Y9" s="55">
        <v>-0.11169288565580832</v>
      </c>
      <c r="Z9" s="42">
        <f t="shared" ref="Z9:Z23" si="4">SUM(W9:Y9)</f>
        <v>6.7372341977082524</v>
      </c>
    </row>
    <row r="10" spans="1:26" customFormat="1" ht="16" thickBot="1" x14ac:dyDescent="0.4">
      <c r="A10" s="2"/>
      <c r="B10" s="5">
        <v>2027</v>
      </c>
      <c r="C10" s="6">
        <v>49.74694228592702</v>
      </c>
      <c r="D10" s="7">
        <v>34025754.001953125</v>
      </c>
      <c r="E10" s="8">
        <v>1692.6772205703126</v>
      </c>
      <c r="F10" s="7">
        <v>17813062.615211826</v>
      </c>
      <c r="G10" s="8">
        <v>928.46939174853003</v>
      </c>
      <c r="H10" s="8">
        <v>714.82088944739507</v>
      </c>
      <c r="I10" s="8">
        <v>213.64850230113495</v>
      </c>
      <c r="J10" s="7">
        <v>16339537.727890968</v>
      </c>
      <c r="K10" s="7">
        <v>126846.37996173371</v>
      </c>
      <c r="L10" s="6">
        <v>767.71029919217835</v>
      </c>
      <c r="M10" s="6">
        <v>7.6379524624376129</v>
      </c>
      <c r="N10" s="8">
        <f t="shared" si="0"/>
        <v>1479.0287182691777</v>
      </c>
      <c r="O10" s="47"/>
      <c r="P10" s="48">
        <f>Summary!$R7</f>
        <v>0.28906557748917816</v>
      </c>
      <c r="Q10" s="47"/>
      <c r="S10" s="40">
        <f t="shared" si="1"/>
        <v>2181.9719388372469</v>
      </c>
      <c r="T10" s="40">
        <f t="shared" si="2"/>
        <v>-275.40692999851052</v>
      </c>
      <c r="U10" s="40">
        <f t="shared" si="3"/>
        <v>1906.5650088387363</v>
      </c>
      <c r="W10" s="77">
        <f>U10-'C3-SA'!R10</f>
        <v>17.237657006005975</v>
      </c>
      <c r="X10" s="42">
        <f>Summary!$Y7</f>
        <v>-15.627090909854164</v>
      </c>
      <c r="Y10" s="56">
        <v>-2.6717733643139115E-2</v>
      </c>
      <c r="Z10" s="42">
        <f t="shared" si="4"/>
        <v>1.5838483625086714</v>
      </c>
    </row>
    <row r="11" spans="1:26" customFormat="1" ht="16" thickBot="1" x14ac:dyDescent="0.4">
      <c r="A11" s="2"/>
      <c r="B11" s="5">
        <v>2028</v>
      </c>
      <c r="C11" s="6">
        <v>51.486380276858874</v>
      </c>
      <c r="D11" s="7">
        <v>34075501.323486328</v>
      </c>
      <c r="E11" s="8">
        <v>1754.424219265625</v>
      </c>
      <c r="F11" s="7">
        <v>24761822.018687494</v>
      </c>
      <c r="G11" s="8">
        <v>1306.4292567419918</v>
      </c>
      <c r="H11" s="8">
        <v>838.16743448440332</v>
      </c>
      <c r="I11" s="8">
        <v>468.26182225758839</v>
      </c>
      <c r="J11" s="7">
        <v>9719504.691172123</v>
      </c>
      <c r="K11" s="7">
        <v>405825.40505862236</v>
      </c>
      <c r="L11" s="6">
        <v>466.03378143401932</v>
      </c>
      <c r="M11" s="6">
        <v>23.423140943478948</v>
      </c>
      <c r="N11" s="8">
        <f t="shared" si="0"/>
        <v>1286.1623970080366</v>
      </c>
      <c r="O11" s="44"/>
      <c r="P11" s="43">
        <f>Summary!$R8</f>
        <v>0.32051633919281142</v>
      </c>
      <c r="Q11" s="44"/>
      <c r="S11" s="40">
        <f t="shared" si="1"/>
        <v>2316.7458474158493</v>
      </c>
      <c r="T11" s="40">
        <f t="shared" si="2"/>
        <v>-618.34738731134553</v>
      </c>
      <c r="U11" s="40">
        <f t="shared" si="3"/>
        <v>1698.3984601045038</v>
      </c>
      <c r="W11" s="77">
        <f>U11-'C3-SA'!R11</f>
        <v>24.034976872560492</v>
      </c>
      <c r="X11" s="42">
        <f>Summary!$Y8</f>
        <v>0.24934341786718051</v>
      </c>
      <c r="Y11" s="57">
        <v>0</v>
      </c>
      <c r="Z11" s="42">
        <f t="shared" si="4"/>
        <v>24.284320290427672</v>
      </c>
    </row>
    <row r="12" spans="1:26" customFormat="1" ht="16" thickBot="1" x14ac:dyDescent="0.4">
      <c r="A12" s="2"/>
      <c r="B12" s="5">
        <v>2029</v>
      </c>
      <c r="C12" s="6">
        <v>52.902399708163536</v>
      </c>
      <c r="D12" s="7">
        <v>33920099.497802734</v>
      </c>
      <c r="E12" s="8">
        <v>1794.4546617734375</v>
      </c>
      <c r="F12" s="7">
        <v>25418472.978763271</v>
      </c>
      <c r="G12" s="8">
        <v>1380.6327683343845</v>
      </c>
      <c r="H12" s="8">
        <v>863.44192468812889</v>
      </c>
      <c r="I12" s="8">
        <v>517.19084364625553</v>
      </c>
      <c r="J12" s="7">
        <v>8945350.7965158224</v>
      </c>
      <c r="K12" s="7">
        <v>443724.28979837894</v>
      </c>
      <c r="L12" s="6">
        <v>435.78271825518959</v>
      </c>
      <c r="M12" s="6">
        <v>26.24388843114497</v>
      </c>
      <c r="N12" s="8">
        <f t="shared" si="0"/>
        <v>1277.2638181271818</v>
      </c>
      <c r="O12" s="44"/>
      <c r="P12" s="43">
        <f>Summary!$R9</f>
        <v>0.3528444658201555</v>
      </c>
      <c r="Q12" s="44"/>
      <c r="S12" s="40">
        <f t="shared" si="1"/>
        <v>2427.6180583453738</v>
      </c>
      <c r="T12" s="40">
        <f t="shared" si="2"/>
        <v>-699.67877059969408</v>
      </c>
      <c r="U12" s="40">
        <f t="shared" si="3"/>
        <v>1727.9392877456798</v>
      </c>
      <c r="W12" s="77">
        <f>U12-'C3-SA'!R12</f>
        <v>260.97427055595927</v>
      </c>
      <c r="X12" s="42">
        <f>Summary!$Y9</f>
        <v>-73.157149061474144</v>
      </c>
      <c r="Y12" s="57">
        <v>0</v>
      </c>
      <c r="Z12" s="42">
        <f t="shared" si="4"/>
        <v>187.81712149448512</v>
      </c>
    </row>
    <row r="13" spans="1:26" customFormat="1" ht="16" thickBot="1" x14ac:dyDescent="0.4">
      <c r="A13" s="2"/>
      <c r="B13" s="5">
        <v>2030</v>
      </c>
      <c r="C13" s="6">
        <v>54.321360000003949</v>
      </c>
      <c r="D13" s="7">
        <v>33808022.219238281</v>
      </c>
      <c r="E13" s="8">
        <v>1836.4977458593751</v>
      </c>
      <c r="F13" s="7">
        <v>26184550.190836255</v>
      </c>
      <c r="G13" s="8">
        <v>1459.1661570184904</v>
      </c>
      <c r="H13" s="8">
        <v>928.08910004472523</v>
      </c>
      <c r="I13" s="8">
        <v>531.07705697376514</v>
      </c>
      <c r="J13" s="7">
        <v>8167846.6987461448</v>
      </c>
      <c r="K13" s="7">
        <v>544374.71879592538</v>
      </c>
      <c r="L13" s="6">
        <v>406.98160909174476</v>
      </c>
      <c r="M13" s="6">
        <v>32.655830988536437</v>
      </c>
      <c r="N13" s="8">
        <f t="shared" si="0"/>
        <v>1305.4206888856099</v>
      </c>
      <c r="O13" s="44"/>
      <c r="P13" s="43">
        <f>Summary!$R10</f>
        <v>0.38563573789931382</v>
      </c>
      <c r="Q13" s="44"/>
      <c r="S13" s="40">
        <f t="shared" si="1"/>
        <v>2544.7169092342815</v>
      </c>
      <c r="T13" s="40">
        <f t="shared" si="2"/>
        <v>-735.87934972123901</v>
      </c>
      <c r="U13" s="40">
        <f t="shared" si="3"/>
        <v>1808.8375595130424</v>
      </c>
      <c r="W13" s="77">
        <f>U13-'C3-SA'!R13</f>
        <v>272.89701994413758</v>
      </c>
      <c r="X13" s="42">
        <f>Summary!$Y10</f>
        <v>-73.317326745276333</v>
      </c>
      <c r="Y13" s="57">
        <v>0</v>
      </c>
      <c r="Z13" s="42">
        <f t="shared" si="4"/>
        <v>199.57969319886126</v>
      </c>
    </row>
    <row r="14" spans="1:26" customFormat="1" ht="16" thickBot="1" x14ac:dyDescent="0.4">
      <c r="A14" s="2"/>
      <c r="B14" s="5">
        <v>2031</v>
      </c>
      <c r="C14" s="6">
        <v>56.069550247319597</v>
      </c>
      <c r="D14" s="7">
        <v>33768873.138916016</v>
      </c>
      <c r="E14" s="8">
        <v>1893.4055292578125</v>
      </c>
      <c r="F14" s="7">
        <v>27020381.698095459</v>
      </c>
      <c r="G14" s="8">
        <v>1550.1288769151879</v>
      </c>
      <c r="H14" s="8">
        <v>996.47253899365182</v>
      </c>
      <c r="I14" s="8">
        <v>553.65633792153596</v>
      </c>
      <c r="J14" s="7">
        <v>7402977.1428669393</v>
      </c>
      <c r="K14" s="7">
        <v>654485.79790967703</v>
      </c>
      <c r="L14" s="6">
        <v>379.49127733729421</v>
      </c>
      <c r="M14" s="6">
        <v>39.757893036155956</v>
      </c>
      <c r="N14" s="8">
        <f t="shared" si="0"/>
        <v>1339.7491913362765</v>
      </c>
      <c r="O14" s="44"/>
      <c r="P14" s="43">
        <f>Summary!$R11</f>
        <v>0.41857129399151893</v>
      </c>
      <c r="Q14" s="44"/>
      <c r="S14" s="40">
        <f t="shared" si="1"/>
        <v>2685.9307316899517</v>
      </c>
      <c r="T14" s="40">
        <f t="shared" si="2"/>
        <v>-785.40098771195892</v>
      </c>
      <c r="U14" s="40">
        <f t="shared" si="3"/>
        <v>1900.5297439779929</v>
      </c>
      <c r="W14" s="77">
        <f>U14-'C3-SA'!R14</f>
        <v>291.73296865426801</v>
      </c>
      <c r="X14" s="42">
        <f>Summary!$Y11</f>
        <v>-71.698123201686329</v>
      </c>
      <c r="Y14" s="57">
        <v>0</v>
      </c>
      <c r="Z14" s="42">
        <f t="shared" si="4"/>
        <v>220.03484545258169</v>
      </c>
    </row>
    <row r="15" spans="1:26" customFormat="1" ht="16" thickBot="1" x14ac:dyDescent="0.4">
      <c r="A15" s="2"/>
      <c r="B15" s="5">
        <v>2032</v>
      </c>
      <c r="C15" s="6">
        <v>57.572022006716026</v>
      </c>
      <c r="D15" s="7">
        <v>33827370.076416016</v>
      </c>
      <c r="E15" s="8">
        <v>1947.5100944687499</v>
      </c>
      <c r="F15" s="7">
        <v>27000833.018657636</v>
      </c>
      <c r="G15" s="8">
        <v>1596.6508322554378</v>
      </c>
      <c r="H15" s="8">
        <v>1025.7778186814039</v>
      </c>
      <c r="I15" s="8">
        <v>570.87301357403396</v>
      </c>
      <c r="J15" s="7">
        <v>7490567.609107852</v>
      </c>
      <c r="K15" s="7">
        <v>664030.57691934705</v>
      </c>
      <c r="L15" s="6">
        <v>389.65496473472973</v>
      </c>
      <c r="M15" s="6">
        <v>41.743704447396091</v>
      </c>
      <c r="N15" s="8">
        <f t="shared" si="0"/>
        <v>1376.6370808947158</v>
      </c>
      <c r="O15" s="44"/>
      <c r="P15" s="43">
        <f>Summary!$R12</f>
        <v>0.45181386458476869</v>
      </c>
      <c r="Q15" s="44"/>
      <c r="S15" s="40">
        <f t="shared" si="1"/>
        <v>2827.4221565685239</v>
      </c>
      <c r="T15" s="40">
        <f t="shared" si="2"/>
        <v>-828.80135602407131</v>
      </c>
      <c r="U15" s="40">
        <f t="shared" si="3"/>
        <v>1998.6208005444525</v>
      </c>
      <c r="W15" s="77">
        <f>U15-'C3-SA'!R15</f>
        <v>304.60229794094926</v>
      </c>
      <c r="X15" s="42">
        <f>Summary!$Y12</f>
        <v>-70.126594593371649</v>
      </c>
      <c r="Y15" s="57">
        <v>0</v>
      </c>
      <c r="Z15" s="42">
        <f t="shared" si="4"/>
        <v>234.47570334757762</v>
      </c>
    </row>
    <row r="16" spans="1:26" customFormat="1" ht="16" thickBot="1" x14ac:dyDescent="0.4">
      <c r="A16" s="2"/>
      <c r="B16" s="5">
        <v>2033</v>
      </c>
      <c r="C16" s="6">
        <v>58.892993040331866</v>
      </c>
      <c r="D16" s="7">
        <v>33717104.604492188</v>
      </c>
      <c r="E16" s="8">
        <v>1985.7012068125</v>
      </c>
      <c r="F16" s="7">
        <v>26278553.61957366</v>
      </c>
      <c r="G16" s="8">
        <v>1589.4957159374026</v>
      </c>
      <c r="H16" s="8">
        <v>975.50580914095838</v>
      </c>
      <c r="I16" s="8">
        <v>613.98990679644407</v>
      </c>
      <c r="J16" s="7">
        <v>7891211.8628750294</v>
      </c>
      <c r="K16" s="7">
        <v>452660.92396058142</v>
      </c>
      <c r="L16" s="6">
        <v>421.92669095852426</v>
      </c>
      <c r="M16" s="6">
        <v>30.054465754439619</v>
      </c>
      <c r="N16" s="8">
        <f t="shared" si="0"/>
        <v>1371.7113000160559</v>
      </c>
      <c r="O16" s="44"/>
      <c r="P16" s="43">
        <f>Summary!$R13</f>
        <v>0.48571371832282351</v>
      </c>
      <c r="Q16" s="44"/>
      <c r="S16" s="40">
        <f t="shared" si="1"/>
        <v>2950.1835234515174</v>
      </c>
      <c r="T16" s="40">
        <f t="shared" si="2"/>
        <v>-912.21322743922872</v>
      </c>
      <c r="U16" s="40">
        <f t="shared" si="3"/>
        <v>2037.9702960122886</v>
      </c>
      <c r="W16" s="77">
        <f>U16-'C3-SA'!R16</f>
        <v>300.65288057595171</v>
      </c>
      <c r="X16" s="42">
        <f>Summary!$Y13</f>
        <v>-68.693504172167906</v>
      </c>
      <c r="Y16" s="57">
        <v>0</v>
      </c>
      <c r="Z16" s="42">
        <f t="shared" si="4"/>
        <v>231.95937640378381</v>
      </c>
    </row>
    <row r="17" spans="1:28" customFormat="1" ht="16" thickBot="1" x14ac:dyDescent="0.4">
      <c r="A17" s="2"/>
      <c r="B17" s="5">
        <v>2034</v>
      </c>
      <c r="C17" s="6">
        <v>57.487218875578151</v>
      </c>
      <c r="D17" s="7">
        <v>33675258.977294922</v>
      </c>
      <c r="E17" s="8">
        <v>1935.8969835195312</v>
      </c>
      <c r="F17" s="7">
        <v>32130700.444302749</v>
      </c>
      <c r="G17" s="8">
        <v>1853.1734239151185</v>
      </c>
      <c r="H17" s="8">
        <v>882.9974834367282</v>
      </c>
      <c r="I17" s="8">
        <v>970.1759404783902</v>
      </c>
      <c r="J17" s="7">
        <v>2631189.3477911949</v>
      </c>
      <c r="K17" s="7">
        <v>1086630.8731012158</v>
      </c>
      <c r="L17" s="6">
        <v>140.51754072659043</v>
      </c>
      <c r="M17" s="6">
        <v>63.600647618689031</v>
      </c>
      <c r="N17" s="8">
        <f t="shared" si="0"/>
        <v>965.721043041141</v>
      </c>
      <c r="O17" s="44"/>
      <c r="P17" s="43">
        <f>Summary!$R14</f>
        <v>0.52040513364566165</v>
      </c>
      <c r="Q17" s="44"/>
      <c r="S17" s="40">
        <f t="shared" si="1"/>
        <v>2943.3477119522463</v>
      </c>
      <c r="T17" s="40">
        <f t="shared" si="2"/>
        <v>-1475.0604804428524</v>
      </c>
      <c r="U17" s="40">
        <f t="shared" si="3"/>
        <v>1468.2872315093939</v>
      </c>
      <c r="W17" s="77">
        <f>U17-'C3-SA'!R17</f>
        <v>-34.665950425296614</v>
      </c>
      <c r="X17" s="42">
        <f>Summary!$Y14</f>
        <v>28.667702893289857</v>
      </c>
      <c r="Y17" s="57">
        <v>0</v>
      </c>
      <c r="Z17" s="42">
        <f t="shared" si="4"/>
        <v>-5.9982475320067579</v>
      </c>
    </row>
    <row r="18" spans="1:28" customFormat="1" ht="16" thickBot="1" x14ac:dyDescent="0.4">
      <c r="A18" s="2"/>
      <c r="B18" s="5">
        <v>2035</v>
      </c>
      <c r="C18" s="6">
        <v>56.917706413488595</v>
      </c>
      <c r="D18" s="7">
        <v>33675950.144287109</v>
      </c>
      <c r="E18" s="8">
        <v>1916.7578435078126</v>
      </c>
      <c r="F18" s="7">
        <v>32830030.782057732</v>
      </c>
      <c r="G18" s="8">
        <v>1866.750375656891</v>
      </c>
      <c r="H18" s="8">
        <v>869.40200226373702</v>
      </c>
      <c r="I18" s="8">
        <v>997.34837339315413</v>
      </c>
      <c r="J18" s="7">
        <v>2184611.767447114</v>
      </c>
      <c r="K18" s="7">
        <v>1338692.4581768075</v>
      </c>
      <c r="L18" s="6">
        <v>117.00889489249499</v>
      </c>
      <c r="M18" s="6">
        <v>75.600606107671737</v>
      </c>
      <c r="N18" s="8">
        <f t="shared" si="0"/>
        <v>919.40947011465846</v>
      </c>
      <c r="O18" s="44"/>
      <c r="P18" s="43">
        <f>Summary!$R15</f>
        <v>0.55590659351628879</v>
      </c>
      <c r="Q18" s="44"/>
      <c r="S18" s="40">
        <f t="shared" si="1"/>
        <v>2982.2961668878684</v>
      </c>
      <c r="T18" s="40">
        <f t="shared" si="2"/>
        <v>-1551.7809101951541</v>
      </c>
      <c r="U18" s="40">
        <f t="shared" si="3"/>
        <v>1430.5152566927143</v>
      </c>
      <c r="W18" s="77">
        <f>U18-'C3-SA'!R18</f>
        <v>216.31062839212132</v>
      </c>
      <c r="X18" s="42">
        <f>Summary!$Y15</f>
        <v>-17.950732145995801</v>
      </c>
      <c r="Y18" s="57">
        <v>0</v>
      </c>
      <c r="Z18" s="42">
        <f t="shared" si="4"/>
        <v>198.35989624612552</v>
      </c>
    </row>
    <row r="19" spans="1:28" customFormat="1" ht="16" thickBot="1" x14ac:dyDescent="0.4">
      <c r="A19" s="2"/>
      <c r="B19" s="5">
        <v>2036</v>
      </c>
      <c r="C19" s="6">
        <v>55.17764552934581</v>
      </c>
      <c r="D19" s="7">
        <v>33792305.426757813</v>
      </c>
      <c r="E19" s="8">
        <v>1864.5798504570312</v>
      </c>
      <c r="F19" s="7">
        <v>34217667.130443767</v>
      </c>
      <c r="G19" s="8">
        <v>1872.0293448783764</v>
      </c>
      <c r="H19" s="8">
        <v>783.74214202014377</v>
      </c>
      <c r="I19" s="8">
        <v>1088.2872028582328</v>
      </c>
      <c r="J19" s="7">
        <v>1241153.6189287603</v>
      </c>
      <c r="K19" s="7">
        <v>1666515.4159241766</v>
      </c>
      <c r="L19" s="6">
        <v>68.979506984921969</v>
      </c>
      <c r="M19" s="6">
        <v>86.108901724468282</v>
      </c>
      <c r="N19" s="8">
        <f t="shared" si="0"/>
        <v>776.29264759879834</v>
      </c>
      <c r="O19" s="44"/>
      <c r="P19" s="43">
        <f>Summary!$R16</f>
        <v>0.59223701247489391</v>
      </c>
      <c r="Q19" s="44"/>
      <c r="S19" s="40">
        <f t="shared" si="1"/>
        <v>2968.8530506125876</v>
      </c>
      <c r="T19" s="40">
        <f t="shared" si="2"/>
        <v>-1732.8111645936515</v>
      </c>
      <c r="U19" s="40">
        <f t="shared" si="3"/>
        <v>1236.0418860189361</v>
      </c>
      <c r="W19" s="77">
        <f>U19-'C3-SA'!R19</f>
        <v>366.28230084142047</v>
      </c>
      <c r="X19" s="42">
        <f>Summary!$Y16</f>
        <v>-157.10513120592367</v>
      </c>
      <c r="Y19" s="57">
        <v>0</v>
      </c>
      <c r="Z19" s="42">
        <f t="shared" si="4"/>
        <v>209.1771696354968</v>
      </c>
    </row>
    <row r="20" spans="1:28" customFormat="1" ht="16" thickBot="1" x14ac:dyDescent="0.4">
      <c r="A20" s="2"/>
      <c r="B20" s="5">
        <v>2037</v>
      </c>
      <c r="C20" s="6">
        <v>47.123154075971421</v>
      </c>
      <c r="D20" s="7">
        <v>33709834.706542969</v>
      </c>
      <c r="E20" s="8">
        <v>1588.5137347519531</v>
      </c>
      <c r="F20" s="7">
        <v>35315337.579321489</v>
      </c>
      <c r="G20" s="8">
        <v>1638.9459815326511</v>
      </c>
      <c r="H20" s="8">
        <v>661.41960445578582</v>
      </c>
      <c r="I20" s="8">
        <v>977.52637707686529</v>
      </c>
      <c r="J20" s="7">
        <v>494676.38141061366</v>
      </c>
      <c r="K20" s="7">
        <v>2100179.3249422014</v>
      </c>
      <c r="L20" s="6">
        <v>27.965129316597498</v>
      </c>
      <c r="M20" s="6">
        <v>88.925425347199464</v>
      </c>
      <c r="N20" s="8">
        <f t="shared" si="0"/>
        <v>610.98735767508776</v>
      </c>
      <c r="O20" s="44"/>
      <c r="P20" s="43">
        <f>Summary!$R17</f>
        <v>0.62941574671618339</v>
      </c>
      <c r="Q20" s="44"/>
      <c r="S20" s="40">
        <f t="shared" si="1"/>
        <v>2588.3492932797667</v>
      </c>
      <c r="T20" s="40">
        <f t="shared" si="2"/>
        <v>-1592.796871639466</v>
      </c>
      <c r="U20" s="40">
        <f t="shared" si="3"/>
        <v>995.55242164030074</v>
      </c>
      <c r="W20" s="77">
        <f>U20-'C3-SA'!R20</f>
        <v>231.66637245114987</v>
      </c>
      <c r="X20" s="42">
        <f>Summary!$Y17</f>
        <v>-124.450071362995</v>
      </c>
      <c r="Y20" s="57">
        <v>0</v>
      </c>
      <c r="Z20" s="42">
        <f t="shared" si="4"/>
        <v>107.21630108815486</v>
      </c>
    </row>
    <row r="21" spans="1:28" customFormat="1" ht="16" thickBot="1" x14ac:dyDescent="0.4">
      <c r="A21" s="2"/>
      <c r="B21" s="5">
        <v>2038</v>
      </c>
      <c r="C21" s="6">
        <v>45.344396547734178</v>
      </c>
      <c r="D21" s="7">
        <v>33753359.391113281</v>
      </c>
      <c r="E21" s="8">
        <v>1530.525713048828</v>
      </c>
      <c r="F21" s="7">
        <v>35509574.395759583</v>
      </c>
      <c r="G21" s="8">
        <v>1583.8596775651231</v>
      </c>
      <c r="H21" s="8">
        <v>639.50389532355359</v>
      </c>
      <c r="I21" s="8">
        <v>944.3557822415695</v>
      </c>
      <c r="J21" s="7">
        <v>392289.92825466394</v>
      </c>
      <c r="K21" s="7">
        <v>2148504.9939274341</v>
      </c>
      <c r="L21" s="6">
        <v>22.241906718839154</v>
      </c>
      <c r="M21" s="6">
        <v>87.623789281411376</v>
      </c>
      <c r="N21" s="8">
        <f t="shared" si="0"/>
        <v>586.16993080725854</v>
      </c>
      <c r="O21" s="44"/>
      <c r="P21" s="43">
        <f>Summary!$R18</f>
        <v>0.66746260440200622</v>
      </c>
      <c r="Q21" s="44"/>
      <c r="S21" s="40">
        <f t="shared" si="1"/>
        <v>2552.0943915846365</v>
      </c>
      <c r="T21" s="40">
        <f t="shared" si="2"/>
        <v>-1574.6779521386213</v>
      </c>
      <c r="U21" s="40">
        <f t="shared" si="3"/>
        <v>977.41643944601515</v>
      </c>
      <c r="W21" s="77">
        <f>U21-'C3-SA'!R21</f>
        <v>249.16734707693547</v>
      </c>
      <c r="X21" s="42">
        <f>Summary!$Y18</f>
        <v>-151.58615652202502</v>
      </c>
      <c r="Y21" s="57">
        <v>0</v>
      </c>
      <c r="Z21" s="42">
        <f t="shared" si="4"/>
        <v>97.581190554910449</v>
      </c>
    </row>
    <row r="22" spans="1:28" customFormat="1" ht="16" thickBot="1" x14ac:dyDescent="0.4">
      <c r="A22" s="2"/>
      <c r="B22" s="5">
        <v>2039</v>
      </c>
      <c r="C22" s="6">
        <v>28.824531639843716</v>
      </c>
      <c r="D22" s="7">
        <v>33754476.710449219</v>
      </c>
      <c r="E22" s="8">
        <v>972.95698192671136</v>
      </c>
      <c r="F22" s="7">
        <v>36172320.740917802</v>
      </c>
      <c r="G22" s="8">
        <v>1021.2303188153854</v>
      </c>
      <c r="H22" s="8">
        <v>506.6638369868254</v>
      </c>
      <c r="I22" s="8">
        <v>514.56648182856009</v>
      </c>
      <c r="J22" s="7">
        <v>93973.804813623428</v>
      </c>
      <c r="K22" s="7">
        <v>2511817.8829552531</v>
      </c>
      <c r="L22" s="6">
        <v>6.1038785588146851</v>
      </c>
      <c r="M22" s="6">
        <v>64.070112460187929</v>
      </c>
      <c r="N22" s="8">
        <f t="shared" si="0"/>
        <v>458.39050009815128</v>
      </c>
      <c r="O22" s="44"/>
      <c r="P22" s="43">
        <f>Summary!$R19</f>
        <v>0.70639785621479323</v>
      </c>
      <c r="Q22" s="44"/>
      <c r="S22" s="40">
        <f t="shared" si="1"/>
        <v>1660.2517081489557</v>
      </c>
      <c r="T22" s="40">
        <f t="shared" si="2"/>
        <v>-878.05514147224324</v>
      </c>
      <c r="U22" s="40">
        <f t="shared" si="3"/>
        <v>782.19656667671245</v>
      </c>
      <c r="W22" s="77">
        <f>U22-'C3-SA'!R22</f>
        <v>68.406866373572825</v>
      </c>
      <c r="X22" s="42">
        <f>Summary!$Y19</f>
        <v>-67.047745359432724</v>
      </c>
      <c r="Y22" s="57">
        <v>0</v>
      </c>
      <c r="Z22" s="42">
        <f t="shared" si="4"/>
        <v>1.3591210141401007</v>
      </c>
    </row>
    <row r="23" spans="1:28" customFormat="1" ht="16" thickBot="1" x14ac:dyDescent="0.4">
      <c r="A23" s="2"/>
      <c r="B23" s="9">
        <v>2040</v>
      </c>
      <c r="C23" s="10">
        <v>29.113126244427679</v>
      </c>
      <c r="D23" s="11">
        <v>33870433.217041016</v>
      </c>
      <c r="E23" s="12">
        <v>986.07419820117184</v>
      </c>
      <c r="F23" s="11">
        <v>36318274.31295599</v>
      </c>
      <c r="G23" s="12">
        <v>1032.784584183657</v>
      </c>
      <c r="H23" s="12">
        <v>518.24111519839619</v>
      </c>
      <c r="I23" s="12">
        <v>514.5434689852608</v>
      </c>
      <c r="J23" s="11">
        <v>84103.775813937187</v>
      </c>
      <c r="K23" s="11">
        <v>2531944.9401744604</v>
      </c>
      <c r="L23" s="10">
        <v>5.7307709808216671</v>
      </c>
      <c r="M23" s="10">
        <v>66.14143260416995</v>
      </c>
      <c r="N23" s="8">
        <f t="shared" si="0"/>
        <v>471.53072921591104</v>
      </c>
      <c r="O23" s="44"/>
      <c r="P23" s="43">
        <f>Summary!$R20</f>
        <v>0.74624224615740964</v>
      </c>
      <c r="Q23" s="44"/>
      <c r="S23" s="40">
        <f t="shared" si="1"/>
        <v>1721.9244227446811</v>
      </c>
      <c r="T23" s="40">
        <f t="shared" si="2"/>
        <v>-898.51754302644724</v>
      </c>
      <c r="U23" s="40">
        <f t="shared" si="3"/>
        <v>823.40687971823388</v>
      </c>
      <c r="W23" s="77">
        <f>U23-'C3-SA'!R23</f>
        <v>125.96687225934079</v>
      </c>
      <c r="X23" s="42">
        <f>Summary!$Y20</f>
        <v>-277.71630737979774</v>
      </c>
      <c r="Y23" s="57">
        <v>0</v>
      </c>
      <c r="Z23" s="42">
        <f t="shared" si="4"/>
        <v>-151.74943512045695</v>
      </c>
    </row>
    <row r="24" spans="1:28" customFormat="1" ht="14.5" x14ac:dyDescent="0.35"/>
    <row r="25" spans="1:28" customFormat="1" ht="14.5" x14ac:dyDescent="0.35"/>
    <row r="26" spans="1:28" ht="14.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4.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4.5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4.5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4.5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4.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4.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14.5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ht="14.5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ht="14.5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14.5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28" ht="14.5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28" ht="14.5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28" ht="14.5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28" ht="14.5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8" ht="14.5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8" ht="14.5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8" ht="14.5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8" ht="14.5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8" ht="14.5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8" ht="14.5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8" ht="14.5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8" ht="14.5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</sheetData>
  <mergeCells count="1">
    <mergeCell ref="B5:N5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80B-B396-4A0B-86E5-F813AC47FBE5}">
  <dimension ref="A1:R23"/>
  <sheetViews>
    <sheetView showGridLines="0" zoomScaleNormal="100" workbookViewId="0">
      <selection activeCell="J8" sqref="J8"/>
    </sheetView>
  </sheetViews>
  <sheetFormatPr defaultColWidth="10.453125" defaultRowHeight="13" x14ac:dyDescent="0.3"/>
  <cols>
    <col min="1" max="1" width="10.453125" style="2"/>
    <col min="2" max="2" width="8.7265625" style="2" customWidth="1"/>
    <col min="3" max="10" width="12.1796875" style="2" customWidth="1"/>
    <col min="11" max="31" width="8.54296875" style="2" customWidth="1"/>
    <col min="32" max="32" width="12.7265625" style="2" customWidth="1"/>
    <col min="33" max="35" width="8.54296875" style="2" customWidth="1"/>
    <col min="36" max="16384" width="10.453125" style="2"/>
  </cols>
  <sheetData>
    <row r="1" spans="1:18" customFormat="1" ht="14.5" x14ac:dyDescent="0.3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8" customFormat="1" ht="14.5" x14ac:dyDescent="0.35">
      <c r="A2" s="3" t="s">
        <v>1</v>
      </c>
      <c r="B2" s="3"/>
      <c r="C2" s="2"/>
      <c r="D2" s="2"/>
      <c r="E2" s="2"/>
      <c r="F2" s="2"/>
      <c r="G2" s="2"/>
      <c r="H2" s="2"/>
      <c r="I2" s="2"/>
      <c r="J2" s="2"/>
    </row>
    <row r="3" spans="1:18" customFormat="1" ht="14.5" x14ac:dyDescent="0.35">
      <c r="A3" s="3" t="s">
        <v>2</v>
      </c>
      <c r="B3" s="3"/>
      <c r="C3" s="2"/>
      <c r="D3" s="2"/>
      <c r="E3" s="2"/>
      <c r="F3" s="2"/>
      <c r="G3" s="2"/>
      <c r="H3" s="2"/>
      <c r="I3" s="2"/>
      <c r="J3" s="2"/>
    </row>
    <row r="4" spans="1:18" customFormat="1" ht="14.5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8" customFormat="1" ht="12.5" customHeight="1" thickBot="1" x14ac:dyDescent="0.4">
      <c r="A5" s="2"/>
      <c r="B5" s="102" t="s">
        <v>3</v>
      </c>
      <c r="C5" s="102"/>
      <c r="D5" s="102"/>
      <c r="E5" s="102"/>
      <c r="F5" s="102"/>
      <c r="G5" s="102"/>
      <c r="H5" s="102"/>
      <c r="I5" s="102"/>
      <c r="J5" s="102"/>
    </row>
    <row r="6" spans="1:18" customFormat="1" ht="31.5" customHeight="1" thickBot="1" x14ac:dyDescent="0.4">
      <c r="A6" s="2"/>
      <c r="B6" s="4" t="s">
        <v>4</v>
      </c>
      <c r="C6" s="4" t="s">
        <v>6</v>
      </c>
      <c r="D6" s="4" t="s">
        <v>8</v>
      </c>
      <c r="E6" s="4" t="s">
        <v>10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O6" s="36" t="s">
        <v>45</v>
      </c>
      <c r="P6" s="38" t="s">
        <v>47</v>
      </c>
      <c r="Q6" s="38" t="s">
        <v>48</v>
      </c>
      <c r="R6" s="38" t="s">
        <v>50</v>
      </c>
    </row>
    <row r="7" spans="1:18" customFormat="1" ht="12.75" customHeight="1" thickTop="1" thickBot="1" x14ac:dyDescent="0.4">
      <c r="A7" s="2"/>
      <c r="B7" s="4"/>
      <c r="C7" s="4"/>
      <c r="D7" s="4"/>
      <c r="E7" s="4"/>
      <c r="F7" s="4"/>
      <c r="G7" s="4"/>
      <c r="H7" s="4"/>
      <c r="I7" s="4"/>
      <c r="J7" s="4" t="s">
        <v>20</v>
      </c>
      <c r="L7" t="s">
        <v>53</v>
      </c>
      <c r="O7" s="37" t="s">
        <v>46</v>
      </c>
      <c r="P7" s="39" t="s">
        <v>46</v>
      </c>
      <c r="Q7" s="39" t="s">
        <v>49</v>
      </c>
      <c r="R7" s="39" t="s">
        <v>46</v>
      </c>
    </row>
    <row r="8" spans="1:18" customFormat="1" ht="16.5" thickTop="1" thickBot="1" x14ac:dyDescent="0.4">
      <c r="A8" s="2"/>
      <c r="B8" s="5">
        <v>2025</v>
      </c>
      <c r="C8" s="7">
        <v>33050200.072021484</v>
      </c>
      <c r="D8" s="7">
        <v>33027216.685482934</v>
      </c>
      <c r="E8" s="7">
        <v>1752.5726055061839</v>
      </c>
      <c r="F8" s="7">
        <v>22983.189015731215</v>
      </c>
      <c r="G8" s="7">
        <v>0</v>
      </c>
      <c r="H8" s="6">
        <v>1.8977499676321317</v>
      </c>
      <c r="I8" s="6">
        <v>0</v>
      </c>
      <c r="J8" s="8">
        <f>E8+H8-I8</f>
        <v>1754.470355473816</v>
      </c>
      <c r="K8" s="15"/>
      <c r="L8" s="43">
        <f>Summary!R5</f>
        <v>0.21123641653309111</v>
      </c>
      <c r="M8" s="15"/>
      <c r="O8" s="40">
        <f>E8*(1+$L8)</f>
        <v>2122.7797624073728</v>
      </c>
      <c r="P8" s="41">
        <f>H8*(1+$L8)</f>
        <v>2.2986238702705326</v>
      </c>
      <c r="Q8" s="41">
        <f>-I8*(1+$L8)</f>
        <v>0</v>
      </c>
      <c r="R8" s="41">
        <f>SUM(O8:Q8)</f>
        <v>2125.0783862776434</v>
      </c>
    </row>
    <row r="9" spans="1:18" customFormat="1" ht="16" thickBot="1" x14ac:dyDescent="0.4">
      <c r="A9" s="2"/>
      <c r="B9" s="5">
        <v>2026</v>
      </c>
      <c r="C9" s="7">
        <v>33155651.835449219</v>
      </c>
      <c r="D9" s="7">
        <v>33135713.937302187</v>
      </c>
      <c r="E9" s="7">
        <v>1824.5258983003046</v>
      </c>
      <c r="F9" s="7">
        <v>19937.743000395596</v>
      </c>
      <c r="G9" s="7">
        <v>0</v>
      </c>
      <c r="H9" s="6">
        <v>4.0464629228995124</v>
      </c>
      <c r="I9" s="6">
        <v>0</v>
      </c>
      <c r="J9" s="8">
        <f t="shared" ref="J9:J23" si="0">E9+H9-I9</f>
        <v>1828.5723612232041</v>
      </c>
      <c r="K9" s="15"/>
      <c r="L9" s="43">
        <f>Summary!R6</f>
        <v>0.25362969111174949</v>
      </c>
      <c r="M9" s="15"/>
      <c r="O9" s="40">
        <f t="shared" ref="O9:O23" si="1">E9*(1+$L9)</f>
        <v>2287.2798383115983</v>
      </c>
      <c r="P9" s="41">
        <f t="shared" ref="P9:P23" si="2">H9*(1+$L9)</f>
        <v>5.072766064129663</v>
      </c>
      <c r="Q9" s="41">
        <f t="shared" ref="Q9:Q23" si="3">-I9*(1+$L9)</f>
        <v>0</v>
      </c>
      <c r="R9" s="41">
        <f t="shared" ref="R9:R23" si="4">SUM(O9:Q9)</f>
        <v>2292.3526043757279</v>
      </c>
    </row>
    <row r="10" spans="1:18" customFormat="1" ht="16" thickBot="1" x14ac:dyDescent="0.4">
      <c r="A10" s="2"/>
      <c r="B10" s="5">
        <v>2027</v>
      </c>
      <c r="C10" s="7">
        <v>34025754.001953125</v>
      </c>
      <c r="D10" s="7">
        <v>33936430.735633455</v>
      </c>
      <c r="E10" s="7">
        <v>1915.9494750903571</v>
      </c>
      <c r="F10" s="7">
        <v>89323.117081873119</v>
      </c>
      <c r="G10" s="7">
        <v>0</v>
      </c>
      <c r="H10" s="6">
        <v>19.384806490685918</v>
      </c>
      <c r="I10" s="6">
        <v>0</v>
      </c>
      <c r="J10" s="8">
        <f t="shared" si="0"/>
        <v>1935.3342815810429</v>
      </c>
      <c r="K10" s="15"/>
      <c r="L10" s="43">
        <f>Summary!R7</f>
        <v>0.28906557748917816</v>
      </c>
      <c r="M10" s="15"/>
      <c r="O10" s="40">
        <f t="shared" si="1"/>
        <v>2469.7845165474387</v>
      </c>
      <c r="P10" s="41">
        <f t="shared" si="2"/>
        <v>24.988286773432012</v>
      </c>
      <c r="Q10" s="41">
        <f t="shared" si="3"/>
        <v>0</v>
      </c>
      <c r="R10" s="41">
        <f t="shared" si="4"/>
        <v>2494.7728033208705</v>
      </c>
    </row>
    <row r="11" spans="1:18" customFormat="1" ht="16" thickBot="1" x14ac:dyDescent="0.4">
      <c r="A11" s="2"/>
      <c r="B11" s="5">
        <v>2028</v>
      </c>
      <c r="C11" s="7">
        <v>34075501.323486328</v>
      </c>
      <c r="D11" s="7">
        <v>34006649.193513557</v>
      </c>
      <c r="E11" s="7">
        <v>1664.4639643736432</v>
      </c>
      <c r="F11" s="7">
        <v>67150.696017601993</v>
      </c>
      <c r="G11" s="7">
        <v>0</v>
      </c>
      <c r="H11" s="6">
        <v>41.607132786771452</v>
      </c>
      <c r="I11" s="6">
        <v>0</v>
      </c>
      <c r="J11" s="8">
        <f t="shared" si="0"/>
        <v>1706.0710971604146</v>
      </c>
      <c r="K11" s="15"/>
      <c r="L11" s="43">
        <f>Summary!R8</f>
        <v>0.32051633919281142</v>
      </c>
      <c r="M11" s="15"/>
      <c r="O11" s="40">
        <f t="shared" si="1"/>
        <v>2197.9518609530373</v>
      </c>
      <c r="P11" s="41">
        <f t="shared" si="2"/>
        <v>54.942898671896636</v>
      </c>
      <c r="Q11" s="41">
        <f t="shared" si="3"/>
        <v>0</v>
      </c>
      <c r="R11" s="41">
        <f t="shared" si="4"/>
        <v>2252.8947596249341</v>
      </c>
    </row>
    <row r="12" spans="1:18" customFormat="1" ht="16" thickBot="1" x14ac:dyDescent="0.4">
      <c r="A12" s="2"/>
      <c r="B12" s="5">
        <v>2029</v>
      </c>
      <c r="C12" s="7">
        <v>33920099.497802734</v>
      </c>
      <c r="D12" s="7">
        <v>33876250.569552459</v>
      </c>
      <c r="E12" s="7">
        <v>1405.9785203192885</v>
      </c>
      <c r="F12" s="7">
        <v>43930.577056884766</v>
      </c>
      <c r="G12" s="7">
        <v>81.748001098632813</v>
      </c>
      <c r="H12" s="6">
        <v>4.3410860141768044</v>
      </c>
      <c r="I12" s="6">
        <v>3.3402422952069901E-3</v>
      </c>
      <c r="J12" s="8">
        <f t="shared" si="0"/>
        <v>1410.3162660911701</v>
      </c>
      <c r="K12" s="15"/>
      <c r="L12" s="43">
        <f>Summary!R9</f>
        <v>0.3528444658201555</v>
      </c>
      <c r="M12" s="15"/>
      <c r="O12" s="40">
        <f t="shared" si="1"/>
        <v>1902.0702602759604</v>
      </c>
      <c r="P12" s="41">
        <f t="shared" si="2"/>
        <v>5.8728141899283672</v>
      </c>
      <c r="Q12" s="41">
        <f t="shared" si="3"/>
        <v>-4.5188283035691905E-3</v>
      </c>
      <c r="R12" s="41">
        <f t="shared" si="4"/>
        <v>1907.9385556375853</v>
      </c>
    </row>
    <row r="13" spans="1:18" customFormat="1" ht="16" thickBot="1" x14ac:dyDescent="0.4">
      <c r="A13" s="2"/>
      <c r="B13" s="5">
        <v>2030</v>
      </c>
      <c r="C13" s="7">
        <v>33808022.219238281</v>
      </c>
      <c r="D13" s="7">
        <v>33750825.47272779</v>
      </c>
      <c r="E13" s="7">
        <v>1446.4394978709356</v>
      </c>
      <c r="F13" s="7">
        <v>58467.089072167873</v>
      </c>
      <c r="G13" s="7">
        <v>1270.4450101852417</v>
      </c>
      <c r="H13" s="6">
        <v>9.9850047892958944</v>
      </c>
      <c r="I13" s="6">
        <v>6.8431961018828674E-2</v>
      </c>
      <c r="J13" s="8">
        <f t="shared" si="0"/>
        <v>1456.3560706992128</v>
      </c>
      <c r="K13" s="15"/>
      <c r="L13" s="43">
        <f>Summary!R10</f>
        <v>0.38563573789931382</v>
      </c>
      <c r="M13" s="15"/>
      <c r="O13" s="40">
        <f t="shared" si="1"/>
        <v>2004.2382609591068</v>
      </c>
      <c r="P13" s="41">
        <f t="shared" si="2"/>
        <v>13.835579479144199</v>
      </c>
      <c r="Q13" s="41">
        <f t="shared" si="3"/>
        <v>-9.4821770802221747E-2</v>
      </c>
      <c r="R13" s="41">
        <f t="shared" si="4"/>
        <v>2017.9790186674488</v>
      </c>
    </row>
    <row r="14" spans="1:18" customFormat="1" ht="16" thickBot="1" x14ac:dyDescent="0.4">
      <c r="A14" s="2"/>
      <c r="B14" s="5">
        <v>2031</v>
      </c>
      <c r="C14" s="7">
        <v>33768873.138916016</v>
      </c>
      <c r="D14" s="7">
        <v>33706403.607278027</v>
      </c>
      <c r="E14" s="7">
        <v>1483.7797403353668</v>
      </c>
      <c r="F14" s="7">
        <v>62761.242099717259</v>
      </c>
      <c r="G14" s="7">
        <v>336.58599948883057</v>
      </c>
      <c r="H14" s="6">
        <v>15.166696926366891</v>
      </c>
      <c r="I14" s="6">
        <v>1.5249646181996911E-2</v>
      </c>
      <c r="J14" s="8">
        <f t="shared" si="0"/>
        <v>1498.9311876155518</v>
      </c>
      <c r="K14" s="15"/>
      <c r="L14" s="43">
        <f>Summary!R11</f>
        <v>0.41857129399151893</v>
      </c>
      <c r="M14" s="15"/>
      <c r="O14" s="40">
        <f t="shared" si="1"/>
        <v>2104.847346245941</v>
      </c>
      <c r="P14" s="41">
        <f t="shared" si="2"/>
        <v>21.515040884413473</v>
      </c>
      <c r="Q14" s="41">
        <f t="shared" si="3"/>
        <v>-2.1632710317308183E-2</v>
      </c>
      <c r="R14" s="41">
        <f t="shared" si="4"/>
        <v>2126.3407544200372</v>
      </c>
    </row>
    <row r="15" spans="1:18" customFormat="1" ht="16" thickBot="1" x14ac:dyDescent="0.4">
      <c r="A15" s="2"/>
      <c r="B15" s="5">
        <v>2032</v>
      </c>
      <c r="C15" s="7">
        <v>33827370.076416016</v>
      </c>
      <c r="D15" s="7">
        <v>33730179.821520932</v>
      </c>
      <c r="E15" s="7">
        <v>1534.5625883245939</v>
      </c>
      <c r="F15" s="7">
        <v>97212.652034088969</v>
      </c>
      <c r="G15" s="7">
        <v>22.416999816894531</v>
      </c>
      <c r="H15" s="6">
        <v>17.118316687817867</v>
      </c>
      <c r="I15" s="6">
        <v>1.1433787104673683E-3</v>
      </c>
      <c r="J15" s="8">
        <f t="shared" si="0"/>
        <v>1551.6797616337014</v>
      </c>
      <c r="K15" s="15"/>
      <c r="L15" s="43">
        <f>Summary!R12</f>
        <v>0.45181386458476869</v>
      </c>
      <c r="M15" s="15"/>
      <c r="O15" s="40">
        <f t="shared" si="1"/>
        <v>2227.8992418027342</v>
      </c>
      <c r="P15" s="41">
        <f t="shared" si="2"/>
        <v>24.852609505726793</v>
      </c>
      <c r="Q15" s="41">
        <f t="shared" si="3"/>
        <v>-1.6599730643275794E-3</v>
      </c>
      <c r="R15" s="41">
        <f t="shared" si="4"/>
        <v>2252.7501913353967</v>
      </c>
    </row>
    <row r="16" spans="1:18" customFormat="1" ht="16" thickBot="1" x14ac:dyDescent="0.4">
      <c r="A16" s="2"/>
      <c r="B16" s="5">
        <v>2033</v>
      </c>
      <c r="C16" s="7">
        <v>33717104.604492188</v>
      </c>
      <c r="D16" s="7">
        <v>33514549.926380869</v>
      </c>
      <c r="E16" s="7">
        <v>1510.4979959445047</v>
      </c>
      <c r="F16" s="7">
        <v>203305.84186612815</v>
      </c>
      <c r="G16" s="7">
        <v>954.83199453353882</v>
      </c>
      <c r="H16" s="6">
        <v>57.988483596439707</v>
      </c>
      <c r="I16" s="6">
        <v>4.1723725234720857E-2</v>
      </c>
      <c r="J16" s="8">
        <f t="shared" si="0"/>
        <v>1568.4447558157096</v>
      </c>
      <c r="K16" s="15"/>
      <c r="L16" s="43">
        <f>Summary!R13</f>
        <v>0.48571371832282351</v>
      </c>
      <c r="M16" s="15"/>
      <c r="O16" s="40">
        <f t="shared" si="1"/>
        <v>2244.1675940738833</v>
      </c>
      <c r="P16" s="41">
        <f t="shared" si="2"/>
        <v>86.154285583968488</v>
      </c>
      <c r="Q16" s="41">
        <f t="shared" si="3"/>
        <v>-6.1989510960756944E-2</v>
      </c>
      <c r="R16" s="41">
        <f t="shared" si="4"/>
        <v>2330.2598901468909</v>
      </c>
    </row>
    <row r="17" spans="1:18" customFormat="1" ht="16" thickBot="1" x14ac:dyDescent="0.4">
      <c r="A17" s="2"/>
      <c r="B17" s="5">
        <v>2034</v>
      </c>
      <c r="C17" s="7">
        <v>33675258.977294922</v>
      </c>
      <c r="D17" s="7">
        <v>33541975.525477599</v>
      </c>
      <c r="E17" s="7">
        <v>1268.0926046180964</v>
      </c>
      <c r="F17" s="7">
        <v>180750.32716969121</v>
      </c>
      <c r="G17" s="7">
        <v>47567.055107429624</v>
      </c>
      <c r="H17" s="6">
        <v>39.616115423151143</v>
      </c>
      <c r="I17" s="6">
        <v>1.9706221509921042</v>
      </c>
      <c r="J17" s="8">
        <f t="shared" si="0"/>
        <v>1305.7380978902554</v>
      </c>
      <c r="K17" s="15"/>
      <c r="L17" s="43">
        <f>Summary!R14</f>
        <v>0.52040513364566165</v>
      </c>
      <c r="M17" s="15"/>
      <c r="O17" s="40">
        <f t="shared" si="1"/>
        <v>1928.014505999452</v>
      </c>
      <c r="P17" s="41">
        <f t="shared" si="2"/>
        <v>60.232545264458075</v>
      </c>
      <c r="Q17" s="41">
        <f t="shared" si="3"/>
        <v>-2.9961440348442516</v>
      </c>
      <c r="R17" s="41">
        <f t="shared" si="4"/>
        <v>1985.2509072290659</v>
      </c>
    </row>
    <row r="18" spans="1:18" customFormat="1" ht="16" thickBot="1" x14ac:dyDescent="0.4">
      <c r="A18" s="2"/>
      <c r="B18" s="5">
        <v>2035</v>
      </c>
      <c r="C18" s="7">
        <v>33675950.144287109</v>
      </c>
      <c r="D18" s="7">
        <v>33904424.125115007</v>
      </c>
      <c r="E18" s="7">
        <v>987.95441909823512</v>
      </c>
      <c r="F18" s="7">
        <v>108730.70099173579</v>
      </c>
      <c r="G18" s="7">
        <v>337299.8879223913</v>
      </c>
      <c r="H18" s="6">
        <v>21.719629168927021</v>
      </c>
      <c r="I18" s="6">
        <v>11.832966742196801</v>
      </c>
      <c r="J18" s="8">
        <f t="shared" si="0"/>
        <v>997.84108152496526</v>
      </c>
      <c r="K18" s="15"/>
      <c r="L18" s="43">
        <f>Summary!R15</f>
        <v>0.55590659351628879</v>
      </c>
      <c r="M18" s="15"/>
      <c r="O18" s="40">
        <f t="shared" si="1"/>
        <v>1537.164794768499</v>
      </c>
      <c r="P18" s="41">
        <f t="shared" si="2"/>
        <v>33.793714232662261</v>
      </c>
      <c r="Q18" s="41">
        <f t="shared" si="3"/>
        <v>-18.41099097504296</v>
      </c>
      <c r="R18" s="41">
        <f t="shared" si="4"/>
        <v>1552.5475180261183</v>
      </c>
    </row>
    <row r="19" spans="1:18" customFormat="1" ht="16" thickBot="1" x14ac:dyDescent="0.4">
      <c r="A19" s="2"/>
      <c r="B19" s="5">
        <v>2036</v>
      </c>
      <c r="C19" s="7">
        <v>33792305.426757813</v>
      </c>
      <c r="D19" s="7">
        <v>34894925.659826949</v>
      </c>
      <c r="E19" s="7">
        <v>696.18514356947742</v>
      </c>
      <c r="F19" s="7">
        <v>47247.83684681356</v>
      </c>
      <c r="G19" s="7">
        <v>1149868.10081321</v>
      </c>
      <c r="H19" s="6">
        <v>6.5125667766098436</v>
      </c>
      <c r="I19" s="6">
        <v>25.863785567696603</v>
      </c>
      <c r="J19" s="8">
        <f t="shared" si="0"/>
        <v>676.83392477839061</v>
      </c>
      <c r="K19" s="15"/>
      <c r="L19" s="43">
        <f>Summary!R16</f>
        <v>0.59223701247489391</v>
      </c>
      <c r="M19" s="15"/>
      <c r="O19" s="40">
        <f t="shared" si="1"/>
        <v>1108.4917531264698</v>
      </c>
      <c r="P19" s="41">
        <f t="shared" si="2"/>
        <v>10.369549867932507</v>
      </c>
      <c r="Q19" s="41">
        <f t="shared" si="3"/>
        <v>-41.181276663600514</v>
      </c>
      <c r="R19" s="41">
        <f t="shared" si="4"/>
        <v>1077.6800263308019</v>
      </c>
    </row>
    <row r="20" spans="1:18" customFormat="1" ht="16" thickBot="1" x14ac:dyDescent="0.4">
      <c r="A20" s="2"/>
      <c r="B20" s="5">
        <v>2037</v>
      </c>
      <c r="C20" s="7">
        <v>33709834.706542969</v>
      </c>
      <c r="D20" s="7">
        <v>35273304.170500666</v>
      </c>
      <c r="E20" s="7">
        <v>613.75026746214928</v>
      </c>
      <c r="F20" s="7">
        <v>28499.63108471036</v>
      </c>
      <c r="G20" s="7">
        <v>1591969.1296917573</v>
      </c>
      <c r="H20" s="6">
        <v>5.0213480385851863</v>
      </c>
      <c r="I20" s="6">
        <v>32.071998536510641</v>
      </c>
      <c r="J20" s="8">
        <f t="shared" si="0"/>
        <v>586.69961696422388</v>
      </c>
      <c r="K20" s="15"/>
      <c r="L20" s="43">
        <f>Summary!R17</f>
        <v>0.62941574671618339</v>
      </c>
      <c r="M20" s="15"/>
      <c r="O20" s="40">
        <f t="shared" si="1"/>
        <v>1000.0543503540953</v>
      </c>
      <c r="P20" s="41">
        <f t="shared" si="2"/>
        <v>8.1818635638131241</v>
      </c>
      <c r="Q20" s="41">
        <f t="shared" si="3"/>
        <v>-52.258619444048826</v>
      </c>
      <c r="R20" s="41">
        <f t="shared" si="4"/>
        <v>955.97759447385954</v>
      </c>
    </row>
    <row r="21" spans="1:18" customFormat="1" ht="16" thickBot="1" x14ac:dyDescent="0.4">
      <c r="A21" s="2"/>
      <c r="B21" s="5">
        <v>2038</v>
      </c>
      <c r="C21" s="7">
        <v>33753359.391113281</v>
      </c>
      <c r="D21" s="7">
        <v>35642572.420510083</v>
      </c>
      <c r="E21" s="7">
        <v>590.88346783193469</v>
      </c>
      <c r="F21" s="7">
        <v>27588.353987455368</v>
      </c>
      <c r="G21" s="7">
        <v>1916801.3500486314</v>
      </c>
      <c r="H21" s="6">
        <v>2.5820567783311232</v>
      </c>
      <c r="I21" s="6">
        <v>36.858095633118204</v>
      </c>
      <c r="J21" s="8">
        <f t="shared" si="0"/>
        <v>556.60742897714761</v>
      </c>
      <c r="K21" s="15"/>
      <c r="L21" s="43">
        <f>Summary!R18</f>
        <v>0.66746260440200622</v>
      </c>
      <c r="M21" s="15"/>
      <c r="O21" s="40">
        <f t="shared" si="1"/>
        <v>985.27608616912687</v>
      </c>
      <c r="P21" s="41">
        <f t="shared" si="2"/>
        <v>4.3054831203098685</v>
      </c>
      <c r="Q21" s="41">
        <f t="shared" si="3"/>
        <v>-61.459496137697492</v>
      </c>
      <c r="R21" s="41">
        <f t="shared" si="4"/>
        <v>928.1220731517393</v>
      </c>
    </row>
    <row r="22" spans="1:18" customFormat="1" ht="16" thickBot="1" x14ac:dyDescent="0.4">
      <c r="A22" s="2"/>
      <c r="B22" s="5">
        <v>2039</v>
      </c>
      <c r="C22" s="7">
        <v>33107275.470458984</v>
      </c>
      <c r="D22" s="7">
        <v>35225666.826901108</v>
      </c>
      <c r="E22" s="7">
        <v>550.82173214547879</v>
      </c>
      <c r="F22" s="7">
        <v>21340.306013345718</v>
      </c>
      <c r="G22" s="7">
        <v>2139731.6901174784</v>
      </c>
      <c r="H22" s="6">
        <v>8.1660874042620524</v>
      </c>
      <c r="I22" s="6">
        <v>38.502864810521217</v>
      </c>
      <c r="J22" s="8">
        <f t="shared" si="0"/>
        <v>520.48495473921957</v>
      </c>
      <c r="K22" s="15"/>
      <c r="L22" s="43">
        <f>Summary!R19</f>
        <v>0.70639785621479323</v>
      </c>
      <c r="M22" s="15"/>
      <c r="O22" s="40">
        <f t="shared" si="1"/>
        <v>939.92102288956403</v>
      </c>
      <c r="P22" s="41">
        <f t="shared" si="2"/>
        <v>13.934594040295393</v>
      </c>
      <c r="Q22" s="41">
        <f t="shared" si="3"/>
        <v>-65.701205970801411</v>
      </c>
      <c r="R22" s="41">
        <f t="shared" si="4"/>
        <v>888.15441095905794</v>
      </c>
    </row>
    <row r="23" spans="1:18" customFormat="1" ht="16" thickBot="1" x14ac:dyDescent="0.4">
      <c r="A23" s="2"/>
      <c r="B23" s="9">
        <v>2040</v>
      </c>
      <c r="C23" s="11">
        <v>33220731.498535156</v>
      </c>
      <c r="D23" s="11">
        <v>35780858.935486823</v>
      </c>
      <c r="E23" s="11">
        <v>518.36131690794559</v>
      </c>
      <c r="F23" s="11">
        <v>645.64500427246094</v>
      </c>
      <c r="G23" s="11">
        <v>2560773.1469888687</v>
      </c>
      <c r="H23" s="10">
        <v>7.3244409241247921E-2</v>
      </c>
      <c r="I23" s="10">
        <v>26.029728234049781</v>
      </c>
      <c r="J23" s="12">
        <f t="shared" si="0"/>
        <v>492.40483308313708</v>
      </c>
      <c r="K23" s="15"/>
      <c r="L23" s="43">
        <f>Summary!R20</f>
        <v>0.74624224615740964</v>
      </c>
      <c r="M23" s="15"/>
      <c r="O23" s="40">
        <f t="shared" si="1"/>
        <v>905.18443035844371</v>
      </c>
      <c r="P23" s="41">
        <f t="shared" si="2"/>
        <v>0.12790248171190929</v>
      </c>
      <c r="Q23" s="41">
        <f t="shared" si="3"/>
        <v>-45.454211098294032</v>
      </c>
      <c r="R23" s="41">
        <f t="shared" si="4"/>
        <v>859.85812174186151</v>
      </c>
    </row>
  </sheetData>
  <mergeCells count="1">
    <mergeCell ref="B5:J5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D9C1D-AB75-452C-840C-020D1E628134}">
  <sheetPr>
    <tabColor rgb="FF00FFFF"/>
  </sheetPr>
  <dimension ref="A1:AB48"/>
  <sheetViews>
    <sheetView showGridLines="0" zoomScaleNormal="100" workbookViewId="0">
      <selection activeCell="C8" sqref="C8:N23"/>
    </sheetView>
  </sheetViews>
  <sheetFormatPr defaultColWidth="10.453125" defaultRowHeight="13" x14ac:dyDescent="0.3"/>
  <cols>
    <col min="1" max="1" width="10.453125" style="2"/>
    <col min="2" max="2" width="8.7265625" style="2" customWidth="1"/>
    <col min="3" max="14" width="12.1796875" style="2" customWidth="1"/>
    <col min="15" max="18" width="8.54296875" style="2" customWidth="1"/>
    <col min="19" max="25" width="14.1796875" style="70" customWidth="1"/>
    <col min="26" max="26" width="17.1796875" style="70" customWidth="1"/>
    <col min="27" max="34" width="8.54296875" style="2" customWidth="1"/>
    <col min="35" max="35" width="12.7265625" style="2" customWidth="1"/>
    <col min="36" max="38" width="8.54296875" style="2" customWidth="1"/>
    <col min="39" max="16384" width="10.453125" style="2"/>
  </cols>
  <sheetData>
    <row r="1" spans="1:26" customFormat="1" ht="14.5" x14ac:dyDescent="0.3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S1" s="59"/>
      <c r="T1" s="59"/>
      <c r="U1" s="59"/>
      <c r="V1" s="59"/>
      <c r="W1" s="59"/>
      <c r="X1" s="59"/>
      <c r="Y1" s="59"/>
      <c r="Z1" s="59"/>
    </row>
    <row r="2" spans="1:26" customFormat="1" ht="14.5" x14ac:dyDescent="0.3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S2" s="59"/>
      <c r="T2" s="59"/>
      <c r="U2" s="59"/>
      <c r="V2" s="59"/>
      <c r="W2" s="59"/>
      <c r="X2" s="59"/>
      <c r="Y2" s="59"/>
      <c r="Z2" s="59"/>
    </row>
    <row r="3" spans="1:26" customFormat="1" ht="14.5" x14ac:dyDescent="0.35">
      <c r="A3" s="3" t="s">
        <v>2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S3" s="59"/>
      <c r="T3" s="59"/>
      <c r="U3" s="59"/>
      <c r="V3" s="59"/>
      <c r="W3" s="59"/>
      <c r="X3" s="59"/>
      <c r="Y3" s="59"/>
      <c r="Z3" s="59"/>
    </row>
    <row r="4" spans="1:26" customFormat="1" ht="14.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S4" s="59"/>
      <c r="T4" s="59"/>
      <c r="U4" s="59"/>
      <c r="V4" s="59"/>
      <c r="W4" s="59"/>
      <c r="X4" s="59"/>
      <c r="Y4" s="59"/>
      <c r="Z4" s="59"/>
    </row>
    <row r="5" spans="1:26" customFormat="1" ht="12.5" customHeight="1" x14ac:dyDescent="0.35">
      <c r="A5" s="2"/>
      <c r="B5" s="102" t="s">
        <v>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45"/>
      <c r="P5" s="45"/>
      <c r="Q5" s="45"/>
      <c r="S5" s="59"/>
      <c r="T5" s="59"/>
      <c r="U5" s="59"/>
      <c r="V5" s="59"/>
      <c r="W5" s="59"/>
      <c r="X5" s="60" t="s">
        <v>56</v>
      </c>
      <c r="Y5" s="59"/>
      <c r="Z5" s="103" t="s">
        <v>61</v>
      </c>
    </row>
    <row r="6" spans="1:26" customFormat="1" ht="31.5" customHeight="1" thickBot="1" x14ac:dyDescent="0.4">
      <c r="A6" s="2"/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6"/>
      <c r="P6" s="46"/>
      <c r="Q6" s="46"/>
      <c r="S6" s="60" t="s">
        <v>51</v>
      </c>
      <c r="T6" s="60" t="s">
        <v>45</v>
      </c>
      <c r="U6" s="60" t="s">
        <v>50</v>
      </c>
      <c r="V6" s="59"/>
      <c r="W6" s="61" t="s">
        <v>54</v>
      </c>
      <c r="X6" s="60" t="s">
        <v>57</v>
      </c>
      <c r="Y6" s="62" t="s">
        <v>59</v>
      </c>
      <c r="Z6" s="103"/>
    </row>
    <row r="7" spans="1:26" customFormat="1" ht="12.75" customHeight="1" thickTop="1" thickBot="1" x14ac:dyDescent="0.4">
      <c r="A7" s="2"/>
      <c r="B7" s="4"/>
      <c r="C7" s="4"/>
      <c r="D7" s="4"/>
      <c r="E7" s="4" t="s">
        <v>17</v>
      </c>
      <c r="F7" s="4"/>
      <c r="G7" s="4"/>
      <c r="H7" s="4"/>
      <c r="I7" s="4" t="s">
        <v>18</v>
      </c>
      <c r="J7" s="4"/>
      <c r="K7" s="4"/>
      <c r="L7" s="4"/>
      <c r="M7" s="4"/>
      <c r="N7" s="4" t="s">
        <v>44</v>
      </c>
      <c r="O7" s="46"/>
      <c r="P7" s="35" t="s">
        <v>53</v>
      </c>
      <c r="Q7" s="46"/>
      <c r="S7" s="60" t="s">
        <v>46</v>
      </c>
      <c r="T7" s="60" t="s">
        <v>52</v>
      </c>
      <c r="U7" s="60" t="s">
        <v>46</v>
      </c>
      <c r="V7" s="59"/>
      <c r="W7" s="63" t="s">
        <v>55</v>
      </c>
      <c r="X7" s="60" t="s">
        <v>58</v>
      </c>
      <c r="Y7" s="64" t="s">
        <v>60</v>
      </c>
      <c r="Z7" s="103"/>
    </row>
    <row r="8" spans="1:26" customFormat="1" ht="16" thickTop="1" x14ac:dyDescent="0.35">
      <c r="A8" s="2"/>
      <c r="B8" s="5">
        <v>2025</v>
      </c>
      <c r="C8" s="85">
        <v>54.591308532109956</v>
      </c>
      <c r="D8" s="86">
        <v>33050200.079999864</v>
      </c>
      <c r="E8" s="87">
        <v>1804.2536696152376</v>
      </c>
      <c r="F8" s="86">
        <v>12435029.338999748</v>
      </c>
      <c r="G8" s="87">
        <v>701.10818049434261</v>
      </c>
      <c r="H8" s="87">
        <v>545.22075962368979</v>
      </c>
      <c r="I8" s="87">
        <v>155.88742087065282</v>
      </c>
      <c r="J8" s="86">
        <v>20649527.69900009</v>
      </c>
      <c r="K8" s="86">
        <v>34356.957999999999</v>
      </c>
      <c r="L8" s="6">
        <v>1102.920433259706</v>
      </c>
      <c r="M8" s="6">
        <v>2.4980413566109987</v>
      </c>
      <c r="N8" s="87">
        <f>E8-I8</f>
        <v>1648.3662487445849</v>
      </c>
      <c r="O8" s="47"/>
      <c r="P8" s="48">
        <f>Summary!$R5</f>
        <v>0.21123641653309111</v>
      </c>
      <c r="Q8" s="47"/>
      <c r="S8" s="91">
        <f>E8*(1+$P8)</f>
        <v>2185.37774930144</v>
      </c>
      <c r="T8" s="91">
        <f>-I8*(1+$P8)</f>
        <v>-188.81652103795531</v>
      </c>
      <c r="U8" s="91">
        <f>SUM(S8:T8)</f>
        <v>1996.5612282634847</v>
      </c>
      <c r="V8" s="59"/>
      <c r="W8" s="92">
        <f>U8-'C4-SA'!R8</f>
        <v>-128.51715801415867</v>
      </c>
      <c r="X8" s="66">
        <f>Summary!$Y5</f>
        <v>0</v>
      </c>
      <c r="Y8" s="67">
        <v>-0.94627735147925052</v>
      </c>
      <c r="Z8" s="66">
        <f>SUM(W8:Y8)</f>
        <v>-129.46343536563791</v>
      </c>
    </row>
    <row r="9" spans="1:26" customFormat="1" ht="15.5" x14ac:dyDescent="0.35">
      <c r="A9" s="2"/>
      <c r="B9" s="5">
        <v>2026</v>
      </c>
      <c r="C9" s="85">
        <v>55.793069805343244</v>
      </c>
      <c r="D9" s="86">
        <v>33155651.840000089</v>
      </c>
      <c r="E9" s="87">
        <v>1849.8555975507822</v>
      </c>
      <c r="F9" s="86">
        <v>11595524.940999832</v>
      </c>
      <c r="G9" s="87">
        <v>664.15806715464282</v>
      </c>
      <c r="H9" s="87">
        <v>524.06177784406191</v>
      </c>
      <c r="I9" s="87">
        <v>140.09628931058091</v>
      </c>
      <c r="J9" s="86">
        <v>21575999.784000006</v>
      </c>
      <c r="K9" s="86">
        <v>15872.884999999995</v>
      </c>
      <c r="L9" s="6">
        <v>1185.3647616699777</v>
      </c>
      <c r="M9" s="6">
        <v>1.1765509511130006</v>
      </c>
      <c r="N9" s="87">
        <f t="shared" ref="N9:N23" si="0">E9-I9</f>
        <v>1709.7593082402013</v>
      </c>
      <c r="O9" s="47"/>
      <c r="P9" s="48">
        <f>Summary!$R6</f>
        <v>0.25362969111174949</v>
      </c>
      <c r="Q9" s="47"/>
      <c r="S9" s="91">
        <f t="shared" ref="S9:S23" si="1">E9*(1+$P9)</f>
        <v>2319.0339013589278</v>
      </c>
      <c r="T9" s="91">
        <f t="shared" ref="T9:T23" si="2">-I9*(1+$P9)</f>
        <v>-175.62886789432585</v>
      </c>
      <c r="U9" s="91">
        <f t="shared" ref="U9:U23" si="3">SUM(S9:T9)</f>
        <v>2143.4050334646017</v>
      </c>
      <c r="V9" s="59"/>
      <c r="W9" s="92">
        <f>U9-'C4-SA'!R9</f>
        <v>-148.94757091112615</v>
      </c>
      <c r="X9" s="66">
        <f>Summary!$Y6</f>
        <v>0</v>
      </c>
      <c r="Y9" s="67">
        <v>-0.11169288565580832</v>
      </c>
      <c r="Z9" s="66">
        <f t="shared" ref="Z9:Z23" si="4">SUM(W9:Y9)</f>
        <v>-149.05926379678195</v>
      </c>
    </row>
    <row r="10" spans="1:26" customFormat="1" ht="15.5" x14ac:dyDescent="0.35">
      <c r="A10" s="2"/>
      <c r="B10" s="5">
        <v>2027</v>
      </c>
      <c r="C10" s="85">
        <v>57.496552094597291</v>
      </c>
      <c r="D10" s="86">
        <v>34025753.989999965</v>
      </c>
      <c r="E10" s="87">
        <v>1956.3635368439845</v>
      </c>
      <c r="F10" s="86">
        <v>11731147.03099985</v>
      </c>
      <c r="G10" s="87">
        <v>691.0760103325963</v>
      </c>
      <c r="H10" s="87">
        <v>550.58378970949525</v>
      </c>
      <c r="I10" s="87">
        <v>140.49222062310105</v>
      </c>
      <c r="J10" s="86">
        <v>22301204.113999963</v>
      </c>
      <c r="K10" s="86">
        <v>6597.1549999999979</v>
      </c>
      <c r="L10" s="6">
        <v>1263.7085029564521</v>
      </c>
      <c r="M10" s="6">
        <v>0.52025446816899978</v>
      </c>
      <c r="N10" s="87">
        <f t="shared" si="0"/>
        <v>1815.8713162208835</v>
      </c>
      <c r="O10" s="47"/>
      <c r="P10" s="48">
        <f>Summary!$R7</f>
        <v>0.28906557748917816</v>
      </c>
      <c r="Q10" s="47"/>
      <c r="S10" s="91">
        <f t="shared" si="1"/>
        <v>2521.8808924005621</v>
      </c>
      <c r="T10" s="91">
        <f t="shared" si="2"/>
        <v>-181.10368551025479</v>
      </c>
      <c r="U10" s="91">
        <f t="shared" si="3"/>
        <v>2340.7772068903073</v>
      </c>
      <c r="V10" s="59"/>
      <c r="W10" s="92">
        <f>U10-'C4-SA'!R10</f>
        <v>-153.99559643056318</v>
      </c>
      <c r="X10" s="66">
        <f>Summary!$Y7</f>
        <v>-15.627090909854164</v>
      </c>
      <c r="Y10" s="68">
        <v>-2.6717733643139115E-2</v>
      </c>
      <c r="Z10" s="66">
        <f t="shared" si="4"/>
        <v>-169.6494050740605</v>
      </c>
    </row>
    <row r="11" spans="1:26" customFormat="1" ht="15.5" x14ac:dyDescent="0.35">
      <c r="A11" s="2"/>
      <c r="B11" s="5">
        <v>2028</v>
      </c>
      <c r="C11" s="85">
        <v>59.7136789145449</v>
      </c>
      <c r="D11" s="86">
        <v>34075501.340000175</v>
      </c>
      <c r="E11" s="87">
        <v>2034.7735458689149</v>
      </c>
      <c r="F11" s="86">
        <v>17849269.663999744</v>
      </c>
      <c r="G11" s="87">
        <v>1085.3463502614795</v>
      </c>
      <c r="H11" s="87">
        <v>652.40619070186187</v>
      </c>
      <c r="I11" s="87">
        <v>432.94015955961765</v>
      </c>
      <c r="J11" s="86">
        <v>16280287.565999946</v>
      </c>
      <c r="K11" s="86">
        <v>54055.88999999997</v>
      </c>
      <c r="L11" s="6">
        <v>949.26942560895316</v>
      </c>
      <c r="M11" s="6">
        <v>4.11877232345</v>
      </c>
      <c r="N11" s="87">
        <f t="shared" si="0"/>
        <v>1601.8333863092971</v>
      </c>
      <c r="O11" s="44"/>
      <c r="P11" s="43">
        <f>Summary!$R8</f>
        <v>0.32051633919281142</v>
      </c>
      <c r="Q11" s="44"/>
      <c r="S11" s="91">
        <f t="shared" si="1"/>
        <v>2686.9517138771957</v>
      </c>
      <c r="T11" s="91">
        <f t="shared" si="2"/>
        <v>-571.70455459121797</v>
      </c>
      <c r="U11" s="91">
        <f t="shared" si="3"/>
        <v>2115.2471592859779</v>
      </c>
      <c r="V11" s="59"/>
      <c r="W11" s="92">
        <f>U11-'C4-SA'!R11</f>
        <v>-137.64760033895618</v>
      </c>
      <c r="X11" s="66">
        <f>Summary!$Y8</f>
        <v>0.24934341786718051</v>
      </c>
      <c r="Y11" s="69">
        <v>0</v>
      </c>
      <c r="Z11" s="66">
        <f t="shared" si="4"/>
        <v>-137.398256921089</v>
      </c>
    </row>
    <row r="12" spans="1:26" customFormat="1" ht="15.5" x14ac:dyDescent="0.35">
      <c r="A12" s="2"/>
      <c r="B12" s="5">
        <v>2029</v>
      </c>
      <c r="C12" s="85">
        <v>61.565265183266199</v>
      </c>
      <c r="D12" s="86">
        <v>33920099.509999976</v>
      </c>
      <c r="E12" s="87">
        <v>2088.2999213759263</v>
      </c>
      <c r="F12" s="86">
        <v>18792072.316000011</v>
      </c>
      <c r="G12" s="87">
        <v>1180.1154867202513</v>
      </c>
      <c r="H12" s="87">
        <v>689.87204367696256</v>
      </c>
      <c r="I12" s="87">
        <v>490.24344304328872</v>
      </c>
      <c r="J12" s="86">
        <v>15203045.849000096</v>
      </c>
      <c r="K12" s="86">
        <v>75018.654999999999</v>
      </c>
      <c r="L12" s="6">
        <v>909.01986713845326</v>
      </c>
      <c r="M12" s="6">
        <v>5.8171243968840001</v>
      </c>
      <c r="N12" s="87">
        <f t="shared" si="0"/>
        <v>1598.0564783326377</v>
      </c>
      <c r="O12" s="44"/>
      <c r="P12" s="43">
        <f>Summary!$R9</f>
        <v>0.3528444658201555</v>
      </c>
      <c r="Q12" s="44"/>
      <c r="S12" s="91">
        <f t="shared" si="1"/>
        <v>2825.1449916060878</v>
      </c>
      <c r="T12" s="91">
        <f t="shared" si="2"/>
        <v>-663.22312882573181</v>
      </c>
      <c r="U12" s="91">
        <f t="shared" si="3"/>
        <v>2161.9218627803562</v>
      </c>
      <c r="V12" s="59"/>
      <c r="W12" s="92">
        <f>U12-'C4-SA'!R12</f>
        <v>253.98330714277085</v>
      </c>
      <c r="X12" s="66">
        <f>Summary!$Y9</f>
        <v>-73.157149061474144</v>
      </c>
      <c r="Y12" s="69">
        <v>0</v>
      </c>
      <c r="Z12" s="66">
        <f t="shared" si="4"/>
        <v>180.82615808129671</v>
      </c>
    </row>
    <row r="13" spans="1:26" customFormat="1" ht="15.5" x14ac:dyDescent="0.35">
      <c r="A13" s="2"/>
      <c r="B13" s="5">
        <v>2030</v>
      </c>
      <c r="C13" s="85">
        <v>63.402435420589946</v>
      </c>
      <c r="D13" s="86">
        <v>33808022.219999984</v>
      </c>
      <c r="E13" s="87">
        <v>2143.510945501419</v>
      </c>
      <c r="F13" s="86">
        <v>19051106.469000023</v>
      </c>
      <c r="G13" s="87">
        <v>1237.6667211040174</v>
      </c>
      <c r="H13" s="87">
        <v>740.65491741146229</v>
      </c>
      <c r="I13" s="87">
        <v>497.01180369255508</v>
      </c>
      <c r="J13" s="86">
        <v>14871747.963000042</v>
      </c>
      <c r="K13" s="86">
        <v>114832.21200000001</v>
      </c>
      <c r="L13" s="6">
        <v>910.15891732149419</v>
      </c>
      <c r="M13" s="6">
        <v>8.9412767410900038</v>
      </c>
      <c r="N13" s="87">
        <f t="shared" si="0"/>
        <v>1646.4991418088639</v>
      </c>
      <c r="O13" s="44"/>
      <c r="P13" s="43">
        <f>Summary!$R10</f>
        <v>0.38563573789931382</v>
      </c>
      <c r="Q13" s="44"/>
      <c r="S13" s="91">
        <f t="shared" si="1"/>
        <v>2970.1253706651146</v>
      </c>
      <c r="T13" s="91">
        <f t="shared" si="2"/>
        <v>-688.6773173542025</v>
      </c>
      <c r="U13" s="91">
        <f t="shared" si="3"/>
        <v>2281.4480533109122</v>
      </c>
      <c r="V13" s="59"/>
      <c r="W13" s="92">
        <f>U13-'C4-SA'!R13</f>
        <v>263.46903464346337</v>
      </c>
      <c r="X13" s="66">
        <f>Summary!$Y10</f>
        <v>-73.317326745276333</v>
      </c>
      <c r="Y13" s="69">
        <v>0</v>
      </c>
      <c r="Z13" s="66">
        <f t="shared" si="4"/>
        <v>190.15170789818706</v>
      </c>
    </row>
    <row r="14" spans="1:26" customFormat="1" ht="15.5" x14ac:dyDescent="0.35">
      <c r="A14" s="2"/>
      <c r="B14" s="5">
        <v>2031</v>
      </c>
      <c r="C14" s="85">
        <v>66.170811173225331</v>
      </c>
      <c r="D14" s="86">
        <v>33768873.150000066</v>
      </c>
      <c r="E14" s="87">
        <v>2234.5137287412535</v>
      </c>
      <c r="F14" s="86">
        <v>19565445.34100017</v>
      </c>
      <c r="G14" s="87">
        <v>1324.3299816154961</v>
      </c>
      <c r="H14" s="87">
        <v>801.94276484494549</v>
      </c>
      <c r="I14" s="87">
        <v>522.38721677055059</v>
      </c>
      <c r="J14" s="86">
        <v>14332389.72499994</v>
      </c>
      <c r="K14" s="86">
        <v>128961.91600000004</v>
      </c>
      <c r="L14" s="6">
        <v>914.01261383289966</v>
      </c>
      <c r="M14" s="6">
        <v>10.269279582319999</v>
      </c>
      <c r="N14" s="87">
        <f t="shared" si="0"/>
        <v>1712.1265119707029</v>
      </c>
      <c r="O14" s="44"/>
      <c r="P14" s="43">
        <f>Summary!$R11</f>
        <v>0.41857129399151893</v>
      </c>
      <c r="Q14" s="44"/>
      <c r="S14" s="91">
        <f t="shared" si="1"/>
        <v>3169.8170316222941</v>
      </c>
      <c r="T14" s="91">
        <f t="shared" si="2"/>
        <v>-741.04351005882802</v>
      </c>
      <c r="U14" s="91">
        <f t="shared" si="3"/>
        <v>2428.7735215634661</v>
      </c>
      <c r="V14" s="59"/>
      <c r="W14" s="92">
        <f>U14-'C4-SA'!R14</f>
        <v>302.43276714342892</v>
      </c>
      <c r="X14" s="66">
        <f>Summary!$Y11</f>
        <v>-71.698123201686329</v>
      </c>
      <c r="Y14" s="69">
        <v>0</v>
      </c>
      <c r="Z14" s="66">
        <f t="shared" si="4"/>
        <v>230.7346439417426</v>
      </c>
    </row>
    <row r="15" spans="1:26" customFormat="1" ht="15.5" x14ac:dyDescent="0.35">
      <c r="A15" s="2"/>
      <c r="B15" s="5">
        <v>2032</v>
      </c>
      <c r="C15" s="85">
        <v>68.204944718313044</v>
      </c>
      <c r="D15" s="86">
        <v>33827370.069999933</v>
      </c>
      <c r="E15" s="87">
        <v>2307.1939055902631</v>
      </c>
      <c r="F15" s="86">
        <v>19576840.915000185</v>
      </c>
      <c r="G15" s="87">
        <v>1347.9093011055438</v>
      </c>
      <c r="H15" s="87">
        <v>816.41444976770163</v>
      </c>
      <c r="I15" s="87">
        <v>531.49485133784219</v>
      </c>
      <c r="J15" s="86">
        <v>14362410.505000034</v>
      </c>
      <c r="K15" s="86">
        <v>111881.35000000002</v>
      </c>
      <c r="L15" s="6">
        <v>940.03163451975308</v>
      </c>
      <c r="M15" s="6">
        <v>9.3008725937749954</v>
      </c>
      <c r="N15" s="87">
        <f t="shared" si="0"/>
        <v>1775.6990542524209</v>
      </c>
      <c r="O15" s="44"/>
      <c r="P15" s="43">
        <f>Summary!$R12</f>
        <v>0.45181386458476869</v>
      </c>
      <c r="Q15" s="44"/>
      <c r="S15" s="91">
        <f t="shared" si="1"/>
        <v>3349.6161004214259</v>
      </c>
      <c r="T15" s="91">
        <f t="shared" si="2"/>
        <v>-771.63159412769983</v>
      </c>
      <c r="U15" s="91">
        <f t="shared" si="3"/>
        <v>2577.9845062937261</v>
      </c>
      <c r="V15" s="59"/>
      <c r="W15" s="92">
        <f>U15-'C4-SA'!R15</f>
        <v>325.23431495832938</v>
      </c>
      <c r="X15" s="66">
        <f>Summary!$Y12</f>
        <v>-70.126594593371649</v>
      </c>
      <c r="Y15" s="69">
        <v>0</v>
      </c>
      <c r="Z15" s="66">
        <f t="shared" si="4"/>
        <v>255.10772036495774</v>
      </c>
    </row>
    <row r="16" spans="1:26" customFormat="1" ht="15.5" x14ac:dyDescent="0.35">
      <c r="A16" s="2"/>
      <c r="B16" s="5">
        <v>2033</v>
      </c>
      <c r="C16" s="85">
        <v>69.147461507897432</v>
      </c>
      <c r="D16" s="86">
        <v>33717104.609999917</v>
      </c>
      <c r="E16" s="87">
        <v>2331.4521931777203</v>
      </c>
      <c r="F16" s="86">
        <v>19299481.292000029</v>
      </c>
      <c r="G16" s="87">
        <v>1361.8192921958857</v>
      </c>
      <c r="H16" s="87">
        <v>784.85540944879381</v>
      </c>
      <c r="I16" s="87">
        <v>576.96388274709193</v>
      </c>
      <c r="J16" s="86">
        <v>14471695.114999956</v>
      </c>
      <c r="K16" s="86">
        <v>54071.797000000006</v>
      </c>
      <c r="L16" s="6">
        <v>964.84584494412206</v>
      </c>
      <c r="M16" s="6">
        <v>4.6350992672150015</v>
      </c>
      <c r="N16" s="87">
        <f t="shared" si="0"/>
        <v>1754.4883104306284</v>
      </c>
      <c r="O16" s="44"/>
      <c r="P16" s="43">
        <f>Summary!$R13</f>
        <v>0.48571371832282351</v>
      </c>
      <c r="Q16" s="44"/>
      <c r="S16" s="91">
        <f t="shared" si="1"/>
        <v>3463.8705070179726</v>
      </c>
      <c r="T16" s="91">
        <f t="shared" si="2"/>
        <v>-857.20315557415552</v>
      </c>
      <c r="U16" s="91">
        <f t="shared" si="3"/>
        <v>2606.6673514438171</v>
      </c>
      <c r="V16" s="59"/>
      <c r="W16" s="92">
        <f>U16-'C4-SA'!R16</f>
        <v>276.40746129692616</v>
      </c>
      <c r="X16" s="66">
        <f>Summary!$Y13</f>
        <v>-68.693504172167906</v>
      </c>
      <c r="Y16" s="69">
        <v>0</v>
      </c>
      <c r="Z16" s="66">
        <f t="shared" si="4"/>
        <v>207.71395712475825</v>
      </c>
    </row>
    <row r="17" spans="1:28" customFormat="1" ht="15.5" x14ac:dyDescent="0.35">
      <c r="A17" s="2"/>
      <c r="B17" s="5">
        <v>2034</v>
      </c>
      <c r="C17" s="85">
        <v>69.650678419434698</v>
      </c>
      <c r="D17" s="86">
        <v>33675258.959999911</v>
      </c>
      <c r="E17" s="87">
        <v>2345.5046325141407</v>
      </c>
      <c r="F17" s="86">
        <v>27703431.82500127</v>
      </c>
      <c r="G17" s="87">
        <v>1931.3225954822753</v>
      </c>
      <c r="H17" s="87">
        <v>822.6938474306819</v>
      </c>
      <c r="I17" s="87">
        <v>1108.6287480515934</v>
      </c>
      <c r="J17" s="86">
        <v>6280916.6480000047</v>
      </c>
      <c r="K17" s="86">
        <v>309089.51299999992</v>
      </c>
      <c r="L17" s="6">
        <v>424.24423096696705</v>
      </c>
      <c r="M17" s="6">
        <v>22.485993649398015</v>
      </c>
      <c r="N17" s="87">
        <f t="shared" si="0"/>
        <v>1236.8758844625472</v>
      </c>
      <c r="O17" s="44"/>
      <c r="P17" s="43">
        <f>Summary!$R14</f>
        <v>0.52040513364566165</v>
      </c>
      <c r="Q17" s="44"/>
      <c r="S17" s="91">
        <f t="shared" si="1"/>
        <v>3566.1172842641804</v>
      </c>
      <c r="T17" s="91">
        <f t="shared" si="2"/>
        <v>-1685.5648398448054</v>
      </c>
      <c r="U17" s="91">
        <f t="shared" si="3"/>
        <v>1880.552444419375</v>
      </c>
      <c r="V17" s="59"/>
      <c r="W17" s="92">
        <f>U17-'C4-SA'!R17</f>
        <v>-104.69846280969091</v>
      </c>
      <c r="X17" s="66">
        <f>Summary!$Y14</f>
        <v>28.667702893289857</v>
      </c>
      <c r="Y17" s="69">
        <v>0</v>
      </c>
      <c r="Z17" s="66">
        <f t="shared" si="4"/>
        <v>-76.030759916401053</v>
      </c>
    </row>
    <row r="18" spans="1:28" customFormat="1" ht="15.5" x14ac:dyDescent="0.35">
      <c r="A18" s="2"/>
      <c r="B18" s="5">
        <v>2035</v>
      </c>
      <c r="C18" s="85">
        <v>70.832371906990247</v>
      </c>
      <c r="D18" s="86">
        <v>33675950.139999896</v>
      </c>
      <c r="E18" s="87">
        <v>2385.3474246377332</v>
      </c>
      <c r="F18" s="86">
        <v>29023041.608000822</v>
      </c>
      <c r="G18" s="87">
        <v>2053.789506232747</v>
      </c>
      <c r="H18" s="87">
        <v>848.50030667239014</v>
      </c>
      <c r="I18" s="87">
        <v>1205.2891995603568</v>
      </c>
      <c r="J18" s="86">
        <v>5207502.4750000015</v>
      </c>
      <c r="K18" s="86">
        <v>554593.94299999939</v>
      </c>
      <c r="L18" s="6">
        <v>355.82394019414295</v>
      </c>
      <c r="M18" s="6">
        <v>39.457600323650929</v>
      </c>
      <c r="N18" s="87">
        <f t="shared" si="0"/>
        <v>1180.0582250773764</v>
      </c>
      <c r="O18" s="44"/>
      <c r="P18" s="43">
        <f>Summary!$R15</f>
        <v>0.55590659351628879</v>
      </c>
      <c r="Q18" s="44"/>
      <c r="S18" s="91">
        <f t="shared" si="1"/>
        <v>3711.3777858209478</v>
      </c>
      <c r="T18" s="91">
        <f t="shared" si="2"/>
        <v>-1875.3174126899291</v>
      </c>
      <c r="U18" s="91">
        <f t="shared" si="3"/>
        <v>1836.0603731310187</v>
      </c>
      <c r="V18" s="59"/>
      <c r="W18" s="92">
        <f>U18-'C4-SA'!R18</f>
        <v>283.51285510490038</v>
      </c>
      <c r="X18" s="66">
        <f>Summary!$Y15</f>
        <v>-17.950732145995801</v>
      </c>
      <c r="Y18" s="69">
        <v>0</v>
      </c>
      <c r="Z18" s="66">
        <f t="shared" si="4"/>
        <v>265.56212295890458</v>
      </c>
    </row>
    <row r="19" spans="1:28" customFormat="1" ht="15.5" x14ac:dyDescent="0.35">
      <c r="A19" s="2"/>
      <c r="B19" s="5">
        <v>2036</v>
      </c>
      <c r="C19" s="85">
        <v>69.051474716820053</v>
      </c>
      <c r="D19" s="86">
        <v>33792305.419999927</v>
      </c>
      <c r="E19" s="87">
        <v>2333.4085233321862</v>
      </c>
      <c r="F19" s="86">
        <v>31357487.623000942</v>
      </c>
      <c r="G19" s="87">
        <v>2133.8969547056276</v>
      </c>
      <c r="H19" s="87">
        <v>805.21934317941862</v>
      </c>
      <c r="I19" s="87">
        <v>1328.6776115262091</v>
      </c>
      <c r="J19" s="86">
        <v>3405913.3229999947</v>
      </c>
      <c r="K19" s="86">
        <v>971095.52599999914</v>
      </c>
      <c r="L19" s="6">
        <v>241.45275659324415</v>
      </c>
      <c r="M19" s="6">
        <v>59.065504172543108</v>
      </c>
      <c r="N19" s="87">
        <f t="shared" si="0"/>
        <v>1004.730911805977</v>
      </c>
      <c r="O19" s="44"/>
      <c r="P19" s="43">
        <f>Summary!$R16</f>
        <v>0.59223701247489391</v>
      </c>
      <c r="Q19" s="44"/>
      <c r="S19" s="91">
        <f t="shared" si="1"/>
        <v>3715.339416073894</v>
      </c>
      <c r="T19" s="91">
        <f t="shared" si="2"/>
        <v>-2115.569670718769</v>
      </c>
      <c r="U19" s="91">
        <f t="shared" si="3"/>
        <v>1599.769745355125</v>
      </c>
      <c r="V19" s="59"/>
      <c r="W19" s="92">
        <f>U19-'C4-SA'!R19</f>
        <v>522.08971902432313</v>
      </c>
      <c r="X19" s="66">
        <f>Summary!$Y16</f>
        <v>-157.10513120592367</v>
      </c>
      <c r="Y19" s="69">
        <v>0</v>
      </c>
      <c r="Z19" s="66">
        <f t="shared" si="4"/>
        <v>364.98458781839946</v>
      </c>
    </row>
    <row r="20" spans="1:28" customFormat="1" ht="15.5" x14ac:dyDescent="0.35">
      <c r="A20" s="2"/>
      <c r="B20" s="5">
        <v>2037</v>
      </c>
      <c r="C20" s="85">
        <v>59.724374242431033</v>
      </c>
      <c r="D20" s="86">
        <v>33709834.720000044</v>
      </c>
      <c r="E20" s="87">
        <v>2013.298784467778</v>
      </c>
      <c r="F20" s="86">
        <v>33641183.336000785</v>
      </c>
      <c r="G20" s="87">
        <v>1954.103395054472</v>
      </c>
      <c r="H20" s="87">
        <v>721.40881296559166</v>
      </c>
      <c r="I20" s="87">
        <v>1232.6945820888805</v>
      </c>
      <c r="J20" s="86">
        <v>1626468.2820000027</v>
      </c>
      <c r="K20" s="86">
        <v>1557816.8979999991</v>
      </c>
      <c r="L20" s="6">
        <v>115.68285389612485</v>
      </c>
      <c r="M20" s="6">
        <v>75.853170674333995</v>
      </c>
      <c r="N20" s="87">
        <f t="shared" si="0"/>
        <v>780.60420237889753</v>
      </c>
      <c r="O20" s="44"/>
      <c r="P20" s="43">
        <f>Summary!$R17</f>
        <v>0.62941574671618339</v>
      </c>
      <c r="Q20" s="44"/>
      <c r="S20" s="91">
        <f t="shared" si="1"/>
        <v>3280.500742256349</v>
      </c>
      <c r="T20" s="91">
        <f t="shared" si="2"/>
        <v>-2008.5719629473467</v>
      </c>
      <c r="U20" s="91">
        <f t="shared" si="3"/>
        <v>1271.9287793090023</v>
      </c>
      <c r="V20" s="59"/>
      <c r="W20" s="92">
        <f>U20-'C4-SA'!R20</f>
        <v>315.95118483514273</v>
      </c>
      <c r="X20" s="66">
        <f>Summary!$Y17</f>
        <v>-124.450071362995</v>
      </c>
      <c r="Y20" s="69">
        <v>0</v>
      </c>
      <c r="Z20" s="66">
        <f t="shared" si="4"/>
        <v>191.50111347214772</v>
      </c>
    </row>
    <row r="21" spans="1:28" customFormat="1" ht="15.5" x14ac:dyDescent="0.35">
      <c r="A21" s="2"/>
      <c r="B21" s="5">
        <v>2038</v>
      </c>
      <c r="C21" s="85">
        <v>57.840339997628547</v>
      </c>
      <c r="D21" s="86">
        <v>33753359.400000088</v>
      </c>
      <c r="E21" s="87">
        <v>1952.3057837581566</v>
      </c>
      <c r="F21" s="86">
        <v>33998186.660000734</v>
      </c>
      <c r="G21" s="87">
        <v>1906.7938518207584</v>
      </c>
      <c r="H21" s="87">
        <v>705.00202102351011</v>
      </c>
      <c r="I21" s="87">
        <v>1201.7918307972482</v>
      </c>
      <c r="J21" s="86">
        <v>1454959.1009999968</v>
      </c>
      <c r="K21" s="86">
        <v>1699786.3610000038</v>
      </c>
      <c r="L21" s="6">
        <v>103.99921526456997</v>
      </c>
      <c r="M21" s="6">
        <v>80.787259843455999</v>
      </c>
      <c r="N21" s="87">
        <f t="shared" si="0"/>
        <v>750.51395296090845</v>
      </c>
      <c r="O21" s="44"/>
      <c r="P21" s="43">
        <f>Summary!$R18</f>
        <v>0.66746260440200622</v>
      </c>
      <c r="Q21" s="44"/>
      <c r="S21" s="91">
        <f t="shared" si="1"/>
        <v>3255.3968867744757</v>
      </c>
      <c r="T21" s="91">
        <f t="shared" si="2"/>
        <v>-2003.9429361302346</v>
      </c>
      <c r="U21" s="91">
        <f t="shared" si="3"/>
        <v>1251.4539506442411</v>
      </c>
      <c r="V21" s="59"/>
      <c r="W21" s="92">
        <f>U21-'C4-SA'!R21</f>
        <v>323.3318774925018</v>
      </c>
      <c r="X21" s="66">
        <f>Summary!$Y18</f>
        <v>-151.58615652202502</v>
      </c>
      <c r="Y21" s="69">
        <v>0</v>
      </c>
      <c r="Z21" s="66">
        <f t="shared" si="4"/>
        <v>171.74572097047678</v>
      </c>
    </row>
    <row r="22" spans="1:28" customFormat="1" ht="15.5" x14ac:dyDescent="0.35">
      <c r="A22" s="2"/>
      <c r="B22" s="5">
        <v>2039</v>
      </c>
      <c r="C22" s="85">
        <v>35.114926221110778</v>
      </c>
      <c r="D22" s="86">
        <v>33754476.730000027</v>
      </c>
      <c r="E22" s="87">
        <v>1185.2859600061515</v>
      </c>
      <c r="F22" s="86">
        <v>35880057.954000063</v>
      </c>
      <c r="G22" s="87">
        <v>1214.3992868223368</v>
      </c>
      <c r="H22" s="87">
        <v>598.65439610193653</v>
      </c>
      <c r="I22" s="87">
        <v>615.74489072040024</v>
      </c>
      <c r="J22" s="86">
        <v>241337.14800000013</v>
      </c>
      <c r="K22" s="86">
        <v>2366918.3720000028</v>
      </c>
      <c r="L22" s="6">
        <v>18.263364269827978</v>
      </c>
      <c r="M22" s="6">
        <v>67.268059971634969</v>
      </c>
      <c r="N22" s="87">
        <f t="shared" si="0"/>
        <v>569.54106928575129</v>
      </c>
      <c r="O22" s="44"/>
      <c r="P22" s="43">
        <f>Summary!$R19</f>
        <v>0.70639785621479323</v>
      </c>
      <c r="Q22" s="44"/>
      <c r="S22" s="91">
        <f t="shared" si="1"/>
        <v>2022.5694211559901</v>
      </c>
      <c r="T22" s="91">
        <f t="shared" si="2"/>
        <v>-1050.7057615005031</v>
      </c>
      <c r="U22" s="91">
        <f t="shared" si="3"/>
        <v>971.86365965548703</v>
      </c>
      <c r="V22" s="59"/>
      <c r="W22" s="92">
        <f>U22-'C4-SA'!R22</f>
        <v>83.709248696429086</v>
      </c>
      <c r="X22" s="66">
        <f>Summary!$Y19</f>
        <v>-67.047745359432724</v>
      </c>
      <c r="Y22" s="69">
        <v>0</v>
      </c>
      <c r="Z22" s="66">
        <f t="shared" si="4"/>
        <v>16.661503336996361</v>
      </c>
    </row>
    <row r="23" spans="1:28" customFormat="1" ht="15.5" x14ac:dyDescent="0.35">
      <c r="A23" s="2"/>
      <c r="B23" s="9">
        <v>2040</v>
      </c>
      <c r="C23" s="88">
        <v>33.907674818512781</v>
      </c>
      <c r="D23" s="89">
        <v>33870433.219999984</v>
      </c>
      <c r="E23" s="90">
        <v>1148.4676355859121</v>
      </c>
      <c r="F23" s="89">
        <v>36039109.452000111</v>
      </c>
      <c r="G23" s="90">
        <v>1169.0885322969007</v>
      </c>
      <c r="H23" s="90">
        <v>623.30987380671831</v>
      </c>
      <c r="I23" s="90">
        <v>545.77865849018235</v>
      </c>
      <c r="J23" s="89">
        <v>235458.77100000007</v>
      </c>
      <c r="K23" s="89">
        <v>2404135.0030000005</v>
      </c>
      <c r="L23" s="10">
        <v>18.560862859801993</v>
      </c>
      <c r="M23" s="10">
        <v>66.129358395727067</v>
      </c>
      <c r="N23" s="87">
        <f t="shared" si="0"/>
        <v>602.6889770957298</v>
      </c>
      <c r="O23" s="44"/>
      <c r="P23" s="43">
        <f>Summary!$R20</f>
        <v>0.74624224615740964</v>
      </c>
      <c r="Q23" s="44"/>
      <c r="S23" s="91">
        <f t="shared" si="1"/>
        <v>2005.5027036046326</v>
      </c>
      <c r="T23" s="91">
        <f t="shared" si="2"/>
        <v>-953.06175050667377</v>
      </c>
      <c r="U23" s="91">
        <f t="shared" si="3"/>
        <v>1052.4409530979588</v>
      </c>
      <c r="V23" s="59"/>
      <c r="W23" s="92">
        <f>U23-'C4-SA'!R23</f>
        <v>192.58283135609724</v>
      </c>
      <c r="X23" s="66">
        <f>Summary!$Y20</f>
        <v>-277.71630737979774</v>
      </c>
      <c r="Y23" s="69">
        <v>0</v>
      </c>
      <c r="Z23" s="66">
        <f t="shared" si="4"/>
        <v>-85.133476023700496</v>
      </c>
    </row>
    <row r="24" spans="1:28" customFormat="1" ht="14.5" x14ac:dyDescent="0.35">
      <c r="S24" s="59"/>
      <c r="T24" s="59"/>
      <c r="U24" s="59"/>
      <c r="V24" s="59"/>
      <c r="W24" s="59"/>
      <c r="X24" s="59"/>
      <c r="Y24" s="59"/>
      <c r="Z24" s="59"/>
    </row>
    <row r="25" spans="1:28" customFormat="1" ht="14.5" x14ac:dyDescent="0.35">
      <c r="S25" s="59"/>
      <c r="T25" s="59"/>
      <c r="U25" s="59"/>
      <c r="V25" s="59"/>
      <c r="W25" s="59"/>
      <c r="X25" s="59"/>
      <c r="Y25" s="59"/>
      <c r="Z25" s="59"/>
    </row>
    <row r="26" spans="1:28" ht="14.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59"/>
      <c r="T26" s="59"/>
      <c r="U26" s="59"/>
      <c r="V26" s="59"/>
      <c r="W26" s="59"/>
      <c r="X26" s="59"/>
      <c r="Y26" s="59"/>
      <c r="Z26" s="59"/>
      <c r="AA26"/>
      <c r="AB26"/>
    </row>
    <row r="27" spans="1:28" ht="14.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59"/>
      <c r="T27" s="59"/>
      <c r="U27" s="59"/>
      <c r="V27" s="59"/>
      <c r="W27" s="59"/>
      <c r="X27" s="59"/>
      <c r="Y27" s="59"/>
      <c r="Z27" s="59"/>
      <c r="AA27"/>
      <c r="AB27"/>
    </row>
    <row r="28" spans="1:28" ht="14.5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59"/>
      <c r="T28" s="59"/>
      <c r="U28" s="59"/>
      <c r="V28" s="59"/>
      <c r="W28" s="59"/>
      <c r="X28" s="59"/>
      <c r="Y28" s="59"/>
      <c r="Z28" s="59"/>
      <c r="AA28"/>
      <c r="AB28"/>
    </row>
    <row r="29" spans="1:28" ht="14.5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59"/>
      <c r="T29" s="59"/>
      <c r="U29" s="59"/>
      <c r="V29" s="59"/>
      <c r="W29" s="59"/>
      <c r="X29" s="59"/>
      <c r="Y29" s="59"/>
      <c r="Z29" s="59"/>
      <c r="AA29"/>
      <c r="AB29"/>
    </row>
    <row r="30" spans="1:28" ht="14.5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59"/>
      <c r="T30" s="59"/>
      <c r="U30" s="59"/>
      <c r="V30" s="59"/>
      <c r="W30" s="59"/>
      <c r="X30" s="59"/>
      <c r="Y30" s="59"/>
      <c r="Z30" s="59"/>
      <c r="AA30"/>
      <c r="AB30"/>
    </row>
    <row r="31" spans="1:28" ht="14.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 s="59"/>
      <c r="T31" s="59"/>
      <c r="U31" s="59"/>
      <c r="V31" s="59"/>
      <c r="W31" s="59"/>
      <c r="X31" s="59"/>
      <c r="Y31" s="59"/>
      <c r="Z31" s="59"/>
      <c r="AA31"/>
      <c r="AB31"/>
    </row>
    <row r="32" spans="1:28" ht="14.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 s="59"/>
      <c r="T32" s="59"/>
      <c r="U32" s="59"/>
      <c r="V32" s="59"/>
      <c r="W32" s="59"/>
      <c r="X32" s="59"/>
      <c r="Y32" s="59"/>
      <c r="Z32" s="59"/>
      <c r="AA32"/>
      <c r="AB32"/>
    </row>
    <row r="33" spans="1:28" ht="14.5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 s="59"/>
      <c r="T33" s="59"/>
      <c r="U33" s="59"/>
      <c r="V33" s="59"/>
      <c r="W33" s="59"/>
      <c r="X33" s="59"/>
      <c r="Y33" s="59"/>
      <c r="Z33" s="59"/>
      <c r="AA33"/>
      <c r="AB33"/>
    </row>
    <row r="34" spans="1:28" ht="14.5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59"/>
      <c r="T34" s="59"/>
      <c r="U34" s="59"/>
      <c r="V34" s="59"/>
      <c r="W34" s="59"/>
      <c r="X34" s="59"/>
      <c r="Y34" s="59"/>
      <c r="Z34" s="59"/>
      <c r="AA34"/>
      <c r="AB34"/>
    </row>
    <row r="35" spans="1:28" ht="14.5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 s="59"/>
      <c r="T35" s="59"/>
      <c r="U35" s="59"/>
      <c r="V35" s="59"/>
      <c r="W35" s="59"/>
      <c r="X35" s="59"/>
      <c r="Y35" s="59"/>
      <c r="Z35" s="59"/>
      <c r="AA35"/>
      <c r="AB35"/>
    </row>
    <row r="36" spans="1:28" ht="14.5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28" ht="14.5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28" ht="14.5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28" ht="14.5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28" ht="14.5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8" ht="14.5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8" ht="14.5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8" ht="14.5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8" ht="14.5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8" ht="14.5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8" ht="14.5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8" ht="14.5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8" ht="14.5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</sheetData>
  <mergeCells count="2">
    <mergeCell ref="B5:N5"/>
    <mergeCell ref="Z5:Z7"/>
  </mergeCells>
  <pageMargins left="0.7" right="0.7" top="0.75" bottom="0.75" header="0.3" footer="0.3"/>
  <pageSetup orientation="portrait" r:id="rId1"/>
  <headerFooter>
    <oddFooter>&amp;L&amp;1#&amp;"Calibri"&amp;14&amp;K000000Business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36fa401a959b520bff3cdd3c5e52751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148a0808ed01ed0a794e9bf932df4d12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Post-Hearing Data Request"/>
          <xsd:enumeration value="Intervenor Testimony"/>
          <xsd:enumeration value="Intervenor Data Requests"/>
          <xsd:enumeration value="Post-Hearing Briefs"/>
          <xsd:enumeration value="Witness Prep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Sinclair, David</Witness_x0020_Testimony>
    <Year xmlns="65bfb563-8fe2-4d34-a09f-38a217d8feea">2022</Year>
    <Review_x0020_Case_x0020_Doc_x0020_Types xmlns="65bfb563-8fe2-4d34-a09f-38a217d8feea">2nd Data Request</Review_x0020_Case_x0020_Doc_x0020_Types>
    <Case_x0020__x0023_ xmlns="f789fa03-9022-4931-acb2-79f11ac92edf" xsi:nil="true"/>
    <Data_x0020_Request_x0020_Party xmlns="f789fa03-9022-4931-acb2-79f11ac92edf">Sierra Club-SC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427FA125-57FD-4C35-B570-3DFBE9FD0FCA}"/>
</file>

<file path=customXml/itemProps2.xml><?xml version="1.0" encoding="utf-8"?>
<ds:datastoreItem xmlns:ds="http://schemas.openxmlformats.org/officeDocument/2006/customXml" ds:itemID="{17448105-3B52-4873-BCA6-13F8105764A1}"/>
</file>

<file path=customXml/itemProps3.xml><?xml version="1.0" encoding="utf-8"?>
<ds:datastoreItem xmlns:ds="http://schemas.openxmlformats.org/officeDocument/2006/customXml" ds:itemID="{7DED7110-31EA-4147-8EEB-FD309F631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C1-SA</vt:lpstr>
      <vt:lpstr>C1-RTO</vt:lpstr>
      <vt:lpstr>C2-SA</vt:lpstr>
      <vt:lpstr>C2-RTO</vt:lpstr>
      <vt:lpstr>C3-SA</vt:lpstr>
      <vt:lpstr>C3-RTO</vt:lpstr>
      <vt:lpstr>C4-SA</vt:lpstr>
      <vt:lpstr>C4-RTO</vt:lpstr>
    </vt:vector>
  </TitlesOfParts>
  <Company>LG&amp;E and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Sebourn, Michael</dc:creator>
  <cp:lastModifiedBy>Sebourn, Michael</cp:lastModifiedBy>
  <dcterms:created xsi:type="dcterms:W3CDTF">2022-10-26T18:58:49Z</dcterms:created>
  <dcterms:modified xsi:type="dcterms:W3CDTF">2023-05-03T15:02:35Z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{A5963A8F-AAFE-408E-8D5D-F1CD5AA223C4}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2023-04-16T18:57:03Z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de4999d9-39d0-4292-8b85-2b2823e93262</vt:lpwstr>
  </property>
  <property fmtid="{D5CDD505-2E9C-101B-9397-08002B2CF9AE}" pid="9" name="MSIP_Label_0adee1c6-0c13-46fe-9f7d-d5b32ad2c571_ContentBits">
    <vt:lpwstr>2</vt:lpwstr>
  </property>
  <property fmtid="{D5CDD505-2E9C-101B-9397-08002B2CF9AE}" pid="10" name="ContentTypeId">
    <vt:lpwstr>0x010100AB9E08D0A401274E8CF9B547F14148CC</vt:lpwstr>
  </property>
</Properties>
</file>