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2200XXX  Supply Side and DSM Resources/"/>
    </mc:Choice>
  </mc:AlternateContent>
  <bookViews>
    <workbookView xWindow="-105" yWindow="-105" windowWidth="38625" windowHeight="21225"/>
  </bookViews>
  <sheets>
    <sheet name="SAF" sheetId="2" r:id="rId1"/>
    <sheet name="Modify" sheetId="1" r:id="rId2"/>
    <sheet name="WeCare Adj Backu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O25" i="1" s="1"/>
  <c r="F10" i="2" s="1"/>
  <c r="N22" i="1"/>
  <c r="M22" i="1"/>
  <c r="M25" i="1" s="1"/>
  <c r="D10" i="2" s="1"/>
  <c r="Q29" i="1"/>
  <c r="E22" i="1"/>
  <c r="F22" i="1"/>
  <c r="G22" i="1"/>
  <c r="H22" i="1"/>
  <c r="I22" i="1"/>
  <c r="J22" i="1"/>
  <c r="D22" i="1"/>
  <c r="D25" i="1" s="1"/>
  <c r="E10" i="2"/>
  <c r="J10" i="2"/>
  <c r="E12" i="2"/>
  <c r="F12" i="2"/>
  <c r="G12" i="2"/>
  <c r="H12" i="2"/>
  <c r="I12" i="2"/>
  <c r="J12" i="2"/>
  <c r="D12" i="2"/>
  <c r="N27" i="1"/>
  <c r="O27" i="1"/>
  <c r="P27" i="1"/>
  <c r="Q27" i="1"/>
  <c r="R27" i="1"/>
  <c r="S27" i="1"/>
  <c r="M27" i="1"/>
  <c r="N25" i="1"/>
  <c r="P25" i="1"/>
  <c r="G10" i="2" s="1"/>
  <c r="Q25" i="1"/>
  <c r="H10" i="2" s="1"/>
  <c r="R25" i="1"/>
  <c r="I10" i="2" s="1"/>
  <c r="S25" i="1"/>
  <c r="Q23" i="1"/>
  <c r="R23" i="1"/>
  <c r="S23" i="1"/>
  <c r="P23" i="1"/>
  <c r="O23" i="1"/>
  <c r="N23" i="1"/>
  <c r="M23" i="1"/>
  <c r="E23" i="1"/>
  <c r="F23" i="1"/>
  <c r="G23" i="1"/>
  <c r="H23" i="1"/>
  <c r="I23" i="1"/>
  <c r="J23" i="1"/>
  <c r="D23" i="1"/>
  <c r="N9" i="3"/>
  <c r="N8" i="3"/>
  <c r="F21" i="3"/>
  <c r="G21" i="3"/>
  <c r="H21" i="3"/>
  <c r="I21" i="3"/>
  <c r="J21" i="3"/>
  <c r="K21" i="3"/>
  <c r="E21" i="3"/>
  <c r="L7" i="3"/>
  <c r="N7" i="3" s="1"/>
  <c r="E19" i="1"/>
  <c r="F19" i="1"/>
  <c r="G19" i="1"/>
  <c r="H19" i="1"/>
  <c r="I19" i="1"/>
  <c r="J19" i="1"/>
  <c r="M19" i="1"/>
  <c r="N19" i="1"/>
  <c r="O19" i="1"/>
  <c r="P19" i="1"/>
  <c r="Q19" i="1"/>
  <c r="R19" i="1"/>
  <c r="S19" i="1"/>
  <c r="D19" i="1"/>
  <c r="I25" i="1" l="1"/>
  <c r="I8" i="2" s="1"/>
  <c r="G25" i="1"/>
  <c r="G8" i="2" s="1"/>
  <c r="E25" i="1"/>
  <c r="E8" i="2" s="1"/>
  <c r="J25" i="1"/>
  <c r="J8" i="2" s="1"/>
  <c r="H25" i="1"/>
  <c r="H8" i="2" s="1"/>
  <c r="F25" i="1"/>
  <c r="F8" i="2" s="1"/>
  <c r="D8" i="2"/>
</calcChain>
</file>

<file path=xl/sharedStrings.xml><?xml version="1.0" encoding="utf-8"?>
<sst xmlns="http://schemas.openxmlformats.org/spreadsheetml/2006/main" count="98" uniqueCount="79">
  <si>
    <t>Program Name</t>
  </si>
  <si>
    <t>WeCare V2</t>
  </si>
  <si>
    <t>LI Multifamily - Whole Building</t>
  </si>
  <si>
    <t>Appliance Recycling</t>
  </si>
  <si>
    <t>Online Marketplace</t>
  </si>
  <si>
    <t>Residential Audit Online</t>
  </si>
  <si>
    <t>BYOT &amp; BYOD</t>
  </si>
  <si>
    <t>Business Rebates</t>
  </si>
  <si>
    <t>Small Business - Audit &amp; DI</t>
  </si>
  <si>
    <t>EE Financing</t>
  </si>
  <si>
    <t>Residential Demand Conservation</t>
  </si>
  <si>
    <t>Large Nonres Demand Con.</t>
  </si>
  <si>
    <t>Peak Time Rebate</t>
  </si>
  <si>
    <t>Residential Managed Charging</t>
  </si>
  <si>
    <t>NonRes Midstream Lighting</t>
  </si>
  <si>
    <t>PDA</t>
  </si>
  <si>
    <t>TRC</t>
  </si>
  <si>
    <t>Include?</t>
  </si>
  <si>
    <t>Yes</t>
  </si>
  <si>
    <t>Yes*</t>
  </si>
  <si>
    <t>Electric kWh 2024</t>
  </si>
  <si>
    <t>Electric kWh 2025</t>
  </si>
  <si>
    <t>Electric kWh 2026</t>
  </si>
  <si>
    <t>Electric kWh 2027</t>
  </si>
  <si>
    <t>Electric kWh 2028</t>
  </si>
  <si>
    <t>Electric kWh 2029</t>
  </si>
  <si>
    <t>Electric kWh 2030</t>
  </si>
  <si>
    <t>Electric kW 2024</t>
  </si>
  <si>
    <t>Electric kW 2025</t>
  </si>
  <si>
    <t>Electric kW 2026</t>
  </si>
  <si>
    <t>Electric kW 2027</t>
  </si>
  <si>
    <t>Electric kW 2028</t>
  </si>
  <si>
    <t>Electric kW 2029</t>
  </si>
  <si>
    <t>Electric kW 2030</t>
  </si>
  <si>
    <t>NA</t>
  </si>
  <si>
    <t>Incremental</t>
  </si>
  <si>
    <t>LGE</t>
  </si>
  <si>
    <t>KU</t>
  </si>
  <si>
    <t>MF</t>
  </si>
  <si>
    <t>SF</t>
  </si>
  <si>
    <t>Part</t>
  </si>
  <si>
    <t>SF AVG</t>
  </si>
  <si>
    <t>*Note: These values use prior saving estimates, but will use revised values from latest EM&amp;V report below.</t>
  </si>
  <si>
    <t>WeCare Revised (kWh)</t>
  </si>
  <si>
    <t>Total</t>
  </si>
  <si>
    <t>Revised Total (Incr. MWh)</t>
  </si>
  <si>
    <t>Program Year 2024</t>
  </si>
  <si>
    <t>Program Year 2025</t>
  </si>
  <si>
    <t>Program Year 2026</t>
  </si>
  <si>
    <t>Program Year 2027</t>
  </si>
  <si>
    <t>Program Year 2028</t>
  </si>
  <si>
    <t>Program Year 2029</t>
  </si>
  <si>
    <t>Program Year 2030</t>
  </si>
  <si>
    <t>Reference</t>
  </si>
  <si>
    <t>Prior Plan (2019-2025) Incr. MWh</t>
  </si>
  <si>
    <t>lge</t>
  </si>
  <si>
    <t>ku</t>
  </si>
  <si>
    <t>total</t>
  </si>
  <si>
    <t>Tstat program</t>
  </si>
  <si>
    <t>kWh</t>
  </si>
  <si>
    <t>WeCare</t>
  </si>
  <si>
    <t>Tstat</t>
  </si>
  <si>
    <t>Overlap (Lighting-assume higher)</t>
  </si>
  <si>
    <t>existing + new</t>
  </si>
  <si>
    <t>Notes</t>
  </si>
  <si>
    <t>Rev Total (MWs)</t>
  </si>
  <si>
    <t>DR (MWs)</t>
  </si>
  <si>
    <t>New Combined</t>
  </si>
  <si>
    <t>Cumulative</t>
  </si>
  <si>
    <t>Prior Plan (2019-2025) Cum. MW</t>
  </si>
  <si>
    <t>Prior Plan (2019-2025) Cum. DR MW</t>
  </si>
  <si>
    <t>Pgm Yr 2024</t>
  </si>
  <si>
    <t>Pgm Yr 2025</t>
  </si>
  <si>
    <t>includes 150 CSR</t>
  </si>
  <si>
    <t>GP exercise (new)</t>
  </si>
  <si>
    <t>existing</t>
  </si>
  <si>
    <t>Total Demand (MWs)</t>
  </si>
  <si>
    <t>Total Energy (Incr. MWh)</t>
  </si>
  <si>
    <t>Demand Response (MWs-subset of demand)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</si>
</sst>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0" xfId="0" applyNumberFormat="1"/>
    <xf numFmtId="1" fontId="3" fillId="3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39" fontId="4" fillId="0" borderId="0" xfId="1" applyNumberFormat="1" applyFont="1" applyAlignment="1">
      <alignment horizontal="center"/>
    </xf>
    <xf numFmtId="164" fontId="6" fillId="0" borderId="0" xfId="1" applyNumberFormat="1" applyFont="1" applyFill="1" applyBorder="1" applyAlignment="1">
      <alignment vertical="top"/>
    </xf>
    <xf numFmtId="39" fontId="4" fillId="0" borderId="1" xfId="1" applyNumberFormat="1" applyFont="1" applyBorder="1" applyAlignment="1">
      <alignment horizontal="center"/>
    </xf>
    <xf numFmtId="0" fontId="4" fillId="0" borderId="1" xfId="0" applyFont="1" applyBorder="1"/>
    <xf numFmtId="164" fontId="6" fillId="0" borderId="1" xfId="1" applyNumberFormat="1" applyFont="1" applyFill="1" applyBorder="1" applyAlignment="1">
      <alignment vertical="top"/>
    </xf>
    <xf numFmtId="164" fontId="4" fillId="0" borderId="0" xfId="0" applyNumberFormat="1" applyFont="1"/>
    <xf numFmtId="0" fontId="7" fillId="0" borderId="0" xfId="0" quotePrefix="1" applyFont="1"/>
    <xf numFmtId="0" fontId="5" fillId="2" borderId="0" xfId="0" applyFont="1" applyFill="1"/>
    <xf numFmtId="39" fontId="5" fillId="2" borderId="0" xfId="1" applyNumberFormat="1" applyFont="1" applyFill="1" applyAlignment="1">
      <alignment horizontal="center"/>
    </xf>
    <xf numFmtId="164" fontId="5" fillId="2" borderId="0" xfId="0" applyNumberFormat="1" applyFont="1" applyFill="1"/>
    <xf numFmtId="0" fontId="5" fillId="0" borderId="0" xfId="0" applyFont="1" applyAlignment="1">
      <alignment horizont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4" fillId="0" borderId="0" xfId="1" applyNumberFormat="1" applyFont="1"/>
    <xf numFmtId="0" fontId="5" fillId="5" borderId="0" xfId="0" applyFont="1" applyFill="1"/>
    <xf numFmtId="164" fontId="5" fillId="5" borderId="0" xfId="0" applyNumberFormat="1" applyFont="1" applyFill="1"/>
    <xf numFmtId="0" fontId="4" fillId="6" borderId="0" xfId="0" applyFont="1" applyFill="1"/>
    <xf numFmtId="165" fontId="4" fillId="0" borderId="0" xfId="0" applyNumberFormat="1" applyFont="1"/>
    <xf numFmtId="164" fontId="0" fillId="0" borderId="9" xfId="1" applyNumberFormat="1" applyFont="1" applyBorder="1"/>
    <xf numFmtId="0" fontId="2" fillId="0" borderId="8" xfId="0" applyFont="1" applyBorder="1"/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4" fillId="7" borderId="0" xfId="0" applyFont="1" applyFill="1"/>
    <xf numFmtId="164" fontId="6" fillId="7" borderId="0" xfId="1" applyNumberFormat="1" applyFont="1" applyFill="1" applyBorder="1" applyAlignment="1">
      <alignment vertical="top"/>
    </xf>
    <xf numFmtId="0" fontId="5" fillId="5" borderId="0" xfId="0" applyFont="1" applyFill="1" applyAlignment="1">
      <alignment horizontal="center"/>
    </xf>
    <xf numFmtId="164" fontId="6" fillId="6" borderId="0" xfId="1" applyNumberFormat="1" applyFont="1" applyFill="1" applyBorder="1" applyAlignment="1">
      <alignment vertical="top"/>
    </xf>
    <xf numFmtId="16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165" fontId="0" fillId="0" borderId="9" xfId="1" applyNumberFormat="1" applyFont="1" applyBorder="1"/>
    <xf numFmtId="165" fontId="0" fillId="0" borderId="10" xfId="1" applyNumberFormat="1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8" borderId="0" xfId="0" applyFont="1" applyFill="1"/>
    <xf numFmtId="0" fontId="0" fillId="0" borderId="0" xfId="0" applyFont="1"/>
    <xf numFmtId="0" fontId="10" fillId="0" borderId="0" xfId="0" applyFont="1"/>
    <xf numFmtId="164" fontId="10" fillId="0" borderId="0" xfId="1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177800</xdr:colOff>
      <xdr:row>13</xdr:row>
      <xdr:rowOff>154110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4EB5E9A-4E51-427B-BD9C-25C0539D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"/>
          <a:ext cx="3225800" cy="217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yden, John" id="{CFB98260-2D88-45A3-84B5-EF8F64AB329B}" userId="S::John.Hayden@lge-ku.com::dcb65628-fd68-4a89-b163-1536d89b756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10-02T15:08:38.80" personId="{CFB98260-2D88-45A3-84B5-EF8F64AB329B}" id="{706BA5A5-D6CD-4BF1-AC83-DBA9D5AD9276}">
    <text>Yes = will include savings as standalone or as part of another program.</text>
  </threadedComment>
  <threadedComment ref="C5" dT="2022-10-03T17:08:43.93" personId="{CFB98260-2D88-45A3-84B5-EF8F64AB329B}" id="{B08F4C01-8E2B-4743-B53B-70A69D6BC07E}">
    <text>some overlap</text>
  </threadedComment>
  <threadedComment ref="C9" dT="2022-10-02T19:29:50.11" personId="{CFB98260-2D88-45A3-84B5-EF8F64AB329B}" id="{C33C5D05-86AA-44D7-A2C2-2CA17E3366EA}">
    <text>overlap</text>
  </threadedComment>
  <threadedComment ref="C10" dT="2022-10-02T15:35:28.78" personId="{CFB98260-2D88-45A3-84B5-EF8F64AB329B}" id="{0C73976A-553F-4B5D-9FF2-6CB239A306DD}">
    <text>overlap</text>
  </threadedComment>
  <threadedComment ref="C11" dT="2022-10-03T17:06:38.64" personId="{CFB98260-2D88-45A3-84B5-EF8F64AB329B}" id="{E3BD582A-4044-4BFD-B2FC-E340A46751FA}">
    <text>some overlap on kits</text>
  </threadedComment>
  <threadedComment ref="C13" dT="2022-10-02T19:29:59.06" personId="{CFB98260-2D88-45A3-84B5-EF8F64AB329B}" id="{A7DE3337-FB49-4C9E-BA58-0E3776D2F5BF}">
    <text>overlap</text>
  </threadedComment>
  <threadedComment ref="C15" dT="2022-10-02T19:43:34.91" personId="{CFB98260-2D88-45A3-84B5-EF8F64AB329B}" id="{D6893472-B82D-4B1E-9883-1C597B7400FB}">
    <text>overlap</text>
  </threadedComment>
  <threadedComment ref="C17" dT="2022-10-02T15:35:36.28" personId="{CFB98260-2D88-45A3-84B5-EF8F64AB329B}" id="{8326E943-E5A0-480C-ABDA-3838E1DD19A0}">
    <text>overlap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2"/>
  <sheetViews>
    <sheetView tabSelected="1" zoomScale="80" zoomScaleNormal="80" workbookViewId="0">
      <selection activeCell="C23" sqref="C23"/>
    </sheetView>
  </sheetViews>
  <sheetFormatPr defaultRowHeight="15" x14ac:dyDescent="0.25"/>
  <cols>
    <col min="3" max="3" width="38" customWidth="1"/>
    <col min="4" max="10" width="9.85546875" customWidth="1"/>
    <col min="11" max="11" width="16.28515625" customWidth="1"/>
  </cols>
  <sheetData>
    <row r="1" spans="3:11" ht="15.75" thickBot="1" x14ac:dyDescent="0.3"/>
    <row r="2" spans="3:11" ht="30.75" thickBot="1" x14ac:dyDescent="0.3">
      <c r="C2" s="45" t="s">
        <v>53</v>
      </c>
      <c r="D2" s="43" t="s">
        <v>71</v>
      </c>
      <c r="E2" s="44" t="s">
        <v>72</v>
      </c>
    </row>
    <row r="3" spans="3:11" ht="15.75" thickBot="1" x14ac:dyDescent="0.3">
      <c r="C3" s="31" t="s">
        <v>54</v>
      </c>
      <c r="D3" s="30">
        <v>31017.02379296696</v>
      </c>
      <c r="E3" s="32">
        <v>31017.02379296696</v>
      </c>
    </row>
    <row r="4" spans="3:11" ht="15.75" thickBot="1" x14ac:dyDescent="0.3">
      <c r="C4" s="31" t="s">
        <v>69</v>
      </c>
      <c r="D4" s="41">
        <v>151.09706450193488</v>
      </c>
      <c r="E4" s="42">
        <v>144.7302645019349</v>
      </c>
    </row>
    <row r="5" spans="3:11" ht="15.75" thickBot="1" x14ac:dyDescent="0.3">
      <c r="C5" s="31" t="s">
        <v>70</v>
      </c>
      <c r="D5" s="41">
        <v>145.36521739130436</v>
      </c>
      <c r="E5" s="42">
        <v>138.99841739130434</v>
      </c>
    </row>
    <row r="7" spans="3:11" ht="30" x14ac:dyDescent="0.25">
      <c r="D7" s="40" t="s">
        <v>46</v>
      </c>
      <c r="E7" s="40" t="s">
        <v>47</v>
      </c>
      <c r="F7" s="40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64</v>
      </c>
    </row>
    <row r="8" spans="3:11" x14ac:dyDescent="0.25">
      <c r="C8" s="37" t="s">
        <v>77</v>
      </c>
      <c r="D8" s="24">
        <f>Modify!D25</f>
        <v>70377.369327146283</v>
      </c>
      <c r="E8" s="24">
        <f>Modify!E25</f>
        <v>79145.857813537412</v>
      </c>
      <c r="F8" s="24">
        <f>Modify!F25</f>
        <v>90033.133735883646</v>
      </c>
      <c r="G8" s="24">
        <f>Modify!G25</f>
        <v>94966.483692508118</v>
      </c>
      <c r="H8" s="24">
        <f>Modify!H25</f>
        <v>95465.6049345996</v>
      </c>
      <c r="I8" s="24">
        <f>Modify!I25</f>
        <v>83775.096377588779</v>
      </c>
      <c r="J8" s="24">
        <f>Modify!J25</f>
        <v>78571.32659735273</v>
      </c>
      <c r="K8" t="s">
        <v>35</v>
      </c>
    </row>
    <row r="9" spans="3:11" x14ac:dyDescent="0.25">
      <c r="C9" s="1"/>
      <c r="H9" s="53"/>
    </row>
    <row r="10" spans="3:11" x14ac:dyDescent="0.25">
      <c r="C10" s="37" t="s">
        <v>76</v>
      </c>
      <c r="D10" s="39">
        <f>Modify!M25</f>
        <v>180.20844612020664</v>
      </c>
      <c r="E10" s="39">
        <f>Modify!N25</f>
        <v>196.03147282111871</v>
      </c>
      <c r="F10" s="39">
        <f>Modify!O25</f>
        <v>206.64781568533411</v>
      </c>
      <c r="G10" s="39">
        <f>Modify!P25</f>
        <v>228.09668141374786</v>
      </c>
      <c r="H10" s="39">
        <f>Modify!Q25</f>
        <v>236.32147574265187</v>
      </c>
      <c r="I10" s="39">
        <f>Modify!R25</f>
        <v>239.19752946962939</v>
      </c>
      <c r="J10" s="39">
        <f>Modify!S25</f>
        <v>235.2492545631674</v>
      </c>
      <c r="K10" t="s">
        <v>68</v>
      </c>
    </row>
    <row r="11" spans="3:11" x14ac:dyDescent="0.25">
      <c r="C11" s="6"/>
    </row>
    <row r="12" spans="3:11" x14ac:dyDescent="0.25">
      <c r="C12" s="37" t="s">
        <v>78</v>
      </c>
      <c r="D12" s="39">
        <f>Modify!M27</f>
        <v>165.56950241963196</v>
      </c>
      <c r="E12" s="39">
        <f>Modify!N27</f>
        <v>179.29689401009588</v>
      </c>
      <c r="F12" s="39">
        <f>Modify!O27</f>
        <v>187.25420173281444</v>
      </c>
      <c r="G12" s="39">
        <f>Modify!P27</f>
        <v>208.30821623847908</v>
      </c>
      <c r="H12" s="39">
        <f>Modify!Q27</f>
        <v>216.52968829895914</v>
      </c>
      <c r="I12" s="39">
        <f>Modify!R27</f>
        <v>221.58508743592168</v>
      </c>
      <c r="J12" s="39">
        <f>Modify!S27</f>
        <v>219.02775987728629</v>
      </c>
      <c r="K12" t="s">
        <v>68</v>
      </c>
    </row>
  </sheetData>
  <phoneticPr fontId="8" type="noConversion"/>
  <pageMargins left="1" right="1" top="1" bottom="1.75" header="0.5" footer="0.5"/>
  <pageSetup orientation="landscape" r:id="rId1"/>
  <headerFooter scaleWithDoc="0">
    <oddFooter>&amp;R&amp;"Times New Roman,Bold"&amp;12 Case Nos. 2022-00402
Attachment to Response to JI-2 Question No. 85(a)
Page &amp;P of &amp;N
Jones/Isaacson
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zoomScale="85" zoomScaleNormal="85" workbookViewId="0">
      <selection activeCell="C17" sqref="C17"/>
    </sheetView>
  </sheetViews>
  <sheetFormatPr defaultColWidth="8.7109375" defaultRowHeight="12.75" x14ac:dyDescent="0.2"/>
  <cols>
    <col min="1" max="1" width="7.7109375" style="5" customWidth="1"/>
    <col min="2" max="2" width="5.42578125" style="5" bestFit="1" customWidth="1"/>
    <col min="3" max="3" width="27" style="5" bestFit="1" customWidth="1"/>
    <col min="4" max="4" width="12.28515625" style="5" bestFit="1" customWidth="1"/>
    <col min="5" max="10" width="11" style="5" bestFit="1" customWidth="1"/>
    <col min="11" max="11" width="1.140625" style="5" customWidth="1"/>
    <col min="12" max="12" width="13.7109375" style="5" bestFit="1" customWidth="1"/>
    <col min="13" max="13" width="10.5703125" style="5" customWidth="1"/>
    <col min="14" max="19" width="9.140625" style="5" bestFit="1" customWidth="1"/>
    <col min="20" max="20" width="14.85546875" style="5" customWidth="1"/>
    <col min="21" max="16384" width="8.7109375" style="5"/>
  </cols>
  <sheetData>
    <row r="2" spans="1:20" ht="13.5" thickBot="1" x14ac:dyDescent="0.25">
      <c r="D2" s="17" t="s">
        <v>35</v>
      </c>
      <c r="M2" s="17"/>
    </row>
    <row r="3" spans="1:20" ht="26.25" thickBot="1" x14ac:dyDescent="0.25">
      <c r="A3" s="4" t="s">
        <v>17</v>
      </c>
      <c r="B3" s="4" t="s">
        <v>16</v>
      </c>
      <c r="C3" s="4" t="s">
        <v>0</v>
      </c>
      <c r="D3" s="18" t="s">
        <v>20</v>
      </c>
      <c r="E3" s="19" t="s">
        <v>21</v>
      </c>
      <c r="F3" s="19" t="s">
        <v>22</v>
      </c>
      <c r="G3" s="19" t="s">
        <v>23</v>
      </c>
      <c r="H3" s="19" t="s">
        <v>24</v>
      </c>
      <c r="I3" s="19" t="s">
        <v>25</v>
      </c>
      <c r="J3" s="20" t="s">
        <v>26</v>
      </c>
      <c r="M3" s="21" t="s">
        <v>27</v>
      </c>
      <c r="N3" s="22" t="s">
        <v>28</v>
      </c>
      <c r="O3" s="22" t="s">
        <v>29</v>
      </c>
      <c r="P3" s="22" t="s">
        <v>30</v>
      </c>
      <c r="Q3" s="22" t="s">
        <v>31</v>
      </c>
      <c r="R3" s="22" t="s">
        <v>32</v>
      </c>
      <c r="S3" s="23" t="s">
        <v>33</v>
      </c>
      <c r="T3" s="22" t="s">
        <v>64</v>
      </c>
    </row>
    <row r="4" spans="1:20" x14ac:dyDescent="0.2">
      <c r="A4" s="6" t="s">
        <v>19</v>
      </c>
      <c r="B4" s="7">
        <v>0.21</v>
      </c>
      <c r="C4" s="52" t="s">
        <v>1</v>
      </c>
      <c r="D4" s="8">
        <v>6635056.6546752714</v>
      </c>
      <c r="E4" s="8">
        <v>6635056.6546752714</v>
      </c>
      <c r="F4" s="8">
        <v>6635056.6546752714</v>
      </c>
      <c r="G4" s="8">
        <v>6635056.6546752714</v>
      </c>
      <c r="H4" s="8">
        <v>6635056.6546752714</v>
      </c>
      <c r="I4" s="8">
        <v>6635056.6546752714</v>
      </c>
      <c r="J4" s="8">
        <v>6635056.6546752714</v>
      </c>
      <c r="M4" s="8">
        <v>553.36971446468556</v>
      </c>
      <c r="N4" s="8">
        <v>553.36971446468556</v>
      </c>
      <c r="O4" s="8">
        <v>553.36971446468556</v>
      </c>
      <c r="P4" s="8">
        <v>553.36971446468556</v>
      </c>
      <c r="Q4" s="8">
        <v>553.36971446468556</v>
      </c>
      <c r="R4" s="8">
        <v>553.36971446468556</v>
      </c>
      <c r="S4" s="8">
        <v>553.36971446468556</v>
      </c>
    </row>
    <row r="5" spans="1:20" x14ac:dyDescent="0.2">
      <c r="A5" s="6" t="s">
        <v>18</v>
      </c>
      <c r="B5" s="7">
        <v>0.31</v>
      </c>
      <c r="C5" s="52" t="s">
        <v>2</v>
      </c>
      <c r="D5" s="8">
        <v>610653.17974245036</v>
      </c>
      <c r="E5" s="8">
        <v>610653.17974245036</v>
      </c>
      <c r="F5" s="8">
        <v>610653.17974245036</v>
      </c>
      <c r="G5" s="8">
        <v>610653.17974245036</v>
      </c>
      <c r="H5" s="8">
        <v>610653.17974245036</v>
      </c>
      <c r="I5" s="8">
        <v>610653.17974245036</v>
      </c>
      <c r="J5" s="8">
        <v>610653.17974245036</v>
      </c>
      <c r="M5" s="8">
        <v>56.146229318091144</v>
      </c>
      <c r="N5" s="8">
        <v>56.146229318091144</v>
      </c>
      <c r="O5" s="8">
        <v>56.146229318091144</v>
      </c>
      <c r="P5" s="8">
        <v>56.146229318091144</v>
      </c>
      <c r="Q5" s="8">
        <v>56.146229318091144</v>
      </c>
      <c r="R5" s="8">
        <v>56.146229318091144</v>
      </c>
      <c r="S5" s="8">
        <v>56.146229318091144</v>
      </c>
    </row>
    <row r="6" spans="1:20" x14ac:dyDescent="0.2">
      <c r="A6" s="6" t="s">
        <v>18</v>
      </c>
      <c r="B6" s="7">
        <v>0.78</v>
      </c>
      <c r="C6" s="5" t="s">
        <v>3</v>
      </c>
      <c r="D6" s="8">
        <v>4542653.2653061226</v>
      </c>
      <c r="E6" s="8">
        <v>5299762.1428571437</v>
      </c>
      <c r="F6" s="8">
        <v>6056871.0204081628</v>
      </c>
      <c r="G6" s="8">
        <v>6056871.0204081628</v>
      </c>
      <c r="H6" s="8">
        <v>6056871.0204081628</v>
      </c>
      <c r="I6" s="8">
        <v>6056871.0204081628</v>
      </c>
      <c r="J6" s="8">
        <v>6056871.0204081628</v>
      </c>
      <c r="M6" s="8">
        <v>531.95265306122451</v>
      </c>
      <c r="N6" s="8">
        <v>620.61142857142863</v>
      </c>
      <c r="O6" s="8">
        <v>709.27020408163276</v>
      </c>
      <c r="P6" s="8">
        <v>709.27020408163276</v>
      </c>
      <c r="Q6" s="8">
        <v>709.27020408163276</v>
      </c>
      <c r="R6" s="8">
        <v>709.27020408163276</v>
      </c>
      <c r="S6" s="8">
        <v>709.27020408163276</v>
      </c>
    </row>
    <row r="7" spans="1:20" x14ac:dyDescent="0.2">
      <c r="A7" s="6" t="s">
        <v>18</v>
      </c>
      <c r="B7" s="7">
        <v>0.17</v>
      </c>
      <c r="C7" s="5" t="s">
        <v>4</v>
      </c>
      <c r="D7" s="8">
        <v>102138.76869442555</v>
      </c>
      <c r="E7" s="8">
        <v>175401.35260274474</v>
      </c>
      <c r="F7" s="8">
        <v>303443.7998116783</v>
      </c>
      <c r="G7" s="8">
        <v>527342.65406515577</v>
      </c>
      <c r="H7" s="8">
        <v>918981.4492284772</v>
      </c>
      <c r="I7" s="8">
        <v>1604155.9309950126</v>
      </c>
      <c r="J7" s="8">
        <v>2803008.193828709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20" x14ac:dyDescent="0.2">
      <c r="A8" s="6" t="s">
        <v>18</v>
      </c>
      <c r="B8" s="7">
        <v>0.68</v>
      </c>
      <c r="C8" s="5" t="s">
        <v>5</v>
      </c>
      <c r="D8" s="8">
        <v>1064818.5728556693</v>
      </c>
      <c r="E8" s="8">
        <v>1681404.3396985626</v>
      </c>
      <c r="F8" s="8">
        <v>2300992.8380335728</v>
      </c>
      <c r="G8" s="8">
        <v>2314816.4826701232</v>
      </c>
      <c r="H8" s="8">
        <v>2330235.5003072731</v>
      </c>
      <c r="I8" s="8">
        <v>2345612.3157932712</v>
      </c>
      <c r="J8" s="8">
        <v>2362347.5247947644</v>
      </c>
      <c r="M8" s="8">
        <v>255.97895257006849</v>
      </c>
      <c r="N8" s="8">
        <v>408.82125538824891</v>
      </c>
      <c r="O8" s="8">
        <v>562.17900803025498</v>
      </c>
      <c r="P8" s="8">
        <v>565.04040262369256</v>
      </c>
      <c r="Q8" s="8">
        <v>568.36267104762317</v>
      </c>
      <c r="R8" s="8">
        <v>571.53834654158857</v>
      </c>
      <c r="S8" s="8">
        <v>575.06267123044984</v>
      </c>
    </row>
    <row r="9" spans="1:20" ht="15" x14ac:dyDescent="0.2">
      <c r="A9" s="6" t="s">
        <v>18</v>
      </c>
      <c r="B9" s="7">
        <v>1.1399999999999999</v>
      </c>
      <c r="C9" s="35" t="s">
        <v>6</v>
      </c>
      <c r="D9" s="8">
        <v>0</v>
      </c>
      <c r="E9" s="8">
        <v>0</v>
      </c>
      <c r="F9" s="8">
        <v>0</v>
      </c>
      <c r="G9" s="8">
        <v>0</v>
      </c>
      <c r="H9" s="55">
        <v>0</v>
      </c>
      <c r="I9" s="8">
        <v>0</v>
      </c>
      <c r="J9" s="8">
        <v>0</v>
      </c>
      <c r="M9" s="36">
        <v>1343.2835820895525</v>
      </c>
      <c r="N9" s="36">
        <v>2782.5159914712158</v>
      </c>
      <c r="O9" s="36">
        <v>5527.0575692963757</v>
      </c>
      <c r="P9" s="36">
        <v>9178.1130063965884</v>
      </c>
      <c r="Q9" s="36">
        <v>13695.207889125802</v>
      </c>
      <c r="R9" s="36">
        <v>15913.280916844351</v>
      </c>
      <c r="S9" s="36">
        <v>18184.953358208957</v>
      </c>
    </row>
    <row r="10" spans="1:20" x14ac:dyDescent="0.2">
      <c r="A10" s="6" t="s">
        <v>18</v>
      </c>
      <c r="B10" s="7">
        <v>1.47</v>
      </c>
      <c r="C10" s="28" t="s">
        <v>7</v>
      </c>
      <c r="D10" s="8">
        <v>58417406.883501343</v>
      </c>
      <c r="E10" s="8">
        <v>64430508.031603321</v>
      </c>
      <c r="F10" s="8">
        <v>72621381.522907168</v>
      </c>
      <c r="G10" s="8">
        <v>72317126.191771939</v>
      </c>
      <c r="H10" s="8">
        <v>72530788.723332778</v>
      </c>
      <c r="I10" s="8">
        <v>64626521.700684123</v>
      </c>
      <c r="J10" s="8">
        <v>58207164.448612884</v>
      </c>
      <c r="M10" s="38">
        <v>12998.481550191398</v>
      </c>
      <c r="N10" s="38">
        <v>14609.600981341913</v>
      </c>
      <c r="O10" s="38">
        <v>16832.441783225655</v>
      </c>
      <c r="P10" s="38">
        <v>16795.450427678807</v>
      </c>
      <c r="Q10" s="38">
        <v>16821.358277548501</v>
      </c>
      <c r="R10" s="38">
        <v>15041.910525902342</v>
      </c>
      <c r="S10" s="38">
        <v>13647.438853386862</v>
      </c>
    </row>
    <row r="11" spans="1:20" x14ac:dyDescent="0.2">
      <c r="A11" s="6" t="s">
        <v>18</v>
      </c>
      <c r="B11" s="7">
        <v>0.41</v>
      </c>
      <c r="C11" s="28" t="s">
        <v>8</v>
      </c>
      <c r="D11" s="8">
        <v>218264.29362199522</v>
      </c>
      <c r="E11" s="8">
        <v>436528.58724399045</v>
      </c>
      <c r="F11" s="8">
        <v>436528.58724399045</v>
      </c>
      <c r="G11" s="8">
        <v>436528.58724399045</v>
      </c>
      <c r="H11" s="8">
        <v>436528.58724399045</v>
      </c>
      <c r="I11" s="8">
        <v>436528.58724399045</v>
      </c>
      <c r="J11" s="8">
        <v>436528.58724399045</v>
      </c>
      <c r="M11" s="8">
        <v>58.240661721584843</v>
      </c>
      <c r="N11" s="8">
        <v>116.48132344316969</v>
      </c>
      <c r="O11" s="8">
        <v>116.48132344316969</v>
      </c>
      <c r="P11" s="8">
        <v>116.48132344316969</v>
      </c>
      <c r="Q11" s="8">
        <v>116.48132344316969</v>
      </c>
      <c r="R11" s="8">
        <v>116.48132344316969</v>
      </c>
      <c r="S11" s="8">
        <v>116.48132344316969</v>
      </c>
    </row>
    <row r="12" spans="1:20" x14ac:dyDescent="0.2">
      <c r="A12" s="6" t="s">
        <v>18</v>
      </c>
      <c r="B12" s="7">
        <v>0.67</v>
      </c>
      <c r="C12" s="5" t="s">
        <v>9</v>
      </c>
      <c r="D12" s="8">
        <v>903228.16813452484</v>
      </c>
      <c r="E12" s="8">
        <v>1806456.3362690497</v>
      </c>
      <c r="F12" s="8">
        <v>2819684.5044035744</v>
      </c>
      <c r="G12" s="8">
        <v>2819684.5044035744</v>
      </c>
      <c r="H12" s="8">
        <v>2819684.5044035744</v>
      </c>
      <c r="I12" s="8">
        <v>2819684.5044035744</v>
      </c>
      <c r="J12" s="8">
        <v>2819684.5044035744</v>
      </c>
      <c r="M12" s="8">
        <v>184.7739392476322</v>
      </c>
      <c r="N12" s="8">
        <v>369.5478784952644</v>
      </c>
      <c r="O12" s="8">
        <v>563.72568995621964</v>
      </c>
      <c r="P12" s="8">
        <v>563.72568995621964</v>
      </c>
      <c r="Q12" s="8">
        <v>563.72568995621964</v>
      </c>
      <c r="R12" s="8">
        <v>563.72568995621964</v>
      </c>
      <c r="S12" s="8">
        <v>563.72568995621964</v>
      </c>
    </row>
    <row r="13" spans="1:20" x14ac:dyDescent="0.2">
      <c r="A13" s="6" t="s">
        <v>18</v>
      </c>
      <c r="B13" s="7">
        <v>10.81</v>
      </c>
      <c r="C13" s="35" t="s">
        <v>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M13" s="36">
        <v>124135</v>
      </c>
      <c r="N13" s="36">
        <v>117768.2</v>
      </c>
      <c r="O13" s="36">
        <v>111635</v>
      </c>
      <c r="P13" s="36">
        <v>105797</v>
      </c>
      <c r="Q13" s="36">
        <v>100239</v>
      </c>
      <c r="R13" s="36">
        <v>95041</v>
      </c>
      <c r="S13" s="36">
        <v>90212</v>
      </c>
    </row>
    <row r="14" spans="1:20" x14ac:dyDescent="0.2">
      <c r="A14" s="6" t="s">
        <v>18</v>
      </c>
      <c r="B14" s="7">
        <v>1.25</v>
      </c>
      <c r="C14" s="5" t="s">
        <v>11</v>
      </c>
      <c r="D14" s="8">
        <v>398241.13633683702</v>
      </c>
      <c r="E14" s="8">
        <v>453098.78456725727</v>
      </c>
      <c r="F14" s="8">
        <v>514693.22438013373</v>
      </c>
      <c r="G14" s="8">
        <v>607253.49902954604</v>
      </c>
      <c r="H14" s="8">
        <v>699316.92832055665</v>
      </c>
      <c r="I14" s="8">
        <v>779184.0793652765</v>
      </c>
      <c r="J14" s="8">
        <v>779184.0793652765</v>
      </c>
      <c r="M14" s="8">
        <v>40066.50241963195</v>
      </c>
      <c r="N14" s="8">
        <v>45585.656256367678</v>
      </c>
      <c r="O14" s="8">
        <v>51782.589588014089</v>
      </c>
      <c r="P14" s="8">
        <v>61094.953705682055</v>
      </c>
      <c r="Q14" s="8">
        <v>70357.330883432907</v>
      </c>
      <c r="R14" s="8">
        <v>78392.656992676901</v>
      </c>
      <c r="S14" s="8">
        <v>78392.656992676901</v>
      </c>
    </row>
    <row r="15" spans="1:20" x14ac:dyDescent="0.2">
      <c r="A15" s="6" t="s">
        <v>18</v>
      </c>
      <c r="B15" s="7">
        <v>1.22</v>
      </c>
      <c r="C15" s="35" t="s">
        <v>12</v>
      </c>
      <c r="D15" s="8">
        <v>132080</v>
      </c>
      <c r="E15" s="8">
        <v>264160</v>
      </c>
      <c r="F15" s="8">
        <v>381000</v>
      </c>
      <c r="G15" s="8">
        <v>508000</v>
      </c>
      <c r="H15" s="8">
        <v>508000</v>
      </c>
      <c r="I15" s="8">
        <v>508000</v>
      </c>
      <c r="J15" s="8">
        <v>508000</v>
      </c>
      <c r="M15" s="36">
        <v>6603.5188768641119</v>
      </c>
      <c r="N15" s="36">
        <v>13207.037753728224</v>
      </c>
      <c r="O15" s="36">
        <v>19048.612144800325</v>
      </c>
      <c r="P15" s="36">
        <v>25398.149526400433</v>
      </c>
      <c r="Q15" s="36">
        <v>25398.149526400433</v>
      </c>
      <c r="R15" s="36">
        <v>25398.149526400433</v>
      </c>
      <c r="S15" s="36">
        <v>25398.149526400433</v>
      </c>
    </row>
    <row r="16" spans="1:20" x14ac:dyDescent="0.2">
      <c r="A16" s="6" t="s">
        <v>18</v>
      </c>
      <c r="B16" s="7">
        <v>0.69</v>
      </c>
      <c r="C16" s="5" t="s">
        <v>13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M16" s="8">
        <v>1368</v>
      </c>
      <c r="N16" s="8">
        <v>2736</v>
      </c>
      <c r="O16" s="8">
        <v>4787.9999999999991</v>
      </c>
      <c r="P16" s="8">
        <v>6840</v>
      </c>
      <c r="Q16" s="8">
        <v>6840</v>
      </c>
      <c r="R16" s="8">
        <v>6840</v>
      </c>
      <c r="S16" s="8">
        <v>6840</v>
      </c>
    </row>
    <row r="17" spans="1:22" x14ac:dyDescent="0.2">
      <c r="A17" s="6" t="s">
        <v>18</v>
      </c>
      <c r="B17" s="7">
        <v>1.39</v>
      </c>
      <c r="C17" s="28" t="s">
        <v>14</v>
      </c>
      <c r="D17" s="8">
        <v>39473893.737468004</v>
      </c>
      <c r="E17" s="8">
        <v>49342367.171835005</v>
      </c>
      <c r="F17" s="8">
        <v>61677958.964793764</v>
      </c>
      <c r="G17" s="8">
        <v>77097448.705992192</v>
      </c>
      <c r="H17" s="8">
        <v>77097448.705992192</v>
      </c>
      <c r="I17" s="8">
        <v>61677958.964793764</v>
      </c>
      <c r="J17" s="8">
        <v>49342367.171835005</v>
      </c>
      <c r="M17" s="38">
        <v>8818.908985027243</v>
      </c>
      <c r="N17" s="38">
        <v>11023.63623128405</v>
      </c>
      <c r="O17" s="38">
        <v>13779.545289105066</v>
      </c>
      <c r="P17" s="38">
        <v>17224.431611381333</v>
      </c>
      <c r="Q17" s="38">
        <v>17224.431611381333</v>
      </c>
      <c r="R17" s="38">
        <v>13779.545289105066</v>
      </c>
      <c r="S17" s="38">
        <v>11023.63623128405</v>
      </c>
    </row>
    <row r="18" spans="1:22" x14ac:dyDescent="0.2">
      <c r="A18" s="6" t="s">
        <v>34</v>
      </c>
      <c r="B18" s="9">
        <v>0</v>
      </c>
      <c r="C18" s="10" t="s">
        <v>15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22" s="14" customFormat="1" x14ac:dyDescent="0.2">
      <c r="B19" s="15">
        <v>1.22</v>
      </c>
      <c r="C19" s="14" t="s">
        <v>44</v>
      </c>
      <c r="D19" s="16">
        <f>SUM(D4:D18)</f>
        <v>112498434.66033664</v>
      </c>
      <c r="E19" s="16">
        <f t="shared" ref="E19:S19" si="0">SUM(E4:E18)</f>
        <v>131135396.58109479</v>
      </c>
      <c r="F19" s="16">
        <f t="shared" si="0"/>
        <v>154358264.29639977</v>
      </c>
      <c r="G19" s="16">
        <f t="shared" si="0"/>
        <v>169930781.4800024</v>
      </c>
      <c r="H19" s="16">
        <f t="shared" si="0"/>
        <v>170643565.25365472</v>
      </c>
      <c r="I19" s="16">
        <f t="shared" si="0"/>
        <v>148100226.9381049</v>
      </c>
      <c r="J19" s="16">
        <f t="shared" si="0"/>
        <v>130560865.3649101</v>
      </c>
      <c r="K19" s="5"/>
      <c r="L19" s="5"/>
      <c r="M19" s="16">
        <f t="shared" si="0"/>
        <v>196974.15756418754</v>
      </c>
      <c r="N19" s="16">
        <f t="shared" si="0"/>
        <v>209837.62504387397</v>
      </c>
      <c r="O19" s="16">
        <f t="shared" si="0"/>
        <v>225954.41854373555</v>
      </c>
      <c r="P19" s="16">
        <f t="shared" si="0"/>
        <v>244892.13184142669</v>
      </c>
      <c r="Q19" s="16">
        <f t="shared" si="0"/>
        <v>253142.83402020039</v>
      </c>
      <c r="R19" s="16">
        <f t="shared" si="0"/>
        <v>252977.07475873447</v>
      </c>
      <c r="S19" s="16">
        <f t="shared" si="0"/>
        <v>246272.89079445146</v>
      </c>
    </row>
    <row r="21" spans="1:22" x14ac:dyDescent="0.2">
      <c r="A21" s="13" t="s">
        <v>42</v>
      </c>
    </row>
    <row r="22" spans="1:22" x14ac:dyDescent="0.2">
      <c r="C22" s="28" t="s">
        <v>62</v>
      </c>
      <c r="D22" s="12">
        <f>MAX(D10,D17)</f>
        <v>58417406.883501343</v>
      </c>
      <c r="E22" s="12">
        <f t="shared" ref="E22:J22" si="1">MAX(E10,E17)</f>
        <v>64430508.031603321</v>
      </c>
      <c r="F22" s="12">
        <f t="shared" si="1"/>
        <v>72621381.522907168</v>
      </c>
      <c r="G22" s="12">
        <f t="shared" si="1"/>
        <v>77097448.705992192</v>
      </c>
      <c r="H22" s="12">
        <f t="shared" si="1"/>
        <v>77097448.705992192</v>
      </c>
      <c r="I22" s="12">
        <f t="shared" si="1"/>
        <v>64626521.700684123</v>
      </c>
      <c r="J22" s="12">
        <f t="shared" si="1"/>
        <v>58207164.448612884</v>
      </c>
      <c r="M22" s="12">
        <f t="shared" ref="M22:S22" si="2">MAX(M10,M17)</f>
        <v>12998.481550191398</v>
      </c>
      <c r="N22" s="12">
        <f t="shared" si="2"/>
        <v>14609.600981341913</v>
      </c>
      <c r="O22" s="12">
        <f t="shared" si="2"/>
        <v>16832.441783225655</v>
      </c>
      <c r="P22" s="12">
        <f t="shared" si="2"/>
        <v>17224.431611381333</v>
      </c>
      <c r="Q22" s="12">
        <f t="shared" si="2"/>
        <v>17224.431611381333</v>
      </c>
      <c r="R22" s="12">
        <f t="shared" si="2"/>
        <v>15041.910525902342</v>
      </c>
      <c r="S22" s="12">
        <f t="shared" si="2"/>
        <v>13647.438853386862</v>
      </c>
    </row>
    <row r="23" spans="1:22" x14ac:dyDescent="0.2">
      <c r="C23" s="52" t="s">
        <v>43</v>
      </c>
      <c r="D23" s="25">
        <f>'WeCare Adj Backup'!$N9</f>
        <v>3987885.0589529192</v>
      </c>
      <c r="E23" s="25">
        <f>'WeCare Adj Backup'!$N9</f>
        <v>3987885.0589529192</v>
      </c>
      <c r="F23" s="25">
        <f>'WeCare Adj Backup'!$N9</f>
        <v>3987885.0589529192</v>
      </c>
      <c r="G23" s="25">
        <f>'WeCare Adj Backup'!$N9</f>
        <v>3987885.0589529192</v>
      </c>
      <c r="H23" s="25">
        <f>'WeCare Adj Backup'!$N9</f>
        <v>3987885.0589529192</v>
      </c>
      <c r="I23" s="25">
        <f>'WeCare Adj Backup'!$N9</f>
        <v>3987885.0589529192</v>
      </c>
      <c r="J23" s="25">
        <f>'WeCare Adj Backup'!$N9</f>
        <v>3987885.0589529192</v>
      </c>
      <c r="L23" s="35" t="s">
        <v>67</v>
      </c>
      <c r="M23" s="12">
        <f>M13</f>
        <v>124135</v>
      </c>
      <c r="N23" s="12">
        <f>N13+N15</f>
        <v>130975.23775372822</v>
      </c>
      <c r="O23" s="12">
        <f t="shared" ref="O23" si="3">O13+O15</f>
        <v>130683.61214480033</v>
      </c>
      <c r="P23" s="12">
        <f>P13+P15+P9</f>
        <v>140373.26253279703</v>
      </c>
      <c r="Q23" s="12">
        <f t="shared" ref="Q23:S23" si="4">Q13+Q15+Q9</f>
        <v>139332.35741552623</v>
      </c>
      <c r="R23" s="12">
        <f t="shared" si="4"/>
        <v>136352.43044324478</v>
      </c>
      <c r="S23" s="12">
        <f t="shared" si="4"/>
        <v>133795.1028846094</v>
      </c>
    </row>
    <row r="25" spans="1:22" x14ac:dyDescent="0.2">
      <c r="C25" s="26" t="s">
        <v>45</v>
      </c>
      <c r="D25" s="27">
        <f>(D19-D4+D23-D10-D17+D22)/1000</f>
        <v>70377.369327146283</v>
      </c>
      <c r="E25" s="27">
        <f t="shared" ref="E25:J25" si="5">(E19-E4+E23-E10-E17+E22)/1000</f>
        <v>79145.857813537412</v>
      </c>
      <c r="F25" s="27">
        <f t="shared" si="5"/>
        <v>90033.133735883646</v>
      </c>
      <c r="G25" s="27">
        <f t="shared" si="5"/>
        <v>94966.483692508118</v>
      </c>
      <c r="H25" s="27">
        <f t="shared" si="5"/>
        <v>95465.6049345996</v>
      </c>
      <c r="I25" s="27">
        <f t="shared" si="5"/>
        <v>83775.096377588779</v>
      </c>
      <c r="J25" s="27">
        <f t="shared" si="5"/>
        <v>78571.32659735273</v>
      </c>
      <c r="L25" s="26" t="s">
        <v>65</v>
      </c>
      <c r="M25" s="29">
        <f>(M19-M9-M10-M13-M15-M17+M22+M23)/1000</f>
        <v>180.20844612020664</v>
      </c>
      <c r="N25" s="29">
        <f t="shared" ref="N25:S25" si="6">(N19-N9-N10-N13-N15-N17+N22+N23)/1000</f>
        <v>196.03147282111871</v>
      </c>
      <c r="O25" s="29">
        <f t="shared" si="6"/>
        <v>206.64781568533411</v>
      </c>
      <c r="P25" s="29">
        <f t="shared" si="6"/>
        <v>228.09668141374786</v>
      </c>
      <c r="Q25" s="29">
        <f t="shared" si="6"/>
        <v>236.32147574265187</v>
      </c>
      <c r="R25" s="29">
        <f t="shared" si="6"/>
        <v>239.19752946962939</v>
      </c>
      <c r="S25" s="29">
        <f t="shared" si="6"/>
        <v>235.2492545631674</v>
      </c>
      <c r="T25" s="5" t="s">
        <v>63</v>
      </c>
    </row>
    <row r="27" spans="1:22" x14ac:dyDescent="0.2">
      <c r="L27" s="37" t="s">
        <v>66</v>
      </c>
      <c r="M27" s="29">
        <f>(M23+M14+M16)/1000</f>
        <v>165.56950241963196</v>
      </c>
      <c r="N27" s="29">
        <f t="shared" ref="N27:S27" si="7">(N23+N14+N16)/1000</f>
        <v>179.29689401009588</v>
      </c>
      <c r="O27" s="29">
        <f t="shared" si="7"/>
        <v>187.25420173281444</v>
      </c>
      <c r="P27" s="29">
        <f t="shared" si="7"/>
        <v>208.30821623847908</v>
      </c>
      <c r="Q27" s="29">
        <f t="shared" si="7"/>
        <v>216.52968829895914</v>
      </c>
      <c r="R27" s="29">
        <f t="shared" si="7"/>
        <v>221.58508743592168</v>
      </c>
      <c r="S27" s="29">
        <f t="shared" si="7"/>
        <v>219.02775987728629</v>
      </c>
      <c r="T27" s="5" t="s">
        <v>63</v>
      </c>
    </row>
    <row r="28" spans="1:22" ht="13.5" thickBot="1" x14ac:dyDescent="0.25"/>
    <row r="29" spans="1:22" x14ac:dyDescent="0.2">
      <c r="Q29" s="46">
        <f>279-150</f>
        <v>129</v>
      </c>
      <c r="R29" s="47"/>
      <c r="S29" s="47"/>
      <c r="T29" s="47" t="s">
        <v>74</v>
      </c>
      <c r="U29" s="47" t="s">
        <v>73</v>
      </c>
      <c r="V29" s="48"/>
    </row>
    <row r="30" spans="1:22" ht="13.5" thickBot="1" x14ac:dyDescent="0.25">
      <c r="Q30" s="49">
        <v>145</v>
      </c>
      <c r="R30" s="50"/>
      <c r="S30" s="50"/>
      <c r="T30" s="50" t="s">
        <v>75</v>
      </c>
      <c r="U30" s="50"/>
      <c r="V30" s="51"/>
    </row>
  </sheetData>
  <pageMargins left="1" right="1" top="1" bottom="1.75" header="0.5" footer="0.5"/>
  <pageSetup orientation="landscape" r:id="rId1"/>
  <headerFooter scaleWithDoc="0">
    <oddFooter>&amp;R&amp;"Times New Roman,Bold"&amp;12 Case Nos. 2022-00402
Attachment to Response to JI-2 Question No. 85(a)
Page &amp;P of &amp;N
Jones/Isaacson
&amp;L&amp;1#&amp;"Calibri"&amp;14&amp;K000000Business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21"/>
  <sheetViews>
    <sheetView topLeftCell="A4" zoomScale="80" zoomScaleNormal="80" workbookViewId="0">
      <selection activeCell="G19" sqref="G19"/>
    </sheetView>
  </sheetViews>
  <sheetFormatPr defaultRowHeight="15" x14ac:dyDescent="0.25"/>
  <cols>
    <col min="5" max="9" width="12.85546875" bestFit="1" customWidth="1"/>
    <col min="10" max="10" width="10.28515625" customWidth="1"/>
    <col min="11" max="11" width="12.85546875" bestFit="1" customWidth="1"/>
    <col min="12" max="12" width="9.140625" bestFit="1" customWidth="1"/>
    <col min="13" max="13" width="12.5703125" bestFit="1" customWidth="1"/>
    <col min="14" max="14" width="12.140625" customWidth="1"/>
  </cols>
  <sheetData>
    <row r="6" spans="8:15" x14ac:dyDescent="0.25">
      <c r="L6" t="s">
        <v>41</v>
      </c>
      <c r="M6" s="1" t="s">
        <v>40</v>
      </c>
      <c r="N6" t="s">
        <v>59</v>
      </c>
    </row>
    <row r="7" spans="8:15" x14ac:dyDescent="0.25">
      <c r="H7" t="s">
        <v>36</v>
      </c>
      <c r="I7" t="s">
        <v>38</v>
      </c>
      <c r="J7">
        <v>660</v>
      </c>
      <c r="L7">
        <f>AVERAGE(J8,J10)</f>
        <v>833.5</v>
      </c>
      <c r="M7" s="24">
        <v>4590</v>
      </c>
      <c r="N7" s="24">
        <f>L7*M7</f>
        <v>3825765</v>
      </c>
      <c r="O7" t="s">
        <v>60</v>
      </c>
    </row>
    <row r="8" spans="8:15" x14ac:dyDescent="0.25">
      <c r="I8" t="s">
        <v>39</v>
      </c>
      <c r="J8">
        <v>743</v>
      </c>
      <c r="N8" s="34">
        <f>E21</f>
        <v>162120.05895291912</v>
      </c>
      <c r="O8" s="2" t="s">
        <v>61</v>
      </c>
    </row>
    <row r="9" spans="8:15" x14ac:dyDescent="0.25">
      <c r="H9" s="54" t="s">
        <v>37</v>
      </c>
      <c r="I9" t="s">
        <v>38</v>
      </c>
      <c r="J9">
        <v>846</v>
      </c>
      <c r="N9" s="3">
        <f>SUM(N7:N8)</f>
        <v>3987885.0589529192</v>
      </c>
      <c r="O9" t="s">
        <v>44</v>
      </c>
    </row>
    <row r="10" spans="8:15" x14ac:dyDescent="0.25">
      <c r="I10" t="s">
        <v>39</v>
      </c>
      <c r="J10">
        <v>924</v>
      </c>
    </row>
    <row r="17" spans="3:11" x14ac:dyDescent="0.25">
      <c r="C17" t="s">
        <v>58</v>
      </c>
    </row>
    <row r="18" spans="3:11" x14ac:dyDescent="0.25">
      <c r="E18">
        <v>2024</v>
      </c>
      <c r="F18">
        <v>2024</v>
      </c>
      <c r="G18">
        <v>2024</v>
      </c>
      <c r="H18">
        <v>2024</v>
      </c>
      <c r="I18">
        <v>2024</v>
      </c>
      <c r="J18">
        <v>2024</v>
      </c>
      <c r="K18">
        <v>2024</v>
      </c>
    </row>
    <row r="19" spans="3:11" x14ac:dyDescent="0.25">
      <c r="D19" t="s">
        <v>55</v>
      </c>
      <c r="E19" s="24">
        <v>81060.02947645956</v>
      </c>
      <c r="F19" s="24">
        <v>81060.02947645956</v>
      </c>
      <c r="G19" s="24">
        <v>81060.02947645956</v>
      </c>
      <c r="H19" s="24">
        <v>81060.02947645956</v>
      </c>
      <c r="I19" s="24">
        <v>81060.02947645956</v>
      </c>
      <c r="J19" s="24">
        <v>81060.02947645956</v>
      </c>
      <c r="K19" s="24">
        <v>81060.02947645956</v>
      </c>
    </row>
    <row r="20" spans="3:11" x14ac:dyDescent="0.25">
      <c r="D20" t="s">
        <v>56</v>
      </c>
      <c r="E20" s="33">
        <v>81060.02947645956</v>
      </c>
      <c r="F20" s="33">
        <v>81060.02947645956</v>
      </c>
      <c r="G20" s="33">
        <v>81060.02947645956</v>
      </c>
      <c r="H20" s="33">
        <v>81060.02947645956</v>
      </c>
      <c r="I20" s="33">
        <v>81060.02947645956</v>
      </c>
      <c r="J20" s="33">
        <v>81060.02947645956</v>
      </c>
      <c r="K20" s="33">
        <v>81060.02947645956</v>
      </c>
    </row>
    <row r="21" spans="3:11" x14ac:dyDescent="0.25">
      <c r="D21" t="s">
        <v>57</v>
      </c>
      <c r="E21" s="3">
        <f>SUM(E19:E20)</f>
        <v>162120.05895291912</v>
      </c>
      <c r="F21" s="3">
        <f t="shared" ref="F21:K21" si="0">SUM(F19:F20)</f>
        <v>162120.05895291912</v>
      </c>
      <c r="G21" s="3">
        <f t="shared" si="0"/>
        <v>162120.05895291912</v>
      </c>
      <c r="H21" s="3">
        <f t="shared" si="0"/>
        <v>162120.05895291912</v>
      </c>
      <c r="I21" s="3">
        <f t="shared" si="0"/>
        <v>162120.05895291912</v>
      </c>
      <c r="J21" s="3">
        <f t="shared" si="0"/>
        <v>162120.05895291912</v>
      </c>
      <c r="K21" s="3">
        <f t="shared" si="0"/>
        <v>162120.05895291912</v>
      </c>
    </row>
  </sheetData>
  <pageMargins left="1" right="1" top="1" bottom="1.75" header="0.5" footer="0.5"/>
  <pageSetup orientation="landscape" r:id="rId1"/>
  <headerFooter scaleWithDoc="0">
    <oddFooter>&amp;R&amp;"Times New Roman,Bold"&amp;12 Case Nos. 2022-00402
Attachment to Response to JI-2 Question No. 85(a)
Page &amp;P of &amp;N
Jones/Isaacson
&amp;L&amp;1#&amp;"Calibri"&amp;14&amp;K000000Business Use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Jones, Tim</Witness_x0020_Testimony>
    <Year xmlns="65bfb563-8fe2-4d34-a09f-38a217d8feea">2022</Year>
    <Review_x0020_Case_x0020_Doc_x0020_Types xmlns="65bfb563-8fe2-4d34-a09f-38a217d8feea">2nd Data Request</Review_x0020_Case_x0020_Doc_x0020_Types>
    <Case_x0020__x0023_ xmlns="f789fa03-9022-4931-acb2-79f11ac92edf">2022-00402</Case_x0020__x0023_>
    <Data_x0020_Request_x0020_Party xmlns="f789fa03-9022-4931-acb2-79f11ac92edf">Joint Intervenors - Mountain Association, Metropolitan Housing Coalition, Kentuckians for the Commonwealth, and Kentucky Solar Energy Society – MA/MHC/KFTC/KYSES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6165A00E-053E-4CB5-A34B-C47B967056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1E5B8-D37C-4097-BA99-539F86904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F63C97-8FF6-466E-B86A-945FBE1EDBE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789fa03-9022-4931-acb2-79f11ac92edf"/>
    <ds:schemaRef ds:uri="http://schemas.microsoft.com/office/2006/metadata/properties"/>
    <ds:schemaRef ds:uri="http://purl.org/dc/terms/"/>
    <ds:schemaRef ds:uri="2ad705b9-adad-42ba-803b-2580de5ca47a"/>
    <ds:schemaRef ds:uri="65bfb563-8fe2-4d34-a09f-38a217d8fe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SAF</vt:lpstr>
      <vt:lpstr>Modify</vt:lpstr>
      <vt:lpstr>WeCare Adj Backup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Hayden, John</dc:creator>
  <cp:lastModifiedBy>Wimberly, Mary Ellen [Contractor]</cp:lastModifiedBy>
  <dcterms:created xsi:type="dcterms:W3CDTF">2022-10-02T14:53:15Z</dcterms:created>
  <dcterms:modified xsi:type="dcterms:W3CDTF">2023-05-01T19:01:00Z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0x010100AB9E08D0A401274E8CF9B547F14148CC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2023-05-01T19:00:59Z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6c31cec2-d1fa-4226-8917-78601dc77bc2</vt:lpwstr>
  </property>
  <property fmtid="{D5CDD505-2E9C-101B-9397-08002B2CF9AE}" pid="9" name="MSIP_Label_0adee1c6-0c13-46fe-9f7d-d5b32ad2c571_ContentBits">
    <vt:lpwstr>2</vt:lpwstr>
  </property>
</Properties>
</file>