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McKinney WD/"/>
    </mc:Choice>
  </mc:AlternateContent>
  <xr:revisionPtr revIDLastSave="54" documentId="8_{10B383AE-F065-4A39-B45E-A8DD06D7A406}" xr6:coauthVersionLast="47" xr6:coauthVersionMax="47" xr10:uidLastSave="{7CC1879F-7CA6-45F0-96FE-2EDDF48D0D61}"/>
  <bookViews>
    <workbookView xWindow="-98" yWindow="-98" windowWidth="20715" windowHeight="13155" activeTab="1" xr2:uid="{00000000-000D-0000-FFFF-FFFF00000000}"/>
  </bookViews>
  <sheets>
    <sheet name="SAO" sheetId="6" r:id="rId1"/>
    <sheet name="Wages" sheetId="55" r:id="rId2"/>
    <sheet name="Depreciation" sheetId="51" r:id="rId3"/>
    <sheet name="Debt Service" sheetId="50" r:id="rId4"/>
    <sheet name="Capital" sheetId="56" r:id="rId5"/>
    <sheet name="Water Loss" sheetId="54" r:id="rId6"/>
    <sheet name="Rates DSC" sheetId="2" r:id="rId7"/>
    <sheet name="Rates ORM" sheetId="58" r:id="rId8"/>
    <sheet name="Bills DSC" sheetId="42" r:id="rId9"/>
    <sheet name="Bills ORM" sheetId="59" r:id="rId10"/>
    <sheet name="Bills w Surcharge DSC" sheetId="57" r:id="rId11"/>
    <sheet name="Bills w Surcharge ORM" sheetId="60" r:id="rId12"/>
    <sheet name="ExBA" sheetId="52" r:id="rId13"/>
    <sheet name="PrBA" sheetId="53" r:id="rId14"/>
  </sheets>
  <definedNames>
    <definedName name="AHV">#REF!</definedName>
    <definedName name="_xlnm.Print_Area" localSheetId="8">'Bills DSC'!$B$1:$I$29</definedName>
    <definedName name="_xlnm.Print_Area" localSheetId="9">'Bills ORM'!$B$1:$I$29</definedName>
    <definedName name="_xlnm.Print_Area" localSheetId="3">'Debt Service'!$A$1:$O$26</definedName>
    <definedName name="_xlnm.Print_Area" localSheetId="2">Depreciation!$A$1:$L$47</definedName>
    <definedName name="_xlnm.Print_Area" localSheetId="12">ExBA!$A$1:$L$59</definedName>
    <definedName name="_xlnm.Print_Area" localSheetId="13">PrBA!$A$1:$L$58</definedName>
    <definedName name="_xlnm.Print_Area" localSheetId="6">'Rates DSC'!$A$1:$K$27</definedName>
    <definedName name="_xlnm.Print_Area" localSheetId="7">'Rates ORM'!$A$1:$K$27</definedName>
    <definedName name="_xlnm.Print_Area" localSheetId="0">SAO!$A$48:$G$72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55" l="1"/>
  <c r="I27" i="55"/>
  <c r="I26" i="55"/>
  <c r="G39" i="6"/>
  <c r="B30" i="54"/>
  <c r="D50" i="53"/>
  <c r="C50" i="53"/>
  <c r="D49" i="53"/>
  <c r="C49" i="53"/>
  <c r="D35" i="53"/>
  <c r="C35" i="53"/>
  <c r="D34" i="53"/>
  <c r="C34" i="53"/>
  <c r="D33" i="53"/>
  <c r="C33" i="53"/>
  <c r="E26" i="60"/>
  <c r="E25" i="60"/>
  <c r="E24" i="60"/>
  <c r="E23" i="60"/>
  <c r="E22" i="60"/>
  <c r="E21" i="60"/>
  <c r="E20" i="60"/>
  <c r="E19" i="60"/>
  <c r="E18" i="60"/>
  <c r="E17" i="60"/>
  <c r="E16" i="60"/>
  <c r="E15" i="60"/>
  <c r="E14" i="60"/>
  <c r="E13" i="60"/>
  <c r="E12" i="60"/>
  <c r="E11" i="60"/>
  <c r="E26" i="59"/>
  <c r="E25" i="59"/>
  <c r="E24" i="59"/>
  <c r="E23" i="59"/>
  <c r="E22" i="59"/>
  <c r="E21" i="59"/>
  <c r="E20" i="59"/>
  <c r="E19" i="59"/>
  <c r="E18" i="59"/>
  <c r="E17" i="59"/>
  <c r="E16" i="59"/>
  <c r="E15" i="59"/>
  <c r="E14" i="59"/>
  <c r="E13" i="59"/>
  <c r="E12" i="59"/>
  <c r="E11" i="59"/>
  <c r="E35" i="6"/>
  <c r="E34" i="6"/>
  <c r="E30" i="6"/>
  <c r="E38" i="6"/>
  <c r="E29" i="6"/>
  <c r="G13" i="55"/>
  <c r="H13" i="55"/>
  <c r="E14" i="55"/>
  <c r="D14" i="55"/>
  <c r="H12" i="55"/>
  <c r="G12" i="55"/>
  <c r="I33" i="55"/>
  <c r="E19" i="6"/>
  <c r="I13" i="55" l="1"/>
  <c r="I12" i="55"/>
  <c r="E42" i="6"/>
  <c r="G42" i="6" s="1"/>
  <c r="J14" i="51"/>
  <c r="F14" i="51"/>
  <c r="F11" i="51"/>
  <c r="H28" i="51"/>
  <c r="F28" i="51"/>
  <c r="J27" i="51"/>
  <c r="F27" i="51"/>
  <c r="J30" i="51"/>
  <c r="K30" i="51" s="1"/>
  <c r="K29" i="51"/>
  <c r="J29" i="51"/>
  <c r="F30" i="51"/>
  <c r="F33" i="51"/>
  <c r="F24" i="51"/>
  <c r="F34" i="51"/>
  <c r="F10" i="51"/>
  <c r="D18" i="53"/>
  <c r="D17" i="53"/>
  <c r="D16" i="53"/>
  <c r="D15" i="53"/>
  <c r="C24" i="53"/>
  <c r="C18" i="53"/>
  <c r="C17" i="53"/>
  <c r="C16" i="53"/>
  <c r="C15" i="53"/>
  <c r="E28" i="6"/>
  <c r="G29" i="6" s="1"/>
  <c r="F4" i="52"/>
  <c r="D36" i="54"/>
  <c r="D33" i="52"/>
  <c r="D17" i="52"/>
  <c r="E4" i="52"/>
  <c r="C33" i="52"/>
  <c r="C17" i="52"/>
  <c r="L15" i="50"/>
  <c r="J15" i="50"/>
  <c r="H15" i="50"/>
  <c r="F15" i="50"/>
  <c r="D15" i="50"/>
  <c r="L14" i="50"/>
  <c r="J14" i="50"/>
  <c r="H14" i="50"/>
  <c r="F14" i="50"/>
  <c r="D14" i="50"/>
  <c r="L13" i="50"/>
  <c r="J13" i="50"/>
  <c r="H13" i="50"/>
  <c r="F13" i="50"/>
  <c r="D13" i="50"/>
  <c r="L12" i="50"/>
  <c r="J12" i="50"/>
  <c r="H12" i="50"/>
  <c r="F12" i="50"/>
  <c r="D12" i="50"/>
  <c r="L16" i="50" l="1"/>
  <c r="K16" i="50"/>
  <c r="J16" i="50"/>
  <c r="I16" i="50"/>
  <c r="H16" i="50"/>
  <c r="G16" i="50"/>
  <c r="F16" i="50"/>
  <c r="E16" i="50"/>
  <c r="D16" i="50"/>
  <c r="C16" i="50"/>
  <c r="M14" i="50"/>
  <c r="M13" i="50"/>
  <c r="M12" i="50"/>
  <c r="D36" i="6"/>
  <c r="E36" i="6" s="1"/>
  <c r="D32" i="6"/>
  <c r="E57" i="52"/>
  <c r="F57" i="52" s="1"/>
  <c r="E56" i="52"/>
  <c r="D51" i="53"/>
  <c r="C51" i="53"/>
  <c r="C56" i="53" s="1"/>
  <c r="C58" i="53" s="1"/>
  <c r="E50" i="53"/>
  <c r="F50" i="53" s="1"/>
  <c r="E49" i="53"/>
  <c r="G49" i="53" s="1"/>
  <c r="F48" i="53"/>
  <c r="E48" i="53"/>
  <c r="F47" i="53"/>
  <c r="E47" i="53"/>
  <c r="D36" i="53"/>
  <c r="C36" i="53"/>
  <c r="C41" i="53" s="1"/>
  <c r="C44" i="53" s="1"/>
  <c r="F35" i="53"/>
  <c r="E35" i="53"/>
  <c r="E34" i="53"/>
  <c r="F34" i="53" s="1"/>
  <c r="H33" i="53"/>
  <c r="E33" i="53"/>
  <c r="E36" i="53" s="1"/>
  <c r="D41" i="53" s="1"/>
  <c r="G32" i="53"/>
  <c r="F32" i="53"/>
  <c r="E32" i="53"/>
  <c r="G31" i="53"/>
  <c r="F31" i="53"/>
  <c r="E31" i="53"/>
  <c r="D19" i="53"/>
  <c r="C19" i="53"/>
  <c r="C28" i="53" s="1"/>
  <c r="E4" i="53" s="1"/>
  <c r="G18" i="53"/>
  <c r="F18" i="53"/>
  <c r="E18" i="53"/>
  <c r="F17" i="53"/>
  <c r="E17" i="53"/>
  <c r="G17" i="53" s="1"/>
  <c r="G19" i="53" s="1"/>
  <c r="D26" i="53" s="1"/>
  <c r="E16" i="53"/>
  <c r="I15" i="53"/>
  <c r="E15" i="53"/>
  <c r="H14" i="53"/>
  <c r="G14" i="53"/>
  <c r="F14" i="53"/>
  <c r="E14" i="53"/>
  <c r="H13" i="53"/>
  <c r="G13" i="53"/>
  <c r="F13" i="53"/>
  <c r="E13" i="53"/>
  <c r="F50" i="52"/>
  <c r="D51" i="52"/>
  <c r="C51" i="52"/>
  <c r="C56" i="52" s="1"/>
  <c r="C58" i="52" s="1"/>
  <c r="E50" i="52"/>
  <c r="E49" i="52"/>
  <c r="F48" i="52"/>
  <c r="E48" i="52"/>
  <c r="F47" i="52"/>
  <c r="E47" i="52"/>
  <c r="E43" i="52"/>
  <c r="F43" i="52" s="1"/>
  <c r="E42" i="52"/>
  <c r="F42" i="52" s="1"/>
  <c r="E41" i="52"/>
  <c r="E26" i="52"/>
  <c r="F26" i="52" s="1"/>
  <c r="D36" i="52"/>
  <c r="C36" i="52"/>
  <c r="C41" i="52" s="1"/>
  <c r="C44" i="52" s="1"/>
  <c r="F35" i="52"/>
  <c r="E35" i="52"/>
  <c r="E34" i="52"/>
  <c r="E33" i="52"/>
  <c r="H33" i="52" s="1"/>
  <c r="G32" i="52"/>
  <c r="F32" i="52"/>
  <c r="E32" i="52"/>
  <c r="G31" i="52"/>
  <c r="F31" i="52"/>
  <c r="E31" i="52"/>
  <c r="E26" i="57"/>
  <c r="E25" i="57"/>
  <c r="E24" i="57"/>
  <c r="E23" i="57"/>
  <c r="E22" i="57"/>
  <c r="E21" i="57"/>
  <c r="E20" i="57"/>
  <c r="E19" i="57"/>
  <c r="E18" i="57"/>
  <c r="E17" i="57"/>
  <c r="E16" i="57"/>
  <c r="E15" i="57"/>
  <c r="E14" i="57"/>
  <c r="E13" i="57"/>
  <c r="E12" i="57"/>
  <c r="E11" i="57"/>
  <c r="E18" i="42"/>
  <c r="E17" i="42"/>
  <c r="E26" i="42"/>
  <c r="E25" i="42"/>
  <c r="E24" i="42"/>
  <c r="E23" i="42"/>
  <c r="E22" i="42"/>
  <c r="E21" i="42"/>
  <c r="E20" i="42"/>
  <c r="E19" i="42"/>
  <c r="E16" i="42"/>
  <c r="E14" i="42"/>
  <c r="E15" i="42"/>
  <c r="E13" i="42"/>
  <c r="E12" i="42"/>
  <c r="E11" i="42"/>
  <c r="B5" i="50"/>
  <c r="C5" i="51"/>
  <c r="E32" i="6" l="1"/>
  <c r="D40" i="6"/>
  <c r="E51" i="53"/>
  <c r="D56" i="53" s="1"/>
  <c r="H18" i="53"/>
  <c r="E19" i="53"/>
  <c r="D24" i="53" s="1"/>
  <c r="M24" i="50"/>
  <c r="M26" i="50" s="1"/>
  <c r="G65" i="6" s="1"/>
  <c r="F36" i="53"/>
  <c r="D42" i="53" s="1"/>
  <c r="H34" i="53"/>
  <c r="F51" i="53"/>
  <c r="D57" i="53" s="1"/>
  <c r="G50" i="53"/>
  <c r="G51" i="53" s="1"/>
  <c r="I18" i="53"/>
  <c r="H19" i="53"/>
  <c r="D27" i="53" s="1"/>
  <c r="I17" i="53"/>
  <c r="G35" i="53"/>
  <c r="G36" i="53" s="1"/>
  <c r="D43" i="53" s="1"/>
  <c r="F16" i="53"/>
  <c r="F19" i="53" s="1"/>
  <c r="D25" i="53" s="1"/>
  <c r="G35" i="52"/>
  <c r="G36" i="52" s="1"/>
  <c r="D43" i="52" s="1"/>
  <c r="F51" i="52"/>
  <c r="D57" i="52" s="1"/>
  <c r="G50" i="52"/>
  <c r="E51" i="52"/>
  <c r="D56" i="52" s="1"/>
  <c r="F56" i="52"/>
  <c r="G49" i="52"/>
  <c r="F41" i="52"/>
  <c r="E36" i="52"/>
  <c r="D41" i="52" s="1"/>
  <c r="F34" i="52"/>
  <c r="F36" i="52" s="1"/>
  <c r="D42" i="52" s="1"/>
  <c r="D44" i="53" l="1"/>
  <c r="I16" i="53"/>
  <c r="I19" i="53" s="1"/>
  <c r="D28" i="53"/>
  <c r="F4" i="53" s="1"/>
  <c r="H35" i="53"/>
  <c r="H36" i="53" s="1"/>
  <c r="D58" i="53"/>
  <c r="F58" i="52"/>
  <c r="G51" i="52"/>
  <c r="D58" i="52"/>
  <c r="H35" i="52"/>
  <c r="F44" i="52"/>
  <c r="H34" i="52"/>
  <c r="D44" i="52"/>
  <c r="E15" i="52"/>
  <c r="I15" i="52" s="1"/>
  <c r="E17" i="52"/>
  <c r="E16" i="52"/>
  <c r="G7" i="52"/>
  <c r="E27" i="52"/>
  <c r="F27" i="52" s="1"/>
  <c r="E25" i="52"/>
  <c r="F25" i="52" s="1"/>
  <c r="E24" i="52"/>
  <c r="H14" i="52"/>
  <c r="G14" i="52"/>
  <c r="F14" i="52"/>
  <c r="E14" i="52"/>
  <c r="H13" i="52"/>
  <c r="G13" i="52"/>
  <c r="F13" i="52"/>
  <c r="E13" i="52"/>
  <c r="G8" i="55"/>
  <c r="G11" i="55"/>
  <c r="H11" i="55"/>
  <c r="G10" i="55"/>
  <c r="G9" i="55"/>
  <c r="H10" i="55"/>
  <c r="H9" i="55"/>
  <c r="H8" i="55"/>
  <c r="H7" i="55"/>
  <c r="G7" i="55"/>
  <c r="H6" i="55"/>
  <c r="G6" i="55"/>
  <c r="G32" i="6"/>
  <c r="G12" i="6"/>
  <c r="G8" i="6"/>
  <c r="B31" i="54"/>
  <c r="D31" i="54" s="1"/>
  <c r="D30" i="54"/>
  <c r="E26" i="6" s="1"/>
  <c r="G26" i="6" s="1"/>
  <c r="B29" i="54"/>
  <c r="D29" i="54" s="1"/>
  <c r="E24" i="6" s="1"/>
  <c r="H36" i="52" l="1"/>
  <c r="F17" i="52"/>
  <c r="G17" i="52" s="1"/>
  <c r="F16" i="52"/>
  <c r="I16" i="52" s="1"/>
  <c r="E18" i="52"/>
  <c r="F18" i="52"/>
  <c r="G18" i="52"/>
  <c r="C19" i="52"/>
  <c r="C24" i="52" s="1"/>
  <c r="C28" i="52" s="1"/>
  <c r="D19" i="52"/>
  <c r="I11" i="55"/>
  <c r="I7" i="55"/>
  <c r="I6" i="55"/>
  <c r="I10" i="55"/>
  <c r="I9" i="55"/>
  <c r="I8" i="55"/>
  <c r="B32" i="54"/>
  <c r="G31" i="6"/>
  <c r="G30" i="6"/>
  <c r="H18" i="52" l="1"/>
  <c r="H19" i="52" s="1"/>
  <c r="D27" i="52" s="1"/>
  <c r="G19" i="52"/>
  <c r="D26" i="52" s="1"/>
  <c r="I17" i="52"/>
  <c r="F19" i="52"/>
  <c r="D25" i="52" s="1"/>
  <c r="E19" i="52"/>
  <c r="D24" i="52" s="1"/>
  <c r="F24" i="52"/>
  <c r="A31" i="54"/>
  <c r="A30" i="54"/>
  <c r="A29" i="54"/>
  <c r="F28" i="52" l="1"/>
  <c r="G4" i="52" s="1"/>
  <c r="G6" i="52" s="1"/>
  <c r="I18" i="52"/>
  <c r="F44" i="51"/>
  <c r="J19" i="51"/>
  <c r="J18" i="51"/>
  <c r="J42" i="51"/>
  <c r="J23" i="51"/>
  <c r="K23" i="51" s="1"/>
  <c r="G8" i="52" l="1"/>
  <c r="G9" i="52" s="1"/>
  <c r="I19" i="52"/>
  <c r="D28" i="52"/>
  <c r="K19" i="51"/>
  <c r="K18" i="51"/>
  <c r="K42" i="51"/>
  <c r="C6" i="56"/>
  <c r="C5" i="56"/>
  <c r="I22" i="55"/>
  <c r="H5" i="55"/>
  <c r="H14" i="55" s="1"/>
  <c r="C20" i="54"/>
  <c r="C13" i="54"/>
  <c r="C4" i="54"/>
  <c r="G6" i="6" l="1"/>
  <c r="D24" i="54"/>
  <c r="D26" i="54" s="1"/>
  <c r="C21" i="54"/>
  <c r="G5" i="55"/>
  <c r="G14" i="55" s="1"/>
  <c r="G56" i="6" l="1"/>
  <c r="G70" i="6"/>
  <c r="I5" i="55"/>
  <c r="I14" i="55" s="1"/>
  <c r="D32" i="54" l="1"/>
  <c r="H44" i="51"/>
  <c r="J41" i="51"/>
  <c r="K41" i="51" s="1"/>
  <c r="J38" i="51"/>
  <c r="K38" i="51" s="1"/>
  <c r="J35" i="51"/>
  <c r="K35" i="51" s="1"/>
  <c r="J34" i="51"/>
  <c r="K34" i="51" s="1"/>
  <c r="J33" i="51"/>
  <c r="K33" i="51" s="1"/>
  <c r="J32" i="51"/>
  <c r="K32" i="51" s="1"/>
  <c r="J31" i="51"/>
  <c r="K31" i="51" s="1"/>
  <c r="J28" i="51"/>
  <c r="K28" i="51" s="1"/>
  <c r="K27" i="51"/>
  <c r="J24" i="51"/>
  <c r="K24" i="51" s="1"/>
  <c r="J22" i="51"/>
  <c r="K22" i="51" s="1"/>
  <c r="J15" i="51"/>
  <c r="K15" i="51" s="1"/>
  <c r="K14" i="51"/>
  <c r="J13" i="51"/>
  <c r="K13" i="51" s="1"/>
  <c r="J12" i="51"/>
  <c r="K12" i="51" s="1"/>
  <c r="J11" i="51"/>
  <c r="K11" i="51" s="1"/>
  <c r="J10" i="51"/>
  <c r="K10" i="51" s="1"/>
  <c r="M15" i="50"/>
  <c r="M16" i="50" s="1"/>
  <c r="I16" i="55" l="1"/>
  <c r="I21" i="55" s="1"/>
  <c r="I23" i="55" s="1"/>
  <c r="I35" i="55"/>
  <c r="I37" i="55" s="1"/>
  <c r="G23" i="6" s="1"/>
  <c r="D35" i="54"/>
  <c r="D37" i="54" s="1"/>
  <c r="K44" i="51"/>
  <c r="J44" i="51"/>
  <c r="P16" i="50"/>
  <c r="M19" i="50"/>
  <c r="G50" i="6" s="1"/>
  <c r="F25" i="2" l="1"/>
  <c r="H25" i="2" s="1"/>
  <c r="F25" i="58"/>
  <c r="H25" i="58" s="1"/>
  <c r="E18" i="6"/>
  <c r="I25" i="55"/>
  <c r="I31" i="55" s="1"/>
  <c r="E43" i="6" s="1"/>
  <c r="M21" i="50"/>
  <c r="G51" i="6" s="1"/>
  <c r="G19" i="6" l="1"/>
  <c r="E40" i="6"/>
  <c r="E44" i="6" s="1"/>
  <c r="E46" i="6" s="1"/>
  <c r="P21" i="50"/>
  <c r="G43" i="6"/>
  <c r="G37" i="6"/>
  <c r="G36" i="6"/>
  <c r="G35" i="6"/>
  <c r="G34" i="6"/>
  <c r="G33" i="6"/>
  <c r="G27" i="6"/>
  <c r="G24" i="6"/>
  <c r="G20" i="6"/>
  <c r="G7" i="6"/>
  <c r="G40" i="6" l="1"/>
  <c r="G13" i="6"/>
  <c r="G11" i="6" l="1"/>
  <c r="G67" i="6" s="1"/>
  <c r="D14" i="6"/>
  <c r="G53" i="6" l="1"/>
  <c r="D44" i="6"/>
  <c r="G44" i="6" l="1"/>
  <c r="G14" i="6"/>
  <c r="D46" i="6"/>
  <c r="G49" i="6" l="1"/>
  <c r="G46" i="6"/>
  <c r="G52" i="6" l="1"/>
  <c r="G62" i="6"/>
  <c r="G64" i="6" s="1"/>
  <c r="G66" i="6" s="1"/>
  <c r="G55" i="6" l="1"/>
  <c r="G7" i="53" s="1"/>
  <c r="G69" i="6"/>
  <c r="G71" i="6" s="1"/>
  <c r="G72" i="6" s="1"/>
  <c r="F14" i="58" l="1"/>
  <c r="H14" i="58" s="1"/>
  <c r="I14" i="58" s="1"/>
  <c r="F18" i="58"/>
  <c r="H18" i="58" s="1"/>
  <c r="I18" i="58" s="1"/>
  <c r="F13" i="58"/>
  <c r="H13" i="58" s="1"/>
  <c r="I13" i="58" s="1"/>
  <c r="F12" i="58"/>
  <c r="H12" i="58" s="1"/>
  <c r="I12" i="58" s="1"/>
  <c r="F23" i="58"/>
  <c r="H23" i="58" s="1"/>
  <c r="I23" i="58" s="1"/>
  <c r="F11" i="58"/>
  <c r="F19" i="58"/>
  <c r="H19" i="58" s="1"/>
  <c r="I19" i="58" s="1"/>
  <c r="G57" i="6"/>
  <c r="G59" i="6" s="1"/>
  <c r="F13" i="2" s="1"/>
  <c r="E26" i="53" s="1"/>
  <c r="F26" i="53" s="1"/>
  <c r="F15" i="60" l="1"/>
  <c r="G15" i="60" s="1"/>
  <c r="H15" i="60" s="1"/>
  <c r="F11" i="60"/>
  <c r="G11" i="60" s="1"/>
  <c r="H11" i="60" s="1"/>
  <c r="F13" i="60"/>
  <c r="G13" i="60" s="1"/>
  <c r="H13" i="60" s="1"/>
  <c r="F12" i="59"/>
  <c r="G12" i="59" s="1"/>
  <c r="H12" i="59" s="1"/>
  <c r="F12" i="60"/>
  <c r="G12" i="60" s="1"/>
  <c r="H12" i="60" s="1"/>
  <c r="F18" i="59"/>
  <c r="G18" i="59" s="1"/>
  <c r="H18" i="59" s="1"/>
  <c r="F14" i="59"/>
  <c r="G14" i="59" s="1"/>
  <c r="H14" i="59" s="1"/>
  <c r="F15" i="59"/>
  <c r="G15" i="59" s="1"/>
  <c r="H15" i="59" s="1"/>
  <c r="F18" i="60"/>
  <c r="G18" i="60" s="1"/>
  <c r="H18" i="60" s="1"/>
  <c r="F14" i="60"/>
  <c r="G14" i="60" s="1"/>
  <c r="H14" i="60" s="1"/>
  <c r="F11" i="59"/>
  <c r="G11" i="59" s="1"/>
  <c r="H11" i="59" s="1"/>
  <c r="F17" i="59"/>
  <c r="G17" i="59" s="1"/>
  <c r="H17" i="59" s="1"/>
  <c r="F13" i="59"/>
  <c r="G13" i="59" s="1"/>
  <c r="H13" i="59" s="1"/>
  <c r="F16" i="59"/>
  <c r="G16" i="59" s="1"/>
  <c r="H16" i="59" s="1"/>
  <c r="F16" i="60"/>
  <c r="G16" i="60" s="1"/>
  <c r="H16" i="60" s="1"/>
  <c r="F17" i="60"/>
  <c r="G17" i="60" s="1"/>
  <c r="H17" i="60" s="1"/>
  <c r="F17" i="58"/>
  <c r="H11" i="58"/>
  <c r="I11" i="58" s="1"/>
  <c r="F12" i="2"/>
  <c r="E25" i="53" s="1"/>
  <c r="F25" i="53" s="1"/>
  <c r="F19" i="2"/>
  <c r="E43" i="53" s="1"/>
  <c r="F43" i="53" s="1"/>
  <c r="F14" i="2"/>
  <c r="E27" i="53" s="1"/>
  <c r="F27" i="53" s="1"/>
  <c r="F23" i="2"/>
  <c r="E57" i="53" s="1"/>
  <c r="F57" i="53" s="1"/>
  <c r="F18" i="2"/>
  <c r="E42" i="53" s="1"/>
  <c r="F42" i="53" s="1"/>
  <c r="F11" i="2"/>
  <c r="E24" i="53" s="1"/>
  <c r="F24" i="53" s="1"/>
  <c r="H13" i="2"/>
  <c r="I13" i="2" s="1"/>
  <c r="H17" i="58" l="1"/>
  <c r="I17" i="58" s="1"/>
  <c r="F19" i="60"/>
  <c r="G19" i="60" s="1"/>
  <c r="H19" i="60" s="1"/>
  <c r="F22" i="59"/>
  <c r="G22" i="59" s="1"/>
  <c r="H22" i="59" s="1"/>
  <c r="F22" i="60"/>
  <c r="G22" i="60" s="1"/>
  <c r="H22" i="60" s="1"/>
  <c r="F20" i="59"/>
  <c r="G20" i="59" s="1"/>
  <c r="H20" i="59" s="1"/>
  <c r="F21" i="59"/>
  <c r="G21" i="59" s="1"/>
  <c r="H21" i="59" s="1"/>
  <c r="F20" i="60"/>
  <c r="G20" i="60" s="1"/>
  <c r="H20" i="60" s="1"/>
  <c r="F19" i="59"/>
  <c r="G19" i="59" s="1"/>
  <c r="H19" i="59" s="1"/>
  <c r="F21" i="60"/>
  <c r="G21" i="60" s="1"/>
  <c r="H21" i="60" s="1"/>
  <c r="F22" i="58"/>
  <c r="H12" i="2"/>
  <c r="I12" i="2" s="1"/>
  <c r="F28" i="53"/>
  <c r="G4" i="53" s="1"/>
  <c r="G6" i="53" s="1"/>
  <c r="G8" i="53" s="1"/>
  <c r="G9" i="53" s="1"/>
  <c r="H19" i="2"/>
  <c r="I19" i="2" s="1"/>
  <c r="H11" i="2"/>
  <c r="I11" i="2" s="1"/>
  <c r="F11" i="57"/>
  <c r="G11" i="57" s="1"/>
  <c r="H11" i="57" s="1"/>
  <c r="H14" i="2"/>
  <c r="I14" i="2" s="1"/>
  <c r="F12" i="42"/>
  <c r="G12" i="42" s="1"/>
  <c r="H12" i="42" s="1"/>
  <c r="H23" i="2"/>
  <c r="I23" i="2" s="1"/>
  <c r="F14" i="42"/>
  <c r="G14" i="42" s="1"/>
  <c r="H14" i="42" s="1"/>
  <c r="F16" i="57"/>
  <c r="G16" i="57" s="1"/>
  <c r="H16" i="57" s="1"/>
  <c r="F14" i="57"/>
  <c r="G14" i="57" s="1"/>
  <c r="H14" i="57" s="1"/>
  <c r="H18" i="2"/>
  <c r="I18" i="2" s="1"/>
  <c r="F17" i="42"/>
  <c r="G17" i="42" s="1"/>
  <c r="H17" i="42" s="1"/>
  <c r="F18" i="42"/>
  <c r="G18" i="42" s="1"/>
  <c r="H18" i="42" s="1"/>
  <c r="F13" i="42"/>
  <c r="G13" i="42" s="1"/>
  <c r="H13" i="42" s="1"/>
  <c r="F17" i="2"/>
  <c r="F19" i="42" s="1"/>
  <c r="G19" i="42" s="1"/>
  <c r="H19" i="42" s="1"/>
  <c r="F13" i="57"/>
  <c r="G13" i="57" s="1"/>
  <c r="H13" i="57" s="1"/>
  <c r="F17" i="57"/>
  <c r="G17" i="57" s="1"/>
  <c r="H17" i="57" s="1"/>
  <c r="F12" i="57"/>
  <c r="G12" i="57" s="1"/>
  <c r="H12" i="57" s="1"/>
  <c r="F15" i="42"/>
  <c r="G15" i="42" s="1"/>
  <c r="H15" i="42" s="1"/>
  <c r="F16" i="42"/>
  <c r="G16" i="42" s="1"/>
  <c r="H16" i="42" s="1"/>
  <c r="F18" i="57"/>
  <c r="G18" i="57" s="1"/>
  <c r="H18" i="57" s="1"/>
  <c r="F11" i="42"/>
  <c r="G11" i="42" s="1"/>
  <c r="H11" i="42" s="1"/>
  <c r="F15" i="57"/>
  <c r="G15" i="57" s="1"/>
  <c r="H15" i="57" s="1"/>
  <c r="H22" i="58" l="1"/>
  <c r="I22" i="58" s="1"/>
  <c r="F23" i="60"/>
  <c r="G23" i="60" s="1"/>
  <c r="H23" i="60" s="1"/>
  <c r="F26" i="59"/>
  <c r="G26" i="59" s="1"/>
  <c r="H26" i="59" s="1"/>
  <c r="F26" i="60"/>
  <c r="G26" i="60" s="1"/>
  <c r="H26" i="60" s="1"/>
  <c r="F24" i="60"/>
  <c r="G24" i="60" s="1"/>
  <c r="H24" i="60" s="1"/>
  <c r="F23" i="59"/>
  <c r="G23" i="59" s="1"/>
  <c r="H23" i="59" s="1"/>
  <c r="F25" i="59"/>
  <c r="G25" i="59" s="1"/>
  <c r="H25" i="59" s="1"/>
  <c r="F25" i="60"/>
  <c r="G25" i="60" s="1"/>
  <c r="H25" i="60" s="1"/>
  <c r="F24" i="59"/>
  <c r="G24" i="59" s="1"/>
  <c r="H24" i="59" s="1"/>
  <c r="F21" i="42"/>
  <c r="G21" i="42" s="1"/>
  <c r="H21" i="42" s="1"/>
  <c r="F21" i="57"/>
  <c r="G21" i="57" s="1"/>
  <c r="H21" i="57" s="1"/>
  <c r="F19" i="57"/>
  <c r="G19" i="57" s="1"/>
  <c r="H19" i="57" s="1"/>
  <c r="F20" i="42"/>
  <c r="G20" i="42" s="1"/>
  <c r="H20" i="42" s="1"/>
  <c r="F22" i="57"/>
  <c r="G22" i="57" s="1"/>
  <c r="H22" i="57" s="1"/>
  <c r="F20" i="57"/>
  <c r="G20" i="57" s="1"/>
  <c r="H20" i="57" s="1"/>
  <c r="E41" i="53"/>
  <c r="F41" i="53" s="1"/>
  <c r="F44" i="53" s="1"/>
  <c r="F22" i="2"/>
  <c r="E56" i="53" s="1"/>
  <c r="F56" i="53" s="1"/>
  <c r="F58" i="53" s="1"/>
  <c r="H17" i="2"/>
  <c r="I17" i="2" s="1"/>
  <c r="F22" i="42"/>
  <c r="G22" i="42" s="1"/>
  <c r="H22" i="42" s="1"/>
  <c r="H22" i="2" l="1"/>
  <c r="I22" i="2" s="1"/>
  <c r="F24" i="57"/>
  <c r="G24" i="57" s="1"/>
  <c r="H24" i="57" s="1"/>
  <c r="F26" i="42"/>
  <c r="G26" i="42" s="1"/>
  <c r="H26" i="42" s="1"/>
  <c r="F24" i="42"/>
  <c r="G24" i="42" s="1"/>
  <c r="H24" i="42" s="1"/>
  <c r="F23" i="57"/>
  <c r="G23" i="57" s="1"/>
  <c r="H23" i="57" s="1"/>
  <c r="F23" i="42"/>
  <c r="G23" i="42" s="1"/>
  <c r="H23" i="42" s="1"/>
  <c r="F25" i="57"/>
  <c r="G25" i="57" s="1"/>
  <c r="H25" i="57" s="1"/>
  <c r="F26" i="57"/>
  <c r="G26" i="57" s="1"/>
  <c r="H26" i="57" s="1"/>
  <c r="F25" i="42"/>
  <c r="G25" i="42" s="1"/>
  <c r="H25" i="42" s="1"/>
</calcChain>
</file>

<file path=xl/sharedStrings.xml><?xml version="1.0" encoding="utf-8"?>
<sst xmlns="http://schemas.openxmlformats.org/spreadsheetml/2006/main" count="679" uniqueCount="295">
  <si>
    <t>Total Operating Expenses</t>
  </si>
  <si>
    <t>Taxes Other Than Income</t>
  </si>
  <si>
    <t>Salaries and Wages - Employees</t>
  </si>
  <si>
    <t>Salaries and Wages - Officers</t>
  </si>
  <si>
    <t>Employee Pensions and Benefits</t>
  </si>
  <si>
    <t>Purchased Water</t>
  </si>
  <si>
    <t>Purchased Power</t>
  </si>
  <si>
    <t>Materials and Supplies</t>
  </si>
  <si>
    <t>Miscellaneous Expenses</t>
  </si>
  <si>
    <t>Transportation Expenses</t>
  </si>
  <si>
    <t>Proposed</t>
  </si>
  <si>
    <t>Interest Income</t>
  </si>
  <si>
    <t>Total</t>
  </si>
  <si>
    <t>Gallons</t>
  </si>
  <si>
    <t>Operating Revenues</t>
  </si>
  <si>
    <t>Sales for Resale</t>
  </si>
  <si>
    <t>Other Water Revenues:</t>
  </si>
  <si>
    <t>Misc. Service Revenues</t>
  </si>
  <si>
    <t>Total Operating Revenues</t>
  </si>
  <si>
    <t>Operating Expenses</t>
  </si>
  <si>
    <t>Depreciation Expense</t>
  </si>
  <si>
    <t>Plus:</t>
  </si>
  <si>
    <t>Less:</t>
  </si>
  <si>
    <t>Other Operating Revenue</t>
  </si>
  <si>
    <t>Existing</t>
  </si>
  <si>
    <t>Change</t>
  </si>
  <si>
    <t>1"</t>
  </si>
  <si>
    <t>2"</t>
  </si>
  <si>
    <t>Table A</t>
  </si>
  <si>
    <t>SCHEDULE OF ADJUSTED OPERATIONS</t>
  </si>
  <si>
    <t>Test Year</t>
  </si>
  <si>
    <t>Adjustments</t>
  </si>
  <si>
    <t>Ref.</t>
  </si>
  <si>
    <t>Proforma</t>
  </si>
  <si>
    <t>Operation and Maintenance</t>
  </si>
  <si>
    <t>Total Operation and Mnt. Expenses</t>
  </si>
  <si>
    <t>Total Utility Operating Income</t>
  </si>
  <si>
    <t>Pro Forma Operating Expenses</t>
  </si>
  <si>
    <t>Adjustment</t>
  </si>
  <si>
    <t>Forfeited Discounts</t>
  </si>
  <si>
    <t>Total Metered Retail Sales</t>
  </si>
  <si>
    <t>DEPRECIATION EXPENSE ADJUSTMENTS</t>
  </si>
  <si>
    <t>Depreciation</t>
  </si>
  <si>
    <t>Date in</t>
  </si>
  <si>
    <t>Original</t>
  </si>
  <si>
    <t>Expense</t>
  </si>
  <si>
    <t>Service</t>
  </si>
  <si>
    <t>Life</t>
  </si>
  <si>
    <t>Depr. Exp.</t>
  </si>
  <si>
    <t>TOTAL</t>
  </si>
  <si>
    <t>CURRENT AND PROPOSED RATES</t>
  </si>
  <si>
    <t>Current</t>
  </si>
  <si>
    <t>Private Fire Protection</t>
  </si>
  <si>
    <t>Other Water Revenues</t>
  </si>
  <si>
    <t>Rental of Building/Real Property</t>
  </si>
  <si>
    <t>Insurance - Other</t>
  </si>
  <si>
    <t>Bad Debt</t>
  </si>
  <si>
    <t>Revenue Required From Sales of Water</t>
  </si>
  <si>
    <t>Revenue from Sales with Present Rates</t>
  </si>
  <si>
    <t>Total Revenue Requirement</t>
  </si>
  <si>
    <t>Required Revenue Increase</t>
  </si>
  <si>
    <t>Percent Increase</t>
  </si>
  <si>
    <t>Meter</t>
  </si>
  <si>
    <t>Difference</t>
  </si>
  <si>
    <t>Bill</t>
  </si>
  <si>
    <t>Percentage</t>
  </si>
  <si>
    <t>Size</t>
  </si>
  <si>
    <t>5/8 x 3/4"</t>
  </si>
  <si>
    <t>TOTALS</t>
  </si>
  <si>
    <t>TABLE C</t>
  </si>
  <si>
    <t>per Month*</t>
  </si>
  <si>
    <t>* Highlighted usage represents the average residential bill.</t>
  </si>
  <si>
    <t>Chemicals</t>
  </si>
  <si>
    <t>Salaries &amp; Wages and Associated Adjustments</t>
  </si>
  <si>
    <t>Pro Forma</t>
  </si>
  <si>
    <t xml:space="preserve">Pro Forma </t>
  </si>
  <si>
    <t>Employee</t>
  </si>
  <si>
    <t>Reg. Hrs</t>
  </si>
  <si>
    <t>O. T. Hours</t>
  </si>
  <si>
    <t>Wage Rate</t>
  </si>
  <si>
    <t>Reg. Wages</t>
  </si>
  <si>
    <t>O. T. Wages</t>
  </si>
  <si>
    <t>Wages</t>
  </si>
  <si>
    <t>Pro Forma Salaries &amp; Wages Expense</t>
  </si>
  <si>
    <t>Less: Test Year Salaries &amp; Wages Exp</t>
  </si>
  <si>
    <t>Pro Forma Salaries &amp; Wages Adj'mt</t>
  </si>
  <si>
    <t xml:space="preserve"> </t>
  </si>
  <si>
    <t>Pro Forma Salaries and Wages Expense</t>
  </si>
  <si>
    <t>Times: 7.65 Percent FICA Rate</t>
  </si>
  <si>
    <t>Pro Forma Payroll Taxes</t>
  </si>
  <si>
    <t>Less: Test Year Payroll Taxes</t>
  </si>
  <si>
    <t>Payroll Tax Adjustment</t>
  </si>
  <si>
    <t>Wages applicable to CERS payments</t>
  </si>
  <si>
    <t>Times: Percent Pension Contribution</t>
  </si>
  <si>
    <t>Total Pro Forma Pension Contribution</t>
  </si>
  <si>
    <t>Less: Test Year Pension Contribution</t>
  </si>
  <si>
    <t>Pension &amp; Benefits Adjustment</t>
  </si>
  <si>
    <t>Average Annual Principal and Interest Payments</t>
  </si>
  <si>
    <t>Additional Working Capital</t>
  </si>
  <si>
    <t>Table B</t>
  </si>
  <si>
    <t>DEBT SERVICE SCHDULE</t>
  </si>
  <si>
    <t>CY 2023</t>
  </si>
  <si>
    <t>CY 2024</t>
  </si>
  <si>
    <t>CY 2025</t>
  </si>
  <si>
    <t>CY 2026</t>
  </si>
  <si>
    <t>Interest</t>
  </si>
  <si>
    <t>Principal</t>
  </si>
  <si>
    <t>&amp; Fees</t>
  </si>
  <si>
    <t>Average Annual Principal &amp; Interest</t>
  </si>
  <si>
    <t>Average Annual Coverage</t>
  </si>
  <si>
    <t>General Plant</t>
  </si>
  <si>
    <t>Pumping Plant</t>
  </si>
  <si>
    <t>Transmission &amp; Distribution Plant</t>
  </si>
  <si>
    <t>Transportation Equipment</t>
  </si>
  <si>
    <t>Water Treatment Plant</t>
  </si>
  <si>
    <t>Asset</t>
  </si>
  <si>
    <t>Structures &amp; Improvements</t>
  </si>
  <si>
    <t>Communication &amp; Computer Eqmt.</t>
  </si>
  <si>
    <t>Office Furniture &amp; Equipment</t>
  </si>
  <si>
    <t>Power Operated Equipment</t>
  </si>
  <si>
    <t>Tools, Shop, &amp; Garage Equipment</t>
  </si>
  <si>
    <t>Tank Repairs &amp; Painting</t>
  </si>
  <si>
    <t>Telemetry</t>
  </si>
  <si>
    <t>Pumping Equipment</t>
  </si>
  <si>
    <t>Hydrants</t>
  </si>
  <si>
    <t>Meter Installations</t>
  </si>
  <si>
    <t>Meter Change-outs</t>
  </si>
  <si>
    <t>Pump Equipment</t>
  </si>
  <si>
    <t>Tank Fence</t>
  </si>
  <si>
    <t>Services</t>
  </si>
  <si>
    <t>Reservoirs &amp; Tanks</t>
  </si>
  <si>
    <t>Tank Painting &amp; Repairs</t>
  </si>
  <si>
    <t>Entire Group</t>
  </si>
  <si>
    <t xml:space="preserve">              *  Includes only costs associated with assets that contributed to depreciation expense in the test year.</t>
  </si>
  <si>
    <t>Cost *</t>
  </si>
  <si>
    <t>Reported</t>
  </si>
  <si>
    <t>Water Loss Adjustment</t>
  </si>
  <si>
    <t>Sold</t>
  </si>
  <si>
    <t>Uses:</t>
  </si>
  <si>
    <t xml:space="preserve">  water loss percentage</t>
  </si>
  <si>
    <t xml:space="preserve">  allowable in rates</t>
  </si>
  <si>
    <t xml:space="preserve">  adjustment percentage</t>
  </si>
  <si>
    <t>Produced</t>
  </si>
  <si>
    <t>Purchased</t>
  </si>
  <si>
    <t>Total Produced and Purchased</t>
  </si>
  <si>
    <t>Total Other Water Used</t>
  </si>
  <si>
    <t>Losses:</t>
  </si>
  <si>
    <t xml:space="preserve">   WTP</t>
  </si>
  <si>
    <t xml:space="preserve">   Flushing</t>
  </si>
  <si>
    <t xml:space="preserve">   Fire</t>
  </si>
  <si>
    <t xml:space="preserve">   Other</t>
  </si>
  <si>
    <t xml:space="preserve">   Line Leaks</t>
  </si>
  <si>
    <t xml:space="preserve">   Unknown</t>
  </si>
  <si>
    <t>Total Losses:</t>
  </si>
  <si>
    <t>Sold, Used, and Lost</t>
  </si>
  <si>
    <t>Total Gross Wages</t>
  </si>
  <si>
    <t>Gross Wages for Full Time Employees CERS Eligible</t>
  </si>
  <si>
    <t>Labor and Materials Adjustment for New Service Installations</t>
  </si>
  <si>
    <t xml:space="preserve">Labor </t>
  </si>
  <si>
    <t xml:space="preserve">Materials </t>
  </si>
  <si>
    <t>New Meter Fees Collected</t>
  </si>
  <si>
    <t>Structures and Improvements</t>
  </si>
  <si>
    <t>Water Treatment Equipment</t>
  </si>
  <si>
    <t>Source of Supply Plant</t>
  </si>
  <si>
    <t>Collecting &amp; Impounding Reservoirs</t>
  </si>
  <si>
    <t>Supply Mains</t>
  </si>
  <si>
    <t>Pension</t>
  </si>
  <si>
    <t>Eligible</t>
  </si>
  <si>
    <t>TABLE D</t>
  </si>
  <si>
    <t>Total Adjustment</t>
  </si>
  <si>
    <t>Monthly Surcharge Amount</t>
  </si>
  <si>
    <t>CURRENT AND PROPOSED BILLS</t>
  </si>
  <si>
    <t>/ Number of Bills</t>
  </si>
  <si>
    <t>Contractual Services - Accounting</t>
  </si>
  <si>
    <t>Contractual Services - Management</t>
  </si>
  <si>
    <t>Contractual Services - Other</t>
  </si>
  <si>
    <t>Insurance - General Liability</t>
  </si>
  <si>
    <t xml:space="preserve">   Tank Overflows</t>
  </si>
  <si>
    <t xml:space="preserve">   Line Breaks</t>
  </si>
  <si>
    <t>CURRENT BILLING ANALYSIS</t>
  </si>
  <si>
    <t>Summary</t>
  </si>
  <si>
    <t># of Bills</t>
  </si>
  <si>
    <t>Gallons Sold</t>
  </si>
  <si>
    <t>Revenue</t>
  </si>
  <si>
    <t>Residential/Commercial</t>
  </si>
  <si>
    <t>First</t>
  </si>
  <si>
    <t>Next</t>
  </si>
  <si>
    <t>Over</t>
  </si>
  <si>
    <t>Usage</t>
  </si>
  <si>
    <t>Bills</t>
  </si>
  <si>
    <t>REVENUE BY RATE INCREMENT</t>
  </si>
  <si>
    <t xml:space="preserve">Rate </t>
  </si>
  <si>
    <t>,</t>
  </si>
  <si>
    <t>Costs Subject to Water Loss Adjustment</t>
  </si>
  <si>
    <t>Computation of Water Loss Surcharge</t>
  </si>
  <si>
    <t>Net Retail</t>
  </si>
  <si>
    <t>From PSC Annual Report</t>
  </si>
  <si>
    <t>Minimum Bill</t>
  </si>
  <si>
    <t>All Over</t>
  </si>
  <si>
    <t>2,000 Gallons</t>
  </si>
  <si>
    <t>1,000 Gallons</t>
  </si>
  <si>
    <t>CERS</t>
  </si>
  <si>
    <t>Less Leak Adjustments</t>
  </si>
  <si>
    <t>2020 / 2022</t>
  </si>
  <si>
    <t>Location</t>
  </si>
  <si>
    <t>Water Loss Surcharge</t>
  </si>
  <si>
    <t>Per Bill</t>
  </si>
  <si>
    <t>TABLE E</t>
  </si>
  <si>
    <t>REVENUE REQUIREMENTS USING OPERATING RATIO METHOD</t>
  </si>
  <si>
    <t>Divided by:  Operating Ratio</t>
  </si>
  <si>
    <t>McKinney Water District</t>
  </si>
  <si>
    <t>MCKINNEY WATER DISTRICT</t>
  </si>
  <si>
    <t xml:space="preserve">Monthly Rates </t>
  </si>
  <si>
    <t>7,000 Gallons</t>
  </si>
  <si>
    <t>10,000 Gallons</t>
  </si>
  <si>
    <t>Per Gallon</t>
  </si>
  <si>
    <t>5/8X3/4 Inch Meter</t>
  </si>
  <si>
    <t>1 Inch Meter</t>
  </si>
  <si>
    <t>2 Inch Meter</t>
  </si>
  <si>
    <t>5,000 Gallons</t>
  </si>
  <si>
    <t>20,000 Gallons</t>
  </si>
  <si>
    <t>CURRENT AND PROPOSED BILLS WITH WATER LOSS SURCHARGE</t>
  </si>
  <si>
    <t>USAGE BY RATE INCREMENT</t>
  </si>
  <si>
    <t>5/8X3/4 INCH</t>
  </si>
  <si>
    <t>1 INCH</t>
  </si>
  <si>
    <t>2 INCH</t>
  </si>
  <si>
    <t>Required Revenue</t>
  </si>
  <si>
    <t>C Tillett</t>
  </si>
  <si>
    <t>D Yocum</t>
  </si>
  <si>
    <t>J Coleman</t>
  </si>
  <si>
    <t>K Hocker</t>
  </si>
  <si>
    <t>K Carrier</t>
  </si>
  <si>
    <t>L Brown</t>
  </si>
  <si>
    <t>CY 2023 - 2027</t>
  </si>
  <si>
    <t>Total Annual Interest</t>
  </si>
  <si>
    <t>Average Annual Interest</t>
  </si>
  <si>
    <t>CY 2027</t>
  </si>
  <si>
    <t>RDA 91-01</t>
  </si>
  <si>
    <t>RDA 91-06</t>
  </si>
  <si>
    <t>RDA 91-08</t>
  </si>
  <si>
    <t>RDA 91-09</t>
  </si>
  <si>
    <t>This calculation indicates that the Water Usage Analysis Report is not valid.</t>
  </si>
  <si>
    <t>PROPOSED BILLING ANALYSIS</t>
  </si>
  <si>
    <t>Various</t>
  </si>
  <si>
    <t>Transmission &amp; Distribution Mains **</t>
  </si>
  <si>
    <t xml:space="preserve">            **  Includes capitalized design, legal, and engineering fees attributable to pipeline projects.</t>
  </si>
  <si>
    <t>Varies</t>
  </si>
  <si>
    <t>Adjust Depreciation for allowable lives.</t>
  </si>
  <si>
    <t>Tab Depreciation Cell K44</t>
  </si>
  <si>
    <t>Adjust for materials used on service connections.</t>
  </si>
  <si>
    <t>Tab Capital Cell C6</t>
  </si>
  <si>
    <t>Adjust for labor used on service connections.</t>
  </si>
  <si>
    <t>Tab Capital Cell C5</t>
  </si>
  <si>
    <t>Adjust for purchased water above allowed loss rate.</t>
  </si>
  <si>
    <t>A</t>
  </si>
  <si>
    <t>E</t>
  </si>
  <si>
    <t>B</t>
  </si>
  <si>
    <t>C</t>
  </si>
  <si>
    <t>D</t>
  </si>
  <si>
    <t>Sub Total</t>
  </si>
  <si>
    <t xml:space="preserve">Plus: </t>
  </si>
  <si>
    <t>Interest Expense</t>
  </si>
  <si>
    <t>F</t>
  </si>
  <si>
    <t>Average annual debt service over next five years.</t>
  </si>
  <si>
    <t>Tab Debt Service Cell M19</t>
  </si>
  <si>
    <t>Additional working capital.</t>
  </si>
  <si>
    <t>Tab Debt Service Cell M21</t>
  </si>
  <si>
    <t>Tab Debt Service Cell M26</t>
  </si>
  <si>
    <t>G</t>
  </si>
  <si>
    <t>H</t>
  </si>
  <si>
    <t>Adjust for updated hourly rates.</t>
  </si>
  <si>
    <t>Tab Wages Cell I24</t>
  </si>
  <si>
    <t>Tab Wages Cell I30</t>
  </si>
  <si>
    <t>Average annual interest expense over next five years.</t>
  </si>
  <si>
    <t>J Coleman *</t>
  </si>
  <si>
    <t>N</t>
  </si>
  <si>
    <t>* Per day rate for reading master meter.</t>
  </si>
  <si>
    <t>N Bastin</t>
  </si>
  <si>
    <t>R Owens</t>
  </si>
  <si>
    <t>I</t>
  </si>
  <si>
    <t>Adjust for PPI Final Demand Goods at 11.3%</t>
  </si>
  <si>
    <t>September 2022 PPI Detailed Report (bls.gov)</t>
  </si>
  <si>
    <t>Adjust for PPI Final Demand Services at 6.8%</t>
  </si>
  <si>
    <t>J</t>
  </si>
  <si>
    <t>REVENUE REQUIREMENTS USING DEBT SERVICE COVERAGE METHOD</t>
  </si>
  <si>
    <t>Using Debt Service Coverage Method</t>
  </si>
  <si>
    <t>Using Operating Ratio Method</t>
  </si>
  <si>
    <t>Using Operating Ratio Method Method</t>
  </si>
  <si>
    <t>Correct misclassification of Purchased Power</t>
  </si>
  <si>
    <t>Tab Water Loss Cell D29</t>
  </si>
  <si>
    <t>Adjust for purchased power above allowed loss rate.</t>
  </si>
  <si>
    <t>Tab Water Loss Cell D30</t>
  </si>
  <si>
    <t>2021 General Ledger</t>
  </si>
  <si>
    <t>Plus: Commissioners Compensation</t>
  </si>
  <si>
    <t>Total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</si>
</sst>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mm/dd/yy;@"/>
    <numFmt numFmtId="169" formatCode="_([$$-409]* #,##0_);_([$$-409]* \(#,##0\);_([$$-409]* &quot;-&quot;??_);_(@_)"/>
    <numFmt numFmtId="170" formatCode="[$$-409]#,##0"/>
    <numFmt numFmtId="171" formatCode="_(&quot;$&quot;* #,##0.000_);_(&quot;$&quot;* \(#,##0.000\);_(&quot;$&quot;* &quot;-&quot;??_);_(@_)"/>
    <numFmt numFmtId="172" formatCode="_(&quot;$&quot;* #,##0.00000_);_(&quot;$&quot;* \(#,##0.00000\);_(&quot;$&quot;* &quot;-&quot;??_);_(@_)"/>
  </numFmts>
  <fonts count="23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b/>
      <u/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</font>
    <font>
      <u/>
      <sz val="12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03">
    <xf numFmtId="0" fontId="0" fillId="0" borderId="0" xfId="0"/>
    <xf numFmtId="0" fontId="3" fillId="0" borderId="0" xfId="0" applyFont="1"/>
    <xf numFmtId="165" fontId="3" fillId="0" borderId="0" xfId="0" applyNumberFormat="1" applyFont="1"/>
    <xf numFmtId="3" fontId="3" fillId="0" borderId="0" xfId="0" applyNumberFormat="1" applyFont="1"/>
    <xf numFmtId="0" fontId="0" fillId="0" borderId="6" xfId="0" applyBorder="1"/>
    <xf numFmtId="165" fontId="3" fillId="0" borderId="1" xfId="1" applyNumberFormat="1" applyFont="1" applyBorder="1"/>
    <xf numFmtId="165" fontId="3" fillId="0" borderId="0" xfId="1" applyNumberFormat="1" applyFont="1" applyBorder="1"/>
    <xf numFmtId="165" fontId="3" fillId="0" borderId="0" xfId="1" applyNumberFormat="1" applyFont="1"/>
    <xf numFmtId="165" fontId="3" fillId="0" borderId="3" xfId="1" applyNumberFormat="1" applyFont="1" applyBorder="1"/>
    <xf numFmtId="165" fontId="3" fillId="0" borderId="2" xfId="1" applyNumberFormat="1" applyFont="1" applyBorder="1"/>
    <xf numFmtId="165" fontId="3" fillId="0" borderId="4" xfId="1" applyNumberFormat="1" applyFont="1" applyBorder="1"/>
    <xf numFmtId="165" fontId="3" fillId="0" borderId="7" xfId="1" applyNumberFormat="1" applyFont="1" applyBorder="1"/>
    <xf numFmtId="165" fontId="3" fillId="0" borderId="8" xfId="1" applyNumberFormat="1" applyFont="1" applyBorder="1"/>
    <xf numFmtId="165" fontId="3" fillId="0" borderId="5" xfId="1" applyNumberFormat="1" applyFont="1" applyBorder="1"/>
    <xf numFmtId="165" fontId="3" fillId="0" borderId="6" xfId="1" applyNumberFormat="1" applyFont="1" applyBorder="1"/>
    <xf numFmtId="43" fontId="3" fillId="0" borderId="0" xfId="1" applyFont="1"/>
    <xf numFmtId="165" fontId="9" fillId="0" borderId="0" xfId="1" applyNumberFormat="1" applyFont="1" applyBorder="1" applyAlignment="1">
      <alignment horizontal="center"/>
    </xf>
    <xf numFmtId="43" fontId="3" fillId="0" borderId="0" xfId="1" applyFont="1" applyBorder="1"/>
    <xf numFmtId="165" fontId="3" fillId="0" borderId="0" xfId="5" applyNumberFormat="1" applyFont="1"/>
    <xf numFmtId="3" fontId="3" fillId="0" borderId="0" xfId="0" applyNumberFormat="1" applyFont="1" applyAlignment="1">
      <alignment horizontal="right"/>
    </xf>
    <xf numFmtId="165" fontId="3" fillId="0" borderId="7" xfId="5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5" fontId="3" fillId="0" borderId="0" xfId="5" applyNumberFormat="1" applyFont="1" applyBorder="1"/>
    <xf numFmtId="167" fontId="8" fillId="0" borderId="0" xfId="5" applyNumberFormat="1" applyFont="1" applyBorder="1" applyAlignment="1">
      <alignment horizontal="center"/>
    </xf>
    <xf numFmtId="43" fontId="3" fillId="0" borderId="0" xfId="1" applyFont="1" applyBorder="1" applyAlignment="1"/>
    <xf numFmtId="43" fontId="3" fillId="0" borderId="0" xfId="1" applyFont="1" applyBorder="1" applyAlignment="1">
      <alignment horizontal="right"/>
    </xf>
    <xf numFmtId="44" fontId="3" fillId="0" borderId="0" xfId="2" applyFont="1" applyBorder="1" applyAlignment="1"/>
    <xf numFmtId="165" fontId="3" fillId="0" borderId="1" xfId="0" applyNumberFormat="1" applyFont="1" applyBorder="1"/>
    <xf numFmtId="164" fontId="3" fillId="0" borderId="0" xfId="6" applyNumberFormat="1" applyFont="1"/>
    <xf numFmtId="165" fontId="6" fillId="0" borderId="0" xfId="1" applyNumberFormat="1" applyFont="1"/>
    <xf numFmtId="165" fontId="9" fillId="0" borderId="8" xfId="1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43" fontId="3" fillId="0" borderId="8" xfId="1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3" fillId="0" borderId="1" xfId="1" applyFont="1" applyBorder="1"/>
    <xf numFmtId="166" fontId="3" fillId="0" borderId="8" xfId="3" applyNumberFormat="1" applyFont="1" applyBorder="1"/>
    <xf numFmtId="165" fontId="3" fillId="2" borderId="0" xfId="1" applyNumberFormat="1" applyFont="1" applyFill="1" applyBorder="1"/>
    <xf numFmtId="43" fontId="3" fillId="2" borderId="8" xfId="1" quotePrefix="1" applyFont="1" applyFill="1" applyBorder="1" applyAlignment="1">
      <alignment horizontal="center"/>
    </xf>
    <xf numFmtId="43" fontId="3" fillId="2" borderId="0" xfId="1" applyFont="1" applyFill="1" applyBorder="1"/>
    <xf numFmtId="166" fontId="3" fillId="2" borderId="8" xfId="3" applyNumberFormat="1" applyFont="1" applyFill="1" applyBorder="1"/>
    <xf numFmtId="165" fontId="13" fillId="0" borderId="0" xfId="1" applyNumberFormat="1" applyFont="1"/>
    <xf numFmtId="10" fontId="3" fillId="0" borderId="0" xfId="0" applyNumberFormat="1" applyFont="1"/>
    <xf numFmtId="44" fontId="3" fillId="0" borderId="0" xfId="2" applyFont="1" applyBorder="1"/>
    <xf numFmtId="165" fontId="3" fillId="0" borderId="0" xfId="5" quotePrefix="1" applyNumberFormat="1" applyFont="1"/>
    <xf numFmtId="0" fontId="3" fillId="0" borderId="7" xfId="0" applyFont="1" applyBorder="1"/>
    <xf numFmtId="165" fontId="16" fillId="0" borderId="0" xfId="1" applyNumberFormat="1" applyFont="1"/>
    <xf numFmtId="165" fontId="3" fillId="0" borderId="0" xfId="1" applyNumberFormat="1" applyFont="1" applyAlignment="1">
      <alignment horizontal="centerContinuous" vertical="center"/>
    </xf>
    <xf numFmtId="165" fontId="3" fillId="0" borderId="0" xfId="1" applyNumberFormat="1" applyFont="1" applyAlignment="1">
      <alignment vertical="center"/>
    </xf>
    <xf numFmtId="165" fontId="11" fillId="0" borderId="0" xfId="1" applyNumberFormat="1" applyFont="1" applyAlignment="1">
      <alignment horizontal="centerContinuous" vertical="center"/>
    </xf>
    <xf numFmtId="165" fontId="8" fillId="0" borderId="0" xfId="1" applyNumberFormat="1" applyFont="1" applyAlignment="1">
      <alignment horizontal="center" vertical="center"/>
    </xf>
    <xf numFmtId="165" fontId="6" fillId="0" borderId="0" xfId="1" applyNumberFormat="1" applyFont="1" applyAlignment="1">
      <alignment vertical="center"/>
    </xf>
    <xf numFmtId="165" fontId="3" fillId="0" borderId="0" xfId="1" applyNumberFormat="1" applyFont="1" applyAlignment="1">
      <alignment horizontal="center" vertical="center"/>
    </xf>
    <xf numFmtId="165" fontId="12" fillId="0" borderId="0" xfId="1" applyNumberFormat="1" applyFont="1" applyAlignment="1">
      <alignment vertical="center"/>
    </xf>
    <xf numFmtId="165" fontId="14" fillId="0" borderId="0" xfId="1" applyNumberFormat="1" applyFont="1" applyAlignment="1">
      <alignment vertical="center"/>
    </xf>
    <xf numFmtId="165" fontId="17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165" fontId="3" fillId="0" borderId="0" xfId="1" applyNumberFormat="1" applyFont="1" applyAlignment="1">
      <alignment horizontal="center"/>
    </xf>
    <xf numFmtId="165" fontId="12" fillId="0" borderId="0" xfId="1" applyNumberFormat="1" applyFont="1" applyAlignment="1">
      <alignment horizontal="left"/>
    </xf>
    <xf numFmtId="165" fontId="12" fillId="0" borderId="0" xfId="1" applyNumberFormat="1" applyFont="1" applyAlignment="1">
      <alignment horizontal="center"/>
    </xf>
    <xf numFmtId="165" fontId="10" fillId="0" borderId="0" xfId="1" quotePrefix="1" applyNumberFormat="1" applyFont="1" applyAlignment="1">
      <alignment horizontal="center" vertical="center"/>
    </xf>
    <xf numFmtId="165" fontId="10" fillId="0" borderId="0" xfId="1" applyNumberFormat="1" applyFont="1" applyAlignment="1">
      <alignment horizontal="center" vertical="center"/>
    </xf>
    <xf numFmtId="165" fontId="10" fillId="0" borderId="0" xfId="1" applyNumberFormat="1" applyFont="1" applyAlignment="1">
      <alignment vertical="center"/>
    </xf>
    <xf numFmtId="165" fontId="3" fillId="0" borderId="6" xfId="5" applyNumberFormat="1" applyFont="1" applyBorder="1"/>
    <xf numFmtId="165" fontId="3" fillId="0" borderId="0" xfId="5" applyNumberFormat="1" applyFont="1" applyBorder="1" applyAlignment="1">
      <alignment horizontal="center"/>
    </xf>
    <xf numFmtId="10" fontId="3" fillId="0" borderId="0" xfId="3" applyNumberFormat="1" applyFont="1" applyBorder="1"/>
    <xf numFmtId="10" fontId="3" fillId="2" borderId="0" xfId="3" applyNumberFormat="1" applyFont="1" applyFill="1" applyBorder="1"/>
    <xf numFmtId="165" fontId="3" fillId="0" borderId="8" xfId="5" applyNumberFormat="1" applyFont="1" applyBorder="1"/>
    <xf numFmtId="165" fontId="7" fillId="0" borderId="7" xfId="5" applyNumberFormat="1" applyFont="1" applyBorder="1" applyAlignment="1">
      <alignment horizontal="center"/>
    </xf>
    <xf numFmtId="165" fontId="3" fillId="0" borderId="0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center" vertical="center"/>
    </xf>
    <xf numFmtId="165" fontId="9" fillId="0" borderId="0" xfId="1" applyNumberFormat="1" applyFont="1" applyAlignment="1">
      <alignment vertical="center"/>
    </xf>
    <xf numFmtId="165" fontId="3" fillId="0" borderId="3" xfId="5" applyNumberFormat="1" applyFont="1" applyBorder="1"/>
    <xf numFmtId="165" fontId="3" fillId="0" borderId="2" xfId="5" applyNumberFormat="1" applyFont="1" applyBorder="1"/>
    <xf numFmtId="165" fontId="3" fillId="0" borderId="4" xfId="5" applyNumberFormat="1" applyFont="1" applyBorder="1"/>
    <xf numFmtId="165" fontId="4" fillId="0" borderId="7" xfId="5" applyNumberFormat="1" applyFont="1" applyBorder="1" applyAlignment="1">
      <alignment horizontal="centerContinuous"/>
    </xf>
    <xf numFmtId="165" fontId="7" fillId="0" borderId="0" xfId="5" applyNumberFormat="1" applyFont="1" applyAlignment="1">
      <alignment horizontal="centerContinuous"/>
    </xf>
    <xf numFmtId="165" fontId="5" fillId="0" borderId="7" xfId="5" applyNumberFormat="1" applyFont="1" applyBorder="1" applyAlignment="1">
      <alignment horizontal="centerContinuous"/>
    </xf>
    <xf numFmtId="165" fontId="8" fillId="0" borderId="0" xfId="5" applyNumberFormat="1" applyFont="1" applyAlignment="1">
      <alignment horizontal="centerContinuous"/>
    </xf>
    <xf numFmtId="3" fontId="11" fillId="0" borderId="7" xfId="0" applyNumberFormat="1" applyFont="1" applyBorder="1" applyAlignment="1">
      <alignment horizontal="centerContinuous" vertical="center"/>
    </xf>
    <xf numFmtId="165" fontId="19" fillId="0" borderId="7" xfId="5" applyNumberFormat="1" applyFont="1" applyBorder="1" applyAlignment="1">
      <alignment horizontal="centerContinuous"/>
    </xf>
    <xf numFmtId="165" fontId="3" fillId="0" borderId="0" xfId="5" applyNumberFormat="1" applyFont="1" applyAlignment="1">
      <alignment horizontal="centerContinuous"/>
    </xf>
    <xf numFmtId="165" fontId="3" fillId="0" borderId="7" xfId="5" applyNumberFormat="1" applyFont="1" applyBorder="1" applyAlignment="1">
      <alignment horizontal="centerContinuous"/>
    </xf>
    <xf numFmtId="165" fontId="3" fillId="0" borderId="9" xfId="5" applyNumberFormat="1" applyFont="1" applyBorder="1" applyAlignment="1">
      <alignment horizontal="left"/>
    </xf>
    <xf numFmtId="165" fontId="3" fillId="0" borderId="3" xfId="5" applyNumberFormat="1" applyFont="1" applyBorder="1" applyAlignment="1">
      <alignment horizontal="left"/>
    </xf>
    <xf numFmtId="165" fontId="3" fillId="0" borderId="2" xfId="5" applyNumberFormat="1" applyFont="1" applyBorder="1" applyAlignment="1">
      <alignment horizontal="left"/>
    </xf>
    <xf numFmtId="165" fontId="3" fillId="0" borderId="4" xfId="5" applyNumberFormat="1" applyFont="1" applyBorder="1" applyAlignment="1">
      <alignment horizontal="left"/>
    </xf>
    <xf numFmtId="165" fontId="3" fillId="0" borderId="10" xfId="5" applyNumberFormat="1" applyFont="1" applyBorder="1"/>
    <xf numFmtId="165" fontId="10" fillId="0" borderId="0" xfId="5" applyNumberFormat="1" applyFont="1" applyAlignment="1">
      <alignment horizontal="center" vertical="center"/>
    </xf>
    <xf numFmtId="165" fontId="7" fillId="0" borderId="8" xfId="5" applyNumberFormat="1" applyFont="1" applyBorder="1" applyAlignment="1">
      <alignment horizontal="center" vertical="center"/>
    </xf>
    <xf numFmtId="165" fontId="7" fillId="0" borderId="0" xfId="5" applyNumberFormat="1" applyFont="1" applyAlignment="1">
      <alignment horizontal="center" vertical="center"/>
    </xf>
    <xf numFmtId="165" fontId="10" fillId="0" borderId="8" xfId="5" applyNumberFormat="1" applyFont="1" applyBorder="1" applyAlignment="1">
      <alignment horizontal="center" vertical="center"/>
    </xf>
    <xf numFmtId="165" fontId="10" fillId="0" borderId="0" xfId="5" applyNumberFormat="1" applyFont="1" applyBorder="1" applyAlignment="1">
      <alignment horizontal="center" vertical="center"/>
    </xf>
    <xf numFmtId="165" fontId="3" fillId="0" borderId="10" xfId="5" applyNumberFormat="1" applyFont="1" applyBorder="1" applyAlignment="1">
      <alignment horizontal="left"/>
    </xf>
    <xf numFmtId="165" fontId="3" fillId="0" borderId="7" xfId="5" applyNumberFormat="1" applyFont="1" applyBorder="1" applyAlignment="1">
      <alignment horizontal="center"/>
    </xf>
    <xf numFmtId="165" fontId="3" fillId="0" borderId="0" xfId="5" applyNumberFormat="1" applyFont="1" applyAlignment="1">
      <alignment horizontal="center"/>
    </xf>
    <xf numFmtId="165" fontId="3" fillId="0" borderId="8" xfId="5" applyNumberFormat="1" applyFont="1" applyBorder="1" applyAlignment="1">
      <alignment horizontal="center"/>
    </xf>
    <xf numFmtId="165" fontId="3" fillId="0" borderId="0" xfId="5" quotePrefix="1" applyNumberFormat="1" applyFont="1" applyBorder="1" applyAlignment="1">
      <alignment horizontal="center"/>
    </xf>
    <xf numFmtId="165" fontId="7" fillId="0" borderId="7" xfId="5" quotePrefix="1" applyNumberFormat="1" applyFont="1" applyBorder="1" applyAlignment="1">
      <alignment horizontal="left"/>
    </xf>
    <xf numFmtId="165" fontId="7" fillId="0" borderId="0" xfId="5" quotePrefix="1" applyNumberFormat="1" applyFont="1" applyAlignment="1">
      <alignment horizontal="left"/>
    </xf>
    <xf numFmtId="165" fontId="7" fillId="0" borderId="8" xfId="5" quotePrefix="1" applyNumberFormat="1" applyFont="1" applyBorder="1" applyAlignment="1">
      <alignment horizontal="left"/>
    </xf>
    <xf numFmtId="164" fontId="7" fillId="0" borderId="0" xfId="6" quotePrefix="1" applyNumberFormat="1" applyFont="1" applyBorder="1" applyAlignment="1">
      <alignment horizontal="left"/>
    </xf>
    <xf numFmtId="165" fontId="7" fillId="0" borderId="11" xfId="5" applyNumberFormat="1" applyFont="1" applyBorder="1" applyAlignment="1">
      <alignment horizontal="right"/>
    </xf>
    <xf numFmtId="165" fontId="7" fillId="0" borderId="5" xfId="5" applyNumberFormat="1" applyFont="1" applyBorder="1" applyAlignment="1">
      <alignment horizontal="right"/>
    </xf>
    <xf numFmtId="165" fontId="7" fillId="0" borderId="1" xfId="5" applyNumberFormat="1" applyFont="1" applyBorder="1" applyAlignment="1">
      <alignment horizontal="right"/>
    </xf>
    <xf numFmtId="165" fontId="7" fillId="0" borderId="6" xfId="5" applyNumberFormat="1" applyFont="1" applyBorder="1" applyAlignment="1">
      <alignment horizontal="right"/>
    </xf>
    <xf numFmtId="165" fontId="7" fillId="0" borderId="8" xfId="5" applyNumberFormat="1" applyFont="1" applyBorder="1" applyAlignment="1">
      <alignment horizontal="right"/>
    </xf>
    <xf numFmtId="165" fontId="7" fillId="0" borderId="7" xfId="5" applyNumberFormat="1" applyFont="1" applyBorder="1" applyAlignment="1">
      <alignment horizontal="right"/>
    </xf>
    <xf numFmtId="165" fontId="7" fillId="0" borderId="0" xfId="5" applyNumberFormat="1" applyFont="1" applyAlignment="1">
      <alignment horizontal="right"/>
    </xf>
    <xf numFmtId="165" fontId="7" fillId="0" borderId="2" xfId="5" applyNumberFormat="1" applyFont="1" applyBorder="1" applyAlignment="1">
      <alignment horizontal="right"/>
    </xf>
    <xf numFmtId="165" fontId="7" fillId="0" borderId="7" xfId="5" applyNumberFormat="1" applyFont="1" applyBorder="1"/>
    <xf numFmtId="164" fontId="7" fillId="0" borderId="0" xfId="6" applyNumberFormat="1" applyFont="1"/>
    <xf numFmtId="165" fontId="7" fillId="0" borderId="0" xfId="5" applyNumberFormat="1" applyFont="1"/>
    <xf numFmtId="165" fontId="7" fillId="0" borderId="0" xfId="5" applyNumberFormat="1" applyFont="1" applyBorder="1"/>
    <xf numFmtId="164" fontId="7" fillId="0" borderId="0" xfId="6" applyNumberFormat="1" applyFont="1" applyBorder="1"/>
    <xf numFmtId="165" fontId="3" fillId="0" borderId="5" xfId="5" applyNumberFormat="1" applyFont="1" applyBorder="1" applyAlignment="1">
      <alignment horizontal="center"/>
    </xf>
    <xf numFmtId="165" fontId="3" fillId="0" borderId="1" xfId="5" applyNumberFormat="1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3" fontId="3" fillId="0" borderId="2" xfId="0" applyNumberFormat="1" applyFont="1" applyBorder="1"/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/>
    <xf numFmtId="3" fontId="7" fillId="0" borderId="0" xfId="0" applyNumberFormat="1" applyFont="1"/>
    <xf numFmtId="3" fontId="3" fillId="0" borderId="1" xfId="0" applyNumberFormat="1" applyFont="1" applyBorder="1"/>
    <xf numFmtId="44" fontId="10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7" fontId="3" fillId="0" borderId="0" xfId="5" applyNumberFormat="1" applyFont="1" applyAlignment="1"/>
    <xf numFmtId="167" fontId="3" fillId="0" borderId="2" xfId="5" applyNumberFormat="1" applyFont="1" applyBorder="1"/>
    <xf numFmtId="167" fontId="3" fillId="0" borderId="0" xfId="5" applyNumberFormat="1" applyFont="1" applyBorder="1" applyAlignment="1"/>
    <xf numFmtId="167" fontId="3" fillId="0" borderId="0" xfId="5" applyNumberFormat="1" applyFont="1" applyBorder="1" applyAlignment="1">
      <alignment horizontal="center"/>
    </xf>
    <xf numFmtId="167" fontId="13" fillId="0" borderId="0" xfId="5" applyNumberFormat="1" applyFont="1" applyBorder="1" applyAlignment="1"/>
    <xf numFmtId="170" fontId="3" fillId="0" borderId="0" xfId="0" applyNumberFormat="1" applyFont="1"/>
    <xf numFmtId="169" fontId="7" fillId="0" borderId="0" xfId="0" applyNumberFormat="1" applyFont="1"/>
    <xf numFmtId="167" fontId="3" fillId="0" borderId="0" xfId="5" quotePrefix="1" applyNumberFormat="1" applyFont="1" applyBorder="1" applyAlignment="1">
      <alignment horizontal="center"/>
    </xf>
    <xf numFmtId="3" fontId="3" fillId="0" borderId="4" xfId="0" applyNumberFormat="1" applyFont="1" applyBorder="1"/>
    <xf numFmtId="3" fontId="3" fillId="0" borderId="8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Border="1"/>
    <xf numFmtId="4" fontId="3" fillId="0" borderId="7" xfId="0" applyNumberFormat="1" applyFont="1" applyBorder="1"/>
    <xf numFmtId="0" fontId="3" fillId="0" borderId="0" xfId="0" applyFont="1" applyAlignment="1">
      <alignment vertical="top"/>
    </xf>
    <xf numFmtId="0" fontId="20" fillId="0" borderId="0" xfId="0" applyFont="1"/>
    <xf numFmtId="165" fontId="20" fillId="0" borderId="0" xfId="1" applyNumberFormat="1" applyFont="1"/>
    <xf numFmtId="43" fontId="3" fillId="0" borderId="0" xfId="1" applyFont="1" applyAlignment="1">
      <alignment horizontal="right"/>
    </xf>
    <xf numFmtId="10" fontId="3" fillId="0" borderId="1" xfId="3" applyNumberFormat="1" applyFont="1" applyBorder="1"/>
    <xf numFmtId="165" fontId="3" fillId="0" borderId="0" xfId="5" applyNumberFormat="1" applyFont="1" applyBorder="1" applyAlignment="1">
      <alignment horizontal="right"/>
    </xf>
    <xf numFmtId="165" fontId="3" fillId="0" borderId="0" xfId="1" applyNumberFormat="1" applyFont="1" applyFill="1" applyAlignment="1">
      <alignment vertical="center"/>
    </xf>
    <xf numFmtId="6" fontId="3" fillId="0" borderId="0" xfId="0" applyNumberFormat="1" applyFont="1"/>
    <xf numFmtId="9" fontId="3" fillId="0" borderId="0" xfId="0" applyNumberFormat="1" applyFont="1"/>
    <xf numFmtId="44" fontId="3" fillId="0" borderId="0" xfId="0" applyNumberFormat="1" applyFont="1"/>
    <xf numFmtId="3" fontId="3" fillId="0" borderId="2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9" fontId="7" fillId="0" borderId="0" xfId="0" applyNumberFormat="1" applyFont="1" applyAlignment="1">
      <alignment horizontal="right"/>
    </xf>
    <xf numFmtId="167" fontId="3" fillId="0" borderId="1" xfId="5" applyNumberFormat="1" applyFont="1" applyBorder="1" applyAlignment="1">
      <alignment horizontal="right"/>
    </xf>
    <xf numFmtId="167" fontId="3" fillId="0" borderId="0" xfId="5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3" fillId="0" borderId="0" xfId="5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10" fontId="3" fillId="0" borderId="0" xfId="3" applyNumberFormat="1" applyFont="1" applyBorder="1" applyAlignment="1"/>
    <xf numFmtId="43" fontId="3" fillId="0" borderId="0" xfId="1" applyFont="1" applyBorder="1" applyAlignment="1">
      <alignment vertical="center"/>
    </xf>
    <xf numFmtId="44" fontId="3" fillId="0" borderId="0" xfId="1" applyNumberFormat="1" applyFont="1"/>
    <xf numFmtId="44" fontId="3" fillId="0" borderId="0" xfId="1" applyNumberFormat="1" applyFont="1" applyBorder="1"/>
    <xf numFmtId="44" fontId="3" fillId="0" borderId="1" xfId="0" applyNumberFormat="1" applyFont="1" applyBorder="1"/>
    <xf numFmtId="43" fontId="3" fillId="0" borderId="5" xfId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/>
    <xf numFmtId="164" fontId="3" fillId="0" borderId="0" xfId="2" applyNumberFormat="1" applyFont="1"/>
    <xf numFmtId="164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0" xfId="1" applyNumberFormat="1" applyFont="1"/>
    <xf numFmtId="164" fontId="3" fillId="0" borderId="1" xfId="1" applyNumberFormat="1" applyFont="1" applyBorder="1"/>
    <xf numFmtId="9" fontId="3" fillId="0" borderId="0" xfId="3" applyFont="1" applyAlignment="1">
      <alignment vertical="top"/>
    </xf>
    <xf numFmtId="10" fontId="3" fillId="0" borderId="0" xfId="3" applyNumberFormat="1" applyFont="1" applyAlignment="1">
      <alignment vertical="top"/>
    </xf>
    <xf numFmtId="164" fontId="3" fillId="0" borderId="0" xfId="0" applyNumberFormat="1" applyFont="1"/>
    <xf numFmtId="164" fontId="3" fillId="0" borderId="1" xfId="1" applyNumberFormat="1" applyFont="1" applyBorder="1" applyAlignment="1">
      <alignment horizontal="right" vertical="center"/>
    </xf>
    <xf numFmtId="10" fontId="3" fillId="0" borderId="0" xfId="3" applyNumberFormat="1" applyFont="1" applyBorder="1" applyAlignment="1">
      <alignment horizontal="center"/>
    </xf>
    <xf numFmtId="43" fontId="3" fillId="0" borderId="1" xfId="1" applyFont="1" applyFill="1" applyBorder="1"/>
    <xf numFmtId="165" fontId="3" fillId="0" borderId="0" xfId="1" applyNumberFormat="1" applyFont="1" applyFill="1"/>
    <xf numFmtId="165" fontId="3" fillId="0" borderId="2" xfId="1" applyNumberFormat="1" applyFont="1" applyFill="1" applyBorder="1"/>
    <xf numFmtId="165" fontId="3" fillId="0" borderId="1" xfId="1" applyNumberFormat="1" applyFont="1" applyFill="1" applyBorder="1"/>
    <xf numFmtId="3" fontId="11" fillId="0" borderId="7" xfId="0" applyNumberFormat="1" applyFont="1" applyBorder="1" applyAlignment="1">
      <alignment horizontal="center" vertical="center"/>
    </xf>
    <xf numFmtId="165" fontId="9" fillId="0" borderId="7" xfId="1" applyNumberFormat="1" applyFont="1" applyFill="1" applyBorder="1" applyAlignment="1">
      <alignment horizontal="center"/>
    </xf>
    <xf numFmtId="43" fontId="3" fillId="0" borderId="7" xfId="1" applyFont="1" applyFill="1" applyBorder="1"/>
    <xf numFmtId="165" fontId="9" fillId="0" borderId="0" xfId="1" applyNumberFormat="1" applyFont="1" applyFill="1" applyBorder="1" applyAlignment="1">
      <alignment horizontal="center"/>
    </xf>
    <xf numFmtId="43" fontId="3" fillId="2" borderId="7" xfId="1" applyFont="1" applyFill="1" applyBorder="1"/>
    <xf numFmtId="43" fontId="3" fillId="0" borderId="15" xfId="1" applyFont="1" applyBorder="1" applyAlignment="1"/>
    <xf numFmtId="43" fontId="3" fillId="0" borderId="16" xfId="1" applyFont="1" applyBorder="1" applyAlignment="1"/>
    <xf numFmtId="43" fontId="9" fillId="0" borderId="16" xfId="1" applyFont="1" applyBorder="1" applyAlignment="1">
      <alignment horizontal="center"/>
    </xf>
    <xf numFmtId="43" fontId="3" fillId="0" borderId="15" xfId="1" applyFont="1" applyBorder="1" applyAlignment="1">
      <alignment horizontal="right"/>
    </xf>
    <xf numFmtId="44" fontId="3" fillId="0" borderId="16" xfId="2" applyFont="1" applyBorder="1" applyAlignment="1"/>
    <xf numFmtId="43" fontId="3" fillId="0" borderId="17" xfId="1" applyFont="1" applyBorder="1" applyAlignment="1"/>
    <xf numFmtId="43" fontId="3" fillId="0" borderId="18" xfId="1" applyFont="1" applyBorder="1" applyAlignment="1"/>
    <xf numFmtId="10" fontId="3" fillId="0" borderId="18" xfId="3" applyNumberFormat="1" applyFont="1" applyBorder="1" applyAlignment="1">
      <alignment horizontal="center"/>
    </xf>
    <xf numFmtId="43" fontId="3" fillId="0" borderId="19" xfId="1" applyFont="1" applyBorder="1" applyAlignment="1"/>
    <xf numFmtId="171" fontId="3" fillId="0" borderId="0" xfId="2" applyNumberFormat="1" applyFont="1" applyBorder="1" applyAlignment="1"/>
    <xf numFmtId="171" fontId="3" fillId="0" borderId="18" xfId="2" applyNumberFormat="1" applyFont="1" applyBorder="1" applyAlignment="1"/>
    <xf numFmtId="171" fontId="3" fillId="0" borderId="0" xfId="2" applyNumberFormat="1" applyFont="1" applyFill="1" applyBorder="1" applyAlignment="1"/>
    <xf numFmtId="171" fontId="3" fillId="0" borderId="0" xfId="2" applyNumberFormat="1" applyFont="1" applyFill="1" applyBorder="1" applyAlignment="1">
      <alignment vertical="center"/>
    </xf>
    <xf numFmtId="171" fontId="3" fillId="0" borderId="18" xfId="2" applyNumberFormat="1" applyFont="1" applyFill="1" applyBorder="1" applyAlignment="1"/>
    <xf numFmtId="43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7" fontId="3" fillId="0" borderId="1" xfId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horizontal="right" vertical="center"/>
    </xf>
    <xf numFmtId="164" fontId="3" fillId="0" borderId="1" xfId="2" applyNumberFormat="1" applyFont="1" applyBorder="1"/>
    <xf numFmtId="10" fontId="3" fillId="0" borderId="0" xfId="3" applyNumberFormat="1" applyFont="1"/>
    <xf numFmtId="0" fontId="7" fillId="0" borderId="0" xfId="0" applyFont="1"/>
    <xf numFmtId="43" fontId="3" fillId="0" borderId="0" xfId="1" applyFont="1" applyFill="1"/>
    <xf numFmtId="43" fontId="7" fillId="0" borderId="0" xfId="1" applyFont="1"/>
    <xf numFmtId="44" fontId="3" fillId="0" borderId="0" xfId="2" applyFont="1" applyFill="1" applyBorder="1" applyAlignment="1">
      <alignment vertical="center"/>
    </xf>
    <xf numFmtId="43" fontId="9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43" fontId="9" fillId="0" borderId="15" xfId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43" fontId="7" fillId="0" borderId="0" xfId="1" applyFont="1" applyBorder="1"/>
    <xf numFmtId="172" fontId="3" fillId="0" borderId="0" xfId="2" applyNumberFormat="1" applyFont="1" applyBorder="1" applyAlignment="1"/>
    <xf numFmtId="172" fontId="3" fillId="0" borderId="0" xfId="2" applyNumberFormat="1" applyFont="1" applyFill="1" applyBorder="1" applyAlignment="1">
      <alignment vertical="center"/>
    </xf>
    <xf numFmtId="44" fontId="3" fillId="0" borderId="0" xfId="2" applyFont="1"/>
    <xf numFmtId="172" fontId="3" fillId="0" borderId="0" xfId="2" applyNumberFormat="1" applyFont="1"/>
    <xf numFmtId="0" fontId="21" fillId="0" borderId="0" xfId="0" applyFont="1"/>
    <xf numFmtId="44" fontId="21" fillId="0" borderId="0" xfId="2" applyFont="1"/>
    <xf numFmtId="164" fontId="3" fillId="0" borderId="1" xfId="1" applyNumberFormat="1" applyFont="1" applyFill="1" applyBorder="1" applyAlignment="1">
      <alignment horizontal="right" vertical="center"/>
    </xf>
    <xf numFmtId="10" fontId="3" fillId="0" borderId="0" xfId="3" applyNumberFormat="1" applyFont="1" applyBorder="1" applyAlignment="1">
      <alignment horizontal="right" vertical="center"/>
    </xf>
    <xf numFmtId="164" fontId="3" fillId="0" borderId="0" xfId="2" applyNumberFormat="1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9" fillId="0" borderId="0" xfId="1" applyNumberFormat="1" applyFont="1" applyAlignment="1">
      <alignment horizontal="left"/>
    </xf>
    <xf numFmtId="0" fontId="6" fillId="0" borderId="0" xfId="11" applyNumberFormat="1" applyFont="1" applyAlignment="1">
      <alignment horizontal="left"/>
    </xf>
    <xf numFmtId="165" fontId="7" fillId="0" borderId="0" xfId="1" applyNumberFormat="1" applyFont="1" applyFill="1" applyAlignment="1">
      <alignment vertical="center"/>
    </xf>
    <xf numFmtId="165" fontId="3" fillId="0" borderId="0" xfId="1" applyNumberFormat="1" applyFont="1" applyFill="1" applyAlignment="1"/>
    <xf numFmtId="165" fontId="3" fillId="0" borderId="0" xfId="1" applyNumberFormat="1" applyFont="1" applyFill="1" applyAlignment="1">
      <alignment horizontal="center"/>
    </xf>
    <xf numFmtId="165" fontId="6" fillId="0" borderId="0" xfId="1" applyNumberFormat="1" applyFont="1" applyFill="1"/>
    <xf numFmtId="165" fontId="9" fillId="0" borderId="0" xfId="1" applyNumberFormat="1" applyFont="1" applyFill="1"/>
    <xf numFmtId="10" fontId="3" fillId="0" borderId="0" xfId="3" applyNumberFormat="1" applyFont="1" applyFill="1"/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5" fontId="3" fillId="0" borderId="0" xfId="5" applyNumberFormat="1" applyFont="1" applyFill="1" applyAlignment="1"/>
    <xf numFmtId="165" fontId="3" fillId="0" borderId="0" xfId="5" applyNumberFormat="1" applyFont="1" applyFill="1" applyAlignment="1">
      <alignment vertical="center"/>
    </xf>
    <xf numFmtId="165" fontId="3" fillId="0" borderId="0" xfId="5" applyNumberFormat="1" applyFont="1" applyFill="1" applyAlignment="1">
      <alignment horizontal="center"/>
    </xf>
    <xf numFmtId="165" fontId="3" fillId="0" borderId="0" xfId="5" applyNumberFormat="1" applyFont="1" applyFill="1"/>
    <xf numFmtId="9" fontId="3" fillId="0" borderId="1" xfId="7" applyFont="1" applyFill="1" applyBorder="1"/>
    <xf numFmtId="0" fontId="3" fillId="0" borderId="0" xfId="0" applyFont="1" applyAlignment="1">
      <alignment vertical="center"/>
    </xf>
    <xf numFmtId="0" fontId="3" fillId="0" borderId="0" xfId="5" applyNumberFormat="1" applyFont="1" applyFill="1" applyAlignment="1">
      <alignment vertical="center"/>
    </xf>
    <xf numFmtId="165" fontId="9" fillId="0" borderId="0" xfId="5" applyNumberFormat="1" applyFont="1" applyFill="1" applyBorder="1"/>
    <xf numFmtId="0" fontId="3" fillId="0" borderId="0" xfId="0" applyFont="1" applyAlignment="1">
      <alignment horizontal="left" vertical="center"/>
    </xf>
    <xf numFmtId="165" fontId="3" fillId="0" borderId="0" xfId="7" applyNumberFormat="1" applyFont="1" applyFill="1" applyAlignment="1">
      <alignment vertical="center"/>
    </xf>
    <xf numFmtId="165" fontId="3" fillId="0" borderId="1" xfId="1" applyNumberFormat="1" applyFont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165" fontId="4" fillId="0" borderId="0" xfId="5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 vertical="center"/>
    </xf>
    <xf numFmtId="167" fontId="8" fillId="0" borderId="0" xfId="5" applyNumberFormat="1" applyFont="1" applyBorder="1" applyAlignment="1">
      <alignment horizontal="center"/>
    </xf>
    <xf numFmtId="165" fontId="10" fillId="0" borderId="7" xfId="5" applyNumberFormat="1" applyFont="1" applyBorder="1" applyAlignment="1">
      <alignment horizontal="center" vertical="center"/>
    </xf>
    <xf numFmtId="165" fontId="10" fillId="0" borderId="8" xfId="5" applyNumberFormat="1" applyFont="1" applyBorder="1" applyAlignment="1">
      <alignment horizontal="center" vertical="center"/>
    </xf>
    <xf numFmtId="43" fontId="4" fillId="0" borderId="12" xfId="1" applyFont="1" applyBorder="1" applyAlignment="1">
      <alignment horizontal="center"/>
    </xf>
    <xf numFmtId="43" fontId="4" fillId="0" borderId="13" xfId="1" applyFont="1" applyBorder="1" applyAlignment="1">
      <alignment horizontal="center"/>
    </xf>
    <xf numFmtId="43" fontId="4" fillId="0" borderId="14" xfId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43" fontId="9" fillId="0" borderId="15" xfId="1" applyFont="1" applyBorder="1" applyAlignment="1">
      <alignment horizontal="center"/>
    </xf>
    <xf numFmtId="0" fontId="0" fillId="0" borderId="0" xfId="0" applyAlignment="1">
      <alignment horizontal="center"/>
    </xf>
    <xf numFmtId="43" fontId="9" fillId="0" borderId="0" xfId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43" fontId="3" fillId="0" borderId="15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4" fillId="0" borderId="15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16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165" fontId="4" fillId="0" borderId="7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2">
    <cellStyle name="Comma" xfId="1" builtinId="3"/>
    <cellStyle name="Comma 2" xfId="5" xr:uid="{00000000-0005-0000-0000-000001000000}"/>
    <cellStyle name="Comma 3" xfId="9" xr:uid="{00000000-0005-0000-0000-000002000000}"/>
    <cellStyle name="Currency" xfId="2" builtinId="4"/>
    <cellStyle name="Currency 2" xfId="6" xr:uid="{00000000-0005-0000-0000-000004000000}"/>
    <cellStyle name="Currency 3" xfId="10" xr:uid="{00000000-0005-0000-0000-000005000000}"/>
    <cellStyle name="Hyperlink" xfId="11" builtinId="8"/>
    <cellStyle name="Normal" xfId="0" builtinId="0"/>
    <cellStyle name="Normal 2" xfId="4" xr:uid="{00000000-0005-0000-0000-000007000000}"/>
    <cellStyle name="Normal 3" xfId="8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bls.gov/ppi/detailed-report/ppi-detailed-report-september-2022.pdf" TargetMode="External"/><Relationship Id="rId7" Type="http://schemas.openxmlformats.org/officeDocument/2006/relationships/hyperlink" Target="https://www.bls.gov/ppi/detailed-report/ppi-detailed-report-september-2022.pdf" TargetMode="External"/><Relationship Id="rId2" Type="http://schemas.openxmlformats.org/officeDocument/2006/relationships/hyperlink" Target="https://www.bls.gov/ppi/detailed-report/ppi-detailed-report-september-2022.pdf" TargetMode="External"/><Relationship Id="rId1" Type="http://schemas.openxmlformats.org/officeDocument/2006/relationships/hyperlink" Target="https://www.bls.gov/ppi/detailed-report/ppi-detailed-report-september-2022.pdf" TargetMode="External"/><Relationship Id="rId6" Type="http://schemas.openxmlformats.org/officeDocument/2006/relationships/hyperlink" Target="https://www.bls.gov/ppi/detailed-report/ppi-detailed-report-september-2022.pdf" TargetMode="External"/><Relationship Id="rId5" Type="http://schemas.openxmlformats.org/officeDocument/2006/relationships/hyperlink" Target="https://www.bls.gov/ppi/detailed-report/ppi-detailed-report-september-2022.pdf" TargetMode="External"/><Relationship Id="rId4" Type="http://schemas.openxmlformats.org/officeDocument/2006/relationships/hyperlink" Target="https://www.bls.gov/ppi/detailed-report/ppi-detailed-report-september-2022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2"/>
  <sheetViews>
    <sheetView showGridLines="0" workbookViewId="0">
      <selection activeCell="D43" sqref="D43"/>
    </sheetView>
  </sheetViews>
  <sheetFormatPr defaultColWidth="8.77734375" defaultRowHeight="14.25" x14ac:dyDescent="0.45"/>
  <cols>
    <col min="1" max="1" width="3.6640625" style="7" customWidth="1"/>
    <col min="2" max="2" width="2.6640625" style="7" customWidth="1"/>
    <col min="3" max="3" width="29.44140625" style="7" customWidth="1"/>
    <col min="4" max="4" width="11.33203125" style="7" customWidth="1"/>
    <col min="5" max="5" width="11.5546875" style="7" customWidth="1"/>
    <col min="6" max="6" width="5.33203125" style="7" customWidth="1"/>
    <col min="7" max="7" width="11.5546875" style="7" customWidth="1"/>
    <col min="8" max="8" width="3.5546875" style="7" customWidth="1"/>
    <col min="9" max="11" width="11.33203125" style="7" customWidth="1"/>
    <col min="12" max="12" width="10.88671875" style="7" customWidth="1"/>
    <col min="13" max="13" width="8.77734375" style="240"/>
    <col min="14" max="16384" width="8.77734375" style="7"/>
  </cols>
  <sheetData>
    <row r="1" spans="1:13" ht="18" x14ac:dyDescent="0.45">
      <c r="A1" s="264" t="s">
        <v>29</v>
      </c>
      <c r="B1" s="264"/>
      <c r="C1" s="264"/>
      <c r="D1" s="264"/>
      <c r="E1" s="264"/>
      <c r="F1" s="264"/>
      <c r="G1" s="264"/>
      <c r="H1" s="50"/>
      <c r="I1" s="50"/>
      <c r="J1" s="50"/>
      <c r="K1" s="50"/>
    </row>
    <row r="2" spans="1:13" ht="15.75" x14ac:dyDescent="0.45">
      <c r="A2" s="51" t="s">
        <v>210</v>
      </c>
      <c r="B2" s="49"/>
      <c r="C2" s="49"/>
      <c r="D2" s="49"/>
      <c r="E2" s="49"/>
      <c r="F2" s="49"/>
      <c r="G2" s="49"/>
      <c r="H2" s="50"/>
      <c r="I2" s="50"/>
      <c r="J2" s="50"/>
      <c r="K2" s="50"/>
      <c r="L2" s="50"/>
    </row>
    <row r="3" spans="1:13" x14ac:dyDescent="0.45">
      <c r="A3" s="43"/>
      <c r="B3" s="49"/>
      <c r="C3" s="49"/>
      <c r="D3" s="49"/>
      <c r="E3" s="49"/>
      <c r="F3" s="49"/>
      <c r="G3" s="49"/>
      <c r="H3" s="50"/>
      <c r="I3" s="50"/>
      <c r="J3" s="50"/>
      <c r="K3" s="50"/>
    </row>
    <row r="4" spans="1:13" ht="16.5" x14ac:dyDescent="0.75">
      <c r="A4" s="50"/>
      <c r="B4" s="50"/>
      <c r="C4" s="50"/>
      <c r="D4" s="52" t="s">
        <v>30</v>
      </c>
      <c r="E4" s="52" t="s">
        <v>31</v>
      </c>
      <c r="F4" s="52" t="s">
        <v>32</v>
      </c>
      <c r="G4" s="52" t="s">
        <v>33</v>
      </c>
      <c r="H4" s="50"/>
      <c r="I4" s="64" t="s">
        <v>38</v>
      </c>
      <c r="J4" s="50"/>
      <c r="K4" s="50"/>
      <c r="M4" s="241" t="s">
        <v>204</v>
      </c>
    </row>
    <row r="5" spans="1:13" x14ac:dyDescent="0.45">
      <c r="A5" s="53" t="s">
        <v>14</v>
      </c>
      <c r="B5" s="50"/>
      <c r="C5" s="50"/>
      <c r="D5" s="50"/>
      <c r="F5" s="50"/>
      <c r="G5" s="50"/>
      <c r="H5" s="50"/>
      <c r="J5" s="50"/>
      <c r="K5" s="50"/>
    </row>
    <row r="6" spans="1:13" x14ac:dyDescent="0.45">
      <c r="A6" s="50"/>
      <c r="B6" s="50" t="s">
        <v>40</v>
      </c>
      <c r="C6" s="50"/>
      <c r="D6" s="50">
        <v>917275</v>
      </c>
      <c r="E6" s="50"/>
      <c r="F6" s="54"/>
      <c r="G6" s="50">
        <f>D6+E6</f>
        <v>917275</v>
      </c>
      <c r="H6" s="55"/>
      <c r="I6" s="50"/>
      <c r="J6" s="50"/>
      <c r="K6" s="50"/>
    </row>
    <row r="7" spans="1:13" x14ac:dyDescent="0.45">
      <c r="A7" s="50"/>
      <c r="B7" s="50" t="s">
        <v>52</v>
      </c>
      <c r="C7" s="50"/>
      <c r="D7" s="50">
        <v>0</v>
      </c>
      <c r="E7" s="50"/>
      <c r="F7" s="54"/>
      <c r="G7" s="50">
        <f>D7+E7</f>
        <v>0</v>
      </c>
      <c r="H7" s="56"/>
      <c r="I7" s="48"/>
      <c r="J7" s="50"/>
      <c r="K7" s="50"/>
    </row>
    <row r="8" spans="1:13" x14ac:dyDescent="0.45">
      <c r="A8" s="50"/>
      <c r="B8" s="50" t="s">
        <v>15</v>
      </c>
      <c r="C8" s="50"/>
      <c r="D8" s="50">
        <v>0</v>
      </c>
      <c r="E8" s="50"/>
      <c r="F8" s="54"/>
      <c r="G8" s="50">
        <f>D8+E8</f>
        <v>0</v>
      </c>
      <c r="H8" s="55"/>
      <c r="I8" s="50"/>
      <c r="J8" s="50"/>
    </row>
    <row r="9" spans="1:13" x14ac:dyDescent="0.45">
      <c r="A9" s="50"/>
      <c r="B9" s="50"/>
      <c r="C9" s="50"/>
      <c r="D9" s="50"/>
      <c r="E9" s="50"/>
      <c r="F9" s="54"/>
      <c r="G9" s="50"/>
      <c r="H9" s="55"/>
      <c r="I9" s="50"/>
      <c r="J9" s="50"/>
    </row>
    <row r="10" spans="1:13" x14ac:dyDescent="0.45">
      <c r="A10" s="50"/>
      <c r="B10" s="50" t="s">
        <v>16</v>
      </c>
      <c r="C10" s="50"/>
      <c r="D10" s="50"/>
      <c r="E10" s="50"/>
      <c r="F10" s="54"/>
      <c r="G10" s="50"/>
      <c r="H10" s="57"/>
      <c r="I10" s="50"/>
      <c r="J10" s="50"/>
      <c r="K10" s="50"/>
    </row>
    <row r="11" spans="1:13" x14ac:dyDescent="0.45">
      <c r="A11" s="50"/>
      <c r="B11" s="50"/>
      <c r="C11" s="50" t="s">
        <v>39</v>
      </c>
      <c r="D11" s="50">
        <v>22050</v>
      </c>
      <c r="E11" s="50"/>
      <c r="F11" s="54"/>
      <c r="G11" s="50">
        <f>D11+E11</f>
        <v>22050</v>
      </c>
      <c r="H11" s="55"/>
      <c r="I11" s="50"/>
      <c r="J11" s="50"/>
      <c r="K11" s="50"/>
    </row>
    <row r="12" spans="1:13" x14ac:dyDescent="0.45">
      <c r="A12" s="50"/>
      <c r="C12" s="50" t="s">
        <v>17</v>
      </c>
      <c r="D12" s="50">
        <v>1800</v>
      </c>
      <c r="E12" s="50"/>
      <c r="F12" s="54"/>
      <c r="G12" s="50">
        <f>D12+E12</f>
        <v>1800</v>
      </c>
      <c r="H12" s="55"/>
      <c r="J12" s="50"/>
      <c r="K12" s="50"/>
    </row>
    <row r="13" spans="1:13" ht="16.5" x14ac:dyDescent="0.45">
      <c r="A13" s="50"/>
      <c r="C13" s="50" t="s">
        <v>53</v>
      </c>
      <c r="D13" s="72">
        <v>35968</v>
      </c>
      <c r="E13" s="50"/>
      <c r="F13" s="54"/>
      <c r="G13" s="72">
        <f>D13+E13</f>
        <v>35968</v>
      </c>
      <c r="H13" s="56"/>
      <c r="I13" s="50"/>
      <c r="J13" s="50"/>
      <c r="K13" s="50"/>
    </row>
    <row r="14" spans="1:13" x14ac:dyDescent="0.45">
      <c r="A14" s="58" t="s">
        <v>18</v>
      </c>
      <c r="B14" s="50"/>
      <c r="C14" s="50"/>
      <c r="D14" s="50">
        <f>SUM(D6:D13)</f>
        <v>977093</v>
      </c>
      <c r="E14" s="50"/>
      <c r="F14" s="54"/>
      <c r="G14" s="50">
        <f>SUM(G6:G13)</f>
        <v>977093</v>
      </c>
      <c r="H14" s="57"/>
      <c r="J14" s="50"/>
      <c r="K14" s="50"/>
    </row>
    <row r="15" spans="1:13" x14ac:dyDescent="0.45">
      <c r="A15" s="50"/>
      <c r="B15" s="50"/>
      <c r="C15" s="50"/>
      <c r="D15" s="50"/>
      <c r="E15" s="50"/>
      <c r="F15" s="54"/>
      <c r="G15" s="50"/>
      <c r="H15" s="57"/>
      <c r="I15" s="50"/>
      <c r="J15" s="50"/>
      <c r="K15" s="50"/>
    </row>
    <row r="16" spans="1:13" x14ac:dyDescent="0.45">
      <c r="A16" s="53" t="s">
        <v>19</v>
      </c>
      <c r="B16" s="50"/>
      <c r="C16" s="50"/>
      <c r="D16" s="50"/>
      <c r="E16" s="50"/>
      <c r="F16" s="54"/>
      <c r="G16" s="50"/>
      <c r="H16" s="57"/>
      <c r="I16" s="50"/>
      <c r="J16" s="50"/>
      <c r="K16" s="50"/>
    </row>
    <row r="17" spans="1:13" x14ac:dyDescent="0.45">
      <c r="A17" s="50"/>
      <c r="B17" s="50" t="s">
        <v>34</v>
      </c>
      <c r="C17" s="50"/>
      <c r="D17" s="50"/>
      <c r="E17" s="50"/>
      <c r="F17" s="54"/>
      <c r="G17" s="50"/>
      <c r="H17" s="57"/>
      <c r="I17" s="50"/>
      <c r="J17" s="50"/>
      <c r="K17" s="50"/>
    </row>
    <row r="18" spans="1:13" x14ac:dyDescent="0.45">
      <c r="A18" s="50"/>
      <c r="B18" s="50"/>
      <c r="C18" s="50" t="s">
        <v>2</v>
      </c>
      <c r="D18" s="50">
        <v>246205</v>
      </c>
      <c r="E18" s="149">
        <f>Wages!I23</f>
        <v>10975.962499999994</v>
      </c>
      <c r="F18" s="59" t="s">
        <v>254</v>
      </c>
      <c r="G18" s="50"/>
      <c r="H18" s="55"/>
      <c r="I18" s="7" t="s">
        <v>270</v>
      </c>
      <c r="M18" s="240" t="s">
        <v>271</v>
      </c>
    </row>
    <row r="19" spans="1:13" x14ac:dyDescent="0.45">
      <c r="A19" s="50"/>
      <c r="B19" s="50"/>
      <c r="C19" s="50"/>
      <c r="D19" s="50"/>
      <c r="E19" s="149">
        <f>-Capital!C5</f>
        <v>-5985</v>
      </c>
      <c r="F19" s="59" t="s">
        <v>269</v>
      </c>
      <c r="G19" s="50">
        <f>D18+E18+E19</f>
        <v>251195.96249999999</v>
      </c>
      <c r="H19" s="55"/>
      <c r="I19" s="50" t="s">
        <v>251</v>
      </c>
      <c r="J19" s="50"/>
      <c r="K19" s="50"/>
      <c r="M19" s="240" t="s">
        <v>252</v>
      </c>
    </row>
    <row r="20" spans="1:13" x14ac:dyDescent="0.45">
      <c r="A20" s="50"/>
      <c r="B20" s="50"/>
      <c r="C20" s="50" t="s">
        <v>3</v>
      </c>
      <c r="D20" s="50">
        <v>20800</v>
      </c>
      <c r="E20" s="149"/>
      <c r="F20" s="54"/>
      <c r="G20" s="50">
        <f t="shared" ref="G20:G37" si="0">D20+E20</f>
        <v>20800</v>
      </c>
      <c r="H20" s="55"/>
    </row>
    <row r="21" spans="1:13" x14ac:dyDescent="0.45">
      <c r="A21" s="50"/>
      <c r="B21" s="50"/>
      <c r="C21" s="149" t="s">
        <v>4</v>
      </c>
      <c r="D21" s="50">
        <v>0</v>
      </c>
      <c r="E21" s="149"/>
      <c r="F21" s="59"/>
      <c r="G21" s="50"/>
      <c r="H21" s="55"/>
      <c r="I21" s="50"/>
      <c r="J21" s="50"/>
      <c r="K21" s="50"/>
    </row>
    <row r="22" spans="1:13" x14ac:dyDescent="0.45">
      <c r="A22" s="50"/>
      <c r="B22" s="50"/>
      <c r="C22" s="149"/>
      <c r="D22" s="50"/>
      <c r="E22" s="149"/>
      <c r="F22" s="59"/>
      <c r="G22" s="50"/>
      <c r="H22" s="55"/>
      <c r="I22" s="50"/>
      <c r="J22" s="50"/>
      <c r="K22" s="50"/>
    </row>
    <row r="23" spans="1:13" x14ac:dyDescent="0.45">
      <c r="A23" s="50"/>
      <c r="B23" s="50"/>
      <c r="C23" s="149"/>
      <c r="D23" s="50"/>
      <c r="E23" s="149"/>
      <c r="F23" s="59"/>
      <c r="G23" s="50">
        <f>D21+E21+E22+E23</f>
        <v>0</v>
      </c>
      <c r="H23" s="55"/>
      <c r="I23" s="50"/>
      <c r="J23" s="50"/>
      <c r="K23" s="50"/>
    </row>
    <row r="24" spans="1:13" x14ac:dyDescent="0.45">
      <c r="A24" s="50"/>
      <c r="B24" s="50"/>
      <c r="C24" s="50" t="s">
        <v>5</v>
      </c>
      <c r="D24" s="50">
        <v>464375</v>
      </c>
      <c r="E24" s="149">
        <f>-'Water Loss'!D29</f>
        <v>-77494.609407163443</v>
      </c>
      <c r="F24" s="59" t="s">
        <v>257</v>
      </c>
      <c r="G24" s="50">
        <f t="shared" si="0"/>
        <v>386880.39059283654</v>
      </c>
      <c r="H24" s="60"/>
      <c r="I24" s="7" t="s">
        <v>253</v>
      </c>
      <c r="M24" s="240" t="s">
        <v>289</v>
      </c>
    </row>
    <row r="25" spans="1:13" x14ac:dyDescent="0.45">
      <c r="A25" s="50"/>
      <c r="B25" s="50"/>
      <c r="C25" s="50" t="s">
        <v>6</v>
      </c>
      <c r="D25" s="50">
        <v>0</v>
      </c>
      <c r="E25" s="50">
        <v>12363.91</v>
      </c>
      <c r="F25" s="59"/>
      <c r="G25" s="50"/>
      <c r="H25" s="61"/>
      <c r="I25" s="50" t="s">
        <v>288</v>
      </c>
      <c r="J25" s="50"/>
      <c r="K25" s="50"/>
    </row>
    <row r="26" spans="1:13" x14ac:dyDescent="0.45">
      <c r="A26" s="50"/>
      <c r="B26" s="50"/>
      <c r="C26" s="50"/>
      <c r="D26" s="50"/>
      <c r="E26" s="50">
        <f>-'Water Loss'!D30</f>
        <v>-2063.2815638122684</v>
      </c>
      <c r="F26" s="59"/>
      <c r="G26" s="50">
        <f>D25+E25+E26</f>
        <v>10300.628436187731</v>
      </c>
      <c r="H26" s="61"/>
      <c r="I26" s="7" t="s">
        <v>290</v>
      </c>
      <c r="J26" s="50"/>
      <c r="K26" s="50"/>
      <c r="M26" s="240" t="s">
        <v>291</v>
      </c>
    </row>
    <row r="27" spans="1:13" x14ac:dyDescent="0.45">
      <c r="A27" s="50"/>
      <c r="B27" s="50"/>
      <c r="C27" s="50" t="s">
        <v>72</v>
      </c>
      <c r="D27" s="50">
        <v>0</v>
      </c>
      <c r="E27" s="50"/>
      <c r="F27" s="59"/>
      <c r="G27" s="50">
        <f t="shared" si="0"/>
        <v>0</v>
      </c>
      <c r="H27" s="61"/>
      <c r="J27" s="50"/>
      <c r="K27" s="50"/>
    </row>
    <row r="28" spans="1:13" x14ac:dyDescent="0.45">
      <c r="A28" s="50"/>
      <c r="B28" s="50"/>
      <c r="C28" s="149" t="s">
        <v>7</v>
      </c>
      <c r="D28" s="50">
        <v>76795</v>
      </c>
      <c r="E28" s="50">
        <f>-Capital!C6</f>
        <v>-13965</v>
      </c>
      <c r="F28" s="59" t="s">
        <v>269</v>
      </c>
      <c r="G28" s="50"/>
      <c r="H28" s="55"/>
      <c r="I28" s="50" t="s">
        <v>249</v>
      </c>
      <c r="J28" s="50"/>
      <c r="K28" s="50"/>
      <c r="M28" s="240" t="s">
        <v>250</v>
      </c>
    </row>
    <row r="29" spans="1:13" x14ac:dyDescent="0.45">
      <c r="A29" s="50"/>
      <c r="B29" s="50"/>
      <c r="C29" s="149"/>
      <c r="D29" s="50"/>
      <c r="E29" s="50">
        <f>D28*0.113</f>
        <v>8677.8350000000009</v>
      </c>
      <c r="F29" s="59" t="s">
        <v>279</v>
      </c>
      <c r="G29" s="50">
        <f>D28+E28+E29</f>
        <v>71507.835000000006</v>
      </c>
      <c r="H29" s="55"/>
      <c r="I29" s="50" t="s">
        <v>280</v>
      </c>
      <c r="J29" s="50"/>
      <c r="K29" s="50"/>
      <c r="M29" s="242" t="s">
        <v>281</v>
      </c>
    </row>
    <row r="30" spans="1:13" x14ac:dyDescent="0.45">
      <c r="A30" s="50"/>
      <c r="B30" s="50"/>
      <c r="C30" s="50" t="s">
        <v>173</v>
      </c>
      <c r="D30" s="50">
        <v>6590</v>
      </c>
      <c r="E30" s="50">
        <f>D30*0.068</f>
        <v>448.12</v>
      </c>
      <c r="F30" s="59" t="s">
        <v>283</v>
      </c>
      <c r="G30" s="50">
        <f t="shared" si="0"/>
        <v>7038.12</v>
      </c>
      <c r="H30" s="55"/>
      <c r="I30" s="50" t="s">
        <v>282</v>
      </c>
      <c r="J30" s="50"/>
      <c r="K30" s="50"/>
      <c r="M30" s="242" t="s">
        <v>281</v>
      </c>
    </row>
    <row r="31" spans="1:13" x14ac:dyDescent="0.45">
      <c r="A31" s="50"/>
      <c r="B31" s="50"/>
      <c r="C31" s="149" t="s">
        <v>174</v>
      </c>
      <c r="D31" s="50">
        <v>0</v>
      </c>
      <c r="E31" s="149"/>
      <c r="F31" s="59"/>
      <c r="G31" s="50">
        <f t="shared" si="0"/>
        <v>0</v>
      </c>
      <c r="H31" s="55"/>
      <c r="I31" s="50"/>
      <c r="J31" s="50"/>
      <c r="K31" s="50"/>
    </row>
    <row r="32" spans="1:13" x14ac:dyDescent="0.45">
      <c r="A32" s="50"/>
      <c r="B32" s="50"/>
      <c r="C32" s="149" t="s">
        <v>175</v>
      </c>
      <c r="D32" s="50">
        <f>5069+53462</f>
        <v>58531</v>
      </c>
      <c r="E32" s="50">
        <f>D32*0.068</f>
        <v>3980.1080000000002</v>
      </c>
      <c r="F32" s="59" t="s">
        <v>283</v>
      </c>
      <c r="G32" s="50">
        <f t="shared" si="0"/>
        <v>62511.108</v>
      </c>
      <c r="H32" s="55"/>
      <c r="I32" s="50" t="s">
        <v>282</v>
      </c>
      <c r="J32" s="50"/>
      <c r="K32" s="50"/>
      <c r="M32" s="242" t="s">
        <v>281</v>
      </c>
    </row>
    <row r="33" spans="1:13" x14ac:dyDescent="0.45">
      <c r="A33" s="50"/>
      <c r="B33" s="50"/>
      <c r="C33" s="50" t="s">
        <v>54</v>
      </c>
      <c r="D33" s="50">
        <v>0</v>
      </c>
      <c r="E33" s="50"/>
      <c r="F33" s="59"/>
      <c r="G33" s="50">
        <f t="shared" si="0"/>
        <v>0</v>
      </c>
      <c r="H33" s="55"/>
      <c r="I33" s="50"/>
      <c r="J33" s="50"/>
      <c r="K33" s="50"/>
    </row>
    <row r="34" spans="1:13" x14ac:dyDescent="0.45">
      <c r="A34" s="50"/>
      <c r="B34" s="50"/>
      <c r="C34" s="50" t="s">
        <v>9</v>
      </c>
      <c r="D34" s="50">
        <v>16238</v>
      </c>
      <c r="E34" s="50">
        <f>D34*0.068</f>
        <v>1104.184</v>
      </c>
      <c r="F34" s="59" t="s">
        <v>283</v>
      </c>
      <c r="G34" s="50">
        <f t="shared" si="0"/>
        <v>17342.184000000001</v>
      </c>
      <c r="H34" s="57"/>
      <c r="I34" s="50" t="s">
        <v>282</v>
      </c>
      <c r="J34" s="50"/>
      <c r="K34" s="50"/>
      <c r="M34" s="242" t="s">
        <v>281</v>
      </c>
    </row>
    <row r="35" spans="1:13" x14ac:dyDescent="0.45">
      <c r="A35" s="50"/>
      <c r="B35" s="50"/>
      <c r="C35" s="149" t="s">
        <v>176</v>
      </c>
      <c r="D35" s="50">
        <v>4052</v>
      </c>
      <c r="E35" s="50">
        <f t="shared" ref="E35:E36" si="1">D35*0.068</f>
        <v>275.536</v>
      </c>
      <c r="F35" s="59" t="s">
        <v>283</v>
      </c>
      <c r="G35" s="50">
        <f t="shared" si="0"/>
        <v>4327.5360000000001</v>
      </c>
      <c r="H35" s="57"/>
      <c r="I35" s="50" t="s">
        <v>282</v>
      </c>
      <c r="J35" s="50"/>
      <c r="K35" s="50"/>
      <c r="M35" s="242" t="s">
        <v>281</v>
      </c>
    </row>
    <row r="36" spans="1:13" x14ac:dyDescent="0.45">
      <c r="A36" s="50"/>
      <c r="B36" s="50"/>
      <c r="C36" s="50" t="s">
        <v>55</v>
      </c>
      <c r="D36" s="50">
        <f>1491+3714+1972</f>
        <v>7177</v>
      </c>
      <c r="E36" s="50">
        <f t="shared" si="1"/>
        <v>488.03600000000006</v>
      </c>
      <c r="F36" s="59" t="s">
        <v>283</v>
      </c>
      <c r="G36" s="50">
        <f t="shared" si="0"/>
        <v>7665.0360000000001</v>
      </c>
      <c r="H36" s="57"/>
      <c r="I36" s="50" t="s">
        <v>282</v>
      </c>
      <c r="J36" s="50"/>
      <c r="K36" s="50"/>
      <c r="M36" s="242" t="s">
        <v>281</v>
      </c>
    </row>
    <row r="37" spans="1:13" x14ac:dyDescent="0.45">
      <c r="A37" s="50"/>
      <c r="B37" s="50"/>
      <c r="C37" s="50" t="s">
        <v>56</v>
      </c>
      <c r="D37" s="50">
        <v>7046</v>
      </c>
      <c r="E37" s="50"/>
      <c r="F37" s="54"/>
      <c r="G37" s="50">
        <f t="shared" si="0"/>
        <v>7046</v>
      </c>
      <c r="H37" s="57"/>
      <c r="I37" s="50"/>
      <c r="J37" s="50"/>
      <c r="K37" s="50"/>
    </row>
    <row r="38" spans="1:13" x14ac:dyDescent="0.45">
      <c r="A38" s="50"/>
      <c r="B38" s="50"/>
      <c r="C38" s="149" t="s">
        <v>8</v>
      </c>
      <c r="D38" s="71">
        <v>25065</v>
      </c>
      <c r="E38" s="50">
        <f>D37*0.113</f>
        <v>796.19799999999998</v>
      </c>
      <c r="F38" s="59" t="s">
        <v>279</v>
      </c>
      <c r="G38" s="71"/>
      <c r="H38" s="57"/>
      <c r="I38" s="50" t="s">
        <v>280</v>
      </c>
      <c r="J38" s="50"/>
      <c r="K38" s="50"/>
      <c r="M38" s="242" t="s">
        <v>281</v>
      </c>
    </row>
    <row r="39" spans="1:13" x14ac:dyDescent="0.45">
      <c r="A39" s="50"/>
      <c r="B39" s="50"/>
      <c r="C39" s="149"/>
      <c r="D39" s="261"/>
      <c r="E39" s="261">
        <v>-12363.91</v>
      </c>
      <c r="F39" s="59"/>
      <c r="G39" s="261">
        <f>D38+E38+E39</f>
        <v>13497.288</v>
      </c>
      <c r="H39" s="55"/>
      <c r="I39" s="50" t="s">
        <v>288</v>
      </c>
      <c r="J39" s="50"/>
      <c r="K39" s="50"/>
    </row>
    <row r="40" spans="1:13" x14ac:dyDescent="0.45">
      <c r="A40" s="50"/>
      <c r="B40" s="50" t="s">
        <v>35</v>
      </c>
      <c r="C40" s="50"/>
      <c r="D40" s="50">
        <f>SUM(D18:D39)</f>
        <v>932874</v>
      </c>
      <c r="E40" s="50">
        <f>SUM(E18:E39)</f>
        <v>-72761.911470975712</v>
      </c>
      <c r="F40" s="54"/>
      <c r="G40" s="50">
        <f>SUM(G18:G39)</f>
        <v>860112.08852902427</v>
      </c>
      <c r="H40" s="57"/>
      <c r="I40" s="50"/>
      <c r="J40" s="50"/>
      <c r="K40" s="50"/>
    </row>
    <row r="41" spans="1:13" ht="4.05" customHeight="1" x14ac:dyDescent="0.45">
      <c r="A41" s="50"/>
      <c r="B41" s="50"/>
      <c r="C41" s="50"/>
      <c r="D41" s="50"/>
      <c r="E41" s="50"/>
      <c r="F41" s="54"/>
      <c r="G41" s="50"/>
      <c r="H41" s="57"/>
      <c r="I41" s="50"/>
      <c r="J41" s="50"/>
      <c r="K41" s="50"/>
    </row>
    <row r="42" spans="1:13" x14ac:dyDescent="0.45">
      <c r="A42" s="50"/>
      <c r="B42" s="50" t="s">
        <v>20</v>
      </c>
      <c r="C42" s="50"/>
      <c r="D42" s="50">
        <v>92622</v>
      </c>
      <c r="E42" s="149">
        <f>Depreciation!K44</f>
        <v>-12799.222220952377</v>
      </c>
      <c r="F42" s="54" t="s">
        <v>258</v>
      </c>
      <c r="G42" s="50">
        <f t="shared" ref="G42" si="2">D42+E42</f>
        <v>79822.777779047625</v>
      </c>
      <c r="H42" s="57"/>
      <c r="I42" s="7" t="s">
        <v>247</v>
      </c>
      <c r="J42" s="50"/>
      <c r="M42" s="240" t="s">
        <v>248</v>
      </c>
    </row>
    <row r="43" spans="1:13" ht="16.5" x14ac:dyDescent="0.45">
      <c r="A43" s="50"/>
      <c r="B43" s="149" t="s">
        <v>1</v>
      </c>
      <c r="C43" s="149"/>
      <c r="D43" s="72">
        <v>23512</v>
      </c>
      <c r="E43" s="262">
        <f>Wages!I31</f>
        <v>255.97363125000265</v>
      </c>
      <c r="F43" s="73" t="s">
        <v>256</v>
      </c>
      <c r="G43" s="72">
        <f t="shared" ref="G43" si="3">D43+E43</f>
        <v>23767.973631250003</v>
      </c>
      <c r="H43" s="57"/>
      <c r="I43" s="50" t="s">
        <v>270</v>
      </c>
      <c r="J43" s="50"/>
      <c r="M43" s="240" t="s">
        <v>272</v>
      </c>
    </row>
    <row r="44" spans="1:13" ht="16.5" x14ac:dyDescent="0.45">
      <c r="A44" s="58" t="s">
        <v>0</v>
      </c>
      <c r="B44" s="50"/>
      <c r="C44" s="50"/>
      <c r="D44" s="72">
        <f>SUM(D40:D43)</f>
        <v>1049008</v>
      </c>
      <c r="E44" s="72">
        <f>SUM(E40:E43)</f>
        <v>-85305.160060678085</v>
      </c>
      <c r="F44" s="73"/>
      <c r="G44" s="72">
        <f>SUM(G40:G43)</f>
        <v>963702.83993932186</v>
      </c>
      <c r="H44" s="57"/>
      <c r="I44" s="50"/>
      <c r="J44" s="50"/>
      <c r="K44" s="50"/>
    </row>
    <row r="45" spans="1:13" ht="4.05" customHeight="1" x14ac:dyDescent="0.45">
      <c r="A45" s="58"/>
      <c r="B45" s="50"/>
      <c r="C45" s="50"/>
      <c r="D45" s="74"/>
      <c r="E45" s="74"/>
      <c r="F45" s="54"/>
      <c r="G45" s="50"/>
      <c r="H45" s="50"/>
      <c r="I45" s="50"/>
      <c r="J45" s="50"/>
      <c r="K45" s="50"/>
    </row>
    <row r="46" spans="1:13" x14ac:dyDescent="0.45">
      <c r="A46" s="58" t="s">
        <v>36</v>
      </c>
      <c r="B46" s="50"/>
      <c r="C46" s="50"/>
      <c r="D46" s="50">
        <f>D14-D44</f>
        <v>-71915</v>
      </c>
      <c r="E46" s="50">
        <f>E14-E44</f>
        <v>85305.160060678085</v>
      </c>
      <c r="F46" s="54"/>
      <c r="G46" s="50">
        <f>G14-G44</f>
        <v>13390.160060678143</v>
      </c>
      <c r="H46" s="50"/>
      <c r="I46" s="50"/>
      <c r="K46" s="50"/>
    </row>
    <row r="47" spans="1:13" x14ac:dyDescent="0.45">
      <c r="A47" s="50"/>
      <c r="B47" s="50"/>
      <c r="C47" s="50"/>
      <c r="D47" s="50"/>
      <c r="E47" s="50"/>
      <c r="F47" s="54"/>
      <c r="G47" s="50"/>
      <c r="H47" s="50"/>
      <c r="I47" s="50"/>
      <c r="J47" s="50"/>
      <c r="K47" s="50"/>
    </row>
    <row r="48" spans="1:13" ht="18" x14ac:dyDescent="0.45">
      <c r="A48" s="263" t="s">
        <v>284</v>
      </c>
      <c r="B48" s="263"/>
      <c r="C48" s="263"/>
      <c r="D48" s="263"/>
      <c r="E48" s="263"/>
      <c r="F48" s="263"/>
      <c r="G48" s="263"/>
      <c r="H48" s="50"/>
      <c r="I48" s="62"/>
      <c r="J48" s="63"/>
      <c r="K48" s="50"/>
    </row>
    <row r="49" spans="1:13" x14ac:dyDescent="0.45">
      <c r="A49" s="243" t="s">
        <v>37</v>
      </c>
      <c r="B49" s="149"/>
      <c r="C49" s="149"/>
      <c r="D49" s="244"/>
      <c r="E49" s="149"/>
      <c r="F49" s="245"/>
      <c r="G49" s="191">
        <f>G44</f>
        <v>963702.83993932186</v>
      </c>
      <c r="H49" s="50"/>
      <c r="J49" s="50"/>
      <c r="K49" s="50"/>
    </row>
    <row r="50" spans="1:13" x14ac:dyDescent="0.45">
      <c r="A50" s="149" t="s">
        <v>21</v>
      </c>
      <c r="B50" s="149"/>
      <c r="C50" s="149" t="s">
        <v>97</v>
      </c>
      <c r="D50" s="244"/>
      <c r="E50" s="149"/>
      <c r="F50" s="245" t="s">
        <v>255</v>
      </c>
      <c r="G50" s="191">
        <f>'Debt Service'!M19</f>
        <v>66915.66</v>
      </c>
      <c r="H50" s="50"/>
      <c r="I50" s="7" t="s">
        <v>263</v>
      </c>
      <c r="J50" s="50"/>
      <c r="K50" s="50"/>
      <c r="M50" s="240" t="s">
        <v>264</v>
      </c>
    </row>
    <row r="51" spans="1:13" x14ac:dyDescent="0.45">
      <c r="A51" s="149"/>
      <c r="B51" s="149"/>
      <c r="C51" s="149" t="s">
        <v>98</v>
      </c>
      <c r="D51" s="244"/>
      <c r="E51" s="149"/>
      <c r="F51" s="245" t="s">
        <v>262</v>
      </c>
      <c r="G51" s="191">
        <f>'Debt Service'!M21</f>
        <v>13383.132000000001</v>
      </c>
      <c r="H51" s="50"/>
      <c r="I51" s="7" t="s">
        <v>265</v>
      </c>
      <c r="J51" s="50"/>
      <c r="K51" s="50"/>
      <c r="M51" s="240" t="s">
        <v>266</v>
      </c>
    </row>
    <row r="52" spans="1:13" x14ac:dyDescent="0.45">
      <c r="A52" s="243" t="s">
        <v>59</v>
      </c>
      <c r="B52" s="149"/>
      <c r="C52" s="149"/>
      <c r="D52" s="244"/>
      <c r="E52" s="149"/>
      <c r="F52" s="245"/>
      <c r="G52" s="191">
        <f>G49+G50+G51</f>
        <v>1044001.6319393219</v>
      </c>
      <c r="H52" s="50"/>
      <c r="J52" s="50"/>
      <c r="K52" s="50"/>
    </row>
    <row r="53" spans="1:13" x14ac:dyDescent="0.45">
      <c r="A53" s="149" t="s">
        <v>22</v>
      </c>
      <c r="B53" s="149"/>
      <c r="C53" s="149" t="s">
        <v>23</v>
      </c>
      <c r="D53" s="244"/>
      <c r="E53" s="149"/>
      <c r="F53" s="245"/>
      <c r="G53" s="191">
        <f>SUM(G11:G13)</f>
        <v>59818</v>
      </c>
      <c r="H53" s="50"/>
      <c r="J53" s="50"/>
      <c r="K53" s="50"/>
    </row>
    <row r="54" spans="1:13" x14ac:dyDescent="0.45">
      <c r="A54" s="149"/>
      <c r="B54" s="149"/>
      <c r="C54" s="149" t="s">
        <v>11</v>
      </c>
      <c r="D54" s="244"/>
      <c r="E54" s="149"/>
      <c r="F54" s="245"/>
      <c r="G54" s="246">
        <v>1331</v>
      </c>
      <c r="H54" s="50"/>
      <c r="I54" s="30"/>
      <c r="J54" s="50"/>
      <c r="K54" s="50"/>
    </row>
    <row r="55" spans="1:13" x14ac:dyDescent="0.45">
      <c r="A55" s="243" t="s">
        <v>57</v>
      </c>
      <c r="B55" s="149"/>
      <c r="C55" s="149"/>
      <c r="D55" s="244"/>
      <c r="E55" s="149"/>
      <c r="F55" s="245"/>
      <c r="G55" s="191">
        <f>G52-G53-G54</f>
        <v>982852.63193932187</v>
      </c>
      <c r="H55" s="50"/>
      <c r="J55" s="50"/>
      <c r="K55" s="50"/>
    </row>
    <row r="56" spans="1:13" ht="16.5" x14ac:dyDescent="0.75">
      <c r="A56" s="149" t="s">
        <v>22</v>
      </c>
      <c r="B56" s="149"/>
      <c r="C56" s="149" t="s">
        <v>58</v>
      </c>
      <c r="D56" s="244"/>
      <c r="E56" s="149"/>
      <c r="F56" s="245"/>
      <c r="G56" s="247">
        <f>G6</f>
        <v>917275</v>
      </c>
      <c r="H56" s="50"/>
      <c r="I56" s="30"/>
      <c r="J56" s="50"/>
      <c r="K56" s="50"/>
    </row>
    <row r="57" spans="1:13" x14ac:dyDescent="0.45">
      <c r="A57" s="243" t="s">
        <v>60</v>
      </c>
      <c r="B57" s="149"/>
      <c r="C57" s="149"/>
      <c r="D57" s="244"/>
      <c r="E57" s="149"/>
      <c r="F57" s="245"/>
      <c r="G57" s="149">
        <f>G55-G56</f>
        <v>65577.631939321873</v>
      </c>
      <c r="H57" s="50"/>
      <c r="I57" s="50"/>
      <c r="J57" s="50"/>
      <c r="K57" s="50"/>
    </row>
    <row r="58" spans="1:13" ht="4.05" customHeight="1" x14ac:dyDescent="0.45">
      <c r="A58" s="149"/>
      <c r="B58" s="149"/>
      <c r="C58" s="149"/>
      <c r="D58" s="244"/>
      <c r="E58" s="149"/>
      <c r="F58" s="245"/>
      <c r="G58" s="149"/>
      <c r="H58" s="50"/>
      <c r="I58" s="50"/>
      <c r="J58" s="50"/>
      <c r="K58" s="50"/>
    </row>
    <row r="59" spans="1:13" x14ac:dyDescent="0.45">
      <c r="A59" s="243" t="s">
        <v>61</v>
      </c>
      <c r="B59" s="149"/>
      <c r="C59" s="149"/>
      <c r="D59" s="244"/>
      <c r="E59" s="149"/>
      <c r="F59" s="245"/>
      <c r="G59" s="248">
        <f>G57/G56</f>
        <v>7.1491790291157917E-2</v>
      </c>
      <c r="H59" s="50"/>
      <c r="I59" s="50"/>
      <c r="J59" s="50"/>
      <c r="K59" s="50"/>
    </row>
    <row r="60" spans="1:13" x14ac:dyDescent="0.45">
      <c r="A60" s="191"/>
      <c r="B60" s="191"/>
      <c r="C60" s="191"/>
      <c r="D60" s="191"/>
      <c r="E60" s="191"/>
      <c r="F60" s="191"/>
      <c r="G60" s="191"/>
    </row>
    <row r="61" spans="1:13" ht="18" x14ac:dyDescent="0.45">
      <c r="A61" s="265" t="s">
        <v>208</v>
      </c>
      <c r="B61" s="265"/>
      <c r="C61" s="265"/>
      <c r="D61" s="265"/>
      <c r="E61" s="265"/>
      <c r="F61" s="265"/>
      <c r="G61" s="265"/>
    </row>
    <row r="62" spans="1:13" x14ac:dyDescent="0.45">
      <c r="A62" s="249" t="s">
        <v>37</v>
      </c>
      <c r="B62" s="250"/>
      <c r="C62" s="250"/>
      <c r="D62" s="251"/>
      <c r="E62" s="252"/>
      <c r="F62" s="253"/>
      <c r="G62" s="254">
        <f>G49</f>
        <v>963702.83993932186</v>
      </c>
    </row>
    <row r="63" spans="1:13" x14ac:dyDescent="0.45">
      <c r="A63" s="250" t="s">
        <v>209</v>
      </c>
      <c r="B63" s="250"/>
      <c r="C63" s="250"/>
      <c r="D63" s="251"/>
      <c r="E63" s="252"/>
      <c r="F63" s="253"/>
      <c r="G63" s="255">
        <v>0.88</v>
      </c>
    </row>
    <row r="64" spans="1:13" x14ac:dyDescent="0.45">
      <c r="A64" s="250" t="s">
        <v>259</v>
      </c>
      <c r="B64" s="250"/>
      <c r="C64" s="250"/>
      <c r="D64" s="251"/>
      <c r="E64" s="252"/>
      <c r="F64" s="253"/>
      <c r="G64" s="191">
        <f>G62/G63</f>
        <v>1095116.8635674112</v>
      </c>
    </row>
    <row r="65" spans="1:13" x14ac:dyDescent="0.45">
      <c r="A65" s="250" t="s">
        <v>260</v>
      </c>
      <c r="B65" s="250"/>
      <c r="C65" s="191" t="s">
        <v>261</v>
      </c>
      <c r="D65" s="251"/>
      <c r="E65" s="252"/>
      <c r="F65" s="253" t="s">
        <v>268</v>
      </c>
      <c r="G65" s="193">
        <f>'Debt Service'!M26</f>
        <v>23515.66</v>
      </c>
      <c r="I65" s="7" t="s">
        <v>273</v>
      </c>
      <c r="M65" s="240" t="s">
        <v>267</v>
      </c>
    </row>
    <row r="66" spans="1:13" x14ac:dyDescent="0.45">
      <c r="A66" s="249" t="s">
        <v>59</v>
      </c>
      <c r="B66" s="250"/>
      <c r="C66" s="250"/>
      <c r="D66" s="251"/>
      <c r="E66" s="252"/>
      <c r="F66" s="253"/>
      <c r="G66" s="254">
        <f>G64+G65</f>
        <v>1118632.5235674111</v>
      </c>
    </row>
    <row r="67" spans="1:13" x14ac:dyDescent="0.45">
      <c r="A67" s="250" t="s">
        <v>22</v>
      </c>
      <c r="B67" s="250"/>
      <c r="C67" s="256" t="s">
        <v>23</v>
      </c>
      <c r="D67" s="251"/>
      <c r="E67" s="252"/>
      <c r="F67" s="253"/>
      <c r="G67" s="254">
        <f>SUM(G11:G13)</f>
        <v>59818</v>
      </c>
    </row>
    <row r="68" spans="1:13" ht="16.5" x14ac:dyDescent="0.75">
      <c r="A68" s="250"/>
      <c r="B68" s="250"/>
      <c r="C68" s="257" t="s">
        <v>11</v>
      </c>
      <c r="D68" s="251"/>
      <c r="E68" s="252"/>
      <c r="F68" s="253"/>
      <c r="G68" s="258">
        <v>1331</v>
      </c>
    </row>
    <row r="69" spans="1:13" x14ac:dyDescent="0.45">
      <c r="A69" s="249" t="s">
        <v>57</v>
      </c>
      <c r="B69" s="250"/>
      <c r="C69" s="250"/>
      <c r="D69" s="251"/>
      <c r="E69" s="252"/>
      <c r="F69" s="253"/>
      <c r="G69" s="254">
        <f>G66-G67-G68</f>
        <v>1057483.5235674111</v>
      </c>
    </row>
    <row r="70" spans="1:13" ht="16.5" x14ac:dyDescent="0.75">
      <c r="A70" s="250" t="s">
        <v>22</v>
      </c>
      <c r="B70" s="250"/>
      <c r="C70" s="259" t="s">
        <v>58</v>
      </c>
      <c r="D70" s="251"/>
      <c r="E70" s="252"/>
      <c r="F70" s="253"/>
      <c r="G70" s="258">
        <f>G6</f>
        <v>917275</v>
      </c>
    </row>
    <row r="71" spans="1:13" x14ac:dyDescent="0.45">
      <c r="A71" s="249" t="s">
        <v>60</v>
      </c>
      <c r="B71" s="250"/>
      <c r="C71" s="250"/>
      <c r="D71" s="251"/>
      <c r="E71" s="252"/>
      <c r="F71" s="253"/>
      <c r="G71" s="260">
        <f>G69-G70</f>
        <v>140208.52356741112</v>
      </c>
    </row>
    <row r="72" spans="1:13" x14ac:dyDescent="0.45">
      <c r="A72" s="249" t="s">
        <v>61</v>
      </c>
      <c r="B72" s="250"/>
      <c r="C72" s="250"/>
      <c r="D72" s="254"/>
      <c r="E72" s="254"/>
      <c r="F72" s="254"/>
      <c r="G72" s="248">
        <f>G71/G70</f>
        <v>0.15285331396518068</v>
      </c>
    </row>
  </sheetData>
  <mergeCells count="3">
    <mergeCell ref="A48:G48"/>
    <mergeCell ref="A1:G1"/>
    <mergeCell ref="A61:G61"/>
  </mergeCells>
  <hyperlinks>
    <hyperlink ref="M29" r:id="rId1" display="https://www.bls.gov/ppi/detailed-report/ppi-detailed-report-september-2022.pdf" xr:uid="{BFB9C30C-FCB7-49E3-B893-7D2BDA8E97F1}"/>
    <hyperlink ref="M38" r:id="rId2" display="https://www.bls.gov/ppi/detailed-report/ppi-detailed-report-september-2022.pdf" xr:uid="{49C6FACD-6442-45D3-AAE0-7892A6021600}"/>
    <hyperlink ref="M30" r:id="rId3" display="https://www.bls.gov/ppi/detailed-report/ppi-detailed-report-september-2022.pdf" xr:uid="{1BA080F3-6340-4617-8F1A-3E98DE7C95C1}"/>
    <hyperlink ref="M32" r:id="rId4" display="https://www.bls.gov/ppi/detailed-report/ppi-detailed-report-september-2022.pdf" xr:uid="{EB76D639-EACF-407D-A785-05CC2F51AF3E}"/>
    <hyperlink ref="M34" r:id="rId5" display="https://www.bls.gov/ppi/detailed-report/ppi-detailed-report-september-2022.pdf" xr:uid="{E6FEDE5C-1DBE-44ED-8344-1A9F06FEB33A}"/>
    <hyperlink ref="M35" r:id="rId6" display="https://www.bls.gov/ppi/detailed-report/ppi-detailed-report-september-2022.pdf" xr:uid="{DFC8F94B-69FA-43E7-B75B-118ACA3F7A07}"/>
    <hyperlink ref="M36" r:id="rId7" display="https://www.bls.gov/ppi/detailed-report/ppi-detailed-report-september-2022.pdf" xr:uid="{AC876CEF-F7E5-4FE2-8CBE-819CA8322134}"/>
  </hyperlinks>
  <printOptions horizontalCentered="1"/>
  <pageMargins left="0.45" right="0.25" top="0.5" bottom="0.5" header="0.3" footer="0.3"/>
  <pageSetup orientation="portrait" horizontalDpi="4294967293" r:id="rId8"/>
  <rowBreaks count="2" manualBreakCount="2">
    <brk id="46" max="16383" man="1"/>
    <brk id="4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21A5D-F066-4CE9-BA36-C72BFFF48E10}">
  <sheetPr>
    <pageSetUpPr fitToPage="1"/>
  </sheetPr>
  <dimension ref="B1:O29"/>
  <sheetViews>
    <sheetView showGridLines="0" workbookViewId="0">
      <selection activeCell="A2" sqref="A2:XFD3"/>
    </sheetView>
  </sheetViews>
  <sheetFormatPr defaultColWidth="8.88671875" defaultRowHeight="14.25" x14ac:dyDescent="0.45"/>
  <cols>
    <col min="1" max="1" width="2.609375" style="7" customWidth="1"/>
    <col min="2" max="2" width="1.77734375" style="7" customWidth="1"/>
    <col min="3" max="4" width="9.77734375" style="7" customWidth="1"/>
    <col min="5" max="6" width="9.77734375" style="191" customWidth="1"/>
    <col min="7" max="8" width="9.77734375" style="7" customWidth="1"/>
    <col min="9" max="9" width="1.77734375" style="7" customWidth="1"/>
    <col min="10" max="10" width="2.5" style="7" customWidth="1"/>
    <col min="11" max="16384" width="8.88671875" style="7"/>
  </cols>
  <sheetData>
    <row r="1" spans="2:11" x14ac:dyDescent="0.45">
      <c r="B1" s="8"/>
      <c r="C1" s="9"/>
      <c r="D1" s="9"/>
      <c r="E1" s="192"/>
      <c r="F1" s="192"/>
      <c r="G1" s="9"/>
      <c r="H1" s="9"/>
      <c r="I1" s="10"/>
    </row>
    <row r="2" spans="2:11" ht="18" x14ac:dyDescent="0.55000000000000004">
      <c r="B2" s="11"/>
      <c r="C2" s="294" t="s">
        <v>168</v>
      </c>
      <c r="D2" s="294"/>
      <c r="E2" s="294"/>
      <c r="F2" s="294"/>
      <c r="G2" s="294"/>
      <c r="H2" s="294"/>
      <c r="I2" s="295"/>
    </row>
    <row r="3" spans="2:11" ht="18" x14ac:dyDescent="0.55000000000000004">
      <c r="B3" s="11"/>
      <c r="C3" s="228"/>
      <c r="D3" s="228"/>
      <c r="E3" s="228"/>
      <c r="F3" s="228"/>
      <c r="G3" s="228"/>
      <c r="H3" s="228"/>
      <c r="I3" s="229"/>
    </row>
    <row r="4" spans="2:11" ht="18" x14ac:dyDescent="0.55000000000000004">
      <c r="B4" s="11"/>
      <c r="C4" s="291" t="s">
        <v>171</v>
      </c>
      <c r="D4" s="291"/>
      <c r="E4" s="291"/>
      <c r="F4" s="291"/>
      <c r="G4" s="291"/>
      <c r="H4" s="291"/>
      <c r="I4" s="292"/>
    </row>
    <row r="5" spans="2:11" ht="18" customHeight="1" x14ac:dyDescent="0.55000000000000004">
      <c r="B5" s="296" t="s">
        <v>286</v>
      </c>
      <c r="C5" s="294"/>
      <c r="D5" s="294"/>
      <c r="E5" s="294"/>
      <c r="F5" s="294"/>
      <c r="G5" s="294"/>
      <c r="H5" s="294"/>
      <c r="I5" s="295"/>
    </row>
    <row r="6" spans="2:11" ht="18" x14ac:dyDescent="0.45">
      <c r="B6" s="11"/>
      <c r="C6" s="279" t="s">
        <v>211</v>
      </c>
      <c r="D6" s="279"/>
      <c r="E6" s="279"/>
      <c r="F6" s="279"/>
      <c r="G6" s="279"/>
      <c r="H6" s="279"/>
      <c r="I6" s="293"/>
    </row>
    <row r="7" spans="2:11" x14ac:dyDescent="0.45">
      <c r="B7" s="13"/>
      <c r="C7" s="5"/>
      <c r="D7" s="5"/>
      <c r="E7" s="193"/>
      <c r="F7" s="193"/>
      <c r="G7" s="5"/>
      <c r="H7" s="5"/>
      <c r="I7" s="14"/>
    </row>
    <row r="8" spans="2:11" ht="6" customHeight="1" x14ac:dyDescent="0.45">
      <c r="B8" s="11"/>
      <c r="C8" s="6"/>
      <c r="D8" s="12"/>
      <c r="E8" s="194"/>
      <c r="F8" s="33"/>
      <c r="G8" s="33"/>
      <c r="H8" s="33"/>
      <c r="I8" s="34"/>
      <c r="J8" s="32"/>
      <c r="K8" s="32"/>
    </row>
    <row r="9" spans="2:11" ht="16.5" x14ac:dyDescent="0.75">
      <c r="B9" s="11"/>
      <c r="C9" s="16" t="s">
        <v>13</v>
      </c>
      <c r="D9" s="31" t="s">
        <v>62</v>
      </c>
      <c r="E9" s="195" t="s">
        <v>24</v>
      </c>
      <c r="F9" s="197" t="s">
        <v>10</v>
      </c>
      <c r="G9" s="16"/>
      <c r="H9" s="16"/>
      <c r="I9" s="31"/>
    </row>
    <row r="10" spans="2:11" ht="16.5" x14ac:dyDescent="0.75">
      <c r="B10" s="11"/>
      <c r="C10" s="16" t="s">
        <v>70</v>
      </c>
      <c r="D10" s="31" t="s">
        <v>66</v>
      </c>
      <c r="E10" s="195" t="s">
        <v>64</v>
      </c>
      <c r="F10" s="197" t="s">
        <v>64</v>
      </c>
      <c r="G10" s="16" t="s">
        <v>25</v>
      </c>
      <c r="H10" s="16" t="s">
        <v>65</v>
      </c>
      <c r="I10" s="31"/>
    </row>
    <row r="11" spans="2:11" x14ac:dyDescent="0.45">
      <c r="B11" s="11"/>
      <c r="C11" s="17">
        <v>0</v>
      </c>
      <c r="D11" s="35" t="s">
        <v>67</v>
      </c>
      <c r="E11" s="196">
        <f>'Rates ORM'!D11</f>
        <v>15.01</v>
      </c>
      <c r="F11" s="196">
        <f>'Rates ORM'!F11</f>
        <v>17.3</v>
      </c>
      <c r="G11" s="45">
        <f>F11-E11</f>
        <v>2.2900000000000009</v>
      </c>
      <c r="H11" s="67">
        <f>G11/E11</f>
        <v>0.15256495669553638</v>
      </c>
      <c r="I11" s="38"/>
    </row>
    <row r="12" spans="2:11" x14ac:dyDescent="0.45">
      <c r="B12" s="11"/>
      <c r="C12" s="6">
        <v>2000</v>
      </c>
      <c r="D12" s="35" t="s">
        <v>67</v>
      </c>
      <c r="E12" s="196">
        <f>'Rates ORM'!D11+1000*'Rates ORM'!D12</f>
        <v>24.490000000000002</v>
      </c>
      <c r="F12" s="196">
        <f>'Rates ORM'!F11+1000*'Rates ORM'!F12</f>
        <v>28.23</v>
      </c>
      <c r="G12" s="17">
        <f t="shared" ref="G12:G26" si="0">F12-E12</f>
        <v>3.7399999999999984</v>
      </c>
      <c r="H12" s="67">
        <f t="shared" ref="H12:H26" si="1">G12/E12</f>
        <v>0.15271539403838294</v>
      </c>
      <c r="I12" s="38"/>
    </row>
    <row r="13" spans="2:11" x14ac:dyDescent="0.45">
      <c r="B13" s="11"/>
      <c r="C13" s="39">
        <v>4000</v>
      </c>
      <c r="D13" s="40" t="s">
        <v>67</v>
      </c>
      <c r="E13" s="198">
        <f>'Rates ORM'!D11+2000*'Rates ORM'!D12+1000*'Rates ORM'!D13</f>
        <v>42.04</v>
      </c>
      <c r="F13" s="198">
        <f>'Rates ORM'!F11+2000*'Rates ORM'!F12+1000*'Rates ORM'!F13</f>
        <v>48.459999999999994</v>
      </c>
      <c r="G13" s="41">
        <f t="shared" si="0"/>
        <v>6.4199999999999946</v>
      </c>
      <c r="H13" s="68">
        <f t="shared" si="1"/>
        <v>0.15271170313986668</v>
      </c>
      <c r="I13" s="42"/>
    </row>
    <row r="14" spans="2:11" x14ac:dyDescent="0.45">
      <c r="B14" s="11"/>
      <c r="C14" s="6">
        <v>6000</v>
      </c>
      <c r="D14" s="35" t="s">
        <v>67</v>
      </c>
      <c r="E14" s="196">
        <f>'Rates ORM'!D11+2000*'Rates ORM'!D12+3000*'Rates ORM'!D13</f>
        <v>58.18</v>
      </c>
      <c r="F14" s="196">
        <f>'Rates ORM'!F11+2000*'Rates ORM'!F12+3000*'Rates ORM'!F13</f>
        <v>67.06</v>
      </c>
      <c r="G14" s="17">
        <f t="shared" si="0"/>
        <v>8.8800000000000026</v>
      </c>
      <c r="H14" s="67">
        <f t="shared" si="1"/>
        <v>0.15262976968030256</v>
      </c>
      <c r="I14" s="38"/>
    </row>
    <row r="15" spans="2:11" x14ac:dyDescent="0.45">
      <c r="B15" s="11"/>
      <c r="C15" s="6">
        <v>8000</v>
      </c>
      <c r="D15" s="35" t="s">
        <v>67</v>
      </c>
      <c r="E15" s="196">
        <f>'Rates ORM'!D11+2000*'Rates ORM'!D12+5000*'Rates ORM'!D13</f>
        <v>74.319999999999993</v>
      </c>
      <c r="F15" s="196">
        <f>'Rates ORM'!F11+2000*'Rates ORM'!F12+5000*'Rates ORM'!F13</f>
        <v>85.66</v>
      </c>
      <c r="G15" s="17">
        <f t="shared" si="0"/>
        <v>11.340000000000003</v>
      </c>
      <c r="H15" s="67">
        <f t="shared" si="1"/>
        <v>0.15258342303552214</v>
      </c>
      <c r="I15" s="38"/>
    </row>
    <row r="16" spans="2:11" x14ac:dyDescent="0.45">
      <c r="B16" s="11"/>
      <c r="C16" s="6">
        <v>10000</v>
      </c>
      <c r="D16" s="35" t="s">
        <v>67</v>
      </c>
      <c r="E16" s="196">
        <f>'Rates ORM'!D11+2000*'Rates ORM'!D12+7000*'Rates ORM'!D13</f>
        <v>90.460000000000008</v>
      </c>
      <c r="F16" s="196">
        <f>'Rates ORM'!F11+2000*'Rates ORM'!F12+7000*'Rates ORM'!F13</f>
        <v>104.25999999999999</v>
      </c>
      <c r="G16" s="17">
        <f t="shared" si="0"/>
        <v>13.799999999999983</v>
      </c>
      <c r="H16" s="67">
        <f t="shared" si="1"/>
        <v>0.15255361485739533</v>
      </c>
      <c r="I16" s="38"/>
    </row>
    <row r="17" spans="2:15" x14ac:dyDescent="0.45">
      <c r="B17" s="11"/>
      <c r="C17" s="6">
        <v>15000</v>
      </c>
      <c r="D17" s="35" t="s">
        <v>67</v>
      </c>
      <c r="E17" s="196">
        <f>'Rates ORM'!D11+2000*'Rates ORM'!D12+7000*'Rates ORM'!D13+5000*'Rates ORM'!D14</f>
        <v>127.41000000000001</v>
      </c>
      <c r="F17" s="196">
        <f>'Rates ORM'!F11+2000*'Rates ORM'!F12+7000*'Rates ORM'!F13+5000*'Rates ORM'!F14</f>
        <v>146.85999999999999</v>
      </c>
      <c r="G17" s="17">
        <f t="shared" si="0"/>
        <v>19.449999999999974</v>
      </c>
      <c r="H17" s="67">
        <f t="shared" si="1"/>
        <v>0.15265677733301916</v>
      </c>
      <c r="I17" s="38"/>
    </row>
    <row r="18" spans="2:15" x14ac:dyDescent="0.45">
      <c r="B18" s="11"/>
      <c r="C18" s="6">
        <v>20000</v>
      </c>
      <c r="D18" s="35" t="s">
        <v>67</v>
      </c>
      <c r="E18" s="196">
        <f>'Rates ORM'!D11+2000*'Rates ORM'!D12+7000*'Rates ORM'!D13+10000*'Rates ORM'!D14</f>
        <v>164.36</v>
      </c>
      <c r="F18" s="196">
        <f>'Rates ORM'!F11+2000*'Rates ORM'!F12+7000*'Rates ORM'!F13+10000*'Rates ORM'!F14</f>
        <v>189.45999999999998</v>
      </c>
      <c r="G18" s="17">
        <f t="shared" si="0"/>
        <v>25.099999999999966</v>
      </c>
      <c r="H18" s="67">
        <f t="shared" si="1"/>
        <v>0.15271355560963717</v>
      </c>
      <c r="I18" s="38"/>
    </row>
    <row r="19" spans="2:15" x14ac:dyDescent="0.45">
      <c r="B19" s="11"/>
      <c r="C19" s="6">
        <v>25000</v>
      </c>
      <c r="D19" s="36" t="s">
        <v>26</v>
      </c>
      <c r="E19" s="196">
        <f>'Rates ORM'!D17+5000*'Rates ORM'!D18+15000*'Rates ORM'!D19</f>
        <v>201.31</v>
      </c>
      <c r="F19" s="196">
        <f>'Rates ORM'!F17+5000*'Rates ORM'!F18+15000*'Rates ORM'!F19</f>
        <v>232.06</v>
      </c>
      <c r="G19" s="17">
        <f t="shared" si="0"/>
        <v>30.75</v>
      </c>
      <c r="H19" s="67">
        <f t="shared" si="1"/>
        <v>0.15274949083503056</v>
      </c>
      <c r="I19" s="38"/>
    </row>
    <row r="20" spans="2:15" x14ac:dyDescent="0.45">
      <c r="B20" s="11"/>
      <c r="C20" s="6">
        <v>30000</v>
      </c>
      <c r="D20" s="36" t="s">
        <v>26</v>
      </c>
      <c r="E20" s="196">
        <f>'Rates ORM'!D17+5000*'Rates ORM'!D18+20000*'Rates ORM'!D19</f>
        <v>238.26000000000002</v>
      </c>
      <c r="F20" s="196">
        <f>'Rates ORM'!F17+5000*'Rates ORM'!F18+20000*'Rates ORM'!F19</f>
        <v>274.65999999999997</v>
      </c>
      <c r="G20" s="17">
        <f t="shared" si="0"/>
        <v>36.399999999999949</v>
      </c>
      <c r="H20" s="67">
        <f t="shared" si="1"/>
        <v>0.15277428019810269</v>
      </c>
      <c r="I20" s="38"/>
      <c r="O20" s="6"/>
    </row>
    <row r="21" spans="2:15" x14ac:dyDescent="0.45">
      <c r="B21" s="11"/>
      <c r="C21" s="6">
        <v>40000</v>
      </c>
      <c r="D21" s="36" t="s">
        <v>26</v>
      </c>
      <c r="E21" s="196">
        <f>'Rates ORM'!D17+5000*'Rates ORM'!D18+30000*'Rates ORM'!D19</f>
        <v>312.15999999999997</v>
      </c>
      <c r="F21" s="196">
        <f>'Rates ORM'!F17+5000*'Rates ORM'!F18+30000*'Rates ORM'!F19</f>
        <v>359.86</v>
      </c>
      <c r="G21" s="17">
        <f t="shared" si="0"/>
        <v>47.700000000000045</v>
      </c>
      <c r="H21" s="67">
        <f t="shared" si="1"/>
        <v>0.15280625320348556</v>
      </c>
      <c r="I21" s="38"/>
    </row>
    <row r="22" spans="2:15" x14ac:dyDescent="0.45">
      <c r="B22" s="11"/>
      <c r="C22" s="6">
        <v>50000</v>
      </c>
      <c r="D22" s="36" t="s">
        <v>26</v>
      </c>
      <c r="E22" s="196">
        <f>'Rates ORM'!D17+5000*'Rates ORM'!D18+40000*'Rates ORM'!D19</f>
        <v>386.06000000000006</v>
      </c>
      <c r="F22" s="196">
        <f>'Rates ORM'!F17+5000*'Rates ORM'!F18+40000*'Rates ORM'!F19</f>
        <v>445.06</v>
      </c>
      <c r="G22" s="17">
        <f t="shared" si="0"/>
        <v>58.999999999999943</v>
      </c>
      <c r="H22" s="67">
        <f t="shared" si="1"/>
        <v>0.15282598559809338</v>
      </c>
      <c r="I22" s="38"/>
    </row>
    <row r="23" spans="2:15" x14ac:dyDescent="0.45">
      <c r="B23" s="11"/>
      <c r="C23" s="6">
        <v>75000</v>
      </c>
      <c r="D23" s="36" t="s">
        <v>27</v>
      </c>
      <c r="E23" s="196">
        <f>'Rates ORM'!D22+55000*'Rates ORM'!D23</f>
        <v>570.80999999999995</v>
      </c>
      <c r="F23" s="196">
        <f>'Rates ORM'!F22+55000*'Rates ORM'!F23</f>
        <v>658.06</v>
      </c>
      <c r="G23" s="17">
        <f t="shared" si="0"/>
        <v>87.25</v>
      </c>
      <c r="H23" s="67">
        <f t="shared" si="1"/>
        <v>0.15285296333280779</v>
      </c>
      <c r="I23" s="38"/>
    </row>
    <row r="24" spans="2:15" x14ac:dyDescent="0.45">
      <c r="B24" s="11"/>
      <c r="C24" s="6">
        <v>100000</v>
      </c>
      <c r="D24" s="36" t="s">
        <v>27</v>
      </c>
      <c r="E24" s="196">
        <f>'Rates ORM'!D22+80000*'Rates ORM'!D23</f>
        <v>755.56000000000006</v>
      </c>
      <c r="F24" s="196">
        <f>'Rates ORM'!F22+80000*'Rates ORM'!F23</f>
        <v>871.06</v>
      </c>
      <c r="G24" s="17">
        <f t="shared" si="0"/>
        <v>115.49999999999989</v>
      </c>
      <c r="H24" s="67">
        <f t="shared" si="1"/>
        <v>0.15286674784265958</v>
      </c>
      <c r="I24" s="38"/>
    </row>
    <row r="25" spans="2:15" x14ac:dyDescent="0.45">
      <c r="B25" s="11"/>
      <c r="C25" s="6">
        <v>200000</v>
      </c>
      <c r="D25" s="36" t="s">
        <v>27</v>
      </c>
      <c r="E25" s="196">
        <f>'Rates ORM'!D22+180000*'Rates ORM'!D23</f>
        <v>1494.56</v>
      </c>
      <c r="F25" s="196">
        <f>'Rates ORM'!F22+180000*'Rates ORM'!F23</f>
        <v>1723.06</v>
      </c>
      <c r="G25" s="17">
        <f t="shared" si="0"/>
        <v>228.5</v>
      </c>
      <c r="H25" s="67">
        <f t="shared" si="1"/>
        <v>0.15288780644470615</v>
      </c>
      <c r="I25" s="38"/>
    </row>
    <row r="26" spans="2:15" x14ac:dyDescent="0.45">
      <c r="B26" s="11"/>
      <c r="C26" s="6">
        <v>500000</v>
      </c>
      <c r="D26" s="36" t="s">
        <v>27</v>
      </c>
      <c r="E26" s="196">
        <f>'Rates ORM'!D22+480000*'Rates ORM'!D23</f>
        <v>3711.56</v>
      </c>
      <c r="F26" s="196">
        <f>'Rates ORM'!F22+480000*'Rates ORM'!F23</f>
        <v>4279.0599999999995</v>
      </c>
      <c r="G26" s="17">
        <f t="shared" si="0"/>
        <v>567.49999999999955</v>
      </c>
      <c r="H26" s="67">
        <f t="shared" si="1"/>
        <v>0.15290066710493688</v>
      </c>
      <c r="I26" s="38"/>
    </row>
    <row r="27" spans="2:15" ht="6" customHeight="1" x14ac:dyDescent="0.45">
      <c r="B27" s="13"/>
      <c r="C27" s="5"/>
      <c r="D27" s="4"/>
      <c r="E27" s="173"/>
      <c r="F27" s="190"/>
      <c r="G27" s="37"/>
      <c r="H27" s="5"/>
      <c r="I27" s="14"/>
    </row>
    <row r="29" spans="2:15" x14ac:dyDescent="0.45">
      <c r="D29" s="46" t="s">
        <v>71</v>
      </c>
    </row>
  </sheetData>
  <mergeCells count="4">
    <mergeCell ref="C2:I2"/>
    <mergeCell ref="C4:I4"/>
    <mergeCell ref="B5:I5"/>
    <mergeCell ref="C6:I6"/>
  </mergeCells>
  <printOptions horizontalCentered="1"/>
  <pageMargins left="0.7" right="0.7" top="1.1000000000000001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3E93C-42CC-459D-BB55-EB7041DDE4DA}">
  <dimension ref="B1:O29"/>
  <sheetViews>
    <sheetView showGridLines="0" workbookViewId="0">
      <selection activeCell="J29" sqref="A1:J29"/>
    </sheetView>
  </sheetViews>
  <sheetFormatPr defaultColWidth="8.88671875" defaultRowHeight="14.25" x14ac:dyDescent="0.45"/>
  <cols>
    <col min="1" max="1" width="2.609375" style="7" customWidth="1"/>
    <col min="2" max="2" width="1.77734375" style="7" customWidth="1"/>
    <col min="3" max="4" width="9.77734375" style="7" customWidth="1"/>
    <col min="5" max="6" width="9.77734375" style="191" customWidth="1"/>
    <col min="7" max="8" width="9.77734375" style="7" customWidth="1"/>
    <col min="9" max="9" width="1.77734375" style="7" customWidth="1"/>
    <col min="10" max="10" width="2.5" style="7" customWidth="1"/>
    <col min="11" max="16384" width="8.88671875" style="7"/>
  </cols>
  <sheetData>
    <row r="1" spans="2:11" x14ac:dyDescent="0.45">
      <c r="B1" s="8"/>
      <c r="C1" s="9"/>
      <c r="D1" s="9"/>
      <c r="E1" s="192"/>
      <c r="F1" s="192"/>
      <c r="G1" s="9"/>
      <c r="H1" s="9"/>
      <c r="I1" s="10"/>
    </row>
    <row r="2" spans="2:11" ht="18" x14ac:dyDescent="0.55000000000000004">
      <c r="B2" s="11"/>
      <c r="C2" s="294" t="s">
        <v>207</v>
      </c>
      <c r="D2" s="294"/>
      <c r="E2" s="294"/>
      <c r="F2" s="294"/>
      <c r="G2" s="294"/>
      <c r="H2" s="294"/>
      <c r="I2" s="295"/>
    </row>
    <row r="3" spans="2:11" ht="18" x14ac:dyDescent="0.55000000000000004">
      <c r="B3" s="11"/>
      <c r="C3" s="228"/>
      <c r="D3" s="228"/>
      <c r="E3" s="228"/>
      <c r="F3" s="228"/>
      <c r="G3" s="228"/>
      <c r="H3" s="228"/>
      <c r="I3" s="229"/>
    </row>
    <row r="4" spans="2:11" ht="18" x14ac:dyDescent="0.55000000000000004">
      <c r="B4" s="11"/>
      <c r="C4" s="291" t="s">
        <v>221</v>
      </c>
      <c r="D4" s="291"/>
      <c r="E4" s="291"/>
      <c r="F4" s="291"/>
      <c r="G4" s="291"/>
      <c r="H4" s="291"/>
      <c r="I4" s="292"/>
    </row>
    <row r="5" spans="2:11" ht="18" x14ac:dyDescent="0.55000000000000004">
      <c r="B5" s="11"/>
      <c r="C5" s="297" t="s">
        <v>285</v>
      </c>
      <c r="D5" s="297"/>
      <c r="E5" s="297"/>
      <c r="F5" s="297"/>
      <c r="G5" s="297"/>
      <c r="H5" s="297"/>
      <c r="I5" s="298"/>
    </row>
    <row r="6" spans="2:11" ht="18" x14ac:dyDescent="0.45">
      <c r="B6" s="11"/>
      <c r="C6" s="279" t="s">
        <v>211</v>
      </c>
      <c r="D6" s="279"/>
      <c r="E6" s="279"/>
      <c r="F6" s="279"/>
      <c r="G6" s="279"/>
      <c r="H6" s="279"/>
      <c r="I6" s="293"/>
    </row>
    <row r="7" spans="2:11" x14ac:dyDescent="0.45">
      <c r="B7" s="13"/>
      <c r="C7" s="5"/>
      <c r="D7" s="5"/>
      <c r="E7" s="193"/>
      <c r="F7" s="193"/>
      <c r="G7" s="5"/>
      <c r="H7" s="5"/>
      <c r="I7" s="14"/>
    </row>
    <row r="8" spans="2:11" ht="6" customHeight="1" x14ac:dyDescent="0.45">
      <c r="B8" s="11"/>
      <c r="C8" s="6"/>
      <c r="D8" s="12"/>
      <c r="E8" s="194"/>
      <c r="F8" s="33"/>
      <c r="G8" s="33"/>
      <c r="H8" s="33"/>
      <c r="I8" s="34"/>
      <c r="J8" s="32"/>
      <c r="K8" s="32"/>
    </row>
    <row r="9" spans="2:11" ht="16.5" x14ac:dyDescent="0.75">
      <c r="B9" s="11"/>
      <c r="C9" s="16" t="s">
        <v>13</v>
      </c>
      <c r="D9" s="31" t="s">
        <v>62</v>
      </c>
      <c r="E9" s="195" t="s">
        <v>24</v>
      </c>
      <c r="F9" s="197" t="s">
        <v>10</v>
      </c>
      <c r="G9" s="16"/>
      <c r="H9" s="16"/>
      <c r="I9" s="31"/>
    </row>
    <row r="10" spans="2:11" ht="16.5" x14ac:dyDescent="0.75">
      <c r="B10" s="11"/>
      <c r="C10" s="16" t="s">
        <v>70</v>
      </c>
      <c r="D10" s="31" t="s">
        <v>66</v>
      </c>
      <c r="E10" s="195" t="s">
        <v>64</v>
      </c>
      <c r="F10" s="197" t="s">
        <v>64</v>
      </c>
      <c r="G10" s="16" t="s">
        <v>25</v>
      </c>
      <c r="H10" s="16" t="s">
        <v>65</v>
      </c>
      <c r="I10" s="31"/>
    </row>
    <row r="11" spans="2:11" x14ac:dyDescent="0.45">
      <c r="B11" s="11"/>
      <c r="C11" s="17">
        <v>0</v>
      </c>
      <c r="D11" s="35" t="s">
        <v>67</v>
      </c>
      <c r="E11" s="196">
        <f>'Rates DSC'!D11</f>
        <v>15.01</v>
      </c>
      <c r="F11" s="196">
        <f>'Rates DSC'!F11+'Rates DSC'!F25</f>
        <v>19.61292290825417</v>
      </c>
      <c r="G11" s="45">
        <f>F11-E11</f>
        <v>4.6029229082541701</v>
      </c>
      <c r="H11" s="67">
        <f>G11/E11</f>
        <v>0.30665708915750634</v>
      </c>
      <c r="I11" s="38"/>
    </row>
    <row r="12" spans="2:11" x14ac:dyDescent="0.45">
      <c r="B12" s="11"/>
      <c r="C12" s="6">
        <v>2000</v>
      </c>
      <c r="D12" s="35" t="s">
        <v>67</v>
      </c>
      <c r="E12" s="196">
        <f>'Rates DSC'!D11+1000*'Rates DSC'!D12</f>
        <v>24.490000000000002</v>
      </c>
      <c r="F12" s="196">
        <f>'Rates DSC'!F11+1000*'Rates DSC'!F12+'Rates DSC'!F25</f>
        <v>29.77292290825417</v>
      </c>
      <c r="G12" s="17">
        <f t="shared" ref="G12:G26" si="0">F12-E12</f>
        <v>5.282922908254168</v>
      </c>
      <c r="H12" s="67">
        <f t="shared" ref="H12:H26" si="1">G12/E12</f>
        <v>0.21571755444075816</v>
      </c>
      <c r="I12" s="38"/>
    </row>
    <row r="13" spans="2:11" x14ac:dyDescent="0.45">
      <c r="B13" s="11"/>
      <c r="C13" s="39">
        <v>4000</v>
      </c>
      <c r="D13" s="40" t="s">
        <v>67</v>
      </c>
      <c r="E13" s="198">
        <f>'Rates DSC'!D11+2000*'Rates DSC'!D12+1000*'Rates DSC'!D13</f>
        <v>42.04</v>
      </c>
      <c r="F13" s="198">
        <f>'Rates DSC'!F11+2000*'Rates DSC'!F12+1000*'Rates DSC'!F13+'Rates DSC'!F25</f>
        <v>48.582922908254169</v>
      </c>
      <c r="G13" s="41">
        <f t="shared" si="0"/>
        <v>6.5429229082541696</v>
      </c>
      <c r="H13" s="68">
        <f t="shared" si="1"/>
        <v>0.15563565433525617</v>
      </c>
      <c r="I13" s="42"/>
    </row>
    <row r="14" spans="2:11" x14ac:dyDescent="0.45">
      <c r="B14" s="11"/>
      <c r="C14" s="6">
        <v>6000</v>
      </c>
      <c r="D14" s="35" t="s">
        <v>67</v>
      </c>
      <c r="E14" s="196">
        <f>'Rates DSC'!D11+2000*'Rates DSC'!D12+3000*'Rates DSC'!D13</f>
        <v>58.18</v>
      </c>
      <c r="F14" s="196">
        <f>'Rates DSC'!F11+2000*'Rates DSC'!F12+3000*'Rates DSC'!F13+'Rates DSC'!F25</f>
        <v>65.882922908254173</v>
      </c>
      <c r="G14" s="17">
        <f t="shared" si="0"/>
        <v>7.7029229082541733</v>
      </c>
      <c r="H14" s="67">
        <f t="shared" si="1"/>
        <v>0.13239812492702258</v>
      </c>
      <c r="I14" s="38"/>
    </row>
    <row r="15" spans="2:11" x14ac:dyDescent="0.45">
      <c r="B15" s="11"/>
      <c r="C15" s="6">
        <v>8000</v>
      </c>
      <c r="D15" s="35" t="s">
        <v>67</v>
      </c>
      <c r="E15" s="196">
        <f>'Rates DSC'!D11+2000*'Rates DSC'!D12+5000*'Rates DSC'!D13</f>
        <v>74.319999999999993</v>
      </c>
      <c r="F15" s="196">
        <f>'Rates DSC'!F11+2000*'Rates DSC'!F12+5000*'Rates DSC'!F13+'Rates DSC'!F25</f>
        <v>83.182922908254184</v>
      </c>
      <c r="G15" s="17">
        <f t="shared" si="0"/>
        <v>8.8629229082541912</v>
      </c>
      <c r="H15" s="67">
        <f t="shared" si="1"/>
        <v>0.11925353751687556</v>
      </c>
      <c r="I15" s="38"/>
    </row>
    <row r="16" spans="2:11" x14ac:dyDescent="0.45">
      <c r="B16" s="11"/>
      <c r="C16" s="6">
        <v>10000</v>
      </c>
      <c r="D16" s="35" t="s">
        <v>67</v>
      </c>
      <c r="E16" s="196">
        <f>'Rates DSC'!D11+2000*'Rates DSC'!D12+7000*'Rates DSC'!D13</f>
        <v>90.460000000000008</v>
      </c>
      <c r="F16" s="196">
        <f>'Rates DSC'!F11+2000*'Rates DSC'!F12+7000*'Rates DSC'!F13+'Rates DSC'!F25</f>
        <v>100.48292290825417</v>
      </c>
      <c r="G16" s="17">
        <f t="shared" si="0"/>
        <v>10.022922908254159</v>
      </c>
      <c r="H16" s="67">
        <f t="shared" si="1"/>
        <v>0.11079950152834576</v>
      </c>
      <c r="I16" s="38"/>
    </row>
    <row r="17" spans="2:15" x14ac:dyDescent="0.45">
      <c r="B17" s="11"/>
      <c r="C17" s="6">
        <v>15000</v>
      </c>
      <c r="D17" s="35" t="s">
        <v>67</v>
      </c>
      <c r="E17" s="196">
        <f>'Rates DSC'!D11+2000*'Rates DSC'!D12+7000*'Rates DSC'!D13+5000*'Rates DSC'!D14</f>
        <v>127.41000000000001</v>
      </c>
      <c r="F17" s="196">
        <f>'Rates DSC'!F11+2000*'Rates DSC'!F12+7000*'Rates DSC'!F13+5000*'Rates DSC'!F14+'Rates DSC'!F25</f>
        <v>140.08292290825415</v>
      </c>
      <c r="G17" s="17">
        <f t="shared" si="0"/>
        <v>12.672922908254137</v>
      </c>
      <c r="H17" s="67">
        <f t="shared" si="1"/>
        <v>9.9465684861895734E-2</v>
      </c>
      <c r="I17" s="38"/>
    </row>
    <row r="18" spans="2:15" x14ac:dyDescent="0.45">
      <c r="B18" s="11"/>
      <c r="C18" s="6">
        <v>20000</v>
      </c>
      <c r="D18" s="35" t="s">
        <v>67</v>
      </c>
      <c r="E18" s="196">
        <f>'Rates DSC'!D11+2000*'Rates DSC'!D12+7000*'Rates DSC'!D13+10000*'Rates DSC'!D14</f>
        <v>164.36</v>
      </c>
      <c r="F18" s="196">
        <f>'Rates DSC'!F11+2000*'Rates DSC'!F12+7000*'Rates DSC'!F13+10000*'Rates DSC'!F14+'Rates DSC'!F25</f>
        <v>179.68292290825414</v>
      </c>
      <c r="G18" s="17">
        <f t="shared" si="0"/>
        <v>15.322922908254128</v>
      </c>
      <c r="H18" s="67">
        <f t="shared" si="1"/>
        <v>9.322781034469535E-2</v>
      </c>
      <c r="I18" s="38"/>
    </row>
    <row r="19" spans="2:15" x14ac:dyDescent="0.45">
      <c r="B19" s="11"/>
      <c r="C19" s="6">
        <v>25000</v>
      </c>
      <c r="D19" s="36" t="s">
        <v>26</v>
      </c>
      <c r="E19" s="196">
        <f>'Rates DSC'!D17+5000*'Rates DSC'!D18+15000*'Rates DSC'!D19</f>
        <v>201.31</v>
      </c>
      <c r="F19" s="196">
        <f>'Rates DSC'!F17+5000*'Rates DSC'!F18+15000*'Rates DSC'!F19+'Rates DSC'!F25</f>
        <v>219.28292290825416</v>
      </c>
      <c r="G19" s="17">
        <f t="shared" si="0"/>
        <v>17.972922908254162</v>
      </c>
      <c r="H19" s="67">
        <f t="shared" si="1"/>
        <v>8.9279831644002591E-2</v>
      </c>
      <c r="I19" s="38"/>
    </row>
    <row r="20" spans="2:15" x14ac:dyDescent="0.45">
      <c r="B20" s="11"/>
      <c r="C20" s="6">
        <v>30000</v>
      </c>
      <c r="D20" s="36" t="s">
        <v>26</v>
      </c>
      <c r="E20" s="196">
        <f>'Rates DSC'!D17+5000*'Rates DSC'!D18+20000*'Rates DSC'!D19</f>
        <v>238.26000000000002</v>
      </c>
      <c r="F20" s="196">
        <f>'Rates DSC'!F17+5000*'Rates DSC'!F18+20000*'Rates DSC'!F19+'Rates DSC'!F25</f>
        <v>258.88292290825422</v>
      </c>
      <c r="G20" s="17">
        <f t="shared" si="0"/>
        <v>20.622922908254196</v>
      </c>
      <c r="H20" s="67">
        <f t="shared" si="1"/>
        <v>8.6556379200261033E-2</v>
      </c>
      <c r="I20" s="38"/>
      <c r="O20" s="6"/>
    </row>
    <row r="21" spans="2:15" x14ac:dyDescent="0.45">
      <c r="B21" s="11"/>
      <c r="C21" s="6">
        <v>40000</v>
      </c>
      <c r="D21" s="36" t="s">
        <v>26</v>
      </c>
      <c r="E21" s="196">
        <f>'Rates DSC'!D17+5000*'Rates DSC'!D18+30000*'Rates DSC'!D19</f>
        <v>312.15999999999997</v>
      </c>
      <c r="F21" s="196">
        <f>'Rates DSC'!F17+5000*'Rates DSC'!F18+30000*'Rates DSC'!F19+'Rates DSC'!F25</f>
        <v>338.0829229082542</v>
      </c>
      <c r="G21" s="17">
        <f t="shared" si="0"/>
        <v>25.922922908254236</v>
      </c>
      <c r="H21" s="67">
        <f t="shared" si="1"/>
        <v>8.3043704857298298E-2</v>
      </c>
      <c r="I21" s="38"/>
    </row>
    <row r="22" spans="2:15" x14ac:dyDescent="0.45">
      <c r="B22" s="11"/>
      <c r="C22" s="6">
        <v>50000</v>
      </c>
      <c r="D22" s="36" t="s">
        <v>26</v>
      </c>
      <c r="E22" s="196">
        <f>'Rates DSC'!D17+5000*'Rates DSC'!D18+40000*'Rates DSC'!D19</f>
        <v>386.06000000000006</v>
      </c>
      <c r="F22" s="196">
        <f>'Rates DSC'!F17+5000*'Rates DSC'!F18+40000*'Rates DSC'!F19+'Rates DSC'!F25</f>
        <v>417.28292290825419</v>
      </c>
      <c r="G22" s="17">
        <f t="shared" si="0"/>
        <v>31.222922908254134</v>
      </c>
      <c r="H22" s="67">
        <f t="shared" si="1"/>
        <v>8.0875829944190361E-2</v>
      </c>
      <c r="I22" s="38"/>
    </row>
    <row r="23" spans="2:15" x14ac:dyDescent="0.45">
      <c r="B23" s="11"/>
      <c r="C23" s="6">
        <v>75000</v>
      </c>
      <c r="D23" s="36" t="s">
        <v>27</v>
      </c>
      <c r="E23" s="196">
        <f>'Rates DSC'!D22+55000*'Rates DSC'!D23</f>
        <v>570.80999999999995</v>
      </c>
      <c r="F23" s="196">
        <f>'Rates DSC'!F22+55000*'Rates DSC'!F23+'Rates DSC'!F25</f>
        <v>615.28292290825414</v>
      </c>
      <c r="G23" s="17">
        <f t="shared" si="0"/>
        <v>44.472922908254191</v>
      </c>
      <c r="H23" s="67">
        <f t="shared" si="1"/>
        <v>7.791195478049473E-2</v>
      </c>
      <c r="I23" s="38"/>
    </row>
    <row r="24" spans="2:15" x14ac:dyDescent="0.45">
      <c r="B24" s="11"/>
      <c r="C24" s="6">
        <v>100000</v>
      </c>
      <c r="D24" s="36" t="s">
        <v>27</v>
      </c>
      <c r="E24" s="196">
        <f>'Rates DSC'!D22+80000*'Rates DSC'!D23</f>
        <v>755.56000000000006</v>
      </c>
      <c r="F24" s="196">
        <f>'Rates DSC'!F22+80000*'Rates DSC'!F23+'Rates DSC'!F25</f>
        <v>813.28292290825414</v>
      </c>
      <c r="G24" s="17">
        <f t="shared" si="0"/>
        <v>57.722922908254077</v>
      </c>
      <c r="H24" s="67">
        <f t="shared" si="1"/>
        <v>7.6397536804825653E-2</v>
      </c>
      <c r="I24" s="38"/>
    </row>
    <row r="25" spans="2:15" x14ac:dyDescent="0.45">
      <c r="B25" s="11"/>
      <c r="C25" s="6">
        <v>200000</v>
      </c>
      <c r="D25" s="36" t="s">
        <v>27</v>
      </c>
      <c r="E25" s="196">
        <f>'Rates DSC'!D22+180000*'Rates DSC'!D23</f>
        <v>1494.56</v>
      </c>
      <c r="F25" s="196">
        <f>'Rates DSC'!F22+180000*'Rates DSC'!F23+'Rates DSC'!F25</f>
        <v>1605.2829229082542</v>
      </c>
      <c r="G25" s="17">
        <f t="shared" si="0"/>
        <v>110.7229229082543</v>
      </c>
      <c r="H25" s="67">
        <f t="shared" si="1"/>
        <v>7.4083959766255161E-2</v>
      </c>
      <c r="I25" s="38"/>
    </row>
    <row r="26" spans="2:15" x14ac:dyDescent="0.45">
      <c r="B26" s="11"/>
      <c r="C26" s="6">
        <v>500000</v>
      </c>
      <c r="D26" s="36" t="s">
        <v>27</v>
      </c>
      <c r="E26" s="196">
        <f>'Rates DSC'!D22+480000*'Rates DSC'!D23</f>
        <v>3711.56</v>
      </c>
      <c r="F26" s="196">
        <f>'Rates DSC'!F22+480000*'Rates DSC'!F23+'Rates DSC'!F25</f>
        <v>3981.282922908254</v>
      </c>
      <c r="G26" s="17">
        <f t="shared" si="0"/>
        <v>269.72292290825408</v>
      </c>
      <c r="H26" s="67">
        <f t="shared" si="1"/>
        <v>7.2671039376503169E-2</v>
      </c>
      <c r="I26" s="38"/>
    </row>
    <row r="27" spans="2:15" ht="6" customHeight="1" x14ac:dyDescent="0.45">
      <c r="B27" s="13"/>
      <c r="C27" s="5"/>
      <c r="D27" s="4"/>
      <c r="E27" s="173"/>
      <c r="F27" s="190"/>
      <c r="G27" s="37"/>
      <c r="H27" s="5"/>
      <c r="I27" s="14"/>
    </row>
    <row r="29" spans="2:15" x14ac:dyDescent="0.45">
      <c r="D29" s="46" t="s">
        <v>71</v>
      </c>
    </row>
  </sheetData>
  <mergeCells count="4">
    <mergeCell ref="C2:I2"/>
    <mergeCell ref="C4:I4"/>
    <mergeCell ref="C6:I6"/>
    <mergeCell ref="C5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1AB0A-EA53-44DB-AD79-D48177177078}">
  <dimension ref="B1:O29"/>
  <sheetViews>
    <sheetView showGridLines="0" workbookViewId="0">
      <selection activeCell="J29" sqref="A1:J29"/>
    </sheetView>
  </sheetViews>
  <sheetFormatPr defaultColWidth="8.88671875" defaultRowHeight="14.25" x14ac:dyDescent="0.45"/>
  <cols>
    <col min="1" max="1" width="2.609375" style="7" customWidth="1"/>
    <col min="2" max="2" width="1.77734375" style="7" customWidth="1"/>
    <col min="3" max="4" width="9.77734375" style="7" customWidth="1"/>
    <col min="5" max="6" width="9.77734375" style="191" customWidth="1"/>
    <col min="7" max="8" width="9.77734375" style="7" customWidth="1"/>
    <col min="9" max="9" width="1.77734375" style="7" customWidth="1"/>
    <col min="10" max="10" width="2.5" style="7" customWidth="1"/>
    <col min="11" max="16384" width="8.88671875" style="7"/>
  </cols>
  <sheetData>
    <row r="1" spans="2:11" x14ac:dyDescent="0.45">
      <c r="B1" s="8"/>
      <c r="C1" s="9"/>
      <c r="D1" s="9"/>
      <c r="E1" s="192"/>
      <c r="F1" s="192"/>
      <c r="G1" s="9"/>
      <c r="H1" s="9"/>
      <c r="I1" s="10"/>
    </row>
    <row r="2" spans="2:11" ht="18" x14ac:dyDescent="0.55000000000000004">
      <c r="B2" s="11"/>
      <c r="C2" s="294" t="s">
        <v>207</v>
      </c>
      <c r="D2" s="294"/>
      <c r="E2" s="294"/>
      <c r="F2" s="294"/>
      <c r="G2" s="294"/>
      <c r="H2" s="294"/>
      <c r="I2" s="295"/>
    </row>
    <row r="3" spans="2:11" ht="18" x14ac:dyDescent="0.55000000000000004">
      <c r="B3" s="11"/>
      <c r="C3" s="228"/>
      <c r="D3" s="228"/>
      <c r="E3" s="228"/>
      <c r="F3" s="228"/>
      <c r="G3" s="228"/>
      <c r="H3" s="228"/>
      <c r="I3" s="229"/>
    </row>
    <row r="4" spans="2:11" ht="18" x14ac:dyDescent="0.55000000000000004">
      <c r="B4" s="11"/>
      <c r="C4" s="291" t="s">
        <v>221</v>
      </c>
      <c r="D4" s="291"/>
      <c r="E4" s="291"/>
      <c r="F4" s="291"/>
      <c r="G4" s="291"/>
      <c r="H4" s="291"/>
      <c r="I4" s="292"/>
    </row>
    <row r="5" spans="2:11" ht="18" x14ac:dyDescent="0.55000000000000004">
      <c r="B5" s="11"/>
      <c r="C5" s="297" t="s">
        <v>287</v>
      </c>
      <c r="D5" s="297"/>
      <c r="E5" s="297"/>
      <c r="F5" s="297"/>
      <c r="G5" s="297"/>
      <c r="H5" s="297"/>
      <c r="I5" s="298"/>
    </row>
    <row r="6" spans="2:11" ht="18" x14ac:dyDescent="0.45">
      <c r="B6" s="11"/>
      <c r="C6" s="279" t="s">
        <v>211</v>
      </c>
      <c r="D6" s="279"/>
      <c r="E6" s="279"/>
      <c r="F6" s="279"/>
      <c r="G6" s="279"/>
      <c r="H6" s="279"/>
      <c r="I6" s="293"/>
    </row>
    <row r="7" spans="2:11" x14ac:dyDescent="0.45">
      <c r="B7" s="13"/>
      <c r="C7" s="5"/>
      <c r="D7" s="5"/>
      <c r="E7" s="193"/>
      <c r="F7" s="193"/>
      <c r="G7" s="5"/>
      <c r="H7" s="5"/>
      <c r="I7" s="14"/>
    </row>
    <row r="8" spans="2:11" ht="6" customHeight="1" x14ac:dyDescent="0.45">
      <c r="B8" s="11"/>
      <c r="C8" s="6"/>
      <c r="D8" s="12"/>
      <c r="E8" s="194"/>
      <c r="F8" s="33"/>
      <c r="G8" s="33"/>
      <c r="H8" s="33"/>
      <c r="I8" s="34"/>
      <c r="J8" s="32"/>
      <c r="K8" s="32"/>
    </row>
    <row r="9" spans="2:11" ht="16.5" x14ac:dyDescent="0.75">
      <c r="B9" s="11"/>
      <c r="C9" s="16" t="s">
        <v>13</v>
      </c>
      <c r="D9" s="31" t="s">
        <v>62</v>
      </c>
      <c r="E9" s="195" t="s">
        <v>24</v>
      </c>
      <c r="F9" s="197" t="s">
        <v>10</v>
      </c>
      <c r="G9" s="16"/>
      <c r="H9" s="16"/>
      <c r="I9" s="31"/>
    </row>
    <row r="10" spans="2:11" ht="16.5" x14ac:dyDescent="0.75">
      <c r="B10" s="11"/>
      <c r="C10" s="16" t="s">
        <v>70</v>
      </c>
      <c r="D10" s="31" t="s">
        <v>66</v>
      </c>
      <c r="E10" s="195" t="s">
        <v>64</v>
      </c>
      <c r="F10" s="197" t="s">
        <v>64</v>
      </c>
      <c r="G10" s="16" t="s">
        <v>25</v>
      </c>
      <c r="H10" s="16" t="s">
        <v>65</v>
      </c>
      <c r="I10" s="31"/>
    </row>
    <row r="11" spans="2:11" x14ac:dyDescent="0.45">
      <c r="B11" s="11"/>
      <c r="C11" s="17">
        <v>0</v>
      </c>
      <c r="D11" s="35" t="s">
        <v>67</v>
      </c>
      <c r="E11" s="196">
        <f>'Rates ORM'!D11</f>
        <v>15.01</v>
      </c>
      <c r="F11" s="196">
        <f>'Rates ORM'!F11+'Rates ORM'!F25</f>
        <v>20.832922908254172</v>
      </c>
      <c r="G11" s="45">
        <f>F11-E11</f>
        <v>5.8229229082541725</v>
      </c>
      <c r="H11" s="67">
        <f>G11/E11</f>
        <v>0.38793623639268304</v>
      </c>
      <c r="I11" s="38"/>
    </row>
    <row r="12" spans="2:11" x14ac:dyDescent="0.45">
      <c r="B12" s="11"/>
      <c r="C12" s="6">
        <v>2000</v>
      </c>
      <c r="D12" s="35" t="s">
        <v>67</v>
      </c>
      <c r="E12" s="196">
        <f>'Rates ORM'!D11+1000*'Rates ORM'!D12</f>
        <v>24.490000000000002</v>
      </c>
      <c r="F12" s="196">
        <f>'Rates ORM'!F11+1000*'Rates ORM'!F12+'Rates ORM'!F25</f>
        <v>31.762922908254172</v>
      </c>
      <c r="G12" s="17">
        <f t="shared" ref="G12:G26" si="0">F12-E12</f>
        <v>7.27292290825417</v>
      </c>
      <c r="H12" s="67">
        <f t="shared" ref="H12:H26" si="1">G12/E12</f>
        <v>0.2969752106269567</v>
      </c>
      <c r="I12" s="38"/>
    </row>
    <row r="13" spans="2:11" x14ac:dyDescent="0.45">
      <c r="B13" s="11"/>
      <c r="C13" s="39">
        <v>4000</v>
      </c>
      <c r="D13" s="40" t="s">
        <v>67</v>
      </c>
      <c r="E13" s="198">
        <f>'Rates ORM'!D11+2000*'Rates ORM'!D12+1000*'Rates ORM'!D13</f>
        <v>42.04</v>
      </c>
      <c r="F13" s="198">
        <f>'Rates ORM'!F11+2000*'Rates ORM'!F12+1000*'Rates ORM'!F13+'Rates ORM'!F25</f>
        <v>51.992922908254165</v>
      </c>
      <c r="G13" s="41">
        <f t="shared" si="0"/>
        <v>9.9529229082541661</v>
      </c>
      <c r="H13" s="68">
        <f t="shared" si="1"/>
        <v>0.23674887983478035</v>
      </c>
      <c r="I13" s="42"/>
    </row>
    <row r="14" spans="2:11" x14ac:dyDescent="0.45">
      <c r="B14" s="11"/>
      <c r="C14" s="6">
        <v>6000</v>
      </c>
      <c r="D14" s="35" t="s">
        <v>67</v>
      </c>
      <c r="E14" s="196">
        <f>'Rates ORM'!D11+2000*'Rates ORM'!D12+3000*'Rates ORM'!D13</f>
        <v>58.18</v>
      </c>
      <c r="F14" s="196">
        <f>'Rates ORM'!F11+2000*'Rates ORM'!F12+3000*'Rates ORM'!F13+'Rates ORM'!F25</f>
        <v>70.592922908254181</v>
      </c>
      <c r="G14" s="17">
        <f t="shared" si="0"/>
        <v>12.412922908254181</v>
      </c>
      <c r="H14" s="67">
        <f t="shared" si="1"/>
        <v>0.21335377979123721</v>
      </c>
      <c r="I14" s="38"/>
    </row>
    <row r="15" spans="2:11" x14ac:dyDescent="0.45">
      <c r="B15" s="11"/>
      <c r="C15" s="6">
        <v>8000</v>
      </c>
      <c r="D15" s="35" t="s">
        <v>67</v>
      </c>
      <c r="E15" s="196">
        <f>'Rates ORM'!D11+2000*'Rates ORM'!D12+5000*'Rates ORM'!D13</f>
        <v>74.319999999999993</v>
      </c>
      <c r="F15" s="196">
        <f>'Rates ORM'!F11+2000*'Rates ORM'!F12+5000*'Rates ORM'!F13+'Rates ORM'!F25</f>
        <v>89.192922908254175</v>
      </c>
      <c r="G15" s="17">
        <f t="shared" si="0"/>
        <v>14.872922908254182</v>
      </c>
      <c r="H15" s="67">
        <f t="shared" si="1"/>
        <v>0.20012006066004015</v>
      </c>
      <c r="I15" s="38"/>
    </row>
    <row r="16" spans="2:11" x14ac:dyDescent="0.45">
      <c r="B16" s="11"/>
      <c r="C16" s="6">
        <v>10000</v>
      </c>
      <c r="D16" s="35" t="s">
        <v>67</v>
      </c>
      <c r="E16" s="196">
        <f>'Rates ORM'!D11+2000*'Rates ORM'!D12+7000*'Rates ORM'!D13</f>
        <v>90.460000000000008</v>
      </c>
      <c r="F16" s="196">
        <f>'Rates ORM'!F11+2000*'Rates ORM'!F12+7000*'Rates ORM'!F13+'Rates ORM'!F25</f>
        <v>107.79292290825417</v>
      </c>
      <c r="G16" s="17">
        <f t="shared" si="0"/>
        <v>17.332922908254162</v>
      </c>
      <c r="H16" s="67">
        <f t="shared" si="1"/>
        <v>0.19160869896367633</v>
      </c>
      <c r="I16" s="38"/>
    </row>
    <row r="17" spans="2:15" x14ac:dyDescent="0.45">
      <c r="B17" s="11"/>
      <c r="C17" s="6">
        <v>15000</v>
      </c>
      <c r="D17" s="35" t="s">
        <v>67</v>
      </c>
      <c r="E17" s="196">
        <f>'Rates ORM'!D11+2000*'Rates ORM'!D12+7000*'Rates ORM'!D13+5000*'Rates ORM'!D14</f>
        <v>127.41000000000001</v>
      </c>
      <c r="F17" s="196">
        <f>'Rates ORM'!F11+2000*'Rates ORM'!F12+7000*'Rates ORM'!F13+5000*'Rates ORM'!F14+'Rates ORM'!F25</f>
        <v>150.39292290825415</v>
      </c>
      <c r="G17" s="17">
        <f t="shared" si="0"/>
        <v>22.982922908254139</v>
      </c>
      <c r="H17" s="67">
        <f t="shared" si="1"/>
        <v>0.18038554986464278</v>
      </c>
      <c r="I17" s="38"/>
    </row>
    <row r="18" spans="2:15" x14ac:dyDescent="0.45">
      <c r="B18" s="11"/>
      <c r="C18" s="6">
        <v>20000</v>
      </c>
      <c r="D18" s="35" t="s">
        <v>67</v>
      </c>
      <c r="E18" s="196">
        <f>'Rates ORM'!D11+2000*'Rates ORM'!D12+7000*'Rates ORM'!D13+10000*'Rates ORM'!D14</f>
        <v>164.36</v>
      </c>
      <c r="F18" s="196">
        <f>'Rates ORM'!F11+2000*'Rates ORM'!F12+7000*'Rates ORM'!F13+10000*'Rates ORM'!F14+'Rates ORM'!F25</f>
        <v>192.99292290825414</v>
      </c>
      <c r="G18" s="17">
        <f t="shared" si="0"/>
        <v>28.63292290825413</v>
      </c>
      <c r="H18" s="67">
        <f t="shared" si="1"/>
        <v>0.17420858425562258</v>
      </c>
      <c r="I18" s="38"/>
    </row>
    <row r="19" spans="2:15" x14ac:dyDescent="0.45">
      <c r="B19" s="11"/>
      <c r="C19" s="6">
        <v>25000</v>
      </c>
      <c r="D19" s="36" t="s">
        <v>26</v>
      </c>
      <c r="E19" s="196">
        <f>'Rates ORM'!D17+5000*'Rates ORM'!D18+15000*'Rates ORM'!D19</f>
        <v>201.31</v>
      </c>
      <c r="F19" s="196">
        <f>'Rates ORM'!F17+5000*'Rates ORM'!F18+15000*'Rates ORM'!F19+'Rates ORM'!F25</f>
        <v>235.59292290825417</v>
      </c>
      <c r="G19" s="17">
        <f t="shared" si="0"/>
        <v>34.282922908254164</v>
      </c>
      <c r="H19" s="67">
        <f t="shared" si="1"/>
        <v>0.17029915507552612</v>
      </c>
      <c r="I19" s="38"/>
    </row>
    <row r="20" spans="2:15" x14ac:dyDescent="0.45">
      <c r="B20" s="11"/>
      <c r="C20" s="6">
        <v>30000</v>
      </c>
      <c r="D20" s="36" t="s">
        <v>26</v>
      </c>
      <c r="E20" s="196">
        <f>'Rates ORM'!D17+5000*'Rates ORM'!D18+20000*'Rates ORM'!D19</f>
        <v>238.26000000000002</v>
      </c>
      <c r="F20" s="196">
        <f>'Rates ORM'!F17+5000*'Rates ORM'!F18+20000*'Rates ORM'!F19+'Rates ORM'!F25</f>
        <v>278.19292290825416</v>
      </c>
      <c r="G20" s="17">
        <f t="shared" si="0"/>
        <v>39.932922908254142</v>
      </c>
      <c r="H20" s="67">
        <f t="shared" si="1"/>
        <v>0.16760229542623242</v>
      </c>
      <c r="I20" s="38"/>
      <c r="O20" s="6"/>
    </row>
    <row r="21" spans="2:15" x14ac:dyDescent="0.45">
      <c r="B21" s="11"/>
      <c r="C21" s="6">
        <v>40000</v>
      </c>
      <c r="D21" s="36" t="s">
        <v>26</v>
      </c>
      <c r="E21" s="196">
        <f>'Rates ORM'!D17+5000*'Rates ORM'!D18+30000*'Rates ORM'!D19</f>
        <v>312.15999999999997</v>
      </c>
      <c r="F21" s="196">
        <f>'Rates ORM'!F17+5000*'Rates ORM'!F18+30000*'Rates ORM'!F19+'Rates ORM'!F25</f>
        <v>363.39292290825421</v>
      </c>
      <c r="G21" s="17">
        <f t="shared" si="0"/>
        <v>51.232922908254238</v>
      </c>
      <c r="H21" s="67">
        <f t="shared" si="1"/>
        <v>0.16412392013151667</v>
      </c>
      <c r="I21" s="38"/>
    </row>
    <row r="22" spans="2:15" x14ac:dyDescent="0.45">
      <c r="B22" s="11"/>
      <c r="C22" s="6">
        <v>50000</v>
      </c>
      <c r="D22" s="36" t="s">
        <v>26</v>
      </c>
      <c r="E22" s="196">
        <f>'Rates ORM'!D17+5000*'Rates ORM'!D18+40000*'Rates ORM'!D19</f>
        <v>386.06000000000006</v>
      </c>
      <c r="F22" s="196">
        <f>'Rates ORM'!F17+5000*'Rates ORM'!F18+40000*'Rates ORM'!F19+'Rates ORM'!F25</f>
        <v>448.5929229082542</v>
      </c>
      <c r="G22" s="17">
        <f t="shared" si="0"/>
        <v>62.532922908254136</v>
      </c>
      <c r="H22" s="67">
        <f t="shared" si="1"/>
        <v>0.16197721314887356</v>
      </c>
      <c r="I22" s="38"/>
    </row>
    <row r="23" spans="2:15" x14ac:dyDescent="0.45">
      <c r="B23" s="11"/>
      <c r="C23" s="6">
        <v>75000</v>
      </c>
      <c r="D23" s="36" t="s">
        <v>27</v>
      </c>
      <c r="E23" s="196">
        <f>'Rates ORM'!D22+55000*'Rates ORM'!D23</f>
        <v>570.80999999999995</v>
      </c>
      <c r="F23" s="196">
        <f>'Rates ORM'!F22+55000*'Rates ORM'!F23+'Rates ORM'!F25</f>
        <v>661.59292290825408</v>
      </c>
      <c r="G23" s="17">
        <f t="shared" si="0"/>
        <v>90.782922908254136</v>
      </c>
      <c r="H23" s="67">
        <f t="shared" si="1"/>
        <v>0.15904227835576487</v>
      </c>
      <c r="I23" s="38"/>
    </row>
    <row r="24" spans="2:15" x14ac:dyDescent="0.45">
      <c r="B24" s="11"/>
      <c r="C24" s="6">
        <v>100000</v>
      </c>
      <c r="D24" s="36" t="s">
        <v>27</v>
      </c>
      <c r="E24" s="196">
        <f>'Rates ORM'!D22+80000*'Rates ORM'!D23</f>
        <v>755.56000000000006</v>
      </c>
      <c r="F24" s="196">
        <f>'Rates ORM'!F22+80000*'Rates ORM'!F23+'Rates ORM'!F25</f>
        <v>874.59292290825408</v>
      </c>
      <c r="G24" s="17">
        <f t="shared" si="0"/>
        <v>119.03292290825402</v>
      </c>
      <c r="H24" s="67">
        <f t="shared" si="1"/>
        <v>0.15754264771593787</v>
      </c>
      <c r="I24" s="38"/>
    </row>
    <row r="25" spans="2:15" x14ac:dyDescent="0.45">
      <c r="B25" s="11"/>
      <c r="C25" s="6">
        <v>200000</v>
      </c>
      <c r="D25" s="36" t="s">
        <v>27</v>
      </c>
      <c r="E25" s="196">
        <f>'Rates ORM'!D22+180000*'Rates ORM'!D23</f>
        <v>1494.56</v>
      </c>
      <c r="F25" s="196">
        <f>'Rates ORM'!F22+180000*'Rates ORM'!F23+'Rates ORM'!F25</f>
        <v>1726.5929229082542</v>
      </c>
      <c r="G25" s="17">
        <f t="shared" si="0"/>
        <v>232.03292290825425</v>
      </c>
      <c r="H25" s="67">
        <f t="shared" si="1"/>
        <v>0.15525166129714046</v>
      </c>
      <c r="I25" s="38"/>
    </row>
    <row r="26" spans="2:15" x14ac:dyDescent="0.45">
      <c r="B26" s="11"/>
      <c r="C26" s="6">
        <v>500000</v>
      </c>
      <c r="D26" s="36" t="s">
        <v>27</v>
      </c>
      <c r="E26" s="196">
        <f>'Rates ORM'!D22+480000*'Rates ORM'!D23</f>
        <v>3711.56</v>
      </c>
      <c r="F26" s="196">
        <f>'Rates ORM'!F22+480000*'Rates ORM'!F23+'Rates ORM'!F25</f>
        <v>4282.592922908254</v>
      </c>
      <c r="G26" s="17">
        <f t="shared" si="0"/>
        <v>571.03292290825402</v>
      </c>
      <c r="H26" s="67">
        <f t="shared" si="1"/>
        <v>0.15385253718335526</v>
      </c>
      <c r="I26" s="38"/>
    </row>
    <row r="27" spans="2:15" ht="6" customHeight="1" x14ac:dyDescent="0.45">
      <c r="B27" s="13"/>
      <c r="C27" s="5"/>
      <c r="D27" s="4"/>
      <c r="E27" s="173"/>
      <c r="F27" s="190"/>
      <c r="G27" s="37"/>
      <c r="H27" s="5"/>
      <c r="I27" s="14"/>
    </row>
    <row r="29" spans="2:15" x14ac:dyDescent="0.45">
      <c r="D29" s="46" t="s">
        <v>71</v>
      </c>
    </row>
  </sheetData>
  <mergeCells count="4">
    <mergeCell ref="C2:I2"/>
    <mergeCell ref="C4:I4"/>
    <mergeCell ref="C5:I5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F004-73BD-4C2A-85DA-B682B48EA656}">
  <sheetPr>
    <pageSetUpPr fitToPage="1"/>
  </sheetPr>
  <dimension ref="A1:M58"/>
  <sheetViews>
    <sheetView workbookViewId="0">
      <selection activeCell="C33" sqref="C33"/>
    </sheetView>
  </sheetViews>
  <sheetFormatPr defaultRowHeight="14.25" x14ac:dyDescent="0.4"/>
  <cols>
    <col min="1" max="1" width="8.88671875" style="143"/>
    <col min="2" max="2" width="9.27734375" style="143" bestFit="1" customWidth="1"/>
    <col min="3" max="3" width="7.609375" style="143" bestFit="1" customWidth="1"/>
    <col min="4" max="4" width="20.44140625" style="143" bestFit="1" customWidth="1"/>
    <col min="5" max="8" width="11.38671875" style="143" bestFit="1" customWidth="1"/>
    <col min="9" max="10" width="11.38671875" style="143" customWidth="1"/>
    <col min="11" max="11" width="10.44140625" style="143" bestFit="1" customWidth="1"/>
    <col min="12" max="12" width="11.38671875" style="143" bestFit="1" customWidth="1"/>
    <col min="13" max="16384" width="8.88671875" style="143"/>
  </cols>
  <sheetData>
    <row r="1" spans="1:13" x14ac:dyDescent="0.45">
      <c r="A1" s="1"/>
      <c r="B1" s="1"/>
      <c r="C1" s="221">
        <v>2021</v>
      </c>
      <c r="D1" s="221" t="s">
        <v>179</v>
      </c>
      <c r="E1" s="301" t="s">
        <v>210</v>
      </c>
      <c r="F1" s="301"/>
      <c r="G1" s="301"/>
      <c r="H1" s="1"/>
      <c r="I1" s="1"/>
      <c r="J1" s="1"/>
      <c r="K1" s="1"/>
      <c r="L1" s="1"/>
    </row>
    <row r="2" spans="1:13" x14ac:dyDescent="0.45">
      <c r="A2" s="1"/>
      <c r="B2" s="1"/>
      <c r="E2" s="175"/>
      <c r="F2" s="175"/>
      <c r="G2" s="54"/>
      <c r="H2" s="1"/>
      <c r="I2" s="1"/>
      <c r="J2" s="1"/>
      <c r="K2" s="1"/>
      <c r="L2" s="1"/>
    </row>
    <row r="3" spans="1:13" x14ac:dyDescent="0.45">
      <c r="A3" s="1"/>
      <c r="B3" s="1"/>
      <c r="C3" s="299" t="s">
        <v>180</v>
      </c>
      <c r="D3" s="299"/>
      <c r="E3" s="174" t="s">
        <v>181</v>
      </c>
      <c r="F3" s="174" t="s">
        <v>182</v>
      </c>
      <c r="G3" s="177" t="s">
        <v>183</v>
      </c>
      <c r="H3" s="1"/>
      <c r="I3" s="1"/>
      <c r="J3" s="1"/>
      <c r="K3" s="1"/>
      <c r="L3" s="1"/>
    </row>
    <row r="4" spans="1:13" x14ac:dyDescent="0.45">
      <c r="A4" s="1"/>
      <c r="B4" s="1"/>
      <c r="C4" s="302" t="s">
        <v>184</v>
      </c>
      <c r="D4" s="302"/>
      <c r="E4" s="176">
        <f>C28+C44+C58</f>
        <v>22519</v>
      </c>
      <c r="F4" s="176">
        <f>D28+D44+D58</f>
        <v>958980</v>
      </c>
      <c r="G4" s="180">
        <f>F28</f>
        <v>334041.90801999997</v>
      </c>
      <c r="H4" s="1"/>
      <c r="I4" s="1"/>
      <c r="J4" s="1"/>
      <c r="K4" s="1"/>
      <c r="L4" s="1"/>
    </row>
    <row r="5" spans="1:13" x14ac:dyDescent="0.45">
      <c r="A5" s="1"/>
      <c r="B5" s="1"/>
      <c r="C5" s="299" t="s">
        <v>202</v>
      </c>
      <c r="D5" s="299"/>
      <c r="E5" s="175"/>
      <c r="F5" s="175"/>
      <c r="G5" s="237">
        <v>-19622.68</v>
      </c>
      <c r="H5" s="1"/>
      <c r="I5" s="1"/>
      <c r="J5" s="1"/>
      <c r="K5" s="1"/>
      <c r="L5" s="1"/>
    </row>
    <row r="6" spans="1:13" x14ac:dyDescent="0.45">
      <c r="A6" s="1"/>
      <c r="B6" s="1"/>
      <c r="C6" s="299" t="s">
        <v>195</v>
      </c>
      <c r="D6" s="299"/>
      <c r="E6" s="175"/>
      <c r="F6" s="175"/>
      <c r="G6" s="181">
        <f>G4+G5</f>
        <v>314419.22801999998</v>
      </c>
      <c r="H6" s="1"/>
      <c r="I6" s="1"/>
      <c r="J6" s="1"/>
      <c r="K6" s="1"/>
      <c r="L6" s="1"/>
    </row>
    <row r="7" spans="1:13" x14ac:dyDescent="0.45">
      <c r="A7" s="1"/>
      <c r="B7" s="1"/>
      <c r="C7" s="299" t="s">
        <v>196</v>
      </c>
      <c r="D7" s="299"/>
      <c r="E7" s="175"/>
      <c r="F7" s="175"/>
      <c r="G7" s="188">
        <f>SAO!D6</f>
        <v>917275</v>
      </c>
      <c r="H7" s="1"/>
      <c r="I7" s="1"/>
      <c r="J7" s="1"/>
      <c r="K7" s="1"/>
      <c r="L7" s="1"/>
    </row>
    <row r="8" spans="1:13" x14ac:dyDescent="0.45">
      <c r="A8" s="1"/>
      <c r="B8" s="1"/>
      <c r="C8" s="299" t="s">
        <v>63</v>
      </c>
      <c r="D8" s="299"/>
      <c r="E8" s="175"/>
      <c r="F8" s="175"/>
      <c r="G8" s="181">
        <f>G6-G7</f>
        <v>-602855.77197999996</v>
      </c>
      <c r="H8" s="1" t="s">
        <v>241</v>
      </c>
      <c r="I8" s="1"/>
      <c r="J8" s="1"/>
      <c r="K8" s="220"/>
      <c r="L8" s="1"/>
      <c r="M8" s="186"/>
    </row>
    <row r="9" spans="1:13" x14ac:dyDescent="0.45">
      <c r="A9" s="1"/>
      <c r="B9" s="1"/>
      <c r="C9" s="299"/>
      <c r="D9" s="299"/>
      <c r="E9" s="175"/>
      <c r="F9" s="175"/>
      <c r="G9" s="238">
        <f>G8/G7</f>
        <v>-0.65722468396064426</v>
      </c>
      <c r="H9" s="1"/>
      <c r="I9" s="1"/>
      <c r="J9" s="1"/>
      <c r="K9" s="1"/>
      <c r="L9" s="1"/>
      <c r="M9" s="185"/>
    </row>
    <row r="10" spans="1:13" x14ac:dyDescent="0.45">
      <c r="A10" s="1"/>
      <c r="B10" s="1"/>
      <c r="C10" s="300"/>
      <c r="D10" s="300"/>
      <c r="E10" s="1"/>
      <c r="F10" s="1"/>
      <c r="G10" s="7"/>
      <c r="H10" s="1"/>
      <c r="I10" s="1"/>
      <c r="J10" s="1"/>
      <c r="K10" s="1"/>
      <c r="L10" s="1"/>
    </row>
    <row r="11" spans="1:13" x14ac:dyDescent="0.45">
      <c r="A11" s="1"/>
      <c r="B11" s="1"/>
      <c r="C11" s="1"/>
      <c r="D11" s="1"/>
      <c r="E11" s="1"/>
      <c r="F11" s="1"/>
      <c r="G11" s="7"/>
      <c r="H11" s="1"/>
      <c r="I11" s="1"/>
      <c r="J11" s="1"/>
      <c r="K11" s="1"/>
      <c r="L11" s="1"/>
    </row>
    <row r="12" spans="1:13" x14ac:dyDescent="0.45">
      <c r="A12" s="1" t="s">
        <v>223</v>
      </c>
      <c r="C12" s="1" t="s">
        <v>222</v>
      </c>
      <c r="D12" s="1"/>
      <c r="E12" s="1"/>
      <c r="F12" s="1"/>
      <c r="G12" s="7"/>
      <c r="H12" s="1"/>
      <c r="I12" s="1"/>
      <c r="J12" s="1"/>
      <c r="K12" s="1"/>
      <c r="L12" s="1"/>
    </row>
    <row r="13" spans="1:13" x14ac:dyDescent="0.4">
      <c r="A13" s="175"/>
      <c r="B13" s="175"/>
      <c r="C13" s="175"/>
      <c r="D13" s="175"/>
      <c r="E13" s="215" t="str">
        <f>A15</f>
        <v>First</v>
      </c>
      <c r="F13" s="215" t="str">
        <f>A16</f>
        <v>Next</v>
      </c>
      <c r="G13" s="218" t="str">
        <f>A17</f>
        <v>Next</v>
      </c>
      <c r="H13" s="215" t="str">
        <f>A18</f>
        <v>Over</v>
      </c>
      <c r="I13" s="215" t="s">
        <v>12</v>
      </c>
    </row>
    <row r="14" spans="1:13" x14ac:dyDescent="0.4">
      <c r="A14" s="175"/>
      <c r="B14" s="174" t="s">
        <v>188</v>
      </c>
      <c r="C14" s="174" t="s">
        <v>189</v>
      </c>
      <c r="D14" s="174" t="s">
        <v>13</v>
      </c>
      <c r="E14" s="217">
        <f>B15</f>
        <v>1000</v>
      </c>
      <c r="F14" s="217">
        <f>B16</f>
        <v>2000</v>
      </c>
      <c r="G14" s="217">
        <f>B17</f>
        <v>7000</v>
      </c>
      <c r="H14" s="216">
        <f>B18</f>
        <v>10000</v>
      </c>
      <c r="I14" s="174"/>
    </row>
    <row r="15" spans="1:13" x14ac:dyDescent="0.4">
      <c r="A15" s="175" t="s">
        <v>185</v>
      </c>
      <c r="B15" s="73">
        <v>1000</v>
      </c>
      <c r="C15" s="176">
        <v>22206</v>
      </c>
      <c r="D15" s="176">
        <v>855998</v>
      </c>
      <c r="E15" s="176">
        <f>D15</f>
        <v>855998</v>
      </c>
      <c r="F15" s="176">
        <v>0</v>
      </c>
      <c r="G15" s="54">
        <v>0</v>
      </c>
      <c r="H15" s="176"/>
      <c r="I15" s="176">
        <f>SUM(E15:H15)</f>
        <v>855998</v>
      </c>
    </row>
    <row r="16" spans="1:13" x14ac:dyDescent="0.4">
      <c r="A16" s="175" t="s">
        <v>186</v>
      </c>
      <c r="B16" s="73">
        <v>2000</v>
      </c>
      <c r="C16" s="176">
        <v>27</v>
      </c>
      <c r="D16" s="176">
        <v>36848</v>
      </c>
      <c r="E16" s="176">
        <f t="shared" ref="E16:E18" si="0">C16*$B$15</f>
        <v>27000</v>
      </c>
      <c r="F16" s="176">
        <f>D16-E16</f>
        <v>9848</v>
      </c>
      <c r="G16" s="54">
        <v>0</v>
      </c>
      <c r="H16" s="176">
        <v>0</v>
      </c>
      <c r="I16" s="176">
        <f>SUM(E16:H16)</f>
        <v>36848</v>
      </c>
    </row>
    <row r="17" spans="1:12" x14ac:dyDescent="0.4">
      <c r="A17" s="175" t="s">
        <v>186</v>
      </c>
      <c r="B17" s="73">
        <v>7000</v>
      </c>
      <c r="C17" s="176">
        <f>2+2</f>
        <v>4</v>
      </c>
      <c r="D17" s="176">
        <f>9256+14558</f>
        <v>23814</v>
      </c>
      <c r="E17" s="176">
        <f t="shared" si="0"/>
        <v>4000</v>
      </c>
      <c r="F17" s="176">
        <f>C17*$B$16</f>
        <v>8000</v>
      </c>
      <c r="G17" s="54">
        <f>D17-E17-F17</f>
        <v>11814</v>
      </c>
      <c r="H17" s="176">
        <v>0</v>
      </c>
      <c r="I17" s="176">
        <f>SUM(E17:H17)</f>
        <v>23814</v>
      </c>
    </row>
    <row r="18" spans="1:12" x14ac:dyDescent="0.4">
      <c r="A18" s="175" t="s">
        <v>187</v>
      </c>
      <c r="B18" s="177">
        <v>10000</v>
      </c>
      <c r="C18" s="182">
        <v>0</v>
      </c>
      <c r="D18" s="182">
        <v>0</v>
      </c>
      <c r="E18" s="182">
        <f t="shared" si="0"/>
        <v>0</v>
      </c>
      <c r="F18" s="182">
        <f>C18*$B$16</f>
        <v>0</v>
      </c>
      <c r="G18" s="177">
        <f>C18*$B$17</f>
        <v>0</v>
      </c>
      <c r="H18" s="182">
        <f>D18-E18-F18-G18</f>
        <v>0</v>
      </c>
      <c r="I18" s="182">
        <f>SUM(E18:H18)</f>
        <v>0</v>
      </c>
    </row>
    <row r="19" spans="1:12" x14ac:dyDescent="0.45">
      <c r="A19" s="175"/>
      <c r="B19" s="1" t="s">
        <v>68</v>
      </c>
      <c r="C19" s="2">
        <f t="shared" ref="C19:I19" si="1">SUM(C15:C18)</f>
        <v>22237</v>
      </c>
      <c r="D19" s="2">
        <f t="shared" si="1"/>
        <v>916660</v>
      </c>
      <c r="E19" s="2">
        <f t="shared" si="1"/>
        <v>886998</v>
      </c>
      <c r="F19" s="2">
        <f t="shared" si="1"/>
        <v>17848</v>
      </c>
      <c r="G19" s="7">
        <f t="shared" si="1"/>
        <v>11814</v>
      </c>
      <c r="H19" s="2">
        <f t="shared" si="1"/>
        <v>0</v>
      </c>
      <c r="I19" s="2">
        <f t="shared" si="1"/>
        <v>916660</v>
      </c>
    </row>
    <row r="20" spans="1:12" x14ac:dyDescent="0.45">
      <c r="A20" s="1"/>
      <c r="B20" s="1"/>
      <c r="C20" s="1"/>
      <c r="D20" s="1"/>
      <c r="E20" s="1"/>
      <c r="F20" s="1"/>
      <c r="G20" s="7"/>
      <c r="H20" s="1"/>
      <c r="I20" s="1"/>
      <c r="J20" s="1"/>
      <c r="K20" s="1"/>
      <c r="L20" s="1"/>
    </row>
    <row r="21" spans="1:12" x14ac:dyDescent="0.45">
      <c r="A21" s="1" t="s">
        <v>223</v>
      </c>
      <c r="C21" s="1" t="s">
        <v>190</v>
      </c>
      <c r="D21" s="1"/>
      <c r="E21" s="1"/>
      <c r="F21" s="1"/>
      <c r="G21" s="7"/>
      <c r="H21" s="1"/>
      <c r="I21" s="1"/>
      <c r="J21" s="1"/>
      <c r="K21" s="1"/>
      <c r="L21" s="1"/>
    </row>
    <row r="22" spans="1:12" x14ac:dyDescent="0.45">
      <c r="A22" s="1"/>
      <c r="B22" s="1"/>
      <c r="C22" s="1"/>
      <c r="D22" s="1"/>
      <c r="E22" s="1"/>
      <c r="F22" s="1"/>
      <c r="G22" s="7"/>
      <c r="H22" s="1"/>
      <c r="I22" s="1"/>
      <c r="J22" s="1"/>
      <c r="K22" s="1"/>
      <c r="L22" s="1"/>
    </row>
    <row r="23" spans="1:12" x14ac:dyDescent="0.45">
      <c r="A23" s="1"/>
      <c r="B23" s="214" t="s">
        <v>188</v>
      </c>
      <c r="C23" s="214" t="s">
        <v>189</v>
      </c>
      <c r="D23" s="214" t="s">
        <v>13</v>
      </c>
      <c r="E23" s="214" t="s">
        <v>191</v>
      </c>
      <c r="F23" s="214" t="s">
        <v>183</v>
      </c>
      <c r="G23" s="7"/>
      <c r="H23" s="1"/>
      <c r="I23" s="1"/>
      <c r="J23" s="1"/>
      <c r="K23" s="1"/>
      <c r="L23" s="1"/>
    </row>
    <row r="24" spans="1:12" x14ac:dyDescent="0.45">
      <c r="A24" s="175" t="s">
        <v>185</v>
      </c>
      <c r="B24" s="73">
        <v>1000</v>
      </c>
      <c r="C24" s="2">
        <f>C19</f>
        <v>22237</v>
      </c>
      <c r="D24" s="2">
        <f>E19</f>
        <v>886998</v>
      </c>
      <c r="E24" s="233">
        <f>'Rates DSC'!D11</f>
        <v>15.01</v>
      </c>
      <c r="F24" s="179">
        <f>E24*C24</f>
        <v>333777.37</v>
      </c>
      <c r="G24" s="7"/>
      <c r="H24" s="1"/>
      <c r="I24" s="1"/>
      <c r="J24" s="1"/>
      <c r="K24" s="1"/>
      <c r="L24" s="1"/>
    </row>
    <row r="25" spans="1:12" x14ac:dyDescent="0.45">
      <c r="A25" s="175" t="s">
        <v>186</v>
      </c>
      <c r="B25" s="73">
        <v>2000</v>
      </c>
      <c r="C25" s="1"/>
      <c r="D25" s="2">
        <f>F19</f>
        <v>17848</v>
      </c>
      <c r="E25" s="234">
        <f>'Rates DSC'!D12</f>
        <v>9.4800000000000006E-3</v>
      </c>
      <c r="F25" s="179">
        <f>D25*E25</f>
        <v>169.19904</v>
      </c>
      <c r="G25" s="7"/>
      <c r="H25" s="1"/>
      <c r="I25" s="1"/>
      <c r="J25" s="1"/>
      <c r="K25" s="1"/>
      <c r="L25" s="1"/>
    </row>
    <row r="26" spans="1:12" x14ac:dyDescent="0.45">
      <c r="A26" s="175" t="s">
        <v>186</v>
      </c>
      <c r="B26" s="73">
        <v>7000</v>
      </c>
      <c r="C26" s="1"/>
      <c r="D26" s="2">
        <f>G19</f>
        <v>11814</v>
      </c>
      <c r="E26" s="234">
        <f>'Rates DSC'!D13</f>
        <v>8.0700000000000008E-3</v>
      </c>
      <c r="F26" s="179">
        <f>D26*E26</f>
        <v>95.338980000000006</v>
      </c>
      <c r="G26" s="7"/>
      <c r="H26" s="1"/>
      <c r="I26" s="1"/>
      <c r="J26" s="1"/>
      <c r="K26" s="1"/>
      <c r="L26" s="1"/>
    </row>
    <row r="27" spans="1:12" x14ac:dyDescent="0.45">
      <c r="A27" s="175" t="s">
        <v>187</v>
      </c>
      <c r="B27" s="177">
        <v>10000</v>
      </c>
      <c r="C27" s="178"/>
      <c r="D27" s="28">
        <f>H19</f>
        <v>0</v>
      </c>
      <c r="E27" s="234">
        <f>'Rates DSC'!D14</f>
        <v>7.3899999999999999E-3</v>
      </c>
      <c r="F27" s="219">
        <f>D27*E27</f>
        <v>0</v>
      </c>
      <c r="G27" s="7"/>
      <c r="H27" s="1"/>
      <c r="I27" s="1"/>
      <c r="J27" s="1"/>
      <c r="K27" s="1"/>
      <c r="L27" s="1"/>
    </row>
    <row r="28" spans="1:12" x14ac:dyDescent="0.45">
      <c r="A28" s="1"/>
      <c r="B28" s="1" t="s">
        <v>49</v>
      </c>
      <c r="C28" s="2">
        <f>SUM(C24:C27)</f>
        <v>22237</v>
      </c>
      <c r="D28" s="2">
        <f>SUM(D24:D27)</f>
        <v>916660</v>
      </c>
      <c r="E28" s="1"/>
      <c r="F28" s="179">
        <f>SUM(F24:F27)</f>
        <v>334041.90801999997</v>
      </c>
      <c r="G28" s="7"/>
      <c r="H28" s="1"/>
      <c r="I28" s="1"/>
      <c r="J28" s="1"/>
      <c r="K28" s="1"/>
      <c r="L28" s="1" t="s">
        <v>192</v>
      </c>
    </row>
    <row r="30" spans="1:12" x14ac:dyDescent="0.45">
      <c r="A30" s="21" t="s">
        <v>224</v>
      </c>
      <c r="C30" s="1" t="s">
        <v>222</v>
      </c>
      <c r="D30" s="1"/>
      <c r="E30" s="1"/>
      <c r="F30" s="1"/>
      <c r="G30" s="7"/>
      <c r="H30" s="1"/>
      <c r="I30" s="1"/>
    </row>
    <row r="31" spans="1:12" x14ac:dyDescent="0.4">
      <c r="A31" s="175"/>
      <c r="B31" s="175"/>
      <c r="C31" s="175"/>
      <c r="D31" s="175"/>
      <c r="E31" s="215" t="str">
        <f>A33</f>
        <v>First</v>
      </c>
      <c r="F31" s="215" t="str">
        <f>A34</f>
        <v>Next</v>
      </c>
      <c r="G31" s="215" t="str">
        <f>A35</f>
        <v>Over</v>
      </c>
      <c r="H31" s="215" t="s">
        <v>12</v>
      </c>
    </row>
    <row r="32" spans="1:12" x14ac:dyDescent="0.4">
      <c r="A32" s="175"/>
      <c r="B32" s="174" t="s">
        <v>188</v>
      </c>
      <c r="C32" s="174" t="s">
        <v>189</v>
      </c>
      <c r="D32" s="174" t="s">
        <v>13</v>
      </c>
      <c r="E32" s="217">
        <f>B33</f>
        <v>5000</v>
      </c>
      <c r="F32" s="217">
        <f>B34</f>
        <v>5000</v>
      </c>
      <c r="G32" s="216">
        <f>B35</f>
        <v>10000</v>
      </c>
      <c r="H32" s="174"/>
    </row>
    <row r="33" spans="1:9" x14ac:dyDescent="0.4">
      <c r="A33" s="175" t="s">
        <v>185</v>
      </c>
      <c r="B33" s="73">
        <v>5000</v>
      </c>
      <c r="C33" s="176">
        <f>266+8+0</f>
        <v>274</v>
      </c>
      <c r="D33" s="176">
        <f>32350+9140+0</f>
        <v>41490</v>
      </c>
      <c r="E33" s="176">
        <f>D33</f>
        <v>41490</v>
      </c>
      <c r="F33" s="176">
        <v>0</v>
      </c>
      <c r="G33" s="176"/>
      <c r="H33" s="176">
        <f>SUM(E33:G33)</f>
        <v>41490</v>
      </c>
    </row>
    <row r="34" spans="1:9" x14ac:dyDescent="0.4">
      <c r="A34" s="175" t="s">
        <v>186</v>
      </c>
      <c r="B34" s="73">
        <v>5000</v>
      </c>
      <c r="C34" s="176">
        <v>0</v>
      </c>
      <c r="D34" s="176">
        <v>0</v>
      </c>
      <c r="E34" s="176">
        <f t="shared" ref="E34:E35" si="2">C34*$B$15</f>
        <v>0</v>
      </c>
      <c r="F34" s="176">
        <f>D34-E34</f>
        <v>0</v>
      </c>
      <c r="G34" s="176">
        <v>0</v>
      </c>
      <c r="H34" s="176">
        <f>SUM(E34:G34)</f>
        <v>0</v>
      </c>
    </row>
    <row r="35" spans="1:9" x14ac:dyDescent="0.4">
      <c r="A35" s="175" t="s">
        <v>187</v>
      </c>
      <c r="B35" s="177">
        <v>10000</v>
      </c>
      <c r="C35" s="182">
        <v>0</v>
      </c>
      <c r="D35" s="182">
        <v>0</v>
      </c>
      <c r="E35" s="182">
        <f t="shared" si="2"/>
        <v>0</v>
      </c>
      <c r="F35" s="182">
        <f>C35*$B$16</f>
        <v>0</v>
      </c>
      <c r="G35" s="182">
        <f>D35-E35-F35</f>
        <v>0</v>
      </c>
      <c r="H35" s="182">
        <f>SUM(E35:G35)</f>
        <v>0</v>
      </c>
    </row>
    <row r="36" spans="1:9" x14ac:dyDescent="0.45">
      <c r="A36" s="175"/>
      <c r="B36" s="1" t="s">
        <v>68</v>
      </c>
      <c r="C36" s="2">
        <f t="shared" ref="C36:H36" si="3">SUM(C33:C35)</f>
        <v>274</v>
      </c>
      <c r="D36" s="2">
        <f t="shared" si="3"/>
        <v>41490</v>
      </c>
      <c r="E36" s="2">
        <f t="shared" si="3"/>
        <v>41490</v>
      </c>
      <c r="F36" s="2">
        <f t="shared" si="3"/>
        <v>0</v>
      </c>
      <c r="G36" s="2">
        <f t="shared" si="3"/>
        <v>0</v>
      </c>
      <c r="H36" s="2">
        <f t="shared" si="3"/>
        <v>41490</v>
      </c>
    </row>
    <row r="37" spans="1:9" x14ac:dyDescent="0.45">
      <c r="A37" s="1"/>
      <c r="B37" s="1"/>
      <c r="C37" s="1"/>
      <c r="D37" s="1"/>
      <c r="E37" s="1"/>
      <c r="F37" s="1"/>
      <c r="G37" s="7"/>
      <c r="H37" s="1"/>
      <c r="I37" s="1"/>
    </row>
    <row r="38" spans="1:9" x14ac:dyDescent="0.45">
      <c r="A38" s="21" t="s">
        <v>224</v>
      </c>
      <c r="C38" s="1" t="s">
        <v>190</v>
      </c>
      <c r="D38" s="1"/>
      <c r="E38" s="1"/>
      <c r="F38" s="1"/>
      <c r="G38" s="7"/>
      <c r="H38" s="1"/>
      <c r="I38" s="1"/>
    </row>
    <row r="39" spans="1:9" x14ac:dyDescent="0.45">
      <c r="A39" s="1"/>
      <c r="B39" s="1"/>
      <c r="C39" s="1"/>
      <c r="D39" s="1"/>
      <c r="E39" s="1"/>
      <c r="F39" s="1"/>
      <c r="G39" s="7"/>
      <c r="H39" s="1"/>
      <c r="I39" s="1"/>
    </row>
    <row r="40" spans="1:9" x14ac:dyDescent="0.45">
      <c r="A40" s="1"/>
      <c r="B40" s="214" t="s">
        <v>188</v>
      </c>
      <c r="C40" s="214" t="s">
        <v>189</v>
      </c>
      <c r="D40" s="214" t="s">
        <v>13</v>
      </c>
      <c r="E40" s="214" t="s">
        <v>191</v>
      </c>
      <c r="F40" s="214" t="s">
        <v>183</v>
      </c>
      <c r="G40" s="7"/>
      <c r="H40" s="1"/>
      <c r="I40" s="1"/>
    </row>
    <row r="41" spans="1:9" x14ac:dyDescent="0.45">
      <c r="A41" s="175" t="s">
        <v>185</v>
      </c>
      <c r="B41" s="73">
        <v>5000</v>
      </c>
      <c r="C41" s="2">
        <f>C36</f>
        <v>274</v>
      </c>
      <c r="D41" s="2">
        <f>E36</f>
        <v>41490</v>
      </c>
      <c r="E41" s="233">
        <f>'Rates DSC'!D17</f>
        <v>50.11</v>
      </c>
      <c r="F41" s="179">
        <f>E41*C41</f>
        <v>13730.14</v>
      </c>
      <c r="G41" s="7"/>
      <c r="H41" s="1"/>
      <c r="I41" s="1"/>
    </row>
    <row r="42" spans="1:9" x14ac:dyDescent="0.45">
      <c r="A42" s="175" t="s">
        <v>186</v>
      </c>
      <c r="B42" s="73">
        <v>5000</v>
      </c>
      <c r="C42" s="1"/>
      <c r="D42" s="2">
        <f>F36</f>
        <v>0</v>
      </c>
      <c r="E42" s="234">
        <f>'Rates DSC'!D18</f>
        <v>8.0700000000000008E-3</v>
      </c>
      <c r="F42" s="179">
        <f>D42*E42</f>
        <v>0</v>
      </c>
      <c r="G42" s="7"/>
      <c r="H42" s="1"/>
      <c r="I42" s="1"/>
    </row>
    <row r="43" spans="1:9" x14ac:dyDescent="0.45">
      <c r="A43" s="175" t="s">
        <v>187</v>
      </c>
      <c r="B43" s="177">
        <v>10000</v>
      </c>
      <c r="C43" s="178"/>
      <c r="D43" s="28">
        <f>G36</f>
        <v>0</v>
      </c>
      <c r="E43" s="234">
        <f>'Rates DSC'!D19</f>
        <v>7.3899999999999999E-3</v>
      </c>
      <c r="F43" s="219">
        <f>D43*E43</f>
        <v>0</v>
      </c>
      <c r="G43" s="7"/>
      <c r="H43" s="1"/>
      <c r="I43" s="1"/>
    </row>
    <row r="44" spans="1:9" x14ac:dyDescent="0.45">
      <c r="A44" s="1"/>
      <c r="B44" s="1" t="s">
        <v>49</v>
      </c>
      <c r="C44" s="2">
        <f>SUM(C41:C43)</f>
        <v>274</v>
      </c>
      <c r="D44" s="2">
        <f>SUM(D41:D43)</f>
        <v>41490</v>
      </c>
      <c r="E44" s="1"/>
      <c r="F44" s="179">
        <f>SUM(F41:F43)</f>
        <v>13730.14</v>
      </c>
      <c r="G44" s="7"/>
      <c r="H44" s="1"/>
      <c r="I44" s="1"/>
    </row>
    <row r="46" spans="1:9" x14ac:dyDescent="0.45">
      <c r="A46" s="21" t="s">
        <v>225</v>
      </c>
      <c r="C46" s="1" t="s">
        <v>222</v>
      </c>
      <c r="D46" s="1"/>
      <c r="E46" s="1"/>
      <c r="F46" s="1"/>
      <c r="G46" s="7"/>
      <c r="H46" s="1"/>
    </row>
    <row r="47" spans="1:9" x14ac:dyDescent="0.4">
      <c r="A47" s="175"/>
      <c r="B47" s="175"/>
      <c r="C47" s="175"/>
      <c r="D47" s="175"/>
      <c r="E47" s="215" t="str">
        <f>A49</f>
        <v>First</v>
      </c>
      <c r="F47" s="215" t="str">
        <f>A50</f>
        <v>Over</v>
      </c>
      <c r="G47" s="215" t="s">
        <v>12</v>
      </c>
    </row>
    <row r="48" spans="1:9" x14ac:dyDescent="0.4">
      <c r="A48" s="175"/>
      <c r="B48" s="174" t="s">
        <v>188</v>
      </c>
      <c r="C48" s="174" t="s">
        <v>189</v>
      </c>
      <c r="D48" s="174" t="s">
        <v>13</v>
      </c>
      <c r="E48" s="217">
        <f>B49</f>
        <v>5000</v>
      </c>
      <c r="F48" s="216">
        <f>B50</f>
        <v>10000</v>
      </c>
      <c r="G48" s="174"/>
    </row>
    <row r="49" spans="1:8" x14ac:dyDescent="0.4">
      <c r="A49" s="175" t="s">
        <v>185</v>
      </c>
      <c r="B49" s="73">
        <v>5000</v>
      </c>
      <c r="C49" s="176">
        <v>8</v>
      </c>
      <c r="D49" s="176">
        <v>830</v>
      </c>
      <c r="E49" s="176">
        <f>D49</f>
        <v>830</v>
      </c>
      <c r="F49" s="176"/>
      <c r="G49" s="176">
        <f>SUM(E49:F49)</f>
        <v>830</v>
      </c>
    </row>
    <row r="50" spans="1:8" x14ac:dyDescent="0.4">
      <c r="A50" s="175" t="s">
        <v>187</v>
      </c>
      <c r="B50" s="177">
        <v>10000</v>
      </c>
      <c r="C50" s="182">
        <v>0</v>
      </c>
      <c r="D50" s="182">
        <v>0</v>
      </c>
      <c r="E50" s="182">
        <f t="shared" ref="E50" si="4">C50*$B$15</f>
        <v>0</v>
      </c>
      <c r="F50" s="182">
        <f>D50-E50</f>
        <v>0</v>
      </c>
      <c r="G50" s="182">
        <f>SUM(E50:F50)</f>
        <v>0</v>
      </c>
    </row>
    <row r="51" spans="1:8" x14ac:dyDescent="0.45">
      <c r="A51" s="175"/>
      <c r="B51" s="1" t="s">
        <v>68</v>
      </c>
      <c r="C51" s="2">
        <f>SUM(C49:C50)</f>
        <v>8</v>
      </c>
      <c r="D51" s="2">
        <f>SUM(D49:D50)</f>
        <v>830</v>
      </c>
      <c r="E51" s="2">
        <f>SUM(E49:E50)</f>
        <v>830</v>
      </c>
      <c r="F51" s="2">
        <f>SUM(F49:F50)</f>
        <v>0</v>
      </c>
      <c r="G51" s="2">
        <f>SUM(G49:G50)</f>
        <v>830</v>
      </c>
    </row>
    <row r="52" spans="1:8" x14ac:dyDescent="0.45">
      <c r="A52" s="1"/>
      <c r="B52" s="1"/>
      <c r="C52" s="1"/>
      <c r="D52" s="1"/>
      <c r="E52" s="1"/>
      <c r="F52" s="1"/>
      <c r="G52" s="7"/>
      <c r="H52" s="1"/>
    </row>
    <row r="53" spans="1:8" x14ac:dyDescent="0.45">
      <c r="A53" s="21" t="s">
        <v>225</v>
      </c>
      <c r="C53" s="1" t="s">
        <v>190</v>
      </c>
      <c r="D53" s="1"/>
      <c r="E53" s="1"/>
      <c r="F53" s="1"/>
      <c r="G53" s="7"/>
      <c r="H53" s="1"/>
    </row>
    <row r="54" spans="1:8" x14ac:dyDescent="0.45">
      <c r="A54" s="1"/>
      <c r="B54" s="1"/>
      <c r="C54" s="1"/>
      <c r="D54" s="1"/>
      <c r="E54" s="1"/>
      <c r="F54" s="1"/>
      <c r="G54" s="7"/>
      <c r="H54" s="1"/>
    </row>
    <row r="55" spans="1:8" x14ac:dyDescent="0.45">
      <c r="A55" s="1"/>
      <c r="B55" s="214" t="s">
        <v>188</v>
      </c>
      <c r="C55" s="214" t="s">
        <v>189</v>
      </c>
      <c r="D55" s="214" t="s">
        <v>13</v>
      </c>
      <c r="E55" s="214" t="s">
        <v>191</v>
      </c>
      <c r="F55" s="214" t="s">
        <v>183</v>
      </c>
      <c r="G55" s="7"/>
      <c r="H55" s="1"/>
    </row>
    <row r="56" spans="1:8" x14ac:dyDescent="0.45">
      <c r="A56" s="175" t="s">
        <v>185</v>
      </c>
      <c r="B56" s="73">
        <v>5000</v>
      </c>
      <c r="C56" s="2">
        <f>C51</f>
        <v>8</v>
      </c>
      <c r="D56" s="2">
        <f>E51</f>
        <v>830</v>
      </c>
      <c r="E56" s="233">
        <f>'Rates DSC'!D22</f>
        <v>164.36</v>
      </c>
      <c r="F56" s="179">
        <f>E56*C56</f>
        <v>1314.88</v>
      </c>
      <c r="G56" s="7"/>
      <c r="H56" s="1"/>
    </row>
    <row r="57" spans="1:8" x14ac:dyDescent="0.45">
      <c r="A57" s="175" t="s">
        <v>187</v>
      </c>
      <c r="B57" s="177">
        <v>10000</v>
      </c>
      <c r="C57" s="178"/>
      <c r="D57" s="28">
        <f>F51</f>
        <v>0</v>
      </c>
      <c r="E57" s="234">
        <f>'Rates DSC'!D23</f>
        <v>7.3899999999999999E-3</v>
      </c>
      <c r="F57" s="219">
        <f>D57*E57</f>
        <v>0</v>
      </c>
      <c r="G57" s="7"/>
      <c r="H57" s="1"/>
    </row>
    <row r="58" spans="1:8" x14ac:dyDescent="0.45">
      <c r="A58" s="1"/>
      <c r="B58" s="1" t="s">
        <v>49</v>
      </c>
      <c r="C58" s="2">
        <f>SUM(C56:C57)</f>
        <v>8</v>
      </c>
      <c r="D58" s="2">
        <f>SUM(D56:D57)</f>
        <v>830</v>
      </c>
      <c r="E58" s="1"/>
      <c r="F58" s="179">
        <f>SUM(F56:F57)</f>
        <v>1314.88</v>
      </c>
      <c r="G58" s="7"/>
      <c r="H58" s="1"/>
    </row>
  </sheetData>
  <mergeCells count="9">
    <mergeCell ref="C8:D8"/>
    <mergeCell ref="C9:D9"/>
    <mergeCell ref="C10:D10"/>
    <mergeCell ref="E1:G1"/>
    <mergeCell ref="C3:D3"/>
    <mergeCell ref="C4:D4"/>
    <mergeCell ref="C5:D5"/>
    <mergeCell ref="C6:D6"/>
    <mergeCell ref="C7:D7"/>
  </mergeCells>
  <pageMargins left="0.7" right="0.7" top="0.75" bottom="0.75" header="0.3" footer="0.3"/>
  <pageSetup scale="61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1388-AB01-4CAE-A21B-D2708C228A39}">
  <sheetPr>
    <pageSetUpPr fitToPage="1"/>
  </sheetPr>
  <dimension ref="A1:M58"/>
  <sheetViews>
    <sheetView showGridLines="0" workbookViewId="0">
      <selection sqref="A1:L58"/>
    </sheetView>
  </sheetViews>
  <sheetFormatPr defaultRowHeight="14.25" x14ac:dyDescent="0.4"/>
  <cols>
    <col min="1" max="1" width="8.88671875" style="143"/>
    <col min="2" max="2" width="9.27734375" style="143" bestFit="1" customWidth="1"/>
    <col min="3" max="3" width="7.609375" style="143" bestFit="1" customWidth="1"/>
    <col min="4" max="4" width="20.44140625" style="143" bestFit="1" customWidth="1"/>
    <col min="5" max="8" width="11.38671875" style="143" bestFit="1" customWidth="1"/>
    <col min="9" max="10" width="11.38671875" style="143" customWidth="1"/>
    <col min="11" max="11" width="10.44140625" style="143" bestFit="1" customWidth="1"/>
    <col min="12" max="12" width="11.38671875" style="143" bestFit="1" customWidth="1"/>
    <col min="13" max="16384" width="8.88671875" style="143"/>
  </cols>
  <sheetData>
    <row r="1" spans="1:13" x14ac:dyDescent="0.45">
      <c r="A1" s="1"/>
      <c r="B1" s="1"/>
      <c r="C1" s="221">
        <v>2021</v>
      </c>
      <c r="D1" s="221" t="s">
        <v>242</v>
      </c>
      <c r="E1" s="301" t="s">
        <v>210</v>
      </c>
      <c r="F1" s="301"/>
      <c r="G1" s="301"/>
      <c r="H1" s="1"/>
      <c r="I1" s="1"/>
      <c r="J1" s="1"/>
      <c r="K1" s="1"/>
      <c r="L1" s="1"/>
    </row>
    <row r="2" spans="1:13" x14ac:dyDescent="0.45">
      <c r="A2" s="1"/>
      <c r="B2" s="1"/>
      <c r="E2" s="175"/>
      <c r="F2" s="175"/>
      <c r="G2" s="54"/>
      <c r="H2" s="1"/>
      <c r="I2" s="1"/>
      <c r="J2" s="1"/>
      <c r="K2" s="1"/>
      <c r="L2" s="1"/>
    </row>
    <row r="3" spans="1:13" x14ac:dyDescent="0.45">
      <c r="A3" s="1"/>
      <c r="B3" s="1"/>
      <c r="C3" s="299" t="s">
        <v>180</v>
      </c>
      <c r="D3" s="299"/>
      <c r="E3" s="174" t="s">
        <v>181</v>
      </c>
      <c r="F3" s="174" t="s">
        <v>182</v>
      </c>
      <c r="G3" s="177" t="s">
        <v>183</v>
      </c>
      <c r="H3" s="1"/>
      <c r="I3" s="1"/>
      <c r="J3" s="1"/>
      <c r="K3" s="1"/>
      <c r="L3" s="1"/>
    </row>
    <row r="4" spans="1:13" x14ac:dyDescent="0.45">
      <c r="A4" s="1"/>
      <c r="B4" s="1"/>
      <c r="C4" s="302" t="s">
        <v>184</v>
      </c>
      <c r="D4" s="302"/>
      <c r="E4" s="176">
        <f>C28</f>
        <v>22237</v>
      </c>
      <c r="F4" s="176">
        <f>D28</f>
        <v>916660</v>
      </c>
      <c r="G4" s="180">
        <f>F28</f>
        <v>357854.48677999998</v>
      </c>
      <c r="H4" s="1"/>
      <c r="I4" s="1"/>
      <c r="J4" s="1"/>
      <c r="K4" s="1"/>
      <c r="L4" s="1"/>
    </row>
    <row r="5" spans="1:13" x14ac:dyDescent="0.45">
      <c r="A5" s="1"/>
      <c r="B5" s="1"/>
      <c r="C5" s="299" t="s">
        <v>202</v>
      </c>
      <c r="D5" s="299"/>
      <c r="E5" s="175"/>
      <c r="F5" s="175"/>
      <c r="G5" s="188">
        <v>-19622.68</v>
      </c>
      <c r="H5" s="1"/>
      <c r="I5" s="1"/>
      <c r="J5" s="1"/>
      <c r="K5" s="1"/>
      <c r="L5" s="1"/>
    </row>
    <row r="6" spans="1:13" x14ac:dyDescent="0.45">
      <c r="A6" s="1"/>
      <c r="B6" s="1"/>
      <c r="C6" s="299" t="s">
        <v>195</v>
      </c>
      <c r="D6" s="299"/>
      <c r="E6" s="175"/>
      <c r="F6" s="175"/>
      <c r="G6" s="181">
        <f>G4+G5</f>
        <v>338231.80677999998</v>
      </c>
      <c r="H6" s="1"/>
      <c r="I6" s="1"/>
      <c r="J6" s="1"/>
      <c r="K6" s="1"/>
      <c r="L6" s="1"/>
    </row>
    <row r="7" spans="1:13" x14ac:dyDescent="0.45">
      <c r="A7" s="1"/>
      <c r="B7" s="1"/>
      <c r="C7" s="299" t="s">
        <v>226</v>
      </c>
      <c r="D7" s="299"/>
      <c r="E7" s="175"/>
      <c r="F7" s="175"/>
      <c r="G7" s="188">
        <f>SAO!G55</f>
        <v>982852.63193932187</v>
      </c>
      <c r="H7" s="1"/>
      <c r="I7" s="1"/>
      <c r="J7" s="1"/>
      <c r="K7" s="1"/>
      <c r="L7" s="1"/>
    </row>
    <row r="8" spans="1:13" x14ac:dyDescent="0.45">
      <c r="A8" s="1"/>
      <c r="B8" s="1"/>
      <c r="C8" s="299" t="s">
        <v>63</v>
      </c>
      <c r="D8" s="299"/>
      <c r="E8" s="175"/>
      <c r="F8" s="175"/>
      <c r="G8" s="181">
        <f>G6-G7</f>
        <v>-644620.82515932189</v>
      </c>
      <c r="H8" s="1" t="s">
        <v>241</v>
      </c>
      <c r="I8" s="1"/>
      <c r="J8" s="1"/>
      <c r="K8" s="220"/>
      <c r="L8" s="1"/>
      <c r="M8" s="186"/>
    </row>
    <row r="9" spans="1:13" x14ac:dyDescent="0.45">
      <c r="A9" s="1"/>
      <c r="B9" s="1"/>
      <c r="C9" s="299"/>
      <c r="D9" s="299"/>
      <c r="E9" s="175"/>
      <c r="F9" s="175"/>
      <c r="G9" s="238">
        <f>G8/G7</f>
        <v>-0.65586722181064339</v>
      </c>
      <c r="H9" s="1"/>
      <c r="I9" s="1"/>
      <c r="J9" s="1"/>
      <c r="K9" s="1"/>
      <c r="L9" s="1"/>
      <c r="M9" s="185"/>
    </row>
    <row r="10" spans="1:13" x14ac:dyDescent="0.45">
      <c r="A10" s="1"/>
      <c r="B10" s="1"/>
      <c r="C10" s="300"/>
      <c r="D10" s="300"/>
      <c r="E10" s="1"/>
      <c r="F10" s="1"/>
      <c r="G10" s="7"/>
      <c r="H10" s="1"/>
      <c r="I10" s="1"/>
      <c r="J10" s="1"/>
      <c r="K10" s="1"/>
      <c r="L10" s="1"/>
    </row>
    <row r="11" spans="1:13" x14ac:dyDescent="0.45">
      <c r="A11" s="1"/>
      <c r="B11" s="1"/>
      <c r="C11" s="1"/>
      <c r="D11" s="1"/>
      <c r="E11" s="1"/>
      <c r="F11" s="1"/>
      <c r="G11" s="7"/>
      <c r="H11" s="1"/>
      <c r="I11" s="1"/>
      <c r="J11" s="1"/>
      <c r="K11" s="1"/>
      <c r="L11" s="1"/>
    </row>
    <row r="12" spans="1:13" x14ac:dyDescent="0.45">
      <c r="A12" s="1" t="s">
        <v>223</v>
      </c>
      <c r="C12" s="1" t="s">
        <v>222</v>
      </c>
      <c r="D12" s="1"/>
      <c r="E12" s="1"/>
      <c r="F12" s="1"/>
      <c r="G12" s="7"/>
      <c r="H12" s="1"/>
      <c r="I12" s="1"/>
      <c r="J12" s="1"/>
      <c r="K12" s="1"/>
      <c r="L12" s="1"/>
    </row>
    <row r="13" spans="1:13" x14ac:dyDescent="0.4">
      <c r="A13" s="175"/>
      <c r="B13" s="175"/>
      <c r="C13" s="175"/>
      <c r="D13" s="175"/>
      <c r="E13" s="215" t="str">
        <f>A15</f>
        <v>First</v>
      </c>
      <c r="F13" s="215" t="str">
        <f>A16</f>
        <v>Next</v>
      </c>
      <c r="G13" s="218" t="str">
        <f>A17</f>
        <v>Next</v>
      </c>
      <c r="H13" s="215" t="str">
        <f>A18</f>
        <v>Over</v>
      </c>
      <c r="I13" s="215" t="s">
        <v>12</v>
      </c>
    </row>
    <row r="14" spans="1:13" x14ac:dyDescent="0.4">
      <c r="A14" s="175"/>
      <c r="B14" s="174" t="s">
        <v>188</v>
      </c>
      <c r="C14" s="174" t="s">
        <v>189</v>
      </c>
      <c r="D14" s="174" t="s">
        <v>13</v>
      </c>
      <c r="E14" s="217">
        <f>B15</f>
        <v>1000</v>
      </c>
      <c r="F14" s="217">
        <f>B16</f>
        <v>2000</v>
      </c>
      <c r="G14" s="217">
        <f>B17</f>
        <v>7000</v>
      </c>
      <c r="H14" s="216">
        <f>B18</f>
        <v>10000</v>
      </c>
      <c r="I14" s="174"/>
    </row>
    <row r="15" spans="1:13" x14ac:dyDescent="0.4">
      <c r="A15" s="175" t="s">
        <v>185</v>
      </c>
      <c r="B15" s="73">
        <v>1000</v>
      </c>
      <c r="C15" s="176">
        <f>ExBA!C15</f>
        <v>22206</v>
      </c>
      <c r="D15" s="176">
        <f>ExBA!D15</f>
        <v>855998</v>
      </c>
      <c r="E15" s="176">
        <f>D15</f>
        <v>855998</v>
      </c>
      <c r="F15" s="176">
        <v>0</v>
      </c>
      <c r="G15" s="54">
        <v>0</v>
      </c>
      <c r="H15" s="176"/>
      <c r="I15" s="176">
        <f>SUM(E15:H15)</f>
        <v>855998</v>
      </c>
    </row>
    <row r="16" spans="1:13" x14ac:dyDescent="0.4">
      <c r="A16" s="175" t="s">
        <v>186</v>
      </c>
      <c r="B16" s="73">
        <v>2000</v>
      </c>
      <c r="C16" s="176">
        <f>ExBA!C16</f>
        <v>27</v>
      </c>
      <c r="D16" s="176">
        <f>ExBA!D16</f>
        <v>36848</v>
      </c>
      <c r="E16" s="176">
        <f t="shared" ref="E16:E18" si="0">C16*$B$15</f>
        <v>27000</v>
      </c>
      <c r="F16" s="176">
        <f>D16-E16</f>
        <v>9848</v>
      </c>
      <c r="G16" s="54">
        <v>0</v>
      </c>
      <c r="H16" s="176">
        <v>0</v>
      </c>
      <c r="I16" s="176">
        <f>SUM(E16:H16)</f>
        <v>36848</v>
      </c>
    </row>
    <row r="17" spans="1:12" x14ac:dyDescent="0.4">
      <c r="A17" s="175" t="s">
        <v>186</v>
      </c>
      <c r="B17" s="73">
        <v>7000</v>
      </c>
      <c r="C17" s="176">
        <f>ExBA!C17</f>
        <v>4</v>
      </c>
      <c r="D17" s="176">
        <f>ExBA!D17</f>
        <v>23814</v>
      </c>
      <c r="E17" s="176">
        <f t="shared" si="0"/>
        <v>4000</v>
      </c>
      <c r="F17" s="176">
        <f>C17*$B$16</f>
        <v>8000</v>
      </c>
      <c r="G17" s="54">
        <f>D17-E17-F17</f>
        <v>11814</v>
      </c>
      <c r="H17" s="176">
        <v>0</v>
      </c>
      <c r="I17" s="176">
        <f>SUM(E17:H17)</f>
        <v>23814</v>
      </c>
    </row>
    <row r="18" spans="1:12" x14ac:dyDescent="0.4">
      <c r="A18" s="175" t="s">
        <v>187</v>
      </c>
      <c r="B18" s="177">
        <v>10000</v>
      </c>
      <c r="C18" s="182">
        <f>ExBA!C18</f>
        <v>0</v>
      </c>
      <c r="D18" s="182">
        <f>ExBA!D18</f>
        <v>0</v>
      </c>
      <c r="E18" s="182">
        <f t="shared" si="0"/>
        <v>0</v>
      </c>
      <c r="F18" s="182">
        <f>C18*$B$16</f>
        <v>0</v>
      </c>
      <c r="G18" s="177">
        <f>C18*$B$17</f>
        <v>0</v>
      </c>
      <c r="H18" s="182">
        <f>D18-E18-F18-G18</f>
        <v>0</v>
      </c>
      <c r="I18" s="182">
        <f>SUM(E18:H18)</f>
        <v>0</v>
      </c>
    </row>
    <row r="19" spans="1:12" x14ac:dyDescent="0.45">
      <c r="A19" s="175"/>
      <c r="B19" s="1" t="s">
        <v>68</v>
      </c>
      <c r="C19" s="2">
        <f t="shared" ref="C19:I19" si="1">SUM(C15:C18)</f>
        <v>22237</v>
      </c>
      <c r="D19" s="2">
        <f t="shared" si="1"/>
        <v>916660</v>
      </c>
      <c r="E19" s="2">
        <f t="shared" si="1"/>
        <v>886998</v>
      </c>
      <c r="F19" s="2">
        <f t="shared" si="1"/>
        <v>17848</v>
      </c>
      <c r="G19" s="7">
        <f t="shared" si="1"/>
        <v>11814</v>
      </c>
      <c r="H19" s="2">
        <f t="shared" si="1"/>
        <v>0</v>
      </c>
      <c r="I19" s="2">
        <f t="shared" si="1"/>
        <v>916660</v>
      </c>
    </row>
    <row r="20" spans="1:12" x14ac:dyDescent="0.45">
      <c r="A20" s="1"/>
      <c r="B20" s="1"/>
      <c r="C20" s="1"/>
      <c r="D20" s="1"/>
      <c r="E20" s="1"/>
      <c r="F20" s="1"/>
      <c r="G20" s="7"/>
      <c r="H20" s="1"/>
      <c r="I20" s="1"/>
      <c r="J20" s="1"/>
      <c r="K20" s="1"/>
      <c r="L20" s="1"/>
    </row>
    <row r="21" spans="1:12" x14ac:dyDescent="0.45">
      <c r="A21" s="1" t="s">
        <v>223</v>
      </c>
      <c r="C21" s="1" t="s">
        <v>190</v>
      </c>
      <c r="D21" s="1"/>
      <c r="E21" s="1"/>
      <c r="F21" s="1"/>
      <c r="G21" s="7"/>
      <c r="H21" s="1"/>
      <c r="I21" s="1"/>
      <c r="J21" s="1"/>
      <c r="K21" s="1"/>
      <c r="L21" s="1"/>
    </row>
    <row r="22" spans="1:12" x14ac:dyDescent="0.45">
      <c r="A22" s="1"/>
      <c r="B22" s="1"/>
      <c r="C22" s="1"/>
      <c r="D22" s="1"/>
      <c r="E22" s="1"/>
      <c r="F22" s="1"/>
      <c r="G22" s="7"/>
      <c r="H22" s="1"/>
      <c r="I22" s="1"/>
      <c r="J22" s="1"/>
      <c r="K22" s="1"/>
      <c r="L22" s="1"/>
    </row>
    <row r="23" spans="1:12" x14ac:dyDescent="0.45">
      <c r="A23" s="1"/>
      <c r="B23" s="214" t="s">
        <v>188</v>
      </c>
      <c r="C23" s="214" t="s">
        <v>189</v>
      </c>
      <c r="D23" s="214" t="s">
        <v>13</v>
      </c>
      <c r="E23" s="214" t="s">
        <v>191</v>
      </c>
      <c r="F23" s="214" t="s">
        <v>183</v>
      </c>
      <c r="G23" s="7"/>
      <c r="H23" s="1"/>
      <c r="I23" s="1"/>
      <c r="J23" s="1"/>
      <c r="K23" s="1"/>
      <c r="L23" s="1"/>
    </row>
    <row r="24" spans="1:12" x14ac:dyDescent="0.45">
      <c r="A24" s="175" t="s">
        <v>185</v>
      </c>
      <c r="B24" s="73">
        <v>1000</v>
      </c>
      <c r="C24" s="2">
        <f>ExBA!C24</f>
        <v>22237</v>
      </c>
      <c r="D24" s="2">
        <f>E19</f>
        <v>886998</v>
      </c>
      <c r="E24" s="233">
        <f>'Rates DSC'!F11</f>
        <v>16.079999999999998</v>
      </c>
      <c r="F24" s="179">
        <f>E24*C24</f>
        <v>357570.95999999996</v>
      </c>
      <c r="G24" s="7"/>
      <c r="H24" s="1"/>
      <c r="I24" s="1"/>
      <c r="J24" s="1"/>
      <c r="K24" s="1"/>
      <c r="L24" s="1"/>
    </row>
    <row r="25" spans="1:12" x14ac:dyDescent="0.45">
      <c r="A25" s="175" t="s">
        <v>186</v>
      </c>
      <c r="B25" s="73">
        <v>2000</v>
      </c>
      <c r="C25" s="1"/>
      <c r="D25" s="2">
        <f>F19</f>
        <v>17848</v>
      </c>
      <c r="E25" s="234">
        <f>'Rates DSC'!F12</f>
        <v>1.0160000000000001E-2</v>
      </c>
      <c r="F25" s="179">
        <f>D25*E25</f>
        <v>181.33568000000002</v>
      </c>
      <c r="G25" s="7"/>
      <c r="H25" s="1"/>
      <c r="I25" s="1"/>
      <c r="J25" s="1"/>
      <c r="K25" s="1"/>
      <c r="L25" s="1"/>
    </row>
    <row r="26" spans="1:12" x14ac:dyDescent="0.45">
      <c r="A26" s="175" t="s">
        <v>186</v>
      </c>
      <c r="B26" s="73">
        <v>7000</v>
      </c>
      <c r="C26" s="1"/>
      <c r="D26" s="2">
        <f>G19</f>
        <v>11814</v>
      </c>
      <c r="E26" s="234">
        <f>'Rates DSC'!F13</f>
        <v>8.6499999999999997E-3</v>
      </c>
      <c r="F26" s="179">
        <f>D26*E26</f>
        <v>102.19109999999999</v>
      </c>
      <c r="G26" s="7"/>
      <c r="H26" s="1"/>
      <c r="I26" s="1"/>
      <c r="J26" s="1"/>
      <c r="K26" s="1"/>
      <c r="L26" s="1"/>
    </row>
    <row r="27" spans="1:12" x14ac:dyDescent="0.45">
      <c r="A27" s="175" t="s">
        <v>187</v>
      </c>
      <c r="B27" s="177">
        <v>10000</v>
      </c>
      <c r="C27" s="178"/>
      <c r="D27" s="28">
        <f>H19</f>
        <v>0</v>
      </c>
      <c r="E27" s="234">
        <f>'Rates DSC'!F14</f>
        <v>7.92E-3</v>
      </c>
      <c r="F27" s="219">
        <f t="shared" ref="F27" si="2">(D27/1000)*E27</f>
        <v>0</v>
      </c>
      <c r="G27" s="7"/>
      <c r="H27" s="1"/>
      <c r="I27" s="1"/>
      <c r="J27" s="1"/>
      <c r="K27" s="1"/>
      <c r="L27" s="1"/>
    </row>
    <row r="28" spans="1:12" x14ac:dyDescent="0.45">
      <c r="A28" s="1"/>
      <c r="B28" s="1" t="s">
        <v>49</v>
      </c>
      <c r="C28" s="2">
        <f>SUM(C24:C27)</f>
        <v>22237</v>
      </c>
      <c r="D28" s="2">
        <f>SUM(D24:D27)</f>
        <v>916660</v>
      </c>
      <c r="E28" s="1"/>
      <c r="F28" s="179">
        <f>SUM(F24:F27)</f>
        <v>357854.48677999998</v>
      </c>
      <c r="G28" s="7"/>
      <c r="H28" s="1"/>
      <c r="I28" s="1"/>
      <c r="J28" s="1"/>
      <c r="K28" s="1"/>
      <c r="L28" s="1" t="s">
        <v>192</v>
      </c>
    </row>
    <row r="30" spans="1:12" x14ac:dyDescent="0.45">
      <c r="A30" s="21" t="s">
        <v>224</v>
      </c>
      <c r="C30" s="1" t="s">
        <v>222</v>
      </c>
      <c r="D30" s="1"/>
      <c r="E30" s="1"/>
      <c r="F30" s="1"/>
      <c r="G30" s="7"/>
      <c r="H30" s="1"/>
      <c r="I30" s="1"/>
    </row>
    <row r="31" spans="1:12" x14ac:dyDescent="0.4">
      <c r="A31" s="175"/>
      <c r="B31" s="175"/>
      <c r="C31" s="175"/>
      <c r="D31" s="175"/>
      <c r="E31" s="215" t="str">
        <f>A33</f>
        <v>First</v>
      </c>
      <c r="F31" s="215" t="str">
        <f>A34</f>
        <v>Next</v>
      </c>
      <c r="G31" s="215" t="str">
        <f>A35</f>
        <v>Over</v>
      </c>
      <c r="H31" s="215" t="s">
        <v>12</v>
      </c>
    </row>
    <row r="32" spans="1:12" x14ac:dyDescent="0.4">
      <c r="A32" s="175"/>
      <c r="B32" s="174" t="s">
        <v>188</v>
      </c>
      <c r="C32" s="174" t="s">
        <v>189</v>
      </c>
      <c r="D32" s="174" t="s">
        <v>13</v>
      </c>
      <c r="E32" s="217">
        <f>B33</f>
        <v>5000</v>
      </c>
      <c r="F32" s="217">
        <f>B34</f>
        <v>5000</v>
      </c>
      <c r="G32" s="216">
        <f>B35</f>
        <v>10000</v>
      </c>
      <c r="H32" s="174"/>
    </row>
    <row r="33" spans="1:9" x14ac:dyDescent="0.4">
      <c r="A33" s="175" t="s">
        <v>185</v>
      </c>
      <c r="B33" s="73">
        <v>5000</v>
      </c>
      <c r="C33" s="182">
        <f>ExBA!C33</f>
        <v>274</v>
      </c>
      <c r="D33" s="182">
        <f>ExBA!D33</f>
        <v>41490</v>
      </c>
      <c r="E33" s="176">
        <f>D33</f>
        <v>41490</v>
      </c>
      <c r="F33" s="176">
        <v>0</v>
      </c>
      <c r="G33" s="176"/>
      <c r="H33" s="176">
        <f>SUM(E33:G33)</f>
        <v>41490</v>
      </c>
    </row>
    <row r="34" spans="1:9" x14ac:dyDescent="0.4">
      <c r="A34" s="175" t="s">
        <v>186</v>
      </c>
      <c r="B34" s="73">
        <v>5000</v>
      </c>
      <c r="C34" s="182">
        <f>ExBA!C34</f>
        <v>0</v>
      </c>
      <c r="D34" s="182">
        <f>ExBA!D34</f>
        <v>0</v>
      </c>
      <c r="E34" s="176">
        <f t="shared" ref="E34:E35" si="3">C34*$B$15</f>
        <v>0</v>
      </c>
      <c r="F34" s="176">
        <f>D34-E34</f>
        <v>0</v>
      </c>
      <c r="G34" s="176">
        <v>0</v>
      </c>
      <c r="H34" s="176">
        <f>SUM(E34:G34)</f>
        <v>0</v>
      </c>
    </row>
    <row r="35" spans="1:9" x14ac:dyDescent="0.4">
      <c r="A35" s="175" t="s">
        <v>187</v>
      </c>
      <c r="B35" s="177">
        <v>10000</v>
      </c>
      <c r="C35" s="182">
        <f>ExBA!C35</f>
        <v>0</v>
      </c>
      <c r="D35" s="182">
        <f>ExBA!D35</f>
        <v>0</v>
      </c>
      <c r="E35" s="182">
        <f t="shared" si="3"/>
        <v>0</v>
      </c>
      <c r="F35" s="182">
        <f>C35*$B$16</f>
        <v>0</v>
      </c>
      <c r="G35" s="182">
        <f>D35-E35-F35</f>
        <v>0</v>
      </c>
      <c r="H35" s="182">
        <f>SUM(E35:G35)</f>
        <v>0</v>
      </c>
    </row>
    <row r="36" spans="1:9" x14ac:dyDescent="0.45">
      <c r="A36" s="175"/>
      <c r="B36" s="1" t="s">
        <v>68</v>
      </c>
      <c r="C36" s="2">
        <f t="shared" ref="C36:H36" si="4">SUM(C33:C35)</f>
        <v>274</v>
      </c>
      <c r="D36" s="2">
        <f t="shared" si="4"/>
        <v>41490</v>
      </c>
      <c r="E36" s="2">
        <f t="shared" si="4"/>
        <v>41490</v>
      </c>
      <c r="F36" s="2">
        <f t="shared" si="4"/>
        <v>0</v>
      </c>
      <c r="G36" s="2">
        <f t="shared" si="4"/>
        <v>0</v>
      </c>
      <c r="H36" s="2">
        <f t="shared" si="4"/>
        <v>41490</v>
      </c>
    </row>
    <row r="37" spans="1:9" x14ac:dyDescent="0.45">
      <c r="A37" s="1"/>
      <c r="B37" s="1"/>
      <c r="C37" s="1"/>
      <c r="D37" s="1"/>
      <c r="E37" s="1"/>
      <c r="F37" s="1"/>
      <c r="G37" s="7"/>
      <c r="H37" s="1"/>
      <c r="I37" s="1"/>
    </row>
    <row r="38" spans="1:9" x14ac:dyDescent="0.45">
      <c r="A38" s="21" t="s">
        <v>224</v>
      </c>
      <c r="C38" s="1" t="s">
        <v>190</v>
      </c>
      <c r="D38" s="1"/>
      <c r="E38" s="1"/>
      <c r="F38" s="1"/>
      <c r="G38" s="7"/>
      <c r="H38" s="1"/>
      <c r="I38" s="1"/>
    </row>
    <row r="39" spans="1:9" x14ac:dyDescent="0.45">
      <c r="A39" s="1"/>
      <c r="B39" s="1"/>
      <c r="C39" s="1"/>
      <c r="D39" s="1"/>
      <c r="E39" s="1"/>
      <c r="F39" s="1"/>
      <c r="G39" s="7"/>
      <c r="H39" s="1"/>
      <c r="I39" s="1"/>
    </row>
    <row r="40" spans="1:9" x14ac:dyDescent="0.45">
      <c r="A40" s="1"/>
      <c r="B40" s="214" t="s">
        <v>188</v>
      </c>
      <c r="C40" s="214" t="s">
        <v>189</v>
      </c>
      <c r="D40" s="214" t="s">
        <v>13</v>
      </c>
      <c r="E40" s="214" t="s">
        <v>191</v>
      </c>
      <c r="F40" s="214" t="s">
        <v>183</v>
      </c>
      <c r="G40" s="7"/>
      <c r="H40" s="1"/>
      <c r="I40" s="1"/>
    </row>
    <row r="41" spans="1:9" x14ac:dyDescent="0.45">
      <c r="A41" s="175" t="s">
        <v>185</v>
      </c>
      <c r="B41" s="73">
        <v>5000</v>
      </c>
      <c r="C41" s="2">
        <f>C36</f>
        <v>274</v>
      </c>
      <c r="D41" s="2">
        <f>E36</f>
        <v>41490</v>
      </c>
      <c r="E41" s="233">
        <f>'Rates DSC'!F17</f>
        <v>53.7</v>
      </c>
      <c r="F41" s="179">
        <f>E41*C41</f>
        <v>14713.800000000001</v>
      </c>
      <c r="G41" s="7"/>
      <c r="H41" s="1"/>
      <c r="I41" s="1"/>
    </row>
    <row r="42" spans="1:9" x14ac:dyDescent="0.45">
      <c r="A42" s="175" t="s">
        <v>186</v>
      </c>
      <c r="B42" s="73">
        <v>5000</v>
      </c>
      <c r="C42" s="1"/>
      <c r="D42" s="2">
        <f>F36</f>
        <v>0</v>
      </c>
      <c r="E42" s="234">
        <f>'Rates DSC'!F18</f>
        <v>8.6499999999999997E-3</v>
      </c>
      <c r="F42" s="179">
        <f>(D42/1000)*E42</f>
        <v>0</v>
      </c>
      <c r="G42" s="7"/>
      <c r="H42" s="1"/>
      <c r="I42" s="1"/>
    </row>
    <row r="43" spans="1:9" x14ac:dyDescent="0.45">
      <c r="A43" s="175" t="s">
        <v>187</v>
      </c>
      <c r="B43" s="177">
        <v>10000</v>
      </c>
      <c r="C43" s="178"/>
      <c r="D43" s="28">
        <f>G36</f>
        <v>0</v>
      </c>
      <c r="E43" s="234">
        <f>'Rates DSC'!F19</f>
        <v>7.92E-3</v>
      </c>
      <c r="F43" s="219">
        <f t="shared" ref="F43" si="5">(D43/1000)*E43</f>
        <v>0</v>
      </c>
      <c r="G43" s="7"/>
      <c r="H43" s="1"/>
      <c r="I43" s="1"/>
    </row>
    <row r="44" spans="1:9" x14ac:dyDescent="0.45">
      <c r="A44" s="1"/>
      <c r="B44" s="1" t="s">
        <v>49</v>
      </c>
      <c r="C44" s="2">
        <f>SUM(C41:C43)</f>
        <v>274</v>
      </c>
      <c r="D44" s="2">
        <f>SUM(D41:D43)</f>
        <v>41490</v>
      </c>
      <c r="E44" s="1"/>
      <c r="F44" s="179">
        <f>SUM(F41:F43)</f>
        <v>14713.800000000001</v>
      </c>
      <c r="G44" s="7"/>
      <c r="H44" s="1"/>
      <c r="I44" s="1"/>
    </row>
    <row r="46" spans="1:9" x14ac:dyDescent="0.45">
      <c r="A46" s="21" t="s">
        <v>225</v>
      </c>
      <c r="C46" s="1" t="s">
        <v>222</v>
      </c>
      <c r="D46" s="1"/>
      <c r="E46" s="1"/>
      <c r="F46" s="1"/>
      <c r="G46" s="7"/>
      <c r="H46" s="1"/>
    </row>
    <row r="47" spans="1:9" x14ac:dyDescent="0.4">
      <c r="A47" s="175"/>
      <c r="B47" s="175"/>
      <c r="C47" s="175"/>
      <c r="D47" s="175"/>
      <c r="E47" s="215" t="str">
        <f>A49</f>
        <v>First</v>
      </c>
      <c r="F47" s="215" t="str">
        <f>A50</f>
        <v>Over</v>
      </c>
      <c r="G47" s="215" t="s">
        <v>12</v>
      </c>
    </row>
    <row r="48" spans="1:9" x14ac:dyDescent="0.4">
      <c r="A48" s="175"/>
      <c r="B48" s="174" t="s">
        <v>188</v>
      </c>
      <c r="C48" s="174" t="s">
        <v>189</v>
      </c>
      <c r="D48" s="174" t="s">
        <v>13</v>
      </c>
      <c r="E48" s="217">
        <f>B49</f>
        <v>5000</v>
      </c>
      <c r="F48" s="216">
        <f>B50</f>
        <v>10000</v>
      </c>
      <c r="G48" s="174"/>
    </row>
    <row r="49" spans="1:8" x14ac:dyDescent="0.4">
      <c r="A49" s="175" t="s">
        <v>185</v>
      </c>
      <c r="B49" s="73">
        <v>5000</v>
      </c>
      <c r="C49" s="182">
        <f>ExBA!C49</f>
        <v>8</v>
      </c>
      <c r="D49" s="182">
        <f>ExBA!D49</f>
        <v>830</v>
      </c>
      <c r="E49" s="176">
        <f>D49</f>
        <v>830</v>
      </c>
      <c r="F49" s="176"/>
      <c r="G49" s="176">
        <f>SUM(E49:F49)</f>
        <v>830</v>
      </c>
    </row>
    <row r="50" spans="1:8" x14ac:dyDescent="0.4">
      <c r="A50" s="175" t="s">
        <v>187</v>
      </c>
      <c r="B50" s="177">
        <v>10000</v>
      </c>
      <c r="C50" s="182">
        <f>ExBA!C50</f>
        <v>0</v>
      </c>
      <c r="D50" s="182">
        <f>ExBA!D50</f>
        <v>0</v>
      </c>
      <c r="E50" s="182">
        <f t="shared" ref="E50" si="6">C50*$B$15</f>
        <v>0</v>
      </c>
      <c r="F50" s="182">
        <f>D50-E50</f>
        <v>0</v>
      </c>
      <c r="G50" s="182">
        <f>SUM(E50:F50)</f>
        <v>0</v>
      </c>
    </row>
    <row r="51" spans="1:8" x14ac:dyDescent="0.45">
      <c r="A51" s="175"/>
      <c r="B51" s="1" t="s">
        <v>68</v>
      </c>
      <c r="C51" s="2">
        <f>SUM(C49:C50)</f>
        <v>8</v>
      </c>
      <c r="D51" s="2">
        <f>SUM(D49:D50)</f>
        <v>830</v>
      </c>
      <c r="E51" s="2">
        <f>SUM(E49:E50)</f>
        <v>830</v>
      </c>
      <c r="F51" s="2">
        <f>SUM(F49:F50)</f>
        <v>0</v>
      </c>
      <c r="G51" s="2">
        <f>SUM(G49:G50)</f>
        <v>830</v>
      </c>
    </row>
    <row r="52" spans="1:8" x14ac:dyDescent="0.45">
      <c r="A52" s="1"/>
      <c r="B52" s="1"/>
      <c r="C52" s="1"/>
      <c r="D52" s="1"/>
      <c r="E52" s="1"/>
      <c r="F52" s="1"/>
      <c r="G52" s="7"/>
      <c r="H52" s="1"/>
    </row>
    <row r="53" spans="1:8" x14ac:dyDescent="0.45">
      <c r="A53" s="21" t="s">
        <v>225</v>
      </c>
      <c r="C53" s="1" t="s">
        <v>190</v>
      </c>
      <c r="D53" s="1"/>
      <c r="E53" s="1"/>
      <c r="F53" s="1"/>
      <c r="G53" s="7"/>
      <c r="H53" s="1"/>
    </row>
    <row r="54" spans="1:8" x14ac:dyDescent="0.45">
      <c r="A54" s="1"/>
      <c r="B54" s="1"/>
      <c r="C54" s="1"/>
      <c r="D54" s="1"/>
      <c r="E54" s="1"/>
      <c r="F54" s="1"/>
      <c r="G54" s="7"/>
      <c r="H54" s="1"/>
    </row>
    <row r="55" spans="1:8" x14ac:dyDescent="0.45">
      <c r="A55" s="1"/>
      <c r="B55" s="214" t="s">
        <v>188</v>
      </c>
      <c r="C55" s="214" t="s">
        <v>189</v>
      </c>
      <c r="D55" s="214" t="s">
        <v>13</v>
      </c>
      <c r="E55" s="214" t="s">
        <v>191</v>
      </c>
      <c r="F55" s="214" t="s">
        <v>183</v>
      </c>
      <c r="G55" s="7"/>
      <c r="H55" s="1"/>
    </row>
    <row r="56" spans="1:8" x14ac:dyDescent="0.45">
      <c r="A56" s="175" t="s">
        <v>185</v>
      </c>
      <c r="B56" s="73">
        <v>5000</v>
      </c>
      <c r="C56" s="2">
        <f>C51</f>
        <v>8</v>
      </c>
      <c r="D56" s="2">
        <f>E51</f>
        <v>830</v>
      </c>
      <c r="E56" s="233">
        <f>'Rates DSC'!F22</f>
        <v>176.15</v>
      </c>
      <c r="F56" s="179">
        <f>E56*C56</f>
        <v>1409.2</v>
      </c>
      <c r="G56" s="7"/>
      <c r="H56" s="1"/>
    </row>
    <row r="57" spans="1:8" x14ac:dyDescent="0.45">
      <c r="A57" s="175" t="s">
        <v>187</v>
      </c>
      <c r="B57" s="177">
        <v>10000</v>
      </c>
      <c r="C57" s="178"/>
      <c r="D57" s="28">
        <f>F51</f>
        <v>0</v>
      </c>
      <c r="E57" s="234">
        <f>'Rates DSC'!F23</f>
        <v>7.92E-3</v>
      </c>
      <c r="F57" s="219">
        <f t="shared" ref="F57" si="7">(D57/1000)*E57</f>
        <v>0</v>
      </c>
      <c r="G57" s="7"/>
      <c r="H57" s="1"/>
    </row>
    <row r="58" spans="1:8" x14ac:dyDescent="0.45">
      <c r="A58" s="1"/>
      <c r="B58" s="1" t="s">
        <v>49</v>
      </c>
      <c r="C58" s="2">
        <f>SUM(C56:C57)</f>
        <v>8</v>
      </c>
      <c r="D58" s="2">
        <f>SUM(D56:D57)</f>
        <v>830</v>
      </c>
      <c r="E58" s="1"/>
      <c r="F58" s="179">
        <f>SUM(F56:F57)</f>
        <v>1409.2</v>
      </c>
      <c r="G58" s="7"/>
      <c r="H58" s="1"/>
    </row>
  </sheetData>
  <mergeCells count="9">
    <mergeCell ref="C9:D9"/>
    <mergeCell ref="C10:D10"/>
    <mergeCell ref="E1:G1"/>
    <mergeCell ref="C3:D3"/>
    <mergeCell ref="C4:D4"/>
    <mergeCell ref="C5:D5"/>
    <mergeCell ref="C6:D6"/>
    <mergeCell ref="C7:D7"/>
    <mergeCell ref="C8:D8"/>
  </mergeCells>
  <pageMargins left="0.7" right="0.7" top="0.75" bottom="0.75" header="0.3" footer="0.3"/>
  <pageSetup scale="6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7A01C-7852-4E95-BD91-257134D74ABD}">
  <sheetPr>
    <pageSetUpPr fitToPage="1"/>
  </sheetPr>
  <dimension ref="A1:K51"/>
  <sheetViews>
    <sheetView tabSelected="1" topLeftCell="A6" workbookViewId="0">
      <selection activeCell="K31" sqref="K31"/>
    </sheetView>
  </sheetViews>
  <sheetFormatPr defaultRowHeight="14.25" x14ac:dyDescent="0.45"/>
  <cols>
    <col min="1" max="1" width="5.609375" style="21" customWidth="1"/>
    <col min="2" max="2" width="16.94140625" style="1" customWidth="1"/>
    <col min="3" max="3" width="13.38671875" style="1" hidden="1" customWidth="1"/>
    <col min="4" max="9" width="12.609375" style="15" customWidth="1"/>
    <col min="10" max="10" width="8.88671875" style="22"/>
    <col min="11" max="11" width="9.0546875" style="1" bestFit="1" customWidth="1"/>
    <col min="12" max="16384" width="8.88671875" style="1"/>
  </cols>
  <sheetData>
    <row r="1" spans="1:11" x14ac:dyDescent="0.45">
      <c r="B1" s="1" t="s">
        <v>73</v>
      </c>
    </row>
    <row r="2" spans="1:11" x14ac:dyDescent="0.45">
      <c r="D2" s="146"/>
      <c r="E2" s="146"/>
      <c r="F2" s="146"/>
      <c r="G2" s="146"/>
      <c r="H2" s="146"/>
      <c r="I2" s="146" t="s">
        <v>12</v>
      </c>
      <c r="J2" s="22" t="s">
        <v>201</v>
      </c>
    </row>
    <row r="3" spans="1:11" x14ac:dyDescent="0.45">
      <c r="C3" s="1" t="s">
        <v>203</v>
      </c>
      <c r="D3" s="146" t="s">
        <v>74</v>
      </c>
      <c r="E3" s="146" t="s">
        <v>74</v>
      </c>
      <c r="F3" s="146" t="s">
        <v>75</v>
      </c>
      <c r="G3" s="146" t="s">
        <v>74</v>
      </c>
      <c r="H3" s="146" t="s">
        <v>74</v>
      </c>
      <c r="I3" s="146" t="s">
        <v>74</v>
      </c>
      <c r="J3" s="22" t="s">
        <v>166</v>
      </c>
    </row>
    <row r="4" spans="1:11" x14ac:dyDescent="0.45">
      <c r="B4" s="1" t="s">
        <v>76</v>
      </c>
      <c r="D4" s="146" t="s">
        <v>77</v>
      </c>
      <c r="E4" s="146" t="s">
        <v>78</v>
      </c>
      <c r="F4" s="146" t="s">
        <v>79</v>
      </c>
      <c r="G4" s="146" t="s">
        <v>80</v>
      </c>
      <c r="H4" s="146" t="s">
        <v>81</v>
      </c>
      <c r="I4" s="146" t="s">
        <v>82</v>
      </c>
      <c r="J4" s="22" t="s">
        <v>167</v>
      </c>
    </row>
    <row r="5" spans="1:11" x14ac:dyDescent="0.45">
      <c r="A5" s="21">
        <v>1</v>
      </c>
      <c r="B5" s="1" t="s">
        <v>227</v>
      </c>
      <c r="D5" s="15">
        <v>880</v>
      </c>
      <c r="E5" s="15">
        <v>37</v>
      </c>
      <c r="F5" s="222">
        <v>15.5</v>
      </c>
      <c r="G5" s="15">
        <f t="shared" ref="G5:G11" si="0">D5*F5</f>
        <v>13640</v>
      </c>
      <c r="H5" s="15">
        <f t="shared" ref="H5:H11" si="1">E5*F5*1.5</f>
        <v>860.25</v>
      </c>
      <c r="I5" s="15">
        <f>G5+H5</f>
        <v>14500.25</v>
      </c>
      <c r="J5" s="22" t="s">
        <v>275</v>
      </c>
    </row>
    <row r="6" spans="1:11" x14ac:dyDescent="0.45">
      <c r="A6" s="21">
        <v>2</v>
      </c>
      <c r="B6" s="1" t="s">
        <v>228</v>
      </c>
      <c r="D6" s="15">
        <v>1752</v>
      </c>
      <c r="E6" s="15">
        <v>0</v>
      </c>
      <c r="F6" s="222">
        <v>24.32</v>
      </c>
      <c r="G6" s="15">
        <f t="shared" si="0"/>
        <v>42608.639999999999</v>
      </c>
      <c r="H6" s="15">
        <f t="shared" si="1"/>
        <v>0</v>
      </c>
      <c r="I6" s="15">
        <f>G6+H6</f>
        <v>42608.639999999999</v>
      </c>
      <c r="J6" s="22" t="s">
        <v>275</v>
      </c>
    </row>
    <row r="7" spans="1:11" x14ac:dyDescent="0.45">
      <c r="A7" s="21">
        <v>3</v>
      </c>
      <c r="B7" s="1" t="s">
        <v>229</v>
      </c>
      <c r="D7" s="15">
        <v>292</v>
      </c>
      <c r="E7" s="15">
        <v>0</v>
      </c>
      <c r="F7" s="222">
        <v>15.64</v>
      </c>
      <c r="G7" s="15">
        <f t="shared" si="0"/>
        <v>4566.88</v>
      </c>
      <c r="H7" s="15">
        <f t="shared" si="1"/>
        <v>0</v>
      </c>
      <c r="I7" s="15">
        <f>G7+H7</f>
        <v>4566.88</v>
      </c>
      <c r="J7" s="22" t="s">
        <v>275</v>
      </c>
    </row>
    <row r="8" spans="1:11" x14ac:dyDescent="0.45">
      <c r="A8" s="21">
        <v>4</v>
      </c>
      <c r="B8" s="1" t="s">
        <v>230</v>
      </c>
      <c r="D8" s="15">
        <v>712</v>
      </c>
      <c r="E8" s="15">
        <v>0</v>
      </c>
      <c r="F8" s="222">
        <v>17.850000000000001</v>
      </c>
      <c r="G8" s="15">
        <f t="shared" si="0"/>
        <v>12709.2</v>
      </c>
      <c r="H8" s="15">
        <f t="shared" si="1"/>
        <v>0</v>
      </c>
      <c r="I8" s="15">
        <f t="shared" ref="I8:I11" si="2">G8+H8</f>
        <v>12709.2</v>
      </c>
      <c r="J8" s="22" t="s">
        <v>275</v>
      </c>
    </row>
    <row r="9" spans="1:11" x14ac:dyDescent="0.45">
      <c r="A9" s="21">
        <v>5</v>
      </c>
      <c r="B9" s="1" t="s">
        <v>231</v>
      </c>
      <c r="D9" s="15">
        <v>1520</v>
      </c>
      <c r="E9" s="15">
        <v>75</v>
      </c>
      <c r="F9" s="222">
        <v>15.5</v>
      </c>
      <c r="G9" s="15">
        <f t="shared" si="0"/>
        <v>23560</v>
      </c>
      <c r="H9" s="15">
        <f t="shared" si="1"/>
        <v>1743.75</v>
      </c>
      <c r="I9" s="15">
        <f t="shared" si="2"/>
        <v>25303.75</v>
      </c>
      <c r="J9" s="22" t="s">
        <v>275</v>
      </c>
    </row>
    <row r="10" spans="1:11" x14ac:dyDescent="0.45">
      <c r="A10" s="21">
        <v>6</v>
      </c>
      <c r="B10" s="1" t="s">
        <v>232</v>
      </c>
      <c r="D10" s="15">
        <v>2080</v>
      </c>
      <c r="E10" s="15">
        <v>388</v>
      </c>
      <c r="F10" s="222">
        <v>27.7</v>
      </c>
      <c r="G10" s="15">
        <f t="shared" si="0"/>
        <v>57616</v>
      </c>
      <c r="H10" s="15">
        <f t="shared" si="1"/>
        <v>16121.400000000001</v>
      </c>
      <c r="I10" s="15">
        <f t="shared" si="2"/>
        <v>73737.399999999994</v>
      </c>
      <c r="J10" s="22" t="s">
        <v>275</v>
      </c>
    </row>
    <row r="11" spans="1:11" x14ac:dyDescent="0.45">
      <c r="A11" s="21">
        <v>7</v>
      </c>
      <c r="B11" s="1" t="s">
        <v>274</v>
      </c>
      <c r="D11" s="15">
        <v>361</v>
      </c>
      <c r="E11" s="15">
        <v>0</v>
      </c>
      <c r="F11" s="222">
        <v>55</v>
      </c>
      <c r="G11" s="15">
        <f t="shared" si="0"/>
        <v>19855</v>
      </c>
      <c r="H11" s="15">
        <f t="shared" si="1"/>
        <v>0</v>
      </c>
      <c r="I11" s="15">
        <f t="shared" si="2"/>
        <v>19855</v>
      </c>
      <c r="J11" s="22" t="s">
        <v>275</v>
      </c>
    </row>
    <row r="12" spans="1:11" x14ac:dyDescent="0.45">
      <c r="A12" s="21">
        <v>8</v>
      </c>
      <c r="B12" s="1" t="s">
        <v>277</v>
      </c>
      <c r="D12" s="15">
        <v>1544</v>
      </c>
      <c r="E12" s="15">
        <v>2.5</v>
      </c>
      <c r="F12" s="222">
        <v>28.71</v>
      </c>
      <c r="G12" s="15">
        <f t="shared" ref="G12:G13" si="3">D12*F12</f>
        <v>44328.24</v>
      </c>
      <c r="H12" s="15">
        <f t="shared" ref="H12:H13" si="4">E12*F12*1.5</f>
        <v>107.66250000000001</v>
      </c>
      <c r="I12" s="15">
        <f t="shared" ref="I12:I13" si="5">G12+H12</f>
        <v>44435.902499999997</v>
      </c>
      <c r="J12" s="22" t="s">
        <v>275</v>
      </c>
    </row>
    <row r="13" spans="1:11" x14ac:dyDescent="0.45">
      <c r="A13" s="21">
        <v>9</v>
      </c>
      <c r="B13" s="1" t="s">
        <v>278</v>
      </c>
      <c r="D13" s="15">
        <v>1129.8</v>
      </c>
      <c r="E13" s="15">
        <v>8.3000000000000007</v>
      </c>
      <c r="F13" s="222">
        <v>17.04</v>
      </c>
      <c r="G13" s="15">
        <f t="shared" si="3"/>
        <v>19251.791999999998</v>
      </c>
      <c r="H13" s="15">
        <f t="shared" si="4"/>
        <v>212.14800000000002</v>
      </c>
      <c r="I13" s="15">
        <f t="shared" si="5"/>
        <v>19463.939999999999</v>
      </c>
    </row>
    <row r="14" spans="1:11" x14ac:dyDescent="0.45">
      <c r="A14" s="1"/>
      <c r="D14" s="15">
        <f>SUM(D5:D13)</f>
        <v>10270.799999999999</v>
      </c>
      <c r="E14" s="15">
        <f>SUM(E5:E13)</f>
        <v>510.8</v>
      </c>
      <c r="G14" s="15">
        <f>SUM(G5:G13)</f>
        <v>238135.75199999998</v>
      </c>
      <c r="H14" s="15">
        <f>SUM(H5:H13)</f>
        <v>19045.210500000001</v>
      </c>
      <c r="I14" s="15">
        <f>SUM(I5:I13)</f>
        <v>257180.96249999999</v>
      </c>
      <c r="J14" s="22" t="s">
        <v>275</v>
      </c>
    </row>
    <row r="16" spans="1:11" x14ac:dyDescent="0.45">
      <c r="B16" s="1" t="s">
        <v>155</v>
      </c>
      <c r="I16" s="15">
        <f>I14</f>
        <v>257180.96249999999</v>
      </c>
      <c r="K16" s="213"/>
    </row>
    <row r="17" spans="2:11" x14ac:dyDescent="0.45">
      <c r="B17" s="1" t="s">
        <v>276</v>
      </c>
    </row>
    <row r="18" spans="2:11" x14ac:dyDescent="0.45">
      <c r="B18" s="1" t="s">
        <v>156</v>
      </c>
      <c r="I18" s="15">
        <v>0</v>
      </c>
    </row>
    <row r="20" spans="2:11" x14ac:dyDescent="0.45">
      <c r="I20" s="146" t="s">
        <v>31</v>
      </c>
    </row>
    <row r="21" spans="2:11" x14ac:dyDescent="0.45">
      <c r="F21" s="15" t="s">
        <v>83</v>
      </c>
      <c r="I21" s="15">
        <f>I16</f>
        <v>257180.96249999999</v>
      </c>
    </row>
    <row r="22" spans="2:11" x14ac:dyDescent="0.45">
      <c r="F22" s="15" t="s">
        <v>84</v>
      </c>
      <c r="I22" s="37">
        <f>-SAO!D18</f>
        <v>-246205</v>
      </c>
    </row>
    <row r="23" spans="2:11" x14ac:dyDescent="0.45">
      <c r="F23" s="223" t="s">
        <v>85</v>
      </c>
      <c r="I23" s="223">
        <f>I21+I22</f>
        <v>10975.962499999994</v>
      </c>
    </row>
    <row r="24" spans="2:11" x14ac:dyDescent="0.45">
      <c r="I24" s="15" t="s">
        <v>86</v>
      </c>
    </row>
    <row r="25" spans="2:11" x14ac:dyDescent="0.45">
      <c r="F25" s="15" t="s">
        <v>87</v>
      </c>
      <c r="I25" s="15">
        <f>I16</f>
        <v>257180.96249999999</v>
      </c>
    </row>
    <row r="26" spans="2:11" x14ac:dyDescent="0.45">
      <c r="F26" s="15" t="s">
        <v>293</v>
      </c>
      <c r="I26" s="37">
        <f>SAO!D20</f>
        <v>20800</v>
      </c>
    </row>
    <row r="27" spans="2:11" x14ac:dyDescent="0.45">
      <c r="F27" s="15" t="s">
        <v>294</v>
      </c>
      <c r="I27" s="15">
        <f>I25+I26</f>
        <v>277980.96250000002</v>
      </c>
    </row>
    <row r="28" spans="2:11" x14ac:dyDescent="0.45">
      <c r="F28" s="15" t="s">
        <v>88</v>
      </c>
      <c r="I28" s="147">
        <v>7.6499999999999999E-2</v>
      </c>
    </row>
    <row r="29" spans="2:11" x14ac:dyDescent="0.45">
      <c r="F29" s="15" t="s">
        <v>89</v>
      </c>
      <c r="I29" s="15">
        <f>I27*I28</f>
        <v>21265.543631250002</v>
      </c>
    </row>
    <row r="30" spans="2:11" x14ac:dyDescent="0.45">
      <c r="F30" s="15" t="s">
        <v>90</v>
      </c>
      <c r="I30" s="190">
        <v>-21009.57</v>
      </c>
      <c r="K30" s="1" t="s">
        <v>292</v>
      </c>
    </row>
    <row r="31" spans="2:11" x14ac:dyDescent="0.45">
      <c r="F31" s="223" t="s">
        <v>91</v>
      </c>
      <c r="I31" s="223">
        <f>I29+I30</f>
        <v>255.97363125000265</v>
      </c>
    </row>
    <row r="33" spans="2:9" x14ac:dyDescent="0.45">
      <c r="F33" s="15" t="s">
        <v>92</v>
      </c>
      <c r="I33" s="15">
        <f>I18</f>
        <v>0</v>
      </c>
    </row>
    <row r="34" spans="2:9" x14ac:dyDescent="0.45">
      <c r="F34" s="15" t="s">
        <v>93</v>
      </c>
      <c r="I34" s="147">
        <v>0.26950000000000002</v>
      </c>
    </row>
    <row r="35" spans="2:9" x14ac:dyDescent="0.45">
      <c r="F35" s="15" t="s">
        <v>94</v>
      </c>
      <c r="I35" s="15">
        <f>I33*I34</f>
        <v>0</v>
      </c>
    </row>
    <row r="36" spans="2:9" x14ac:dyDescent="0.45">
      <c r="F36" s="15" t="s">
        <v>95</v>
      </c>
      <c r="I36" s="37"/>
    </row>
    <row r="37" spans="2:9" x14ac:dyDescent="0.45">
      <c r="F37" s="223" t="s">
        <v>96</v>
      </c>
      <c r="I37" s="223">
        <f>I35+I36</f>
        <v>0</v>
      </c>
    </row>
    <row r="39" spans="2:9" x14ac:dyDescent="0.45">
      <c r="D39" s="17"/>
      <c r="E39" s="17"/>
      <c r="F39" s="17"/>
      <c r="G39" s="17"/>
      <c r="H39" s="17"/>
      <c r="I39" s="17"/>
    </row>
    <row r="40" spans="2:9" x14ac:dyDescent="0.45">
      <c r="D40" s="17"/>
      <c r="E40" s="17"/>
      <c r="F40" s="17"/>
      <c r="G40" s="17"/>
      <c r="H40" s="17"/>
      <c r="I40" s="17"/>
    </row>
    <row r="41" spans="2:9" x14ac:dyDescent="0.45">
      <c r="D41" s="17"/>
      <c r="E41" s="17"/>
      <c r="F41" s="17"/>
      <c r="G41" s="17"/>
      <c r="H41" s="17"/>
      <c r="I41" s="17"/>
    </row>
    <row r="42" spans="2:9" x14ac:dyDescent="0.45">
      <c r="D42" s="17"/>
      <c r="E42" s="17"/>
      <c r="F42" s="17"/>
      <c r="G42" s="17"/>
      <c r="H42" s="17"/>
      <c r="I42" s="17"/>
    </row>
    <row r="43" spans="2:9" x14ac:dyDescent="0.45">
      <c r="D43" s="17"/>
      <c r="E43" s="17"/>
      <c r="F43" s="17"/>
      <c r="G43" s="17"/>
      <c r="H43" s="17"/>
      <c r="I43" s="17"/>
    </row>
    <row r="44" spans="2:9" x14ac:dyDescent="0.45">
      <c r="D44" s="17"/>
      <c r="E44" s="17"/>
      <c r="F44" s="17"/>
      <c r="G44" s="17"/>
      <c r="H44" s="17"/>
      <c r="I44" s="17"/>
    </row>
    <row r="45" spans="2:9" x14ac:dyDescent="0.45">
      <c r="B45" s="221"/>
      <c r="D45" s="17"/>
      <c r="E45" s="17"/>
      <c r="F45" s="17"/>
      <c r="G45" s="17"/>
      <c r="H45" s="17"/>
      <c r="I45" s="230"/>
    </row>
    <row r="46" spans="2:9" x14ac:dyDescent="0.45">
      <c r="D46" s="17"/>
      <c r="E46" s="17"/>
      <c r="F46" s="17"/>
      <c r="G46" s="17"/>
      <c r="H46" s="17"/>
      <c r="I46" s="17"/>
    </row>
    <row r="47" spans="2:9" x14ac:dyDescent="0.45">
      <c r="D47" s="17"/>
      <c r="E47" s="17"/>
      <c r="F47" s="17"/>
      <c r="G47" s="17"/>
      <c r="H47" s="17"/>
      <c r="I47" s="17"/>
    </row>
    <row r="48" spans="2:9" x14ac:dyDescent="0.45">
      <c r="D48" s="17"/>
      <c r="E48" s="17"/>
      <c r="F48" s="17"/>
      <c r="G48" s="17"/>
      <c r="H48" s="17"/>
      <c r="I48" s="17"/>
    </row>
    <row r="49" spans="2:9" x14ac:dyDescent="0.45">
      <c r="D49" s="17"/>
      <c r="E49" s="17"/>
      <c r="F49" s="17"/>
      <c r="G49" s="17"/>
      <c r="H49" s="17"/>
      <c r="I49" s="17"/>
    </row>
    <row r="50" spans="2:9" x14ac:dyDescent="0.45">
      <c r="B50" s="221"/>
      <c r="D50" s="17"/>
      <c r="E50" s="17"/>
      <c r="F50" s="17"/>
      <c r="G50" s="17"/>
      <c r="H50" s="17"/>
      <c r="I50" s="230"/>
    </row>
    <row r="51" spans="2:9" x14ac:dyDescent="0.45">
      <c r="D51" s="17"/>
      <c r="E51" s="17"/>
      <c r="F51" s="17"/>
      <c r="G51" s="17"/>
      <c r="H51" s="17"/>
      <c r="I51" s="17"/>
    </row>
  </sheetData>
  <pageMargins left="0.7" right="0.7" top="0.75" bottom="0.75" header="0.3" footer="0.3"/>
  <pageSetup scale="82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590D3-A7C3-4727-A9D4-F5C014E94ADB}">
  <sheetPr>
    <pageSetUpPr fitToPage="1"/>
  </sheetPr>
  <dimension ref="A1:R56"/>
  <sheetViews>
    <sheetView showGridLines="0" workbookViewId="0">
      <selection sqref="A1:M48"/>
    </sheetView>
  </sheetViews>
  <sheetFormatPr defaultRowHeight="15.4" x14ac:dyDescent="0.45"/>
  <cols>
    <col min="1" max="1" width="2" customWidth="1"/>
    <col min="2" max="2" width="1.88671875" customWidth="1"/>
    <col min="3" max="3" width="1.77734375" customWidth="1"/>
    <col min="4" max="4" width="27.44140625" style="1" customWidth="1"/>
    <col min="5" max="5" width="8.33203125" style="1" customWidth="1"/>
    <col min="6" max="6" width="10.6640625" style="160" customWidth="1"/>
    <col min="7" max="7" width="6.109375" style="1" customWidth="1"/>
    <col min="8" max="8" width="9.33203125" style="156" customWidth="1"/>
    <col min="9" max="9" width="6.109375" customWidth="1"/>
    <col min="10" max="10" width="9.33203125" style="156" customWidth="1"/>
    <col min="11" max="11" width="10.6640625" customWidth="1"/>
    <col min="12" max="12" width="1.88671875" customWidth="1"/>
    <col min="13" max="13" width="2.44140625" customWidth="1"/>
    <col min="15" max="18" width="8.88671875" style="1"/>
  </cols>
  <sheetData>
    <row r="1" spans="1:13" x14ac:dyDescent="0.45">
      <c r="A1" s="1"/>
      <c r="B1" s="1"/>
      <c r="C1" s="3"/>
      <c r="D1" s="3"/>
      <c r="E1" s="3"/>
      <c r="G1" s="130"/>
      <c r="H1" s="19"/>
      <c r="I1" s="130"/>
      <c r="J1" s="19"/>
      <c r="K1" s="3"/>
      <c r="L1" s="3"/>
      <c r="M1" s="3"/>
    </row>
    <row r="2" spans="1:13" x14ac:dyDescent="0.45">
      <c r="A2" s="1"/>
      <c r="B2" s="120"/>
      <c r="C2" s="122"/>
      <c r="D2" s="122"/>
      <c r="E2" s="122"/>
      <c r="F2" s="161"/>
      <c r="G2" s="131"/>
      <c r="H2" s="153"/>
      <c r="I2" s="131"/>
      <c r="J2" s="153"/>
      <c r="K2" s="122"/>
      <c r="L2" s="138"/>
      <c r="M2" s="141"/>
    </row>
    <row r="3" spans="1:13" ht="18" x14ac:dyDescent="0.55000000000000004">
      <c r="A3" s="1"/>
      <c r="B3" s="47"/>
      <c r="C3" s="266" t="s">
        <v>28</v>
      </c>
      <c r="D3" s="266"/>
      <c r="E3" s="266"/>
      <c r="F3" s="266"/>
      <c r="G3" s="266"/>
      <c r="H3" s="266"/>
      <c r="I3" s="266"/>
      <c r="J3" s="266"/>
      <c r="K3" s="266"/>
      <c r="L3" s="139"/>
      <c r="M3" s="141"/>
    </row>
    <row r="4" spans="1:13" ht="18" x14ac:dyDescent="0.55000000000000004">
      <c r="A4" s="1"/>
      <c r="B4" s="47"/>
      <c r="C4" s="267" t="s">
        <v>41</v>
      </c>
      <c r="D4" s="267"/>
      <c r="E4" s="267"/>
      <c r="F4" s="267"/>
      <c r="G4" s="267"/>
      <c r="H4" s="267"/>
      <c r="I4" s="267"/>
      <c r="J4" s="267"/>
      <c r="K4" s="267"/>
      <c r="L4" s="139"/>
      <c r="M4" s="141"/>
    </row>
    <row r="5" spans="1:13" ht="15.75" x14ac:dyDescent="0.45">
      <c r="A5" s="1"/>
      <c r="B5" s="47"/>
      <c r="C5" s="268" t="str">
        <f>SAO!A2</f>
        <v>McKinney Water District</v>
      </c>
      <c r="D5" s="268"/>
      <c r="E5" s="268"/>
      <c r="F5" s="268"/>
      <c r="G5" s="268"/>
      <c r="H5" s="268"/>
      <c r="I5" s="268"/>
      <c r="J5" s="268"/>
      <c r="K5" s="268"/>
      <c r="L5" s="139"/>
      <c r="M5" s="141"/>
    </row>
    <row r="6" spans="1:13" x14ac:dyDescent="0.45">
      <c r="A6" s="1"/>
      <c r="B6" s="47"/>
      <c r="C6" s="3"/>
      <c r="D6" s="3"/>
      <c r="E6" s="3"/>
      <c r="G6" s="132"/>
      <c r="H6" s="19"/>
      <c r="I6" s="132"/>
      <c r="J6" s="19"/>
      <c r="K6" s="124" t="s">
        <v>42</v>
      </c>
      <c r="L6" s="139"/>
      <c r="M6" s="141"/>
    </row>
    <row r="7" spans="1:13" x14ac:dyDescent="0.45">
      <c r="A7" s="1"/>
      <c r="B7" s="47"/>
      <c r="C7" s="123"/>
      <c r="D7" s="123"/>
      <c r="E7" s="123" t="s">
        <v>43</v>
      </c>
      <c r="F7" s="162" t="s">
        <v>44</v>
      </c>
      <c r="G7" s="269" t="s">
        <v>135</v>
      </c>
      <c r="H7" s="269"/>
      <c r="I7" s="269" t="s">
        <v>33</v>
      </c>
      <c r="J7" s="269"/>
      <c r="K7" s="124" t="s">
        <v>45</v>
      </c>
      <c r="L7" s="139"/>
      <c r="M7" s="141"/>
    </row>
    <row r="8" spans="1:13" ht="17.649999999999999" x14ac:dyDescent="0.75">
      <c r="A8" s="1"/>
      <c r="B8" s="47"/>
      <c r="C8" s="124"/>
      <c r="D8" s="128" t="s">
        <v>115</v>
      </c>
      <c r="E8" s="124" t="s">
        <v>46</v>
      </c>
      <c r="F8" s="163" t="s">
        <v>134</v>
      </c>
      <c r="G8" s="24" t="s">
        <v>47</v>
      </c>
      <c r="H8" s="124" t="s">
        <v>48</v>
      </c>
      <c r="I8" s="24" t="s">
        <v>47</v>
      </c>
      <c r="J8" s="124" t="s">
        <v>48</v>
      </c>
      <c r="K8" s="124" t="s">
        <v>38</v>
      </c>
      <c r="L8" s="139"/>
      <c r="M8" s="141"/>
    </row>
    <row r="9" spans="1:13" x14ac:dyDescent="0.45">
      <c r="A9" s="1"/>
      <c r="B9" s="47"/>
      <c r="C9" s="125" t="s">
        <v>110</v>
      </c>
      <c r="D9" s="3"/>
      <c r="E9" s="129"/>
      <c r="G9" s="132"/>
      <c r="H9" s="155"/>
      <c r="I9" s="132"/>
      <c r="J9" s="155"/>
      <c r="K9" s="2"/>
      <c r="L9" s="139"/>
      <c r="M9" s="141"/>
    </row>
    <row r="10" spans="1:13" x14ac:dyDescent="0.45">
      <c r="A10" s="1"/>
      <c r="B10" s="47"/>
      <c r="C10" s="125"/>
      <c r="D10" s="3" t="s">
        <v>116</v>
      </c>
      <c r="E10" s="129" t="s">
        <v>243</v>
      </c>
      <c r="F10" s="165">
        <f>47178.43-19000+4567.82</f>
        <v>32746.25</v>
      </c>
      <c r="G10" s="66">
        <v>35</v>
      </c>
      <c r="H10" s="148">
        <v>560.29999999999995</v>
      </c>
      <c r="I10" s="132">
        <v>37.5</v>
      </c>
      <c r="J10" s="148">
        <f>F10/I10</f>
        <v>873.23333333333335</v>
      </c>
      <c r="K10" s="23">
        <f>J10-H10</f>
        <v>312.93333333333339</v>
      </c>
      <c r="L10" s="139"/>
      <c r="M10" s="141"/>
    </row>
    <row r="11" spans="1:13" x14ac:dyDescent="0.45">
      <c r="A11" s="1"/>
      <c r="B11" s="47"/>
      <c r="C11" s="125"/>
      <c r="D11" s="3" t="s">
        <v>117</v>
      </c>
      <c r="E11" s="129" t="s">
        <v>243</v>
      </c>
      <c r="F11" s="165">
        <f>61435.66-5586-2440-283.44-365.69-950-702.8-568-17367.5-749-1101-1219.15-2550.73-2550.73-895</f>
        <v>24106.619999999995</v>
      </c>
      <c r="G11" s="66">
        <v>10</v>
      </c>
      <c r="H11" s="148">
        <v>2260.4499999999998</v>
      </c>
      <c r="I11" s="132">
        <v>10</v>
      </c>
      <c r="J11" s="148">
        <f>F11/I11</f>
        <v>2410.6619999999994</v>
      </c>
      <c r="K11" s="23">
        <f>J11-H11</f>
        <v>150.21199999999953</v>
      </c>
      <c r="L11" s="139"/>
      <c r="M11" s="141"/>
    </row>
    <row r="12" spans="1:13" x14ac:dyDescent="0.45">
      <c r="A12" s="1"/>
      <c r="B12" s="47"/>
      <c r="C12" s="3"/>
      <c r="D12" s="3" t="s">
        <v>118</v>
      </c>
      <c r="E12" s="129"/>
      <c r="F12" s="165"/>
      <c r="G12" s="66"/>
      <c r="H12" s="148"/>
      <c r="I12" s="132">
        <v>22.5</v>
      </c>
      <c r="J12" s="148">
        <f>F12/I12</f>
        <v>0</v>
      </c>
      <c r="K12" s="23">
        <f>J12-H12</f>
        <v>0</v>
      </c>
      <c r="L12" s="139"/>
      <c r="M12" s="141"/>
    </row>
    <row r="13" spans="1:13" x14ac:dyDescent="0.45">
      <c r="A13" s="1"/>
      <c r="B13" s="47"/>
      <c r="C13" s="3"/>
      <c r="D13" s="3" t="s">
        <v>119</v>
      </c>
      <c r="E13" s="129"/>
      <c r="F13" s="165"/>
      <c r="G13" s="66"/>
      <c r="H13" s="148"/>
      <c r="I13" s="132">
        <v>12.5</v>
      </c>
      <c r="J13" s="148">
        <f t="shared" ref="J13:J15" si="0">F13/I13</f>
        <v>0</v>
      </c>
      <c r="K13" s="23">
        <f t="shared" ref="K13:K15" si="1">J13-H13</f>
        <v>0</v>
      </c>
      <c r="L13" s="139"/>
      <c r="M13" s="141"/>
    </row>
    <row r="14" spans="1:13" x14ac:dyDescent="0.45">
      <c r="A14" s="1"/>
      <c r="B14" s="47"/>
      <c r="C14" s="3"/>
      <c r="D14" s="3" t="s">
        <v>120</v>
      </c>
      <c r="E14" s="1" t="s">
        <v>243</v>
      </c>
      <c r="F14" s="239">
        <f>117676.45-4833-6585-1430-1794.85</f>
        <v>103033.59999999999</v>
      </c>
      <c r="G14" s="66" t="s">
        <v>246</v>
      </c>
      <c r="H14" s="148">
        <v>8289.9599999999991</v>
      </c>
      <c r="I14" s="132">
        <v>17.5</v>
      </c>
      <c r="J14" s="148">
        <f t="shared" si="0"/>
        <v>5887.6342857142854</v>
      </c>
      <c r="K14" s="23">
        <f t="shared" si="1"/>
        <v>-2402.3257142857137</v>
      </c>
      <c r="L14" s="139"/>
      <c r="M14" s="141"/>
    </row>
    <row r="15" spans="1:13" x14ac:dyDescent="0.45">
      <c r="A15" s="1"/>
      <c r="B15" s="47"/>
      <c r="C15" s="3"/>
      <c r="D15" s="3" t="s">
        <v>121</v>
      </c>
      <c r="E15" s="129"/>
      <c r="F15" s="165"/>
      <c r="G15" s="66"/>
      <c r="H15" s="148"/>
      <c r="I15" s="132">
        <v>15</v>
      </c>
      <c r="J15" s="148">
        <f t="shared" si="0"/>
        <v>0</v>
      </c>
      <c r="K15" s="23">
        <f t="shared" si="1"/>
        <v>0</v>
      </c>
      <c r="L15" s="139"/>
      <c r="M15" s="141"/>
    </row>
    <row r="16" spans="1:13" x14ac:dyDescent="0.45">
      <c r="A16" s="1"/>
      <c r="B16" s="47"/>
      <c r="C16" s="3"/>
      <c r="D16" s="3"/>
      <c r="E16" s="129"/>
      <c r="F16" s="165"/>
      <c r="G16" s="66"/>
      <c r="H16" s="148"/>
      <c r="I16" s="132"/>
      <c r="J16" s="148">
        <v>0</v>
      </c>
      <c r="K16" s="23"/>
      <c r="L16" s="139"/>
      <c r="M16" s="141"/>
    </row>
    <row r="17" spans="1:13" x14ac:dyDescent="0.45">
      <c r="A17" s="1"/>
      <c r="B17" s="47"/>
      <c r="C17" s="125" t="s">
        <v>163</v>
      </c>
      <c r="D17" s="3"/>
      <c r="E17" s="129"/>
      <c r="F17" s="165"/>
      <c r="G17" s="66"/>
      <c r="H17" s="148"/>
      <c r="I17" s="132"/>
      <c r="J17" s="148"/>
      <c r="K17" s="23"/>
      <c r="L17" s="139"/>
      <c r="M17" s="141"/>
    </row>
    <row r="18" spans="1:13" x14ac:dyDescent="0.45">
      <c r="A18" s="1"/>
      <c r="B18" s="47"/>
      <c r="C18" s="3"/>
      <c r="D18" s="3" t="s">
        <v>164</v>
      </c>
      <c r="E18" s="129"/>
      <c r="F18" s="165"/>
      <c r="G18" s="66"/>
      <c r="H18" s="148"/>
      <c r="I18" s="132">
        <v>62.5</v>
      </c>
      <c r="J18" s="148">
        <f t="shared" ref="J18:J19" si="2">F18/I18</f>
        <v>0</v>
      </c>
      <c r="K18" s="23">
        <f t="shared" ref="K18:K19" si="3">J18-H18</f>
        <v>0</v>
      </c>
      <c r="L18" s="139"/>
      <c r="M18" s="141"/>
    </row>
    <row r="19" spans="1:13" x14ac:dyDescent="0.45">
      <c r="A19" s="1"/>
      <c r="B19" s="47"/>
      <c r="C19" s="3"/>
      <c r="D19" s="3" t="s">
        <v>165</v>
      </c>
      <c r="E19" s="129"/>
      <c r="F19" s="165"/>
      <c r="G19" s="66"/>
      <c r="H19" s="148"/>
      <c r="I19" s="132">
        <v>62.5</v>
      </c>
      <c r="J19" s="148">
        <f t="shared" si="2"/>
        <v>0</v>
      </c>
      <c r="K19" s="23">
        <f t="shared" si="3"/>
        <v>0</v>
      </c>
      <c r="L19" s="139"/>
      <c r="M19" s="141"/>
    </row>
    <row r="20" spans="1:13" x14ac:dyDescent="0.45">
      <c r="A20" s="1"/>
      <c r="B20" s="47"/>
      <c r="C20" s="124"/>
      <c r="D20" s="124"/>
      <c r="E20" s="124"/>
      <c r="F20" s="164"/>
      <c r="G20" s="24"/>
      <c r="H20" s="154"/>
      <c r="I20" s="24"/>
      <c r="J20" s="154"/>
      <c r="K20" s="124"/>
      <c r="L20" s="139"/>
      <c r="M20" s="141"/>
    </row>
    <row r="21" spans="1:13" x14ac:dyDescent="0.45">
      <c r="A21" s="1"/>
      <c r="B21" s="47"/>
      <c r="C21" s="125" t="s">
        <v>111</v>
      </c>
      <c r="D21" s="3"/>
      <c r="E21" s="129"/>
      <c r="G21" s="133"/>
      <c r="H21" s="155"/>
      <c r="I21" s="133"/>
      <c r="J21" s="155"/>
      <c r="K21" s="2"/>
      <c r="L21" s="139"/>
      <c r="M21" s="141"/>
    </row>
    <row r="22" spans="1:13" x14ac:dyDescent="0.45">
      <c r="A22" s="1"/>
      <c r="B22" s="47"/>
      <c r="C22" s="125"/>
      <c r="D22" s="3" t="s">
        <v>116</v>
      </c>
      <c r="E22" s="129"/>
      <c r="F22" s="165"/>
      <c r="G22" s="66"/>
      <c r="H22" s="148"/>
      <c r="I22" s="132">
        <v>37.5</v>
      </c>
      <c r="J22" s="148">
        <f>F22/I22</f>
        <v>0</v>
      </c>
      <c r="K22" s="23">
        <f>J22-H22</f>
        <v>0</v>
      </c>
      <c r="L22" s="139"/>
      <c r="M22" s="141"/>
    </row>
    <row r="23" spans="1:13" x14ac:dyDescent="0.45">
      <c r="A23" s="1"/>
      <c r="B23" s="47"/>
      <c r="C23" s="3"/>
      <c r="D23" s="3" t="s">
        <v>122</v>
      </c>
      <c r="E23" s="129"/>
      <c r="G23" s="133"/>
      <c r="H23" s="148"/>
      <c r="I23" s="132">
        <v>10</v>
      </c>
      <c r="J23" s="155">
        <f>F23/I23</f>
        <v>0</v>
      </c>
      <c r="K23" s="23">
        <f>J23-H23</f>
        <v>0</v>
      </c>
      <c r="L23" s="139"/>
      <c r="M23" s="141"/>
    </row>
    <row r="24" spans="1:13" x14ac:dyDescent="0.45">
      <c r="A24" s="1"/>
      <c r="B24" s="47"/>
      <c r="C24" s="3"/>
      <c r="D24" s="3" t="s">
        <v>123</v>
      </c>
      <c r="E24" s="129" t="s">
        <v>243</v>
      </c>
      <c r="F24" s="160">
        <f>261615.5-12449</f>
        <v>249166.5</v>
      </c>
      <c r="G24" s="66">
        <v>20</v>
      </c>
      <c r="H24" s="148">
        <v>12349.85</v>
      </c>
      <c r="I24" s="132">
        <v>20</v>
      </c>
      <c r="J24" s="155">
        <f>F24/I24</f>
        <v>12458.325000000001</v>
      </c>
      <c r="K24" s="23">
        <f>J24-H24</f>
        <v>108.47500000000036</v>
      </c>
      <c r="L24" s="139"/>
      <c r="M24" s="141"/>
    </row>
    <row r="25" spans="1:13" x14ac:dyDescent="0.45">
      <c r="A25" s="1"/>
      <c r="B25" s="47"/>
      <c r="C25" s="124"/>
      <c r="D25" s="124"/>
      <c r="E25" s="124"/>
      <c r="G25" s="133"/>
      <c r="H25" s="155"/>
      <c r="I25" s="133"/>
      <c r="J25" s="155"/>
      <c r="K25" s="2"/>
      <c r="L25" s="139"/>
      <c r="M25" s="141"/>
    </row>
    <row r="26" spans="1:13" x14ac:dyDescent="0.45">
      <c r="A26" s="1"/>
      <c r="B26" s="47"/>
      <c r="C26" s="125" t="s">
        <v>112</v>
      </c>
      <c r="D26" s="3"/>
      <c r="E26" s="129"/>
      <c r="G26" s="132"/>
      <c r="H26" s="155"/>
      <c r="I26" s="132"/>
      <c r="J26" s="155"/>
      <c r="K26" s="2"/>
      <c r="L26" s="139"/>
      <c r="M26" s="141"/>
    </row>
    <row r="27" spans="1:13" x14ac:dyDescent="0.45">
      <c r="A27" s="1"/>
      <c r="B27" s="47"/>
      <c r="C27" s="125"/>
      <c r="D27" s="3" t="s">
        <v>124</v>
      </c>
      <c r="E27" s="129" t="s">
        <v>243</v>
      </c>
      <c r="F27" s="165">
        <f>13925-7149</f>
        <v>6776</v>
      </c>
      <c r="G27" s="66">
        <v>40</v>
      </c>
      <c r="H27" s="148">
        <v>169.4</v>
      </c>
      <c r="I27" s="132">
        <v>50</v>
      </c>
      <c r="J27" s="148">
        <f t="shared" ref="J27:J35" si="4">F27/I27</f>
        <v>135.52000000000001</v>
      </c>
      <c r="K27" s="23">
        <f>J27-H27</f>
        <v>-33.879999999999995</v>
      </c>
      <c r="L27" s="139"/>
      <c r="M27" s="141"/>
    </row>
    <row r="28" spans="1:13" x14ac:dyDescent="0.45">
      <c r="A28" s="1"/>
      <c r="B28" s="47"/>
      <c r="C28" s="125"/>
      <c r="D28" s="3" t="s">
        <v>244</v>
      </c>
      <c r="E28" s="129" t="s">
        <v>243</v>
      </c>
      <c r="F28" s="165">
        <f>2624575.36-778978+566950.4</f>
        <v>2412547.7599999998</v>
      </c>
      <c r="G28" s="148" t="s">
        <v>246</v>
      </c>
      <c r="H28" s="148">
        <f>36911.95+12506.45</f>
        <v>49418.399999999994</v>
      </c>
      <c r="I28" s="132">
        <v>62.5</v>
      </c>
      <c r="J28" s="148">
        <f t="shared" si="4"/>
        <v>38600.764159999999</v>
      </c>
      <c r="K28" s="23">
        <f t="shared" ref="K28:K35" si="5">J28-H28</f>
        <v>-10817.635839999995</v>
      </c>
      <c r="L28" s="139"/>
      <c r="M28" s="141"/>
    </row>
    <row r="29" spans="1:13" x14ac:dyDescent="0.45">
      <c r="A29" s="1"/>
      <c r="B29" s="47"/>
      <c r="C29" s="125"/>
      <c r="D29" s="3" t="s">
        <v>125</v>
      </c>
      <c r="H29" s="148"/>
      <c r="I29" s="132">
        <v>45</v>
      </c>
      <c r="J29" s="148">
        <f t="shared" ref="J29:J30" si="6">F29/I29</f>
        <v>0</v>
      </c>
      <c r="K29" s="23">
        <f t="shared" ref="K29:K30" si="7">J29-H29</f>
        <v>0</v>
      </c>
      <c r="L29" s="139"/>
      <c r="M29" s="141"/>
    </row>
    <row r="30" spans="1:13" x14ac:dyDescent="0.45">
      <c r="A30" s="1"/>
      <c r="B30" s="47"/>
      <c r="C30" s="125"/>
      <c r="D30" s="3" t="s">
        <v>126</v>
      </c>
      <c r="E30" s="129" t="s">
        <v>243</v>
      </c>
      <c r="F30" s="165">
        <f>192496.36-62663</f>
        <v>129833.35999999999</v>
      </c>
      <c r="G30" s="66">
        <v>35</v>
      </c>
      <c r="H30" s="148">
        <v>3709.53</v>
      </c>
      <c r="I30" s="132">
        <v>15</v>
      </c>
      <c r="J30" s="148">
        <f t="shared" si="6"/>
        <v>8655.5573333333323</v>
      </c>
      <c r="K30" s="23">
        <f t="shared" si="7"/>
        <v>4946.0273333333316</v>
      </c>
      <c r="L30" s="139"/>
      <c r="M30" s="141"/>
    </row>
    <row r="31" spans="1:13" x14ac:dyDescent="0.45">
      <c r="A31" s="1"/>
      <c r="B31" s="47"/>
      <c r="C31" s="125"/>
      <c r="D31" s="3" t="s">
        <v>127</v>
      </c>
      <c r="E31" s="129"/>
      <c r="F31" s="165"/>
      <c r="G31" s="66"/>
      <c r="H31" s="148"/>
      <c r="I31" s="132">
        <v>20</v>
      </c>
      <c r="J31" s="148">
        <f t="shared" si="4"/>
        <v>0</v>
      </c>
      <c r="K31" s="23">
        <f t="shared" si="5"/>
        <v>0</v>
      </c>
      <c r="L31" s="139"/>
      <c r="M31" s="141"/>
    </row>
    <row r="32" spans="1:13" x14ac:dyDescent="0.45">
      <c r="A32" s="1"/>
      <c r="B32" s="47"/>
      <c r="C32" s="125"/>
      <c r="D32" s="3" t="s">
        <v>128</v>
      </c>
      <c r="E32" s="129"/>
      <c r="F32" s="165"/>
      <c r="G32" s="66"/>
      <c r="H32" s="148"/>
      <c r="I32" s="132">
        <v>37.5</v>
      </c>
      <c r="J32" s="148">
        <f t="shared" si="4"/>
        <v>0</v>
      </c>
      <c r="K32" s="23">
        <f t="shared" si="5"/>
        <v>0</v>
      </c>
      <c r="L32" s="139"/>
      <c r="M32" s="141"/>
    </row>
    <row r="33" spans="1:14" x14ac:dyDescent="0.45">
      <c r="A33" s="1"/>
      <c r="B33" s="47"/>
      <c r="C33" s="125"/>
      <c r="D33" s="3" t="s">
        <v>129</v>
      </c>
      <c r="E33" s="129" t="s">
        <v>243</v>
      </c>
      <c r="F33" s="165">
        <f>116141.32-35156</f>
        <v>80985.320000000007</v>
      </c>
      <c r="G33" s="66">
        <v>30</v>
      </c>
      <c r="H33" s="148">
        <v>2699.51</v>
      </c>
      <c r="I33" s="132">
        <v>40</v>
      </c>
      <c r="J33" s="148">
        <f t="shared" si="4"/>
        <v>2024.6330000000003</v>
      </c>
      <c r="K33" s="23">
        <f t="shared" si="5"/>
        <v>-674.87699999999995</v>
      </c>
      <c r="L33" s="139"/>
      <c r="M33" s="141"/>
    </row>
    <row r="34" spans="1:14" x14ac:dyDescent="0.45">
      <c r="A34" s="1"/>
      <c r="B34" s="47"/>
      <c r="C34" s="125"/>
      <c r="D34" s="3" t="s">
        <v>130</v>
      </c>
      <c r="E34" s="129" t="s">
        <v>243</v>
      </c>
      <c r="F34" s="165">
        <f>442753.99-47821</f>
        <v>394932.99</v>
      </c>
      <c r="G34" s="66">
        <v>30</v>
      </c>
      <c r="H34" s="148">
        <v>13164.44</v>
      </c>
      <c r="I34" s="132">
        <v>45</v>
      </c>
      <c r="J34" s="148">
        <f t="shared" si="4"/>
        <v>8776.2886666666673</v>
      </c>
      <c r="K34" s="23">
        <f t="shared" si="5"/>
        <v>-4388.1513333333332</v>
      </c>
      <c r="L34" s="139"/>
      <c r="M34" s="141"/>
    </row>
    <row r="35" spans="1:14" x14ac:dyDescent="0.45">
      <c r="A35" s="1"/>
      <c r="B35" s="47"/>
      <c r="C35" s="125"/>
      <c r="D35" s="3" t="s">
        <v>131</v>
      </c>
      <c r="E35" s="129"/>
      <c r="F35" s="165"/>
      <c r="G35" s="66"/>
      <c r="H35" s="148"/>
      <c r="I35" s="132">
        <v>15</v>
      </c>
      <c r="J35" s="148">
        <f t="shared" si="4"/>
        <v>0</v>
      </c>
      <c r="K35" s="23">
        <f t="shared" si="5"/>
        <v>0</v>
      </c>
      <c r="L35" s="139"/>
      <c r="M35" s="141"/>
    </row>
    <row r="36" spans="1:14" x14ac:dyDescent="0.45">
      <c r="A36" s="1"/>
      <c r="B36" s="47"/>
      <c r="C36" s="125"/>
      <c r="E36" s="129"/>
      <c r="G36" s="133"/>
      <c r="H36" s="155"/>
      <c r="I36" s="133"/>
      <c r="J36" s="155"/>
      <c r="K36" s="23"/>
      <c r="L36" s="139"/>
      <c r="M36" s="141"/>
    </row>
    <row r="37" spans="1:14" x14ac:dyDescent="0.45">
      <c r="A37" s="1"/>
      <c r="B37" s="47"/>
      <c r="C37" s="125" t="s">
        <v>113</v>
      </c>
      <c r="E37" s="129"/>
      <c r="G37" s="132"/>
      <c r="H37" s="155"/>
      <c r="I37" s="137"/>
      <c r="J37" s="155"/>
      <c r="K37" s="2"/>
      <c r="L37" s="139"/>
      <c r="M37" s="141"/>
    </row>
    <row r="38" spans="1:14" x14ac:dyDescent="0.45">
      <c r="A38" s="1"/>
      <c r="B38" s="47"/>
      <c r="C38" s="3"/>
      <c r="D38" s="1" t="s">
        <v>132</v>
      </c>
      <c r="E38" s="129"/>
      <c r="G38" s="132"/>
      <c r="H38" s="155"/>
      <c r="I38" s="137">
        <v>7</v>
      </c>
      <c r="J38" s="155">
        <f>F38/I38</f>
        <v>0</v>
      </c>
      <c r="K38" s="2">
        <f>J38-H38</f>
        <v>0</v>
      </c>
      <c r="L38" s="139"/>
      <c r="M38" s="141"/>
    </row>
    <row r="39" spans="1:14" x14ac:dyDescent="0.45">
      <c r="A39" s="1"/>
      <c r="B39" s="47"/>
      <c r="C39" s="124"/>
      <c r="D39" s="124"/>
      <c r="E39" s="124"/>
      <c r="G39" s="133"/>
      <c r="H39" s="155"/>
      <c r="I39" s="133"/>
      <c r="J39" s="155"/>
      <c r="K39" s="2"/>
      <c r="L39" s="139"/>
      <c r="M39" s="141"/>
    </row>
    <row r="40" spans="1:14" x14ac:dyDescent="0.45">
      <c r="A40" s="1"/>
      <c r="B40" s="47"/>
      <c r="C40" s="125" t="s">
        <v>114</v>
      </c>
      <c r="D40" s="3"/>
      <c r="E40" s="129"/>
      <c r="G40" s="134"/>
      <c r="H40" s="155"/>
      <c r="I40" s="132"/>
      <c r="J40" s="155"/>
      <c r="K40" s="2"/>
      <c r="L40" s="139"/>
      <c r="M40" s="141"/>
    </row>
    <row r="41" spans="1:14" x14ac:dyDescent="0.45">
      <c r="A41" s="1"/>
      <c r="B41" s="47"/>
      <c r="C41" s="125"/>
      <c r="D41" s="1" t="s">
        <v>161</v>
      </c>
      <c r="E41" s="129"/>
      <c r="G41" s="132"/>
      <c r="H41" s="155"/>
      <c r="I41" s="137">
        <v>62.5</v>
      </c>
      <c r="J41" s="155">
        <f>F41/I41</f>
        <v>0</v>
      </c>
      <c r="K41" s="2">
        <f>J41-H41</f>
        <v>0</v>
      </c>
      <c r="L41" s="139"/>
      <c r="M41" s="141"/>
    </row>
    <row r="42" spans="1:14" x14ac:dyDescent="0.45">
      <c r="A42" s="1"/>
      <c r="B42" s="47"/>
      <c r="C42" s="125"/>
      <c r="D42" s="1" t="s">
        <v>162</v>
      </c>
      <c r="E42" s="129"/>
      <c r="G42" s="132"/>
      <c r="H42" s="155"/>
      <c r="I42" s="137">
        <v>27.5</v>
      </c>
      <c r="J42" s="155">
        <f>F42/I42</f>
        <v>0</v>
      </c>
      <c r="K42" s="2">
        <f>J42-H42</f>
        <v>0</v>
      </c>
      <c r="L42" s="139"/>
      <c r="M42" s="141"/>
    </row>
    <row r="43" spans="1:14" x14ac:dyDescent="0.45">
      <c r="A43" s="1"/>
      <c r="B43" s="47"/>
      <c r="C43" s="3"/>
      <c r="D43" s="3"/>
      <c r="E43" s="3"/>
      <c r="G43" s="2"/>
      <c r="H43" s="148"/>
      <c r="I43" s="2"/>
      <c r="J43" s="159"/>
      <c r="K43" s="2"/>
      <c r="L43" s="139"/>
      <c r="M43" s="141"/>
    </row>
    <row r="44" spans="1:14" x14ac:dyDescent="0.45">
      <c r="A44" s="1"/>
      <c r="B44" s="47"/>
      <c r="C44" s="126" t="s">
        <v>68</v>
      </c>
      <c r="F44" s="157">
        <f>SUM(F10:F43)</f>
        <v>3434128.3999999994</v>
      </c>
      <c r="G44" s="135"/>
      <c r="H44" s="157">
        <f>SUM(H10:H43)</f>
        <v>92621.839999999982</v>
      </c>
      <c r="I44" s="136"/>
      <c r="J44" s="157">
        <f>SUM(J10:J43)</f>
        <v>79822.617779047607</v>
      </c>
      <c r="K44" s="136">
        <f>SUM(K10:K43)</f>
        <v>-12799.222220952377</v>
      </c>
      <c r="L44" s="139"/>
      <c r="M44" s="141"/>
      <c r="N44" s="21"/>
    </row>
    <row r="45" spans="1:14" x14ac:dyDescent="0.45">
      <c r="A45" s="1"/>
      <c r="B45" s="121"/>
      <c r="C45" s="127"/>
      <c r="D45" s="127"/>
      <c r="E45" s="127"/>
      <c r="F45" s="166"/>
      <c r="G45" s="127"/>
      <c r="H45" s="158"/>
      <c r="I45" s="127"/>
      <c r="J45" s="158"/>
      <c r="K45" s="127"/>
      <c r="L45" s="140"/>
      <c r="M45" s="142"/>
    </row>
    <row r="46" spans="1:14" x14ac:dyDescent="0.45">
      <c r="A46" s="1"/>
      <c r="B46" s="1"/>
      <c r="C46" s="3"/>
      <c r="D46" s="3"/>
      <c r="E46" s="3"/>
      <c r="G46" s="3"/>
      <c r="H46" s="159"/>
      <c r="I46" s="3"/>
      <c r="J46" s="159"/>
      <c r="K46" s="3"/>
      <c r="L46" s="3"/>
      <c r="M46" s="3"/>
    </row>
    <row r="47" spans="1:14" x14ac:dyDescent="0.45">
      <c r="D47" s="3" t="s">
        <v>133</v>
      </c>
    </row>
    <row r="48" spans="1:14" x14ac:dyDescent="0.45">
      <c r="D48" s="1" t="s">
        <v>245</v>
      </c>
    </row>
    <row r="51" spans="6:7" ht="17.649999999999999" x14ac:dyDescent="0.75">
      <c r="F51" s="167"/>
    </row>
    <row r="52" spans="6:7" x14ac:dyDescent="0.45">
      <c r="G52" s="21"/>
    </row>
    <row r="55" spans="6:7" ht="17.649999999999999" x14ac:dyDescent="0.75">
      <c r="F55" s="167"/>
    </row>
    <row r="56" spans="6:7" x14ac:dyDescent="0.45">
      <c r="G56" s="21"/>
    </row>
  </sheetData>
  <mergeCells count="5">
    <mergeCell ref="C3:K3"/>
    <mergeCell ref="C4:K4"/>
    <mergeCell ref="C5:K5"/>
    <mergeCell ref="G7:H7"/>
    <mergeCell ref="I7:J7"/>
  </mergeCells>
  <pageMargins left="0.7" right="0.7" top="0.75" bottom="0.75" header="0.3" footer="0.3"/>
  <pageSetup scale="7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30B1-5320-458A-B984-AF0BD6A9981A}">
  <sheetPr>
    <pageSetUpPr fitToPage="1"/>
  </sheetPr>
  <dimension ref="B1:P26"/>
  <sheetViews>
    <sheetView showGridLines="0" workbookViewId="0">
      <selection sqref="A1:O26"/>
    </sheetView>
  </sheetViews>
  <sheetFormatPr defaultRowHeight="15" x14ac:dyDescent="0.4"/>
  <cols>
    <col min="1" max="1" width="1.77734375" customWidth="1"/>
    <col min="2" max="2" width="20.44140625" bestFit="1" customWidth="1"/>
    <col min="3" max="12" width="7.77734375" customWidth="1"/>
    <col min="13" max="13" width="10.6640625" customWidth="1"/>
    <col min="14" max="14" width="0.77734375" customWidth="1"/>
    <col min="15" max="15" width="2.33203125" customWidth="1"/>
    <col min="16" max="16" width="9.6640625" customWidth="1"/>
  </cols>
  <sheetData>
    <row r="1" spans="2:16" ht="15.4" x14ac:dyDescent="0.4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16" ht="15.4" x14ac:dyDescent="0.45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18"/>
      <c r="P2" s="18"/>
    </row>
    <row r="3" spans="2:16" ht="18" x14ac:dyDescent="0.55000000000000004">
      <c r="B3" s="78" t="s">
        <v>99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69"/>
      <c r="O3" s="18"/>
      <c r="P3" s="18"/>
    </row>
    <row r="4" spans="2:16" ht="18" x14ac:dyDescent="0.55000000000000004">
      <c r="B4" s="80" t="s">
        <v>100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69"/>
      <c r="O4" s="18"/>
      <c r="P4" s="18"/>
    </row>
    <row r="5" spans="2:16" ht="15.75" x14ac:dyDescent="0.45">
      <c r="B5" s="82" t="str">
        <f>SAO!A2</f>
        <v>McKinney Water District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69"/>
      <c r="O5" s="18"/>
      <c r="P5" s="18"/>
    </row>
    <row r="6" spans="2:16" ht="15.75" x14ac:dyDescent="0.5">
      <c r="B6" s="83" t="s">
        <v>233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69"/>
      <c r="O6" s="18"/>
      <c r="P6" s="18"/>
    </row>
    <row r="7" spans="2:16" ht="15.4" x14ac:dyDescent="0.45">
      <c r="B7" s="85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69"/>
      <c r="O7" s="18"/>
      <c r="P7" s="18"/>
    </row>
    <row r="8" spans="2:16" ht="15.4" x14ac:dyDescent="0.45">
      <c r="B8" s="86"/>
      <c r="C8" s="87"/>
      <c r="D8" s="88"/>
      <c r="E8" s="87"/>
      <c r="F8" s="89"/>
      <c r="G8" s="87"/>
      <c r="H8" s="89"/>
      <c r="I8" s="87"/>
      <c r="J8" s="89"/>
      <c r="K8" s="87"/>
      <c r="L8" s="89"/>
      <c r="M8" s="88"/>
      <c r="N8" s="77"/>
      <c r="O8" s="18"/>
      <c r="P8" s="18"/>
    </row>
    <row r="9" spans="2:16" ht="16.5" x14ac:dyDescent="0.45">
      <c r="B9" s="90"/>
      <c r="C9" s="270" t="s">
        <v>101</v>
      </c>
      <c r="D9" s="271"/>
      <c r="E9" s="270" t="s">
        <v>102</v>
      </c>
      <c r="F9" s="271"/>
      <c r="G9" s="270" t="s">
        <v>103</v>
      </c>
      <c r="H9" s="271"/>
      <c r="I9" s="270" t="s">
        <v>104</v>
      </c>
      <c r="J9" s="271"/>
      <c r="K9" s="270" t="s">
        <v>236</v>
      </c>
      <c r="L9" s="271"/>
      <c r="M9" s="18"/>
      <c r="N9" s="69"/>
      <c r="O9" s="18"/>
      <c r="P9" s="18"/>
    </row>
    <row r="10" spans="2:16" ht="16.5" x14ac:dyDescent="0.45">
      <c r="B10" s="90"/>
      <c r="C10" s="91"/>
      <c r="D10" s="92" t="s">
        <v>105</v>
      </c>
      <c r="E10" s="93"/>
      <c r="F10" s="92" t="s">
        <v>105</v>
      </c>
      <c r="G10" s="93"/>
      <c r="H10" s="92" t="s">
        <v>105</v>
      </c>
      <c r="I10" s="93"/>
      <c r="J10" s="92" t="s">
        <v>105</v>
      </c>
      <c r="K10" s="93"/>
      <c r="L10" s="92" t="s">
        <v>105</v>
      </c>
      <c r="M10" s="18"/>
      <c r="N10" s="69"/>
      <c r="O10" s="18"/>
      <c r="P10" s="18"/>
    </row>
    <row r="11" spans="2:16" ht="16.5" x14ac:dyDescent="0.45">
      <c r="B11" s="90"/>
      <c r="C11" s="91" t="s">
        <v>106</v>
      </c>
      <c r="D11" s="94" t="s">
        <v>107</v>
      </c>
      <c r="E11" s="91" t="s">
        <v>106</v>
      </c>
      <c r="F11" s="94" t="s">
        <v>107</v>
      </c>
      <c r="G11" s="91" t="s">
        <v>106</v>
      </c>
      <c r="H11" s="94" t="s">
        <v>107</v>
      </c>
      <c r="I11" s="91" t="s">
        <v>106</v>
      </c>
      <c r="J11" s="94" t="s">
        <v>107</v>
      </c>
      <c r="K11" s="91" t="s">
        <v>106</v>
      </c>
      <c r="L11" s="94" t="s">
        <v>107</v>
      </c>
      <c r="M11" s="95" t="s">
        <v>68</v>
      </c>
      <c r="N11" s="69"/>
      <c r="O11" s="18"/>
      <c r="P11" s="18"/>
    </row>
    <row r="12" spans="2:16" ht="15.4" x14ac:dyDescent="0.45">
      <c r="B12" s="90" t="s">
        <v>237</v>
      </c>
      <c r="C12" s="97">
        <v>19000</v>
      </c>
      <c r="D12" s="98">
        <f>6125+5650</f>
        <v>11775</v>
      </c>
      <c r="E12" s="97">
        <v>21000</v>
      </c>
      <c r="F12" s="99">
        <f>5650+5125</f>
        <v>10775</v>
      </c>
      <c r="G12" s="97">
        <v>21000</v>
      </c>
      <c r="H12" s="99">
        <f>5125+4600</f>
        <v>9725</v>
      </c>
      <c r="I12" s="97">
        <v>23000</v>
      </c>
      <c r="J12" s="99">
        <f>4600+4025</f>
        <v>8625</v>
      </c>
      <c r="K12" s="97">
        <v>24000</v>
      </c>
      <c r="L12" s="99">
        <f>4025+3425</f>
        <v>7450</v>
      </c>
      <c r="M12" s="100">
        <f t="shared" ref="M12:M14" si="0">SUM(C12:L12)</f>
        <v>156350</v>
      </c>
      <c r="N12" s="69"/>
      <c r="O12" s="18"/>
      <c r="P12" s="18"/>
    </row>
    <row r="13" spans="2:16" ht="15.4" x14ac:dyDescent="0.45">
      <c r="B13" s="90" t="s">
        <v>238</v>
      </c>
      <c r="C13" s="97">
        <v>3600</v>
      </c>
      <c r="D13" s="98">
        <f>1314.63+1256.13</f>
        <v>2570.7600000000002</v>
      </c>
      <c r="E13" s="97">
        <v>3700</v>
      </c>
      <c r="F13" s="99">
        <f>1256.13+1196</f>
        <v>2452.13</v>
      </c>
      <c r="G13" s="97">
        <v>3900</v>
      </c>
      <c r="H13" s="99">
        <f>1196+1132.63</f>
        <v>2328.63</v>
      </c>
      <c r="I13" s="97">
        <v>4100</v>
      </c>
      <c r="J13" s="99">
        <f>1132.63+1066</f>
        <v>2198.63</v>
      </c>
      <c r="K13" s="97">
        <v>4200</v>
      </c>
      <c r="L13" s="99">
        <f>1066+997.75</f>
        <v>2063.75</v>
      </c>
      <c r="M13" s="100">
        <f t="shared" si="0"/>
        <v>31113.9</v>
      </c>
      <c r="N13" s="69"/>
      <c r="O13" s="18"/>
      <c r="P13" s="18"/>
    </row>
    <row r="14" spans="2:16" ht="15.4" x14ac:dyDescent="0.45">
      <c r="B14" s="90" t="s">
        <v>239</v>
      </c>
      <c r="C14" s="97">
        <v>2500</v>
      </c>
      <c r="D14" s="98">
        <f>911.63+871</f>
        <v>1782.63</v>
      </c>
      <c r="E14" s="97">
        <v>2600</v>
      </c>
      <c r="F14" s="99">
        <f>871+828.75</f>
        <v>1699.75</v>
      </c>
      <c r="G14" s="97">
        <v>2700</v>
      </c>
      <c r="H14" s="99">
        <f>828.75+784.88</f>
        <v>1613.63</v>
      </c>
      <c r="I14" s="97">
        <v>2800</v>
      </c>
      <c r="J14" s="99">
        <f>784.88+739.38</f>
        <v>1524.26</v>
      </c>
      <c r="K14" s="97">
        <v>2900</v>
      </c>
      <c r="L14" s="99">
        <f>739.38+692.25</f>
        <v>1431.63</v>
      </c>
      <c r="M14" s="100">
        <f t="shared" si="0"/>
        <v>21551.9</v>
      </c>
      <c r="N14" s="69"/>
      <c r="O14" s="18"/>
      <c r="P14" s="18"/>
    </row>
    <row r="15" spans="2:16" ht="15.4" x14ac:dyDescent="0.45">
      <c r="B15" s="96" t="s">
        <v>240</v>
      </c>
      <c r="C15" s="97">
        <v>14000</v>
      </c>
      <c r="D15" s="98">
        <f>5557.5+5330</f>
        <v>10887.5</v>
      </c>
      <c r="E15" s="97">
        <v>15000</v>
      </c>
      <c r="F15" s="99">
        <f>5330+5086.25</f>
        <v>10416.25</v>
      </c>
      <c r="G15" s="97">
        <v>15000</v>
      </c>
      <c r="H15" s="99">
        <f>5086.25+4842.5</f>
        <v>9928.75</v>
      </c>
      <c r="I15" s="97">
        <v>16000</v>
      </c>
      <c r="J15" s="99">
        <f>4842.5+4582.5</f>
        <v>9425</v>
      </c>
      <c r="K15" s="97">
        <v>16000</v>
      </c>
      <c r="L15" s="99">
        <f>4582.5+4322.5</f>
        <v>8905</v>
      </c>
      <c r="M15" s="100">
        <f t="shared" ref="M15" si="1">SUM(C15:L15)</f>
        <v>125562.5</v>
      </c>
      <c r="N15" s="69"/>
      <c r="O15" s="18"/>
      <c r="P15" s="18"/>
    </row>
    <row r="16" spans="2:16" ht="15.4" x14ac:dyDescent="0.45">
      <c r="B16" s="70" t="s">
        <v>68</v>
      </c>
      <c r="C16" s="101">
        <f>SUM(C12:C15)</f>
        <v>39100</v>
      </c>
      <c r="D16" s="102">
        <f>SUM(D12:D15)</f>
        <v>27015.89</v>
      </c>
      <c r="E16" s="101">
        <f t="shared" ref="E16:L16" si="2">SUM(E12:E15)</f>
        <v>42300</v>
      </c>
      <c r="F16" s="102">
        <f t="shared" si="2"/>
        <v>25343.13</v>
      </c>
      <c r="G16" s="101">
        <f t="shared" si="2"/>
        <v>42600</v>
      </c>
      <c r="H16" s="102">
        <f t="shared" si="2"/>
        <v>23596.010000000002</v>
      </c>
      <c r="I16" s="101">
        <f t="shared" si="2"/>
        <v>45900</v>
      </c>
      <c r="J16" s="102">
        <f t="shared" si="2"/>
        <v>21772.89</v>
      </c>
      <c r="K16" s="101">
        <f t="shared" si="2"/>
        <v>47100</v>
      </c>
      <c r="L16" s="103">
        <f t="shared" si="2"/>
        <v>19850.38</v>
      </c>
      <c r="M16" s="104">
        <f>SUM(M12:M15)</f>
        <v>334578.3</v>
      </c>
      <c r="N16" s="69"/>
      <c r="O16" s="18"/>
      <c r="P16" s="18">
        <f>SUM(C16:L16)</f>
        <v>334578.3</v>
      </c>
    </row>
    <row r="17" spans="2:16" ht="15.4" x14ac:dyDescent="0.45">
      <c r="B17" s="105"/>
      <c r="C17" s="106"/>
      <c r="D17" s="107"/>
      <c r="E17" s="106"/>
      <c r="F17" s="108"/>
      <c r="G17" s="106"/>
      <c r="H17" s="108"/>
      <c r="I17" s="106"/>
      <c r="J17" s="109"/>
      <c r="K17" s="106"/>
      <c r="L17" s="108"/>
      <c r="M17" s="107"/>
      <c r="N17" s="65"/>
      <c r="O17" s="18"/>
      <c r="P17" s="18"/>
    </row>
    <row r="18" spans="2:16" ht="15.4" x14ac:dyDescent="0.45">
      <c r="B18" s="110"/>
      <c r="C18" s="111"/>
      <c r="D18" s="111"/>
      <c r="E18" s="111"/>
      <c r="F18" s="111"/>
      <c r="G18" s="111"/>
      <c r="H18" s="111"/>
      <c r="I18" s="111"/>
      <c r="J18" s="112"/>
      <c r="K18" s="112"/>
      <c r="L18" s="112"/>
      <c r="M18" s="111"/>
      <c r="N18" s="69"/>
      <c r="O18" s="18"/>
      <c r="P18" s="18"/>
    </row>
    <row r="19" spans="2:16" ht="15.4" x14ac:dyDescent="0.45">
      <c r="B19" s="113"/>
      <c r="C19" s="114"/>
      <c r="D19" s="115"/>
      <c r="E19" s="114"/>
      <c r="F19" s="114"/>
      <c r="G19" s="114"/>
      <c r="H19" s="114"/>
      <c r="I19" s="115" t="s">
        <v>108</v>
      </c>
      <c r="J19" s="18"/>
      <c r="K19" s="116"/>
      <c r="L19" s="117"/>
      <c r="M19" s="114">
        <f>M16/5</f>
        <v>66915.66</v>
      </c>
      <c r="N19" s="69"/>
      <c r="O19" s="18"/>
      <c r="P19" s="18"/>
    </row>
    <row r="20" spans="2:16" ht="15.4" x14ac:dyDescent="0.45">
      <c r="B20" s="20"/>
      <c r="C20" s="115"/>
      <c r="D20" s="18"/>
      <c r="E20" s="115"/>
      <c r="F20" s="115"/>
      <c r="G20" s="115"/>
      <c r="H20" s="115"/>
      <c r="I20" s="115"/>
      <c r="J20" s="18"/>
      <c r="K20" s="23"/>
      <c r="L20" s="116"/>
      <c r="M20" s="29"/>
      <c r="N20" s="69"/>
      <c r="O20" s="18"/>
      <c r="P20" s="18"/>
    </row>
    <row r="21" spans="2:16" ht="15.4" x14ac:dyDescent="0.45">
      <c r="B21" s="113"/>
      <c r="C21" s="115"/>
      <c r="D21" s="115"/>
      <c r="E21" s="115"/>
      <c r="F21" s="115"/>
      <c r="G21" s="115"/>
      <c r="H21" s="115"/>
      <c r="I21" s="115" t="s">
        <v>109</v>
      </c>
      <c r="J21" s="18"/>
      <c r="K21" s="116"/>
      <c r="L21" s="115"/>
      <c r="M21" s="114">
        <f>M19*0.2</f>
        <v>13383.132000000001</v>
      </c>
      <c r="N21" s="69"/>
      <c r="O21" s="18"/>
      <c r="P21" s="18">
        <f>M21+M19</f>
        <v>80298.792000000001</v>
      </c>
    </row>
    <row r="22" spans="2:16" ht="15.4" x14ac:dyDescent="0.45">
      <c r="B22" s="118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65"/>
      <c r="O22" s="18"/>
      <c r="P22" s="18"/>
    </row>
    <row r="24" spans="2:16" ht="15.4" x14ac:dyDescent="0.45">
      <c r="I24" s="235" t="s">
        <v>234</v>
      </c>
      <c r="J24" s="235"/>
      <c r="K24" s="235"/>
      <c r="L24" s="235"/>
      <c r="M24" s="236">
        <f>D16+F16+H16+J16+L16</f>
        <v>117578.3</v>
      </c>
    </row>
    <row r="25" spans="2:16" ht="15.4" x14ac:dyDescent="0.45">
      <c r="I25" s="235"/>
      <c r="J25" s="235"/>
      <c r="K25" s="235"/>
      <c r="L25" s="235"/>
      <c r="M25" s="235"/>
    </row>
    <row r="26" spans="2:16" ht="15.4" x14ac:dyDescent="0.45">
      <c r="I26" s="235" t="s">
        <v>235</v>
      </c>
      <c r="J26" s="235"/>
      <c r="K26" s="235"/>
      <c r="L26" s="235"/>
      <c r="M26" s="236">
        <f>M24/5</f>
        <v>23515.66</v>
      </c>
    </row>
  </sheetData>
  <mergeCells count="5">
    <mergeCell ref="C9:D9"/>
    <mergeCell ref="E9:F9"/>
    <mergeCell ref="G9:H9"/>
    <mergeCell ref="I9:J9"/>
    <mergeCell ref="K9:L9"/>
  </mergeCells>
  <printOptions horizontalCentered="1" verticalCentered="1"/>
  <pageMargins left="1.2" right="0.7" top="0.75" bottom="0.75" header="0.3" footer="0.3"/>
  <pageSetup scale="8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7B32F-4CA1-4F84-B54A-FE6CF749D13D}">
  <dimension ref="A1:D6"/>
  <sheetViews>
    <sheetView workbookViewId="0">
      <selection activeCell="C4" sqref="C4"/>
    </sheetView>
  </sheetViews>
  <sheetFormatPr defaultRowHeight="15" x14ac:dyDescent="0.4"/>
  <sheetData>
    <row r="1" spans="1:4" ht="15.4" x14ac:dyDescent="0.45">
      <c r="A1" s="1" t="s">
        <v>157</v>
      </c>
      <c r="B1" s="1"/>
      <c r="C1" s="1"/>
      <c r="D1" s="1"/>
    </row>
    <row r="2" spans="1:4" ht="15.4" x14ac:dyDescent="0.45">
      <c r="A2" s="1"/>
      <c r="B2" s="1"/>
      <c r="C2" s="1"/>
      <c r="D2" s="1"/>
    </row>
    <row r="3" spans="1:4" ht="15.4" x14ac:dyDescent="0.45">
      <c r="A3" s="1" t="s">
        <v>160</v>
      </c>
      <c r="B3" s="1"/>
      <c r="C3" s="150">
        <v>19950</v>
      </c>
      <c r="D3" s="1"/>
    </row>
    <row r="4" spans="1:4" ht="15.4" x14ac:dyDescent="0.45">
      <c r="A4" s="1"/>
      <c r="B4" s="1"/>
      <c r="C4" s="1"/>
      <c r="D4" s="1"/>
    </row>
    <row r="5" spans="1:4" ht="15.4" x14ac:dyDescent="0.45">
      <c r="A5" s="1" t="s">
        <v>158</v>
      </c>
      <c r="B5" s="151">
        <v>0.3</v>
      </c>
      <c r="C5" s="150">
        <f>B5*C3</f>
        <v>5985</v>
      </c>
      <c r="D5" s="1"/>
    </row>
    <row r="6" spans="1:4" ht="15.4" x14ac:dyDescent="0.45">
      <c r="A6" s="1" t="s">
        <v>159</v>
      </c>
      <c r="B6" s="151">
        <v>0.7</v>
      </c>
      <c r="C6" s="150">
        <f>B6*C3</f>
        <v>13965</v>
      </c>
      <c r="D6" s="1"/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52889-0321-45D3-A9A4-AE60C9D6113F}">
  <dimension ref="A1:G37"/>
  <sheetViews>
    <sheetView showGridLines="0" topLeftCell="A14" workbookViewId="0">
      <selection activeCell="D30" sqref="D30"/>
    </sheetView>
  </sheetViews>
  <sheetFormatPr defaultRowHeight="13.5" x14ac:dyDescent="0.35"/>
  <cols>
    <col min="1" max="1" width="22.0546875" style="144" customWidth="1"/>
    <col min="2" max="2" width="9.88671875" style="145" bestFit="1" customWidth="1"/>
    <col min="3" max="3" width="9.71875" style="145" bestFit="1" customWidth="1"/>
    <col min="4" max="4" width="10.38671875" style="144" bestFit="1" customWidth="1"/>
    <col min="5" max="16384" width="8.88671875" style="144"/>
  </cols>
  <sheetData>
    <row r="1" spans="1:7" ht="14.25" x14ac:dyDescent="0.45">
      <c r="A1" s="1" t="s">
        <v>136</v>
      </c>
      <c r="B1" s="7"/>
      <c r="C1" s="7"/>
      <c r="D1" s="1"/>
      <c r="E1" s="1"/>
      <c r="F1" s="1"/>
      <c r="G1" s="1"/>
    </row>
    <row r="2" spans="1:7" ht="14.25" x14ac:dyDescent="0.45">
      <c r="A2" s="1" t="s">
        <v>142</v>
      </c>
      <c r="B2" s="7"/>
      <c r="C2" s="7">
        <v>0</v>
      </c>
      <c r="D2" s="1"/>
      <c r="E2" s="1"/>
      <c r="F2" s="1"/>
      <c r="G2" s="1"/>
    </row>
    <row r="3" spans="1:7" ht="14.25" x14ac:dyDescent="0.45">
      <c r="A3" s="1" t="s">
        <v>143</v>
      </c>
      <c r="B3" s="7"/>
      <c r="C3" s="5">
        <v>145740</v>
      </c>
      <c r="D3" s="1"/>
      <c r="E3" s="1"/>
      <c r="F3" s="1"/>
      <c r="G3" s="1"/>
    </row>
    <row r="4" spans="1:7" ht="14.25" x14ac:dyDescent="0.45">
      <c r="A4" s="1" t="s">
        <v>144</v>
      </c>
      <c r="B4" s="7"/>
      <c r="C4" s="7">
        <f>C2+C3</f>
        <v>145740</v>
      </c>
      <c r="D4" s="1"/>
      <c r="E4" s="1"/>
      <c r="F4" s="1"/>
      <c r="G4" s="1"/>
    </row>
    <row r="5" spans="1:7" ht="14.25" x14ac:dyDescent="0.45">
      <c r="A5" s="1"/>
      <c r="B5" s="7"/>
      <c r="C5" s="7"/>
      <c r="D5" s="1"/>
      <c r="E5" s="1"/>
      <c r="F5" s="1"/>
      <c r="G5" s="1"/>
    </row>
    <row r="6" spans="1:7" ht="14.25" x14ac:dyDescent="0.45">
      <c r="A6" s="1" t="s">
        <v>137</v>
      </c>
      <c r="B6" s="7"/>
      <c r="C6" s="7">
        <v>97631</v>
      </c>
      <c r="D6" s="1"/>
      <c r="E6" s="1"/>
      <c r="F6" s="1"/>
      <c r="G6" s="1"/>
    </row>
    <row r="7" spans="1:7" ht="14.25" x14ac:dyDescent="0.45">
      <c r="A7" s="1"/>
      <c r="B7" s="7"/>
      <c r="C7" s="7"/>
      <c r="D7" s="1"/>
      <c r="E7" s="1"/>
      <c r="F7" s="1"/>
      <c r="G7" s="1"/>
    </row>
    <row r="8" spans="1:7" ht="14.25" x14ac:dyDescent="0.45">
      <c r="A8" s="1" t="s">
        <v>138</v>
      </c>
      <c r="B8" s="7"/>
      <c r="C8" s="7"/>
      <c r="D8" s="1"/>
      <c r="E8" s="1"/>
      <c r="F8" s="1"/>
      <c r="G8" s="1"/>
    </row>
    <row r="9" spans="1:7" ht="14.25" x14ac:dyDescent="0.45">
      <c r="A9" s="1" t="s">
        <v>147</v>
      </c>
      <c r="B9" s="7">
        <v>0</v>
      </c>
      <c r="C9" s="7"/>
      <c r="D9" s="1"/>
      <c r="E9" s="1"/>
      <c r="F9" s="1"/>
      <c r="G9" s="1"/>
    </row>
    <row r="10" spans="1:7" ht="14.25" x14ac:dyDescent="0.45">
      <c r="A10" s="1" t="s">
        <v>148</v>
      </c>
      <c r="B10" s="7">
        <v>1473</v>
      </c>
      <c r="C10" s="7"/>
      <c r="D10" s="1"/>
      <c r="E10" s="1"/>
      <c r="F10" s="1"/>
      <c r="G10" s="1"/>
    </row>
    <row r="11" spans="1:7" ht="14.25" x14ac:dyDescent="0.45">
      <c r="A11" s="1" t="s">
        <v>149</v>
      </c>
      <c r="B11" s="7">
        <v>454</v>
      </c>
      <c r="C11" s="7"/>
      <c r="D11" s="1"/>
      <c r="E11" s="1"/>
      <c r="F11" s="1"/>
      <c r="G11" s="1"/>
    </row>
    <row r="12" spans="1:7" ht="14.25" x14ac:dyDescent="0.45">
      <c r="A12" s="1" t="s">
        <v>150</v>
      </c>
      <c r="B12" s="7">
        <v>0</v>
      </c>
      <c r="C12" s="7"/>
      <c r="D12" s="1"/>
      <c r="E12" s="1"/>
      <c r="F12" s="1"/>
      <c r="G12" s="1"/>
    </row>
    <row r="13" spans="1:7" ht="14.25" x14ac:dyDescent="0.45">
      <c r="A13" s="1" t="s">
        <v>145</v>
      </c>
      <c r="B13" s="7"/>
      <c r="C13" s="7">
        <f>SUM(B9:B12)</f>
        <v>1927</v>
      </c>
      <c r="D13" s="1"/>
      <c r="E13" s="1"/>
      <c r="F13" s="1"/>
      <c r="G13" s="1"/>
    </row>
    <row r="14" spans="1:7" ht="14.25" x14ac:dyDescent="0.45">
      <c r="A14" s="1"/>
      <c r="B14" s="7"/>
      <c r="C14" s="7"/>
      <c r="D14" s="1"/>
      <c r="E14" s="1"/>
      <c r="F14" s="1"/>
      <c r="G14" s="1"/>
    </row>
    <row r="15" spans="1:7" ht="14.25" x14ac:dyDescent="0.45">
      <c r="A15" s="1" t="s">
        <v>146</v>
      </c>
      <c r="B15" s="7"/>
      <c r="C15" s="7"/>
      <c r="D15" s="1"/>
      <c r="E15" s="1"/>
      <c r="F15" s="1"/>
      <c r="G15" s="1"/>
    </row>
    <row r="16" spans="1:7" ht="14.25" x14ac:dyDescent="0.45">
      <c r="A16" s="1" t="s">
        <v>177</v>
      </c>
      <c r="B16" s="7">
        <v>0</v>
      </c>
      <c r="C16" s="7"/>
      <c r="D16" s="1"/>
      <c r="E16" s="1"/>
      <c r="F16" s="1"/>
      <c r="G16" s="1"/>
    </row>
    <row r="17" spans="1:7" ht="14.25" x14ac:dyDescent="0.45">
      <c r="A17" s="1" t="s">
        <v>178</v>
      </c>
      <c r="B17" s="7">
        <v>0</v>
      </c>
      <c r="C17" s="7"/>
      <c r="D17" s="1"/>
      <c r="E17" s="1"/>
      <c r="F17" s="1"/>
      <c r="G17" s="1"/>
    </row>
    <row r="18" spans="1:7" ht="14.25" x14ac:dyDescent="0.45">
      <c r="A18" s="1" t="s">
        <v>151</v>
      </c>
      <c r="B18" s="7">
        <v>46182</v>
      </c>
      <c r="C18" s="7"/>
      <c r="D18" s="1"/>
      <c r="E18" s="1"/>
      <c r="F18" s="1"/>
      <c r="G18" s="1"/>
    </row>
    <row r="19" spans="1:7" ht="14.25" x14ac:dyDescent="0.45">
      <c r="A19" s="1" t="s">
        <v>152</v>
      </c>
      <c r="B19" s="7">
        <v>0</v>
      </c>
      <c r="C19" s="7"/>
    </row>
    <row r="20" spans="1:7" ht="14.25" x14ac:dyDescent="0.45">
      <c r="A20" s="1" t="s">
        <v>153</v>
      </c>
      <c r="B20" s="7"/>
      <c r="C20" s="5">
        <f>SUM(B16:B19)</f>
        <v>46182</v>
      </c>
    </row>
    <row r="21" spans="1:7" ht="14.25" x14ac:dyDescent="0.45">
      <c r="A21" s="1" t="s">
        <v>154</v>
      </c>
      <c r="B21" s="7"/>
      <c r="C21" s="7">
        <f>C6+C13+C20</f>
        <v>145740</v>
      </c>
    </row>
    <row r="22" spans="1:7" ht="14.25" x14ac:dyDescent="0.45">
      <c r="A22" s="1"/>
    </row>
    <row r="24" spans="1:7" ht="14.25" x14ac:dyDescent="0.45">
      <c r="D24" s="44">
        <f>C20/C4</f>
        <v>0.31687937422807738</v>
      </c>
      <c r="E24" s="1" t="s">
        <v>139</v>
      </c>
      <c r="F24" s="1"/>
      <c r="G24" s="1"/>
    </row>
    <row r="25" spans="1:7" ht="14.25" x14ac:dyDescent="0.45">
      <c r="D25" s="44">
        <v>0.15</v>
      </c>
      <c r="E25" s="1" t="s">
        <v>140</v>
      </c>
      <c r="F25" s="1"/>
      <c r="G25" s="1"/>
    </row>
    <row r="26" spans="1:7" ht="14.25" x14ac:dyDescent="0.45">
      <c r="D26" s="44">
        <f>IF(D24&gt;D25,D24-D25,0)</f>
        <v>0.16687937422807739</v>
      </c>
      <c r="E26" s="1" t="s">
        <v>141</v>
      </c>
      <c r="F26" s="1"/>
      <c r="G26" s="21"/>
    </row>
    <row r="28" spans="1:7" ht="14.25" x14ac:dyDescent="0.45">
      <c r="A28" s="1" t="s">
        <v>193</v>
      </c>
      <c r="B28" s="7"/>
      <c r="C28" s="7"/>
      <c r="D28" s="22" t="s">
        <v>38</v>
      </c>
    </row>
    <row r="29" spans="1:7" ht="14.25" x14ac:dyDescent="0.45">
      <c r="A29" s="1" t="str">
        <f>SAO!C24</f>
        <v>Purchased Water</v>
      </c>
      <c r="B29" s="183">
        <f>SAO!D24</f>
        <v>464375</v>
      </c>
      <c r="C29" s="170"/>
      <c r="D29" s="152">
        <f>B29*$D$26</f>
        <v>77494.609407163443</v>
      </c>
      <c r="F29" s="21"/>
    </row>
    <row r="30" spans="1:7" ht="14.25" x14ac:dyDescent="0.45">
      <c r="A30" s="1" t="str">
        <f>SAO!C25</f>
        <v>Purchased Power</v>
      </c>
      <c r="B30" s="183">
        <f>SAO!E25</f>
        <v>12363.91</v>
      </c>
      <c r="C30" s="170"/>
      <c r="D30" s="152">
        <f t="shared" ref="D30:D31" si="0">B30*$D$26</f>
        <v>2063.2815638122684</v>
      </c>
      <c r="F30" s="21"/>
    </row>
    <row r="31" spans="1:7" ht="14.25" x14ac:dyDescent="0.45">
      <c r="A31" s="1" t="str">
        <f>SAO!C27</f>
        <v>Chemicals</v>
      </c>
      <c r="B31" s="184">
        <f>SAO!D27</f>
        <v>0</v>
      </c>
      <c r="C31" s="171"/>
      <c r="D31" s="172">
        <f t="shared" si="0"/>
        <v>0</v>
      </c>
    </row>
    <row r="32" spans="1:7" ht="14.25" x14ac:dyDescent="0.45">
      <c r="A32" s="1" t="s">
        <v>12</v>
      </c>
      <c r="B32" s="183">
        <f>SUM(B29:B31)</f>
        <v>476738.91</v>
      </c>
      <c r="C32" s="171"/>
      <c r="D32" s="183">
        <f>SUM(D29:D31)</f>
        <v>79557.890970975714</v>
      </c>
    </row>
    <row r="33" spans="1:4" ht="14.25" x14ac:dyDescent="0.45">
      <c r="A33" s="1"/>
      <c r="B33" s="183"/>
      <c r="C33" s="171"/>
      <c r="D33" s="183"/>
    </row>
    <row r="34" spans="1:4" ht="14.25" x14ac:dyDescent="0.45">
      <c r="A34" s="1" t="s">
        <v>194</v>
      </c>
      <c r="B34" s="7"/>
      <c r="C34" s="171"/>
      <c r="D34" s="152"/>
    </row>
    <row r="35" spans="1:4" ht="14.25" x14ac:dyDescent="0.45">
      <c r="A35" s="1" t="s">
        <v>169</v>
      </c>
      <c r="B35" s="7"/>
      <c r="C35" s="171"/>
      <c r="D35" s="187">
        <f>D32</f>
        <v>79557.890970975714</v>
      </c>
    </row>
    <row r="36" spans="1:4" ht="14.25" x14ac:dyDescent="0.45">
      <c r="A36" s="1" t="s">
        <v>172</v>
      </c>
      <c r="B36" s="7"/>
      <c r="C36" s="6"/>
      <c r="D36" s="28">
        <f>ExBA!E4</f>
        <v>22519</v>
      </c>
    </row>
    <row r="37" spans="1:4" ht="14.25" x14ac:dyDescent="0.45">
      <c r="A37" s="1" t="s">
        <v>170</v>
      </c>
      <c r="B37" s="7"/>
      <c r="C37" s="171"/>
      <c r="D37" s="152">
        <f>D35/D36</f>
        <v>3.5329229082541724</v>
      </c>
    </row>
  </sheetData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I26"/>
  <sheetViews>
    <sheetView showGridLines="0" workbookViewId="0">
      <selection activeCell="K27" sqref="A1:K27"/>
    </sheetView>
  </sheetViews>
  <sheetFormatPr defaultColWidth="8.88671875" defaultRowHeight="14.25" x14ac:dyDescent="0.45"/>
  <cols>
    <col min="1" max="1" width="3.0546875" style="25" customWidth="1"/>
    <col min="2" max="2" width="18" style="25" customWidth="1"/>
    <col min="3" max="3" width="11.109375" style="25" customWidth="1"/>
    <col min="4" max="4" width="8.44140625" style="208" customWidth="1"/>
    <col min="5" max="5" width="15.77734375" style="25" bestFit="1" customWidth="1"/>
    <col min="6" max="6" width="9.6640625" style="210" customWidth="1"/>
    <col min="7" max="7" width="15.77734375" style="25" bestFit="1" customWidth="1"/>
    <col min="8" max="8" width="9.6640625" style="208" customWidth="1"/>
    <col min="9" max="9" width="9.6640625" style="189" customWidth="1"/>
    <col min="10" max="10" width="2.77734375" style="25" customWidth="1"/>
    <col min="11" max="11" width="2.5546875" style="25" customWidth="1"/>
    <col min="12" max="12" width="9.6640625" style="168" customWidth="1"/>
    <col min="13" max="191" width="9.6640625" style="25" customWidth="1"/>
    <col min="192" max="16384" width="8.88671875" style="17"/>
  </cols>
  <sheetData>
    <row r="1" spans="2:14" ht="14.65" thickBot="1" x14ac:dyDescent="0.5"/>
    <row r="2" spans="2:14" ht="18" customHeight="1" x14ac:dyDescent="0.55000000000000004">
      <c r="B2" s="272"/>
      <c r="C2" s="273"/>
      <c r="D2" s="273"/>
      <c r="E2" s="273"/>
      <c r="F2" s="273"/>
      <c r="G2" s="273"/>
      <c r="H2" s="273"/>
      <c r="I2" s="273"/>
      <c r="J2" s="274"/>
    </row>
    <row r="3" spans="2:14" ht="18" hidden="1" customHeight="1" x14ac:dyDescent="0.55000000000000004">
      <c r="B3" s="288" t="s">
        <v>69</v>
      </c>
      <c r="C3" s="289"/>
      <c r="D3" s="289"/>
      <c r="E3" s="289"/>
      <c r="F3" s="289"/>
      <c r="G3" s="289"/>
      <c r="H3" s="289"/>
      <c r="I3" s="289"/>
      <c r="J3" s="290"/>
    </row>
    <row r="4" spans="2:14" ht="18" hidden="1" customHeight="1" x14ac:dyDescent="0.45">
      <c r="B4" s="199"/>
      <c r="J4" s="200"/>
    </row>
    <row r="5" spans="2:14" ht="21" x14ac:dyDescent="0.65">
      <c r="B5" s="275" t="s">
        <v>50</v>
      </c>
      <c r="C5" s="276"/>
      <c r="D5" s="276"/>
      <c r="E5" s="276"/>
      <c r="F5" s="276"/>
      <c r="G5" s="276"/>
      <c r="H5" s="276"/>
      <c r="I5" s="276"/>
      <c r="J5" s="277"/>
    </row>
    <row r="6" spans="2:14" ht="18" hidden="1" x14ac:dyDescent="0.55000000000000004">
      <c r="B6" s="284" t="s">
        <v>285</v>
      </c>
      <c r="C6" s="266"/>
      <c r="D6" s="266"/>
      <c r="E6" s="266"/>
      <c r="F6" s="266"/>
      <c r="G6" s="266"/>
      <c r="H6" s="266"/>
      <c r="I6" s="266"/>
      <c r="J6" s="285"/>
    </row>
    <row r="7" spans="2:14" ht="18" customHeight="1" x14ac:dyDescent="0.45">
      <c r="B7" s="278" t="s">
        <v>211</v>
      </c>
      <c r="C7" s="279"/>
      <c r="D7" s="279"/>
      <c r="E7" s="279"/>
      <c r="F7" s="279"/>
      <c r="G7" s="279"/>
      <c r="H7" s="279"/>
      <c r="I7" s="279"/>
      <c r="J7" s="280"/>
    </row>
    <row r="8" spans="2:14" ht="30.4" customHeight="1" x14ac:dyDescent="0.75">
      <c r="B8" s="281" t="s">
        <v>212</v>
      </c>
      <c r="C8" s="282"/>
      <c r="D8" s="283" t="s">
        <v>51</v>
      </c>
      <c r="E8" s="282"/>
      <c r="F8" s="283" t="s">
        <v>10</v>
      </c>
      <c r="G8" s="282"/>
      <c r="H8" s="283" t="s">
        <v>63</v>
      </c>
      <c r="I8" s="283"/>
      <c r="J8" s="201"/>
      <c r="M8" s="27"/>
    </row>
    <row r="9" spans="2:14" ht="14.25" customHeight="1" x14ac:dyDescent="0.75">
      <c r="B9" s="227"/>
      <c r="C9" s="226"/>
      <c r="D9" s="225"/>
      <c r="E9" s="226"/>
      <c r="F9" s="225"/>
      <c r="G9" s="226"/>
      <c r="H9" s="225"/>
      <c r="I9" s="225"/>
      <c r="J9" s="201"/>
      <c r="M9" s="27"/>
    </row>
    <row r="10" spans="2:14" x14ac:dyDescent="0.45">
      <c r="B10" s="286" t="s">
        <v>216</v>
      </c>
      <c r="C10" s="287"/>
      <c r="E10" s="27"/>
      <c r="F10" s="211"/>
      <c r="G10" s="27"/>
      <c r="J10" s="203"/>
      <c r="M10" s="169"/>
      <c r="N10" s="169"/>
    </row>
    <row r="11" spans="2:14" x14ac:dyDescent="0.45">
      <c r="B11" s="202" t="s">
        <v>185</v>
      </c>
      <c r="C11" s="26" t="s">
        <v>200</v>
      </c>
      <c r="D11" s="27">
        <v>15.01</v>
      </c>
      <c r="E11" s="27" t="s">
        <v>197</v>
      </c>
      <c r="F11" s="224">
        <f>ROUND(D11*(1+SAO!$G$59),2)</f>
        <v>16.079999999999998</v>
      </c>
      <c r="G11" s="27" t="s">
        <v>197</v>
      </c>
      <c r="H11" s="27">
        <f t="shared" ref="H11:H12" si="0">F11-D11</f>
        <v>1.0699999999999985</v>
      </c>
      <c r="I11" s="189">
        <f t="shared" ref="I11:I12" si="1">H11/D11</f>
        <v>7.1285809460359659E-2</v>
      </c>
      <c r="J11" s="203"/>
      <c r="M11" s="169"/>
      <c r="N11" s="169"/>
    </row>
    <row r="12" spans="2:14" x14ac:dyDescent="0.45">
      <c r="B12" s="202" t="s">
        <v>186</v>
      </c>
      <c r="C12" s="26" t="s">
        <v>199</v>
      </c>
      <c r="D12" s="231">
        <v>9.4800000000000006E-3</v>
      </c>
      <c r="E12" s="27" t="s">
        <v>215</v>
      </c>
      <c r="F12" s="232">
        <f>ROUND(D12*(1+SAO!$G$59),5)</f>
        <v>1.0160000000000001E-2</v>
      </c>
      <c r="G12" s="27" t="s">
        <v>215</v>
      </c>
      <c r="H12" s="231">
        <f t="shared" si="0"/>
        <v>6.8000000000000005E-4</v>
      </c>
      <c r="I12" s="189">
        <f t="shared" si="1"/>
        <v>7.1729957805907171E-2</v>
      </c>
      <c r="J12" s="203"/>
      <c r="M12" s="169"/>
      <c r="N12" s="169"/>
    </row>
    <row r="13" spans="2:14" x14ac:dyDescent="0.45">
      <c r="B13" s="202" t="s">
        <v>186</v>
      </c>
      <c r="C13" s="26" t="s">
        <v>213</v>
      </c>
      <c r="D13" s="231">
        <v>8.0700000000000008E-3</v>
      </c>
      <c r="E13" s="27" t="s">
        <v>215</v>
      </c>
      <c r="F13" s="232">
        <f>ROUND(D13*(1+SAO!$G$59),5)</f>
        <v>8.6499999999999997E-3</v>
      </c>
      <c r="G13" s="27" t="s">
        <v>215</v>
      </c>
      <c r="H13" s="231">
        <f t="shared" ref="H13" si="2">F13-D13</f>
        <v>5.7999999999999892E-4</v>
      </c>
      <c r="I13" s="189">
        <f t="shared" ref="I13" si="3">H13/D13</f>
        <v>7.1871127633209284E-2</v>
      </c>
      <c r="J13" s="203"/>
      <c r="M13" s="169"/>
      <c r="N13" s="169"/>
    </row>
    <row r="14" spans="2:14" x14ac:dyDescent="0.45">
      <c r="B14" s="202" t="s">
        <v>198</v>
      </c>
      <c r="C14" s="26" t="s">
        <v>214</v>
      </c>
      <c r="D14" s="231">
        <v>7.3899999999999999E-3</v>
      </c>
      <c r="E14" s="27" t="s">
        <v>215</v>
      </c>
      <c r="F14" s="232">
        <f>ROUND(D14*(1+SAO!$G$59),5)</f>
        <v>7.92E-3</v>
      </c>
      <c r="G14" s="27" t="s">
        <v>215</v>
      </c>
      <c r="H14" s="231">
        <f t="shared" ref="H14:H25" si="4">F14-D14</f>
        <v>5.3000000000000009E-4</v>
      </c>
      <c r="I14" s="189">
        <f t="shared" ref="I14" si="5">H14/D14</f>
        <v>7.1718538565629236E-2</v>
      </c>
      <c r="J14" s="200"/>
    </row>
    <row r="15" spans="2:14" x14ac:dyDescent="0.45">
      <c r="B15" s="202"/>
      <c r="C15" s="26"/>
      <c r="D15" s="231"/>
      <c r="E15" s="27"/>
      <c r="F15" s="211"/>
      <c r="G15" s="27"/>
      <c r="J15" s="200"/>
    </row>
    <row r="16" spans="2:14" x14ac:dyDescent="0.45">
      <c r="B16" s="286" t="s">
        <v>217</v>
      </c>
      <c r="C16" s="287"/>
      <c r="E16" s="27"/>
      <c r="F16" s="211"/>
      <c r="G16" s="27"/>
      <c r="J16" s="200"/>
    </row>
    <row r="17" spans="2:10" x14ac:dyDescent="0.45">
      <c r="B17" s="202" t="s">
        <v>185</v>
      </c>
      <c r="C17" s="26" t="s">
        <v>219</v>
      </c>
      <c r="D17" s="27">
        <v>50.11</v>
      </c>
      <c r="E17" s="27" t="s">
        <v>197</v>
      </c>
      <c r="F17" s="224">
        <f>F11+2000*F12+2000*F13</f>
        <v>53.7</v>
      </c>
      <c r="G17" s="27" t="s">
        <v>197</v>
      </c>
      <c r="H17" s="27">
        <f t="shared" ref="H17:H19" si="6">F17-D17</f>
        <v>3.5900000000000034</v>
      </c>
      <c r="I17" s="189">
        <f t="shared" ref="I17:I19" si="7">H17/D17</f>
        <v>7.1642386749151937E-2</v>
      </c>
      <c r="J17" s="200"/>
    </row>
    <row r="18" spans="2:10" x14ac:dyDescent="0.45">
      <c r="B18" s="202" t="s">
        <v>186</v>
      </c>
      <c r="C18" s="26" t="s">
        <v>219</v>
      </c>
      <c r="D18" s="231">
        <v>8.0700000000000008E-3</v>
      </c>
      <c r="E18" s="27" t="s">
        <v>215</v>
      </c>
      <c r="F18" s="232">
        <f>ROUND(D18*(1+SAO!$G$59),5)</f>
        <v>8.6499999999999997E-3</v>
      </c>
      <c r="G18" s="27" t="s">
        <v>215</v>
      </c>
      <c r="H18" s="231">
        <f t="shared" si="6"/>
        <v>5.7999999999999892E-4</v>
      </c>
      <c r="I18" s="189">
        <f t="shared" si="7"/>
        <v>7.1871127633209284E-2</v>
      </c>
      <c r="J18" s="200"/>
    </row>
    <row r="19" spans="2:10" x14ac:dyDescent="0.45">
      <c r="B19" s="202" t="s">
        <v>198</v>
      </c>
      <c r="C19" s="26" t="s">
        <v>214</v>
      </c>
      <c r="D19" s="231">
        <v>7.3899999999999999E-3</v>
      </c>
      <c r="E19" s="27" t="s">
        <v>215</v>
      </c>
      <c r="F19" s="232">
        <f>ROUND(D19*(1+SAO!$G$59),5)</f>
        <v>7.92E-3</v>
      </c>
      <c r="G19" s="27" t="s">
        <v>215</v>
      </c>
      <c r="H19" s="231">
        <f t="shared" si="6"/>
        <v>5.3000000000000009E-4</v>
      </c>
      <c r="I19" s="189">
        <f t="shared" si="7"/>
        <v>7.1718538565629236E-2</v>
      </c>
      <c r="J19" s="200"/>
    </row>
    <row r="20" spans="2:10" x14ac:dyDescent="0.45">
      <c r="B20" s="202"/>
      <c r="C20" s="26"/>
      <c r="D20" s="231"/>
      <c r="E20" s="27"/>
      <c r="F20" s="211"/>
      <c r="G20" s="27"/>
      <c r="J20" s="200"/>
    </row>
    <row r="21" spans="2:10" x14ac:dyDescent="0.45">
      <c r="B21" s="286" t="s">
        <v>218</v>
      </c>
      <c r="C21" s="287"/>
      <c r="E21" s="27"/>
      <c r="F21" s="211"/>
      <c r="G21" s="27"/>
      <c r="J21" s="200"/>
    </row>
    <row r="22" spans="2:10" x14ac:dyDescent="0.45">
      <c r="B22" s="202" t="s">
        <v>185</v>
      </c>
      <c r="C22" s="26" t="s">
        <v>220</v>
      </c>
      <c r="D22" s="27">
        <v>164.36</v>
      </c>
      <c r="E22" s="27" t="s">
        <v>197</v>
      </c>
      <c r="F22" s="224">
        <f>F17+5000*F18+10000*F19</f>
        <v>176.15</v>
      </c>
      <c r="G22" s="27" t="s">
        <v>197</v>
      </c>
      <c r="H22" s="27">
        <f t="shared" ref="H22:H23" si="8">F22-D22</f>
        <v>11.789999999999992</v>
      </c>
      <c r="I22" s="189">
        <f t="shared" ref="I22:I23" si="9">H22/D22</f>
        <v>7.1732781698710099E-2</v>
      </c>
      <c r="J22" s="200"/>
    </row>
    <row r="23" spans="2:10" x14ac:dyDescent="0.45">
      <c r="B23" s="202" t="s">
        <v>198</v>
      </c>
      <c r="C23" s="26" t="s">
        <v>220</v>
      </c>
      <c r="D23" s="231">
        <v>7.3899999999999999E-3</v>
      </c>
      <c r="E23" s="27" t="s">
        <v>215</v>
      </c>
      <c r="F23" s="232">
        <f>ROUND(D23*(1+SAO!$G$59),5)</f>
        <v>7.92E-3</v>
      </c>
      <c r="G23" s="27" t="s">
        <v>215</v>
      </c>
      <c r="H23" s="231">
        <f t="shared" si="8"/>
        <v>5.3000000000000009E-4</v>
      </c>
      <c r="I23" s="189">
        <f t="shared" si="9"/>
        <v>7.1718538565629236E-2</v>
      </c>
      <c r="J23" s="200"/>
    </row>
    <row r="24" spans="2:10" x14ac:dyDescent="0.45">
      <c r="B24" s="202"/>
      <c r="C24" s="26"/>
      <c r="D24" s="231"/>
      <c r="E24" s="27"/>
      <c r="F24" s="211"/>
      <c r="G24" s="27"/>
      <c r="J24" s="200"/>
    </row>
    <row r="25" spans="2:10" x14ac:dyDescent="0.45">
      <c r="B25" s="202" t="s">
        <v>205</v>
      </c>
      <c r="C25" s="26"/>
      <c r="D25" s="27">
        <v>0</v>
      </c>
      <c r="E25" s="27" t="s">
        <v>206</v>
      </c>
      <c r="F25" s="224">
        <f>'Water Loss'!D37</f>
        <v>3.5329229082541724</v>
      </c>
      <c r="G25" s="27" t="s">
        <v>206</v>
      </c>
      <c r="H25" s="27">
        <f t="shared" si="4"/>
        <v>3.5329229082541724</v>
      </c>
      <c r="I25" s="189">
        <v>1</v>
      </c>
      <c r="J25" s="200"/>
    </row>
    <row r="26" spans="2:10" ht="14.65" thickBot="1" x14ac:dyDescent="0.5">
      <c r="B26" s="204"/>
      <c r="C26" s="205"/>
      <c r="D26" s="209"/>
      <c r="E26" s="205"/>
      <c r="F26" s="212"/>
      <c r="G26" s="205"/>
      <c r="H26" s="209"/>
      <c r="I26" s="206"/>
      <c r="J26" s="207"/>
    </row>
  </sheetData>
  <mergeCells count="12">
    <mergeCell ref="B10:C10"/>
    <mergeCell ref="B16:C16"/>
    <mergeCell ref="B21:C21"/>
    <mergeCell ref="B3:J3"/>
    <mergeCell ref="D8:E8"/>
    <mergeCell ref="F8:G8"/>
    <mergeCell ref="B2:J2"/>
    <mergeCell ref="B5:J5"/>
    <mergeCell ref="B7:J7"/>
    <mergeCell ref="B8:C8"/>
    <mergeCell ref="H8:I8"/>
    <mergeCell ref="B6:J6"/>
  </mergeCells>
  <printOptions horizontalCentered="1"/>
  <pageMargins left="0.55000000000000004" right="0.55000000000000004" top="1.6" bottom="0.5" header="0" footer="0"/>
  <pageSetup scale="99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FE98C-1FA7-4D07-A190-82C968111D68}">
  <sheetPr>
    <pageSetUpPr fitToPage="1"/>
  </sheetPr>
  <dimension ref="A1:GI26"/>
  <sheetViews>
    <sheetView showGridLines="0" workbookViewId="0">
      <selection sqref="A1:K27"/>
    </sheetView>
  </sheetViews>
  <sheetFormatPr defaultColWidth="8.88671875" defaultRowHeight="14.25" x14ac:dyDescent="0.45"/>
  <cols>
    <col min="1" max="1" width="3.0546875" style="25" customWidth="1"/>
    <col min="2" max="2" width="18" style="25" customWidth="1"/>
    <col min="3" max="3" width="11.109375" style="25" customWidth="1"/>
    <col min="4" max="4" width="8.44140625" style="208" customWidth="1"/>
    <col min="5" max="5" width="15.77734375" style="25" bestFit="1" customWidth="1"/>
    <col min="6" max="6" width="9.6640625" style="210" customWidth="1"/>
    <col min="7" max="7" width="15.77734375" style="25" bestFit="1" customWidth="1"/>
    <col min="8" max="8" width="9.6640625" style="208" customWidth="1"/>
    <col min="9" max="9" width="9.6640625" style="189" customWidth="1"/>
    <col min="10" max="10" width="2.77734375" style="25" customWidth="1"/>
    <col min="11" max="11" width="2.5546875" style="25" customWidth="1"/>
    <col min="12" max="12" width="9.6640625" style="168" customWidth="1"/>
    <col min="13" max="191" width="9.6640625" style="25" customWidth="1"/>
    <col min="192" max="16384" width="8.88671875" style="17"/>
  </cols>
  <sheetData>
    <row r="1" spans="2:14" ht="14.65" thickBot="1" x14ac:dyDescent="0.5"/>
    <row r="2" spans="2:14" ht="18" customHeight="1" x14ac:dyDescent="0.55000000000000004">
      <c r="B2" s="272"/>
      <c r="C2" s="273"/>
      <c r="D2" s="273"/>
      <c r="E2" s="273"/>
      <c r="F2" s="273"/>
      <c r="G2" s="273"/>
      <c r="H2" s="273"/>
      <c r="I2" s="273"/>
      <c r="J2" s="274"/>
    </row>
    <row r="3" spans="2:14" ht="18" hidden="1" customHeight="1" x14ac:dyDescent="0.55000000000000004">
      <c r="B3" s="288" t="s">
        <v>69</v>
      </c>
      <c r="C3" s="289"/>
      <c r="D3" s="289"/>
      <c r="E3" s="289"/>
      <c r="F3" s="289"/>
      <c r="G3" s="289"/>
      <c r="H3" s="289"/>
      <c r="I3" s="289"/>
      <c r="J3" s="290"/>
    </row>
    <row r="4" spans="2:14" ht="18" hidden="1" customHeight="1" x14ac:dyDescent="0.45">
      <c r="B4" s="199"/>
      <c r="J4" s="200"/>
    </row>
    <row r="5" spans="2:14" ht="21" x14ac:dyDescent="0.65">
      <c r="B5" s="275" t="s">
        <v>50</v>
      </c>
      <c r="C5" s="276"/>
      <c r="D5" s="276"/>
      <c r="E5" s="276"/>
      <c r="F5" s="276"/>
      <c r="G5" s="276"/>
      <c r="H5" s="276"/>
      <c r="I5" s="276"/>
      <c r="J5" s="277"/>
    </row>
    <row r="6" spans="2:14" ht="18" hidden="1" x14ac:dyDescent="0.55000000000000004">
      <c r="B6" s="284" t="s">
        <v>286</v>
      </c>
      <c r="C6" s="266"/>
      <c r="D6" s="266"/>
      <c r="E6" s="266"/>
      <c r="F6" s="266"/>
      <c r="G6" s="266"/>
      <c r="H6" s="266"/>
      <c r="I6" s="266"/>
      <c r="J6" s="285"/>
    </row>
    <row r="7" spans="2:14" ht="18" customHeight="1" x14ac:dyDescent="0.45">
      <c r="B7" s="278" t="s">
        <v>211</v>
      </c>
      <c r="C7" s="279"/>
      <c r="D7" s="279"/>
      <c r="E7" s="279"/>
      <c r="F7" s="279"/>
      <c r="G7" s="279"/>
      <c r="H7" s="279"/>
      <c r="I7" s="279"/>
      <c r="J7" s="280"/>
    </row>
    <row r="8" spans="2:14" ht="30.4" customHeight="1" x14ac:dyDescent="0.75">
      <c r="B8" s="281" t="s">
        <v>212</v>
      </c>
      <c r="C8" s="282"/>
      <c r="D8" s="283" t="s">
        <v>51</v>
      </c>
      <c r="E8" s="282"/>
      <c r="F8" s="283" t="s">
        <v>10</v>
      </c>
      <c r="G8" s="282"/>
      <c r="H8" s="283" t="s">
        <v>63</v>
      </c>
      <c r="I8" s="283"/>
      <c r="J8" s="201"/>
      <c r="M8" s="27"/>
    </row>
    <row r="9" spans="2:14" ht="14.25" customHeight="1" x14ac:dyDescent="0.75">
      <c r="B9" s="227"/>
      <c r="C9" s="226"/>
      <c r="D9" s="225"/>
      <c r="E9" s="226"/>
      <c r="F9" s="225"/>
      <c r="G9" s="226"/>
      <c r="H9" s="225"/>
      <c r="I9" s="225"/>
      <c r="J9" s="201"/>
      <c r="M9" s="27"/>
    </row>
    <row r="10" spans="2:14" x14ac:dyDescent="0.45">
      <c r="B10" s="286" t="s">
        <v>216</v>
      </c>
      <c r="C10" s="287"/>
      <c r="E10" s="27"/>
      <c r="F10" s="211"/>
      <c r="G10" s="27"/>
      <c r="J10" s="203"/>
      <c r="M10" s="169"/>
      <c r="N10" s="169"/>
    </row>
    <row r="11" spans="2:14" x14ac:dyDescent="0.45">
      <c r="B11" s="202" t="s">
        <v>185</v>
      </c>
      <c r="C11" s="26" t="s">
        <v>200</v>
      </c>
      <c r="D11" s="27">
        <v>15.01</v>
      </c>
      <c r="E11" s="27" t="s">
        <v>197</v>
      </c>
      <c r="F11" s="224">
        <f>ROUND(D11*(1+SAO!$G$72),2)</f>
        <v>17.3</v>
      </c>
      <c r="G11" s="27" t="s">
        <v>197</v>
      </c>
      <c r="H11" s="27">
        <f t="shared" ref="H11:H25" si="0">F11-D11</f>
        <v>2.2900000000000009</v>
      </c>
      <c r="I11" s="189">
        <f t="shared" ref="I11:I14" si="1">H11/D11</f>
        <v>0.15256495669553638</v>
      </c>
      <c r="J11" s="203"/>
      <c r="M11" s="169"/>
      <c r="N11" s="169"/>
    </row>
    <row r="12" spans="2:14" x14ac:dyDescent="0.45">
      <c r="B12" s="202" t="s">
        <v>186</v>
      </c>
      <c r="C12" s="26" t="s">
        <v>199</v>
      </c>
      <c r="D12" s="231">
        <v>9.4800000000000006E-3</v>
      </c>
      <c r="E12" s="27" t="s">
        <v>215</v>
      </c>
      <c r="F12" s="232">
        <f>ROUND(D12*(1+SAO!$G$72),5)</f>
        <v>1.093E-2</v>
      </c>
      <c r="G12" s="27" t="s">
        <v>215</v>
      </c>
      <c r="H12" s="231">
        <f t="shared" si="0"/>
        <v>1.4499999999999999E-3</v>
      </c>
      <c r="I12" s="189">
        <f t="shared" si="1"/>
        <v>0.15295358649789029</v>
      </c>
      <c r="J12" s="203"/>
      <c r="M12" s="169"/>
      <c r="N12" s="169"/>
    </row>
    <row r="13" spans="2:14" x14ac:dyDescent="0.45">
      <c r="B13" s="202" t="s">
        <v>186</v>
      </c>
      <c r="C13" s="26" t="s">
        <v>213</v>
      </c>
      <c r="D13" s="231">
        <v>8.0700000000000008E-3</v>
      </c>
      <c r="E13" s="27" t="s">
        <v>215</v>
      </c>
      <c r="F13" s="232">
        <f>ROUND(D13*(1+SAO!$G$72),5)</f>
        <v>9.2999999999999992E-3</v>
      </c>
      <c r="G13" s="27" t="s">
        <v>215</v>
      </c>
      <c r="H13" s="231">
        <f t="shared" si="0"/>
        <v>1.2299999999999985E-3</v>
      </c>
      <c r="I13" s="189">
        <f t="shared" si="1"/>
        <v>0.15241635687732322</v>
      </c>
      <c r="J13" s="203"/>
      <c r="M13" s="169"/>
      <c r="N13" s="169"/>
    </row>
    <row r="14" spans="2:14" x14ac:dyDescent="0.45">
      <c r="B14" s="202" t="s">
        <v>198</v>
      </c>
      <c r="C14" s="26" t="s">
        <v>214</v>
      </c>
      <c r="D14" s="231">
        <v>7.3899999999999999E-3</v>
      </c>
      <c r="E14" s="27" t="s">
        <v>215</v>
      </c>
      <c r="F14" s="232">
        <f>ROUND(D14*(1+SAO!$G$72),5)</f>
        <v>8.5199999999999998E-3</v>
      </c>
      <c r="G14" s="27" t="s">
        <v>215</v>
      </c>
      <c r="H14" s="231">
        <f t="shared" si="0"/>
        <v>1.1299999999999999E-3</v>
      </c>
      <c r="I14" s="189">
        <f t="shared" si="1"/>
        <v>0.15290933694181325</v>
      </c>
      <c r="J14" s="200"/>
    </row>
    <row r="15" spans="2:14" x14ac:dyDescent="0.45">
      <c r="B15" s="202"/>
      <c r="C15" s="26"/>
      <c r="D15" s="231"/>
      <c r="E15" s="27"/>
      <c r="F15" s="211"/>
      <c r="G15" s="27"/>
      <c r="J15" s="200"/>
    </row>
    <row r="16" spans="2:14" x14ac:dyDescent="0.45">
      <c r="B16" s="286" t="s">
        <v>217</v>
      </c>
      <c r="C16" s="287"/>
      <c r="E16" s="27"/>
      <c r="F16" s="211"/>
      <c r="G16" s="27"/>
      <c r="J16" s="200"/>
    </row>
    <row r="17" spans="2:10" x14ac:dyDescent="0.45">
      <c r="B17" s="202" t="s">
        <v>185</v>
      </c>
      <c r="C17" s="26" t="s">
        <v>219</v>
      </c>
      <c r="D17" s="27">
        <v>50.11</v>
      </c>
      <c r="E17" s="27" t="s">
        <v>197</v>
      </c>
      <c r="F17" s="224">
        <f>F11+2000*F12+2000*F13</f>
        <v>57.759999999999991</v>
      </c>
      <c r="G17" s="27" t="s">
        <v>197</v>
      </c>
      <c r="H17" s="27">
        <f t="shared" ref="H17:H19" si="2">F17-D17</f>
        <v>7.6499999999999915</v>
      </c>
      <c r="I17" s="189">
        <f t="shared" ref="I17:I19" si="3">H17/D17</f>
        <v>0.15266413889443209</v>
      </c>
      <c r="J17" s="200"/>
    </row>
    <row r="18" spans="2:10" x14ac:dyDescent="0.45">
      <c r="B18" s="202" t="s">
        <v>186</v>
      </c>
      <c r="C18" s="26" t="s">
        <v>219</v>
      </c>
      <c r="D18" s="231">
        <v>8.0700000000000008E-3</v>
      </c>
      <c r="E18" s="27" t="s">
        <v>215</v>
      </c>
      <c r="F18" s="232">
        <f>ROUND(D18*(1+SAO!$G$72),5)</f>
        <v>9.2999999999999992E-3</v>
      </c>
      <c r="G18" s="27" t="s">
        <v>215</v>
      </c>
      <c r="H18" s="231">
        <f t="shared" si="2"/>
        <v>1.2299999999999985E-3</v>
      </c>
      <c r="I18" s="189">
        <f t="shared" si="3"/>
        <v>0.15241635687732322</v>
      </c>
      <c r="J18" s="200"/>
    </row>
    <row r="19" spans="2:10" x14ac:dyDescent="0.45">
      <c r="B19" s="202" t="s">
        <v>198</v>
      </c>
      <c r="C19" s="26" t="s">
        <v>214</v>
      </c>
      <c r="D19" s="231">
        <v>7.3899999999999999E-3</v>
      </c>
      <c r="E19" s="27" t="s">
        <v>215</v>
      </c>
      <c r="F19" s="232">
        <f>ROUND(D19*(1+SAO!$G$72),5)</f>
        <v>8.5199999999999998E-3</v>
      </c>
      <c r="G19" s="27" t="s">
        <v>215</v>
      </c>
      <c r="H19" s="231">
        <f t="shared" si="2"/>
        <v>1.1299999999999999E-3</v>
      </c>
      <c r="I19" s="189">
        <f t="shared" si="3"/>
        <v>0.15290933694181325</v>
      </c>
      <c r="J19" s="200"/>
    </row>
    <row r="20" spans="2:10" x14ac:dyDescent="0.45">
      <c r="B20" s="202"/>
      <c r="C20" s="26"/>
      <c r="D20" s="231"/>
      <c r="E20" s="27"/>
      <c r="F20" s="211"/>
      <c r="G20" s="27"/>
      <c r="J20" s="200"/>
    </row>
    <row r="21" spans="2:10" x14ac:dyDescent="0.45">
      <c r="B21" s="286" t="s">
        <v>218</v>
      </c>
      <c r="C21" s="287"/>
      <c r="E21" s="27"/>
      <c r="F21" s="211"/>
      <c r="G21" s="27"/>
      <c r="J21" s="200"/>
    </row>
    <row r="22" spans="2:10" x14ac:dyDescent="0.45">
      <c r="B22" s="202" t="s">
        <v>185</v>
      </c>
      <c r="C22" s="26" t="s">
        <v>220</v>
      </c>
      <c r="D22" s="27">
        <v>164.36</v>
      </c>
      <c r="E22" s="27" t="s">
        <v>197</v>
      </c>
      <c r="F22" s="224">
        <f>F17+5000*F18+10000*F19</f>
        <v>189.45999999999998</v>
      </c>
      <c r="G22" s="27" t="s">
        <v>197</v>
      </c>
      <c r="H22" s="27">
        <f t="shared" ref="H22:H23" si="4">F22-D22</f>
        <v>25.099999999999966</v>
      </c>
      <c r="I22" s="189">
        <f t="shared" ref="I22:I23" si="5">H22/D22</f>
        <v>0.15271355560963717</v>
      </c>
      <c r="J22" s="200"/>
    </row>
    <row r="23" spans="2:10" x14ac:dyDescent="0.45">
      <c r="B23" s="202" t="s">
        <v>198</v>
      </c>
      <c r="C23" s="26" t="s">
        <v>220</v>
      </c>
      <c r="D23" s="231">
        <v>7.3899999999999999E-3</v>
      </c>
      <c r="E23" s="27" t="s">
        <v>215</v>
      </c>
      <c r="F23" s="232">
        <f>ROUND(D23*(1+SAO!$G$72),5)</f>
        <v>8.5199999999999998E-3</v>
      </c>
      <c r="G23" s="27" t="s">
        <v>215</v>
      </c>
      <c r="H23" s="231">
        <f t="shared" si="4"/>
        <v>1.1299999999999999E-3</v>
      </c>
      <c r="I23" s="189">
        <f t="shared" si="5"/>
        <v>0.15290933694181325</v>
      </c>
      <c r="J23" s="200"/>
    </row>
    <row r="24" spans="2:10" x14ac:dyDescent="0.45">
      <c r="B24" s="202"/>
      <c r="C24" s="26"/>
      <c r="D24" s="231"/>
      <c r="E24" s="27"/>
      <c r="F24" s="211"/>
      <c r="G24" s="27"/>
      <c r="J24" s="200"/>
    </row>
    <row r="25" spans="2:10" x14ac:dyDescent="0.45">
      <c r="B25" s="202" t="s">
        <v>205</v>
      </c>
      <c r="C25" s="26"/>
      <c r="D25" s="27">
        <v>0</v>
      </c>
      <c r="E25" s="27" t="s">
        <v>206</v>
      </c>
      <c r="F25" s="224">
        <f>'Water Loss'!D37</f>
        <v>3.5329229082541724</v>
      </c>
      <c r="G25" s="27" t="s">
        <v>206</v>
      </c>
      <c r="H25" s="27">
        <f t="shared" si="0"/>
        <v>3.5329229082541724</v>
      </c>
      <c r="I25" s="189">
        <v>1</v>
      </c>
      <c r="J25" s="200"/>
    </row>
    <row r="26" spans="2:10" ht="14.65" thickBot="1" x14ac:dyDescent="0.5">
      <c r="B26" s="204"/>
      <c r="C26" s="205"/>
      <c r="D26" s="209"/>
      <c r="E26" s="205"/>
      <c r="F26" s="212"/>
      <c r="G26" s="205"/>
      <c r="H26" s="209"/>
      <c r="I26" s="206"/>
      <c r="J26" s="207"/>
    </row>
  </sheetData>
  <mergeCells count="12">
    <mergeCell ref="B10:C10"/>
    <mergeCell ref="B16:C16"/>
    <mergeCell ref="B21:C21"/>
    <mergeCell ref="B2:J2"/>
    <mergeCell ref="B3:J3"/>
    <mergeCell ref="B5:J5"/>
    <mergeCell ref="B6:J6"/>
    <mergeCell ref="B7:J7"/>
    <mergeCell ref="B8:C8"/>
    <mergeCell ref="D8:E8"/>
    <mergeCell ref="F8:G8"/>
    <mergeCell ref="H8:I8"/>
  </mergeCells>
  <printOptions horizontalCentered="1"/>
  <pageMargins left="0.55000000000000004" right="0.55000000000000004" top="1.6" bottom="0.5" header="0" footer="0"/>
  <pageSetup scale="99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O29"/>
  <sheetViews>
    <sheetView showGridLines="0" workbookViewId="0">
      <selection activeCell="J29" sqref="A1:J29"/>
    </sheetView>
  </sheetViews>
  <sheetFormatPr defaultColWidth="8.88671875" defaultRowHeight="14.25" x14ac:dyDescent="0.45"/>
  <cols>
    <col min="1" max="1" width="2.609375" style="7" customWidth="1"/>
    <col min="2" max="2" width="1.77734375" style="7" customWidth="1"/>
    <col min="3" max="4" width="9.77734375" style="7" customWidth="1"/>
    <col min="5" max="6" width="9.77734375" style="191" customWidth="1"/>
    <col min="7" max="8" width="9.77734375" style="7" customWidth="1"/>
    <col min="9" max="9" width="1.77734375" style="7" customWidth="1"/>
    <col min="10" max="10" width="2.5" style="7" customWidth="1"/>
    <col min="11" max="16384" width="8.88671875" style="7"/>
  </cols>
  <sheetData>
    <row r="1" spans="2:11" x14ac:dyDescent="0.45">
      <c r="B1" s="8"/>
      <c r="C1" s="9"/>
      <c r="D1" s="9"/>
      <c r="E1" s="192"/>
      <c r="F1" s="192"/>
      <c r="G1" s="9"/>
      <c r="H1" s="9"/>
      <c r="I1" s="10"/>
    </row>
    <row r="2" spans="2:11" ht="18" x14ac:dyDescent="0.55000000000000004">
      <c r="B2" s="11"/>
      <c r="C2" s="294" t="s">
        <v>168</v>
      </c>
      <c r="D2" s="294"/>
      <c r="E2" s="294"/>
      <c r="F2" s="294"/>
      <c r="G2" s="294"/>
      <c r="H2" s="294"/>
      <c r="I2" s="295"/>
    </row>
    <row r="3" spans="2:11" ht="18" x14ac:dyDescent="0.55000000000000004">
      <c r="B3" s="11"/>
      <c r="C3" s="228"/>
      <c r="D3" s="228"/>
      <c r="E3" s="228"/>
      <c r="F3" s="228"/>
      <c r="G3" s="228"/>
      <c r="H3" s="228"/>
      <c r="I3" s="229"/>
    </row>
    <row r="4" spans="2:11" ht="18" x14ac:dyDescent="0.55000000000000004">
      <c r="B4" s="11"/>
      <c r="C4" s="291" t="s">
        <v>171</v>
      </c>
      <c r="D4" s="291"/>
      <c r="E4" s="291"/>
      <c r="F4" s="291"/>
      <c r="G4" s="291"/>
      <c r="H4" s="291"/>
      <c r="I4" s="292"/>
    </row>
    <row r="5" spans="2:11" ht="18" customHeight="1" x14ac:dyDescent="0.55000000000000004">
      <c r="B5" s="296" t="s">
        <v>285</v>
      </c>
      <c r="C5" s="294"/>
      <c r="D5" s="294"/>
      <c r="E5" s="294"/>
      <c r="F5" s="294"/>
      <c r="G5" s="294"/>
      <c r="H5" s="294"/>
      <c r="I5" s="295"/>
    </row>
    <row r="6" spans="2:11" ht="18" x14ac:dyDescent="0.45">
      <c r="B6" s="11"/>
      <c r="C6" s="279" t="s">
        <v>211</v>
      </c>
      <c r="D6" s="279"/>
      <c r="E6" s="279"/>
      <c r="F6" s="279"/>
      <c r="G6" s="279"/>
      <c r="H6" s="279"/>
      <c r="I6" s="293"/>
    </row>
    <row r="7" spans="2:11" x14ac:dyDescent="0.45">
      <c r="B7" s="13"/>
      <c r="C7" s="5"/>
      <c r="D7" s="5"/>
      <c r="E7" s="193"/>
      <c r="F7" s="193"/>
      <c r="G7" s="5"/>
      <c r="H7" s="5"/>
      <c r="I7" s="14"/>
    </row>
    <row r="8" spans="2:11" ht="6" customHeight="1" x14ac:dyDescent="0.45">
      <c r="B8" s="11"/>
      <c r="C8" s="6"/>
      <c r="D8" s="12"/>
      <c r="E8" s="194"/>
      <c r="F8" s="33"/>
      <c r="G8" s="33"/>
      <c r="H8" s="33"/>
      <c r="I8" s="34"/>
      <c r="J8" s="32"/>
      <c r="K8" s="32"/>
    </row>
    <row r="9" spans="2:11" ht="16.5" x14ac:dyDescent="0.75">
      <c r="B9" s="11"/>
      <c r="C9" s="16" t="s">
        <v>13</v>
      </c>
      <c r="D9" s="31" t="s">
        <v>62</v>
      </c>
      <c r="E9" s="195" t="s">
        <v>24</v>
      </c>
      <c r="F9" s="197" t="s">
        <v>10</v>
      </c>
      <c r="G9" s="16"/>
      <c r="H9" s="16"/>
      <c r="I9" s="31"/>
    </row>
    <row r="10" spans="2:11" ht="16.5" x14ac:dyDescent="0.75">
      <c r="B10" s="11"/>
      <c r="C10" s="16" t="s">
        <v>70</v>
      </c>
      <c r="D10" s="31" t="s">
        <v>66</v>
      </c>
      <c r="E10" s="195" t="s">
        <v>64</v>
      </c>
      <c r="F10" s="197" t="s">
        <v>64</v>
      </c>
      <c r="G10" s="16" t="s">
        <v>25</v>
      </c>
      <c r="H10" s="16" t="s">
        <v>65</v>
      </c>
      <c r="I10" s="31"/>
    </row>
    <row r="11" spans="2:11" x14ac:dyDescent="0.45">
      <c r="B11" s="11"/>
      <c r="C11" s="17">
        <v>0</v>
      </c>
      <c r="D11" s="35" t="s">
        <v>67</v>
      </c>
      <c r="E11" s="196">
        <f>'Rates DSC'!D11</f>
        <v>15.01</v>
      </c>
      <c r="F11" s="196">
        <f>'Rates DSC'!F11</f>
        <v>16.079999999999998</v>
      </c>
      <c r="G11" s="45">
        <f>F11-E11</f>
        <v>1.0699999999999985</v>
      </c>
      <c r="H11" s="67">
        <f>G11/E11</f>
        <v>7.1285809460359659E-2</v>
      </c>
      <c r="I11" s="38"/>
    </row>
    <row r="12" spans="2:11" x14ac:dyDescent="0.45">
      <c r="B12" s="11"/>
      <c r="C12" s="6">
        <v>2000</v>
      </c>
      <c r="D12" s="35" t="s">
        <v>67</v>
      </c>
      <c r="E12" s="196">
        <f>'Rates DSC'!D11+1000*'Rates DSC'!D12</f>
        <v>24.490000000000002</v>
      </c>
      <c r="F12" s="196">
        <f>'Rates DSC'!F11+1000*'Rates DSC'!F12</f>
        <v>26.24</v>
      </c>
      <c r="G12" s="17">
        <f t="shared" ref="G12:G19" si="0">F12-E12</f>
        <v>1.7499999999999964</v>
      </c>
      <c r="H12" s="67">
        <f t="shared" ref="H12:H26" si="1">G12/E12</f>
        <v>7.1457737852184414E-2</v>
      </c>
      <c r="I12" s="38"/>
    </row>
    <row r="13" spans="2:11" x14ac:dyDescent="0.45">
      <c r="B13" s="11"/>
      <c r="C13" s="39">
        <v>4000</v>
      </c>
      <c r="D13" s="40" t="s">
        <v>67</v>
      </c>
      <c r="E13" s="198">
        <f>'Rates DSC'!D11+2000*'Rates DSC'!D12+1000*'Rates DSC'!D13</f>
        <v>42.04</v>
      </c>
      <c r="F13" s="198">
        <f>'Rates DSC'!F11+2000*'Rates DSC'!F12+1000*'Rates DSC'!F13</f>
        <v>45.05</v>
      </c>
      <c r="G13" s="41">
        <f t="shared" si="0"/>
        <v>3.009999999999998</v>
      </c>
      <c r="H13" s="68">
        <f t="shared" si="1"/>
        <v>7.1598477640342481E-2</v>
      </c>
      <c r="I13" s="42"/>
    </row>
    <row r="14" spans="2:11" x14ac:dyDescent="0.45">
      <c r="B14" s="11"/>
      <c r="C14" s="6">
        <v>6000</v>
      </c>
      <c r="D14" s="35" t="s">
        <v>67</v>
      </c>
      <c r="E14" s="196">
        <f>'Rates DSC'!D11+2000*'Rates DSC'!D12+3000*'Rates DSC'!D13</f>
        <v>58.18</v>
      </c>
      <c r="F14" s="196">
        <f>'Rates DSC'!F11+2000*'Rates DSC'!F12+3000*'Rates DSC'!F13</f>
        <v>62.349999999999994</v>
      </c>
      <c r="G14" s="17">
        <f t="shared" si="0"/>
        <v>4.1699999999999946</v>
      </c>
      <c r="H14" s="67">
        <f t="shared" si="1"/>
        <v>7.1674114816087917E-2</v>
      </c>
      <c r="I14" s="38"/>
    </row>
    <row r="15" spans="2:11" x14ac:dyDescent="0.45">
      <c r="B15" s="11"/>
      <c r="C15" s="6">
        <v>8000</v>
      </c>
      <c r="D15" s="35" t="s">
        <v>67</v>
      </c>
      <c r="E15" s="196">
        <f>'Rates DSC'!D11+2000*'Rates DSC'!D12+5000*'Rates DSC'!D13</f>
        <v>74.319999999999993</v>
      </c>
      <c r="F15" s="196">
        <f>'Rates DSC'!F11+2000*'Rates DSC'!F12+5000*'Rates DSC'!F13</f>
        <v>79.650000000000006</v>
      </c>
      <c r="G15" s="17">
        <f t="shared" si="0"/>
        <v>5.3300000000000125</v>
      </c>
      <c r="H15" s="67">
        <f t="shared" si="1"/>
        <v>7.171689989235755E-2</v>
      </c>
      <c r="I15" s="38"/>
    </row>
    <row r="16" spans="2:11" x14ac:dyDescent="0.45">
      <c r="B16" s="11"/>
      <c r="C16" s="6">
        <v>10000</v>
      </c>
      <c r="D16" s="35" t="s">
        <v>67</v>
      </c>
      <c r="E16" s="196">
        <f>'Rates DSC'!D11+2000*'Rates DSC'!D12+7000*'Rates DSC'!D13</f>
        <v>90.460000000000008</v>
      </c>
      <c r="F16" s="196">
        <f>'Rates DSC'!F11+2000*'Rates DSC'!F12+7000*'Rates DSC'!F13</f>
        <v>96.949999999999989</v>
      </c>
      <c r="G16" s="17">
        <f t="shared" si="0"/>
        <v>6.4899999999999807</v>
      </c>
      <c r="H16" s="67">
        <f t="shared" si="1"/>
        <v>7.1744417422064777E-2</v>
      </c>
      <c r="I16" s="38"/>
    </row>
    <row r="17" spans="2:15" x14ac:dyDescent="0.45">
      <c r="B17" s="11"/>
      <c r="C17" s="6">
        <v>15000</v>
      </c>
      <c r="D17" s="35" t="s">
        <v>67</v>
      </c>
      <c r="E17" s="196">
        <f>'Rates DSC'!D11+2000*'Rates DSC'!D12+7000*'Rates DSC'!D13+5000*'Rates DSC'!D14</f>
        <v>127.41000000000001</v>
      </c>
      <c r="F17" s="196">
        <f>'Rates DSC'!F11+2000*'Rates DSC'!F12+7000*'Rates DSC'!F13+5000*'Rates DSC'!F14</f>
        <v>136.54999999999998</v>
      </c>
      <c r="G17" s="17">
        <f t="shared" si="0"/>
        <v>9.1399999999999721</v>
      </c>
      <c r="H17" s="67">
        <f t="shared" si="1"/>
        <v>7.1736912330272129E-2</v>
      </c>
      <c r="I17" s="38"/>
    </row>
    <row r="18" spans="2:15" x14ac:dyDescent="0.45">
      <c r="B18" s="11"/>
      <c r="C18" s="6">
        <v>20000</v>
      </c>
      <c r="D18" s="35" t="s">
        <v>67</v>
      </c>
      <c r="E18" s="196">
        <f>'Rates DSC'!D11+2000*'Rates DSC'!D12+7000*'Rates DSC'!D13+10000*'Rates DSC'!D14</f>
        <v>164.36</v>
      </c>
      <c r="F18" s="196">
        <f>'Rates DSC'!F11+2000*'Rates DSC'!F12+7000*'Rates DSC'!F13+10000*'Rates DSC'!F14</f>
        <v>176.14999999999998</v>
      </c>
      <c r="G18" s="17">
        <f t="shared" si="0"/>
        <v>11.789999999999964</v>
      </c>
      <c r="H18" s="67">
        <f t="shared" si="1"/>
        <v>7.1732781698709919E-2</v>
      </c>
      <c r="I18" s="38"/>
    </row>
    <row r="19" spans="2:15" x14ac:dyDescent="0.45">
      <c r="B19" s="11"/>
      <c r="C19" s="6">
        <v>25000</v>
      </c>
      <c r="D19" s="36" t="s">
        <v>26</v>
      </c>
      <c r="E19" s="196">
        <f>'Rates DSC'!D17+5000*'Rates DSC'!D18+15000*'Rates DSC'!D19</f>
        <v>201.31</v>
      </c>
      <c r="F19" s="196">
        <f>'Rates DSC'!F17+5000*'Rates DSC'!F18+15000*'Rates DSC'!F19</f>
        <v>215.75</v>
      </c>
      <c r="G19" s="17">
        <f t="shared" si="0"/>
        <v>14.439999999999998</v>
      </c>
      <c r="H19" s="67">
        <f t="shared" si="1"/>
        <v>7.1730167403507017E-2</v>
      </c>
      <c r="I19" s="38"/>
    </row>
    <row r="20" spans="2:15" x14ac:dyDescent="0.45">
      <c r="B20" s="11"/>
      <c r="C20" s="6">
        <v>30000</v>
      </c>
      <c r="D20" s="36" t="s">
        <v>26</v>
      </c>
      <c r="E20" s="196">
        <f>'Rates DSC'!D17+5000*'Rates DSC'!D18+20000*'Rates DSC'!D19</f>
        <v>238.26000000000002</v>
      </c>
      <c r="F20" s="196">
        <f>'Rates DSC'!F17+5000*'Rates DSC'!F18+20000*'Rates DSC'!F19</f>
        <v>255.35000000000002</v>
      </c>
      <c r="G20" s="17">
        <f t="shared" ref="G20:G26" si="2">F20-E20</f>
        <v>17.090000000000003</v>
      </c>
      <c r="H20" s="67">
        <f t="shared" si="1"/>
        <v>7.1728363972131295E-2</v>
      </c>
      <c r="I20" s="38"/>
      <c r="O20" s="6"/>
    </row>
    <row r="21" spans="2:15" x14ac:dyDescent="0.45">
      <c r="B21" s="11"/>
      <c r="C21" s="6">
        <v>40000</v>
      </c>
      <c r="D21" s="36" t="s">
        <v>26</v>
      </c>
      <c r="E21" s="196">
        <f>'Rates DSC'!D17+5000*'Rates DSC'!D18+30000*'Rates DSC'!D19</f>
        <v>312.15999999999997</v>
      </c>
      <c r="F21" s="196">
        <f>'Rates DSC'!F17+5000*'Rates DSC'!F18+30000*'Rates DSC'!F19</f>
        <v>334.55</v>
      </c>
      <c r="G21" s="17">
        <f t="shared" si="2"/>
        <v>22.390000000000043</v>
      </c>
      <c r="H21" s="67">
        <f t="shared" si="1"/>
        <v>7.1726037929267183E-2</v>
      </c>
      <c r="I21" s="38"/>
    </row>
    <row r="22" spans="2:15" x14ac:dyDescent="0.45">
      <c r="B22" s="11"/>
      <c r="C22" s="6">
        <v>50000</v>
      </c>
      <c r="D22" s="36" t="s">
        <v>26</v>
      </c>
      <c r="E22" s="196">
        <f>'Rates DSC'!D17+5000*'Rates DSC'!D18+40000*'Rates DSC'!D19</f>
        <v>386.06000000000006</v>
      </c>
      <c r="F22" s="196">
        <f>'Rates DSC'!F17+5000*'Rates DSC'!F18+40000*'Rates DSC'!F19</f>
        <v>413.75</v>
      </c>
      <c r="G22" s="17">
        <f t="shared" si="2"/>
        <v>27.689999999999941</v>
      </c>
      <c r="H22" s="67">
        <f t="shared" si="1"/>
        <v>7.1724602393410192E-2</v>
      </c>
      <c r="I22" s="38"/>
    </row>
    <row r="23" spans="2:15" x14ac:dyDescent="0.45">
      <c r="B23" s="11"/>
      <c r="C23" s="6">
        <v>75000</v>
      </c>
      <c r="D23" s="36" t="s">
        <v>27</v>
      </c>
      <c r="E23" s="196">
        <f>'Rates DSC'!D22+55000*'Rates DSC'!D23</f>
        <v>570.80999999999995</v>
      </c>
      <c r="F23" s="196">
        <f>'Rates DSC'!F22+55000*'Rates DSC'!F23</f>
        <v>611.75</v>
      </c>
      <c r="G23" s="17">
        <f t="shared" si="2"/>
        <v>40.940000000000055</v>
      </c>
      <c r="H23" s="67">
        <f t="shared" si="1"/>
        <v>7.1722639757537635E-2</v>
      </c>
      <c r="I23" s="38"/>
    </row>
    <row r="24" spans="2:15" x14ac:dyDescent="0.45">
      <c r="B24" s="11"/>
      <c r="C24" s="6">
        <v>100000</v>
      </c>
      <c r="D24" s="36" t="s">
        <v>27</v>
      </c>
      <c r="E24" s="196">
        <f>'Rates DSC'!D22+80000*'Rates DSC'!D23</f>
        <v>755.56000000000006</v>
      </c>
      <c r="F24" s="196">
        <f>'Rates DSC'!F22+80000*'Rates DSC'!F23</f>
        <v>809.75</v>
      </c>
      <c r="G24" s="17">
        <f t="shared" si="2"/>
        <v>54.189999999999941</v>
      </c>
      <c r="H24" s="67">
        <f t="shared" si="1"/>
        <v>7.1721636931547372E-2</v>
      </c>
      <c r="I24" s="38"/>
    </row>
    <row r="25" spans="2:15" x14ac:dyDescent="0.45">
      <c r="B25" s="11"/>
      <c r="C25" s="6">
        <v>200000</v>
      </c>
      <c r="D25" s="36" t="s">
        <v>27</v>
      </c>
      <c r="E25" s="196">
        <f>'Rates DSC'!D22+180000*'Rates DSC'!D23</f>
        <v>1494.56</v>
      </c>
      <c r="F25" s="196">
        <f>'Rates DSC'!F22+180000*'Rates DSC'!F23</f>
        <v>1601.75</v>
      </c>
      <c r="G25" s="17">
        <f t="shared" si="2"/>
        <v>107.19000000000005</v>
      </c>
      <c r="H25" s="67">
        <f t="shared" si="1"/>
        <v>7.1720104913820831E-2</v>
      </c>
      <c r="I25" s="38"/>
    </row>
    <row r="26" spans="2:15" x14ac:dyDescent="0.45">
      <c r="B26" s="11"/>
      <c r="C26" s="6">
        <v>500000</v>
      </c>
      <c r="D26" s="36" t="s">
        <v>27</v>
      </c>
      <c r="E26" s="196">
        <f>'Rates DSC'!D22+480000*'Rates DSC'!D23</f>
        <v>3711.56</v>
      </c>
      <c r="F26" s="196">
        <f>'Rates DSC'!F22+480000*'Rates DSC'!F23</f>
        <v>3977.75</v>
      </c>
      <c r="G26" s="17">
        <f t="shared" si="2"/>
        <v>266.19000000000005</v>
      </c>
      <c r="H26" s="67">
        <f t="shared" si="1"/>
        <v>7.1719169298084917E-2</v>
      </c>
      <c r="I26" s="38"/>
    </row>
    <row r="27" spans="2:15" ht="6" customHeight="1" x14ac:dyDescent="0.45">
      <c r="B27" s="13"/>
      <c r="C27" s="5"/>
      <c r="D27" s="4"/>
      <c r="E27" s="173"/>
      <c r="F27" s="190"/>
      <c r="G27" s="37"/>
      <c r="H27" s="5"/>
      <c r="I27" s="14"/>
    </row>
    <row r="29" spans="2:15" x14ac:dyDescent="0.45">
      <c r="D29" s="46" t="s">
        <v>71</v>
      </c>
    </row>
  </sheetData>
  <mergeCells count="4">
    <mergeCell ref="C4:I4"/>
    <mergeCell ref="C6:I6"/>
    <mergeCell ref="C2:I2"/>
    <mergeCell ref="B5:I5"/>
  </mergeCells>
  <printOptions horizontalCentered="1"/>
  <pageMargins left="0.7" right="0.7" top="1.1000000000000001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SAO</vt:lpstr>
      <vt:lpstr>Wages</vt:lpstr>
      <vt:lpstr>Depreciation</vt:lpstr>
      <vt:lpstr>Debt Service</vt:lpstr>
      <vt:lpstr>Capital</vt:lpstr>
      <vt:lpstr>Water Loss</vt:lpstr>
      <vt:lpstr>Rates DSC</vt:lpstr>
      <vt:lpstr>Rates ORM</vt:lpstr>
      <vt:lpstr>Bills DSC</vt:lpstr>
      <vt:lpstr>Bills ORM</vt:lpstr>
      <vt:lpstr>Bills w Surcharge DSC</vt:lpstr>
      <vt:lpstr>Bills w Surcharge ORM</vt:lpstr>
      <vt:lpstr>ExBA</vt:lpstr>
      <vt:lpstr>PrBA</vt:lpstr>
      <vt:lpstr>'Bills DSC'!Print_Area</vt:lpstr>
      <vt:lpstr>'Bills ORM'!Print_Area</vt:lpstr>
      <vt:lpstr>'Debt Service'!Print_Area</vt:lpstr>
      <vt:lpstr>Depreciation!Print_Area</vt:lpstr>
      <vt:lpstr>ExBA!Print_Area</vt:lpstr>
      <vt:lpstr>PrBA!Print_Area</vt:lpstr>
      <vt:lpstr>'Rates DSC'!Print_Area</vt:lpstr>
      <vt:lpstr>'Rates ORM'!Print_Area</vt:lpstr>
      <vt:lpstr>SAO!Print_Area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Miller</cp:lastModifiedBy>
  <cp:lastPrinted>2022-11-16T23:59:03Z</cp:lastPrinted>
  <dcterms:created xsi:type="dcterms:W3CDTF">2016-05-18T14:12:06Z</dcterms:created>
  <dcterms:modified xsi:type="dcterms:W3CDTF">2023-02-15T19:32:07Z</dcterms:modified>
</cp:coreProperties>
</file>