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Diversey Contract/Discovery/STAFF 1st Set Data Requests/"/>
    </mc:Choice>
  </mc:AlternateContent>
  <xr:revisionPtr revIDLastSave="0" documentId="13_ncr:1_{9523DB3B-DB73-4E31-B815-7CBF4D7973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S" sheetId="1" r:id="rId1"/>
    <sheet name="DS" sheetId="4" r:id="rId2"/>
    <sheet name="DT" sheetId="10" r:id="rId3"/>
    <sheet name="EH" sheetId="8" r:id="rId4"/>
    <sheet name="SP" sheetId="11" r:id="rId5"/>
    <sheet name="GSFL" sheetId="9" r:id="rId6"/>
    <sheet name="DP" sheetId="6" r:id="rId7"/>
    <sheet name="TT" sheetId="7" r:id="rId8"/>
  </sheets>
  <definedNames>
    <definedName name="_xlnm.Print_Area" localSheetId="6">DP!$A$1:$Y$35</definedName>
    <definedName name="_xlnm.Print_Area" localSheetId="1">DS!$A$1:$AB$35</definedName>
    <definedName name="_xlnm.Print_Area" localSheetId="2">DT!$A$1:$AS$35</definedName>
    <definedName name="_xlnm.Print_Area" localSheetId="3">EH!$A$1:$Y$35</definedName>
    <definedName name="_xlnm.Print_Area" localSheetId="5">GSFL!$A$1:$X$48</definedName>
    <definedName name="_xlnm.Print_Area" localSheetId="0">RS!$A$1:$R$38</definedName>
    <definedName name="_xlnm.Print_Area" localSheetId="4">SP!$A$1:$W$34</definedName>
    <definedName name="_xlnm.Print_Area" localSheetId="7">TT!$A$1:$AD$41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9" i="10" l="1"/>
  <c r="X18" i="10"/>
  <c r="X17" i="10"/>
  <c r="X16" i="10"/>
  <c r="X15" i="10"/>
  <c r="X14" i="10"/>
  <c r="X13" i="10"/>
  <c r="X12" i="10"/>
  <c r="X11" i="10"/>
  <c r="X10" i="10"/>
  <c r="X9" i="10"/>
  <c r="X8" i="10"/>
  <c r="D33" i="10"/>
  <c r="D32" i="10"/>
  <c r="D31" i="10"/>
  <c r="D30" i="10"/>
  <c r="D29" i="10"/>
  <c r="D28" i="10"/>
  <c r="D27" i="10"/>
  <c r="D26" i="10"/>
  <c r="D25" i="10"/>
  <c r="D24" i="10"/>
  <c r="D23" i="10"/>
  <c r="E33" i="10"/>
  <c r="N33" i="10"/>
  <c r="M33" i="10"/>
  <c r="K33" i="10" s="1"/>
  <c r="L33" i="10"/>
  <c r="J33" i="10"/>
  <c r="N32" i="10"/>
  <c r="M32" i="10"/>
  <c r="K32" i="10" s="1"/>
  <c r="L32" i="10"/>
  <c r="J32" i="10"/>
  <c r="N31" i="10"/>
  <c r="L31" i="10" s="1"/>
  <c r="M31" i="10"/>
  <c r="K31" i="10" s="1"/>
  <c r="J31" i="10"/>
  <c r="N30" i="10"/>
  <c r="L30" i="10" s="1"/>
  <c r="M30" i="10"/>
  <c r="K30" i="10" s="1"/>
  <c r="J30" i="10"/>
  <c r="E29" i="10"/>
  <c r="N29" i="10"/>
  <c r="L29" i="10" s="1"/>
  <c r="M29" i="10"/>
  <c r="K29" i="10" s="1"/>
  <c r="J29" i="10"/>
  <c r="E28" i="10"/>
  <c r="N28" i="10"/>
  <c r="L28" i="10" s="1"/>
  <c r="M28" i="10"/>
  <c r="K28" i="10" s="1"/>
  <c r="J28" i="10"/>
  <c r="N27" i="10"/>
  <c r="L27" i="10" s="1"/>
  <c r="M27" i="10"/>
  <c r="K27" i="10" s="1"/>
  <c r="J27" i="10"/>
  <c r="N26" i="10"/>
  <c r="L26" i="10" s="1"/>
  <c r="M26" i="10"/>
  <c r="K26" i="10" s="1"/>
  <c r="J26" i="10"/>
  <c r="E25" i="10"/>
  <c r="N25" i="10"/>
  <c r="L25" i="10" s="1"/>
  <c r="M25" i="10"/>
  <c r="K25" i="10" s="1"/>
  <c r="J25" i="10"/>
  <c r="N24" i="10"/>
  <c r="L24" i="10" s="1"/>
  <c r="M24" i="10"/>
  <c r="K24" i="10" s="1"/>
  <c r="J24" i="10"/>
  <c r="N23" i="10"/>
  <c r="L23" i="10" s="1"/>
  <c r="M23" i="10"/>
  <c r="K23" i="10" s="1"/>
  <c r="J23" i="10"/>
  <c r="N22" i="10"/>
  <c r="L22" i="10" s="1"/>
  <c r="M22" i="10"/>
  <c r="K22" i="10" s="1"/>
  <c r="J22" i="10"/>
  <c r="Z17" i="10"/>
  <c r="Z16" i="10"/>
  <c r="Z15" i="10"/>
  <c r="Z14" i="10" s="1"/>
  <c r="Z13" i="10" s="1"/>
  <c r="Z12" i="10" s="1"/>
  <c r="Z11" i="10" s="1"/>
  <c r="Z10" i="10" s="1"/>
  <c r="Z9" i="10" s="1"/>
  <c r="Z8" i="10" s="1"/>
  <c r="Z18" i="10"/>
  <c r="S17" i="10"/>
  <c r="S16" i="10"/>
  <c r="S15" i="10" s="1"/>
  <c r="S14" i="10" s="1"/>
  <c r="S13" i="10" s="1"/>
  <c r="S12" i="10" s="1"/>
  <c r="S11" i="10" s="1"/>
  <c r="S10" i="10" s="1"/>
  <c r="S9" i="10" s="1"/>
  <c r="S8" i="10" s="1"/>
  <c r="S18" i="10"/>
  <c r="AC19" i="7"/>
  <c r="Y19" i="7"/>
  <c r="W19" i="7"/>
  <c r="R19" i="7"/>
  <c r="X19" i="6"/>
  <c r="T19" i="6"/>
  <c r="R19" i="6"/>
  <c r="P19" i="6"/>
  <c r="O19" i="6"/>
  <c r="M19" i="6"/>
  <c r="W19" i="9"/>
  <c r="S19" i="9"/>
  <c r="Q19" i="9"/>
  <c r="O19" i="9"/>
  <c r="N19" i="9"/>
  <c r="L19" i="9"/>
  <c r="V19" i="11"/>
  <c r="R19" i="11"/>
  <c r="P19" i="11"/>
  <c r="N19" i="11"/>
  <c r="M19" i="11"/>
  <c r="K19" i="11"/>
  <c r="X19" i="8"/>
  <c r="T19" i="8"/>
  <c r="R19" i="8"/>
  <c r="P19" i="8"/>
  <c r="O19" i="8"/>
  <c r="M19" i="8"/>
  <c r="Z19" i="10"/>
  <c r="V19" i="10"/>
  <c r="U19" i="10"/>
  <c r="S19" i="10"/>
  <c r="W19" i="4"/>
  <c r="U19" i="4"/>
  <c r="AC18" i="7"/>
  <c r="Y18" i="7"/>
  <c r="W18" i="7"/>
  <c r="R18" i="7"/>
  <c r="X18" i="6"/>
  <c r="T18" i="6"/>
  <c r="R18" i="6"/>
  <c r="P18" i="6"/>
  <c r="O18" i="6"/>
  <c r="M18" i="6"/>
  <c r="W18" i="9"/>
  <c r="S18" i="9"/>
  <c r="Q18" i="9"/>
  <c r="O18" i="9"/>
  <c r="N18" i="9"/>
  <c r="L18" i="9"/>
  <c r="V18" i="11"/>
  <c r="R18" i="11"/>
  <c r="P18" i="11"/>
  <c r="N18" i="11"/>
  <c r="M18" i="11"/>
  <c r="K18" i="11"/>
  <c r="X18" i="8"/>
  <c r="T18" i="8"/>
  <c r="R18" i="8"/>
  <c r="P18" i="8"/>
  <c r="O18" i="8"/>
  <c r="M18" i="8"/>
  <c r="V18" i="10"/>
  <c r="U18" i="10"/>
  <c r="W18" i="4"/>
  <c r="U18" i="4"/>
  <c r="AC17" i="7"/>
  <c r="Y17" i="7"/>
  <c r="W17" i="7"/>
  <c r="R17" i="7"/>
  <c r="X17" i="6"/>
  <c r="T17" i="6"/>
  <c r="R17" i="6"/>
  <c r="P17" i="6"/>
  <c r="O17" i="6"/>
  <c r="M17" i="6"/>
  <c r="W17" i="9"/>
  <c r="S17" i="9"/>
  <c r="Q17" i="9"/>
  <c r="O17" i="9"/>
  <c r="N17" i="9"/>
  <c r="L17" i="9"/>
  <c r="V17" i="11"/>
  <c r="R17" i="11"/>
  <c r="P17" i="11"/>
  <c r="N17" i="11"/>
  <c r="M17" i="11"/>
  <c r="K17" i="11"/>
  <c r="X17" i="8"/>
  <c r="T17" i="8"/>
  <c r="R17" i="8"/>
  <c r="P17" i="8"/>
  <c r="O17" i="8"/>
  <c r="M17" i="8"/>
  <c r="V17" i="10"/>
  <c r="U17" i="10"/>
  <c r="W17" i="4"/>
  <c r="U17" i="4"/>
  <c r="AC16" i="7"/>
  <c r="Y16" i="7"/>
  <c r="W16" i="7"/>
  <c r="R16" i="7"/>
  <c r="X16" i="6"/>
  <c r="T16" i="6"/>
  <c r="R16" i="6"/>
  <c r="P16" i="6"/>
  <c r="O16" i="6"/>
  <c r="M16" i="6"/>
  <c r="W16" i="9"/>
  <c r="S16" i="9"/>
  <c r="Q16" i="9"/>
  <c r="O16" i="9"/>
  <c r="N16" i="9"/>
  <c r="L16" i="9"/>
  <c r="V16" i="11"/>
  <c r="R16" i="11"/>
  <c r="P16" i="11"/>
  <c r="N16" i="11"/>
  <c r="M16" i="11"/>
  <c r="K16" i="11"/>
  <c r="X16" i="8"/>
  <c r="T16" i="8"/>
  <c r="R16" i="8"/>
  <c r="P16" i="8"/>
  <c r="O16" i="8"/>
  <c r="M16" i="8"/>
  <c r="V16" i="10"/>
  <c r="U16" i="10"/>
  <c r="W16" i="4"/>
  <c r="U16" i="4"/>
  <c r="AC15" i="7"/>
  <c r="Y15" i="7"/>
  <c r="W15" i="7"/>
  <c r="R15" i="7"/>
  <c r="X15" i="6"/>
  <c r="T15" i="6"/>
  <c r="R15" i="6"/>
  <c r="P15" i="6"/>
  <c r="O15" i="6"/>
  <c r="M15" i="6"/>
  <c r="W15" i="9"/>
  <c r="S15" i="9"/>
  <c r="Q15" i="9"/>
  <c r="O15" i="9"/>
  <c r="N15" i="9"/>
  <c r="L15" i="9"/>
  <c r="V15" i="11"/>
  <c r="R15" i="11"/>
  <c r="P15" i="11"/>
  <c r="N15" i="11"/>
  <c r="M15" i="11"/>
  <c r="K15" i="11"/>
  <c r="X15" i="8"/>
  <c r="T15" i="8"/>
  <c r="R15" i="8"/>
  <c r="P15" i="8"/>
  <c r="O15" i="8"/>
  <c r="M15" i="8"/>
  <c r="V15" i="10"/>
  <c r="U15" i="10"/>
  <c r="W15" i="4"/>
  <c r="U15" i="4"/>
  <c r="AC14" i="7"/>
  <c r="Y14" i="7"/>
  <c r="W14" i="7"/>
  <c r="R14" i="7"/>
  <c r="X14" i="6"/>
  <c r="T14" i="6"/>
  <c r="R14" i="6"/>
  <c r="P14" i="6"/>
  <c r="O14" i="6"/>
  <c r="M14" i="6"/>
  <c r="W14" i="9"/>
  <c r="S14" i="9"/>
  <c r="Q14" i="9"/>
  <c r="O14" i="9"/>
  <c r="N14" i="9"/>
  <c r="L14" i="9"/>
  <c r="V14" i="11"/>
  <c r="R14" i="11"/>
  <c r="P14" i="11"/>
  <c r="N14" i="11"/>
  <c r="M14" i="11"/>
  <c r="K14" i="11"/>
  <c r="X14" i="8"/>
  <c r="T14" i="8"/>
  <c r="R14" i="8"/>
  <c r="P14" i="8"/>
  <c r="O14" i="8"/>
  <c r="M14" i="8"/>
  <c r="V14" i="10"/>
  <c r="U14" i="10"/>
  <c r="W14" i="4"/>
  <c r="U14" i="4"/>
  <c r="AC13" i="7"/>
  <c r="Y13" i="7"/>
  <c r="W13" i="7"/>
  <c r="R13" i="7"/>
  <c r="X13" i="6"/>
  <c r="T13" i="6"/>
  <c r="R13" i="6"/>
  <c r="P13" i="6"/>
  <c r="O13" i="6"/>
  <c r="M13" i="6"/>
  <c r="W13" i="9"/>
  <c r="S13" i="9"/>
  <c r="Q13" i="9"/>
  <c r="O13" i="9"/>
  <c r="N13" i="9"/>
  <c r="L13" i="9"/>
  <c r="V13" i="11"/>
  <c r="R13" i="11"/>
  <c r="P13" i="11"/>
  <c r="N13" i="11"/>
  <c r="M13" i="11"/>
  <c r="K13" i="11"/>
  <c r="X13" i="8"/>
  <c r="T13" i="8"/>
  <c r="R13" i="8"/>
  <c r="P13" i="8"/>
  <c r="O13" i="8"/>
  <c r="M13" i="8"/>
  <c r="V13" i="10"/>
  <c r="U13" i="10"/>
  <c r="W13" i="4"/>
  <c r="U13" i="4"/>
  <c r="AC11" i="7"/>
  <c r="AC12" i="7"/>
  <c r="Y12" i="7"/>
  <c r="W12" i="7"/>
  <c r="R12" i="7"/>
  <c r="X12" i="6"/>
  <c r="T12" i="6"/>
  <c r="R12" i="6"/>
  <c r="P12" i="6"/>
  <c r="O12" i="6"/>
  <c r="M12" i="6"/>
  <c r="W12" i="9"/>
  <c r="S12" i="9"/>
  <c r="Q12" i="9"/>
  <c r="O12" i="9"/>
  <c r="N12" i="9"/>
  <c r="L12" i="9"/>
  <c r="V12" i="11"/>
  <c r="R12" i="11"/>
  <c r="P12" i="11"/>
  <c r="N12" i="11"/>
  <c r="M12" i="11"/>
  <c r="K12" i="11"/>
  <c r="X12" i="8"/>
  <c r="T12" i="8"/>
  <c r="R12" i="8"/>
  <c r="P12" i="8"/>
  <c r="O12" i="8"/>
  <c r="M12" i="8"/>
  <c r="V12" i="10"/>
  <c r="U12" i="10"/>
  <c r="W12" i="4"/>
  <c r="U12" i="4"/>
  <c r="Y11" i="7"/>
  <c r="W11" i="7"/>
  <c r="R11" i="7"/>
  <c r="X11" i="6"/>
  <c r="T11" i="6"/>
  <c r="R11" i="6"/>
  <c r="P11" i="6"/>
  <c r="O11" i="6"/>
  <c r="M11" i="6"/>
  <c r="W11" i="9"/>
  <c r="S11" i="9"/>
  <c r="Q11" i="9"/>
  <c r="O11" i="9"/>
  <c r="N11" i="9"/>
  <c r="L11" i="9"/>
  <c r="V11" i="11"/>
  <c r="R11" i="11"/>
  <c r="P11" i="11"/>
  <c r="N11" i="11"/>
  <c r="M11" i="11"/>
  <c r="K11" i="11"/>
  <c r="X11" i="8"/>
  <c r="T11" i="8"/>
  <c r="R11" i="8"/>
  <c r="P11" i="8"/>
  <c r="O11" i="8"/>
  <c r="M11" i="8"/>
  <c r="V11" i="10"/>
  <c r="U11" i="10"/>
  <c r="W11" i="4"/>
  <c r="U11" i="4"/>
  <c r="AC10" i="7"/>
  <c r="Y10" i="7"/>
  <c r="W10" i="7"/>
  <c r="R10" i="7"/>
  <c r="X10" i="6"/>
  <c r="T10" i="6"/>
  <c r="R10" i="6"/>
  <c r="P10" i="6"/>
  <c r="O10" i="6"/>
  <c r="M10" i="6"/>
  <c r="W10" i="9"/>
  <c r="S10" i="9"/>
  <c r="Q10" i="9"/>
  <c r="O10" i="9"/>
  <c r="N10" i="9"/>
  <c r="L10" i="9"/>
  <c r="V10" i="11"/>
  <c r="R10" i="11"/>
  <c r="P10" i="11"/>
  <c r="N10" i="11"/>
  <c r="M10" i="11"/>
  <c r="K10" i="11"/>
  <c r="X10" i="8"/>
  <c r="T10" i="8"/>
  <c r="R10" i="8"/>
  <c r="P10" i="8"/>
  <c r="O10" i="8"/>
  <c r="M10" i="8"/>
  <c r="V10" i="10"/>
  <c r="U10" i="10"/>
  <c r="W10" i="4"/>
  <c r="U10" i="4"/>
  <c r="E24" i="10" l="1"/>
  <c r="E32" i="10"/>
  <c r="E22" i="10"/>
  <c r="E30" i="10"/>
  <c r="E23" i="10"/>
  <c r="E31" i="10"/>
  <c r="E27" i="10"/>
  <c r="E26" i="10"/>
  <c r="X21" i="6"/>
  <c r="X8" i="6"/>
  <c r="AC9" i="7" l="1"/>
  <c r="Y9" i="7"/>
  <c r="W9" i="7"/>
  <c r="R9" i="7"/>
  <c r="X9" i="6"/>
  <c r="T9" i="6"/>
  <c r="R9" i="6"/>
  <c r="P9" i="6"/>
  <c r="O9" i="6"/>
  <c r="M9" i="6"/>
  <c r="W9" i="9"/>
  <c r="S9" i="9"/>
  <c r="Q9" i="9"/>
  <c r="O9" i="9"/>
  <c r="N9" i="9"/>
  <c r="L9" i="9"/>
  <c r="V9" i="11"/>
  <c r="R9" i="11"/>
  <c r="P9" i="11"/>
  <c r="N9" i="11"/>
  <c r="M9" i="11"/>
  <c r="K9" i="11"/>
  <c r="X9" i="8"/>
  <c r="T9" i="8"/>
  <c r="R9" i="8"/>
  <c r="P9" i="8"/>
  <c r="O9" i="8"/>
  <c r="M9" i="8"/>
  <c r="V9" i="10"/>
  <c r="U9" i="10"/>
  <c r="W9" i="4"/>
  <c r="U9" i="4"/>
  <c r="AC8" i="7" l="1"/>
  <c r="Y8" i="7"/>
  <c r="W8" i="7"/>
  <c r="R8" i="7"/>
  <c r="T8" i="6"/>
  <c r="R8" i="6"/>
  <c r="P8" i="6"/>
  <c r="O8" i="6"/>
  <c r="M8" i="6"/>
  <c r="W8" i="9"/>
  <c r="S8" i="9"/>
  <c r="Q8" i="9"/>
  <c r="O8" i="9"/>
  <c r="N8" i="9"/>
  <c r="L8" i="9"/>
  <c r="V8" i="11"/>
  <c r="R8" i="11"/>
  <c r="P8" i="11"/>
  <c r="N8" i="11"/>
  <c r="M8" i="11"/>
  <c r="K8" i="11"/>
  <c r="X8" i="8"/>
  <c r="T8" i="8"/>
  <c r="R8" i="8"/>
  <c r="P8" i="8"/>
  <c r="O8" i="8"/>
  <c r="M8" i="8"/>
  <c r="V8" i="10"/>
  <c r="U8" i="10"/>
  <c r="W8" i="4"/>
  <c r="U8" i="4"/>
  <c r="B16" i="7" l="1"/>
  <c r="B15" i="7"/>
  <c r="B11" i="7"/>
  <c r="B10" i="7"/>
  <c r="B14" i="10"/>
  <c r="B13" i="10"/>
  <c r="AC24" i="7" l="1"/>
  <c r="AR21" i="10"/>
  <c r="P31" i="7" l="1"/>
  <c r="P32" i="7"/>
  <c r="P33" i="7"/>
  <c r="P30" i="7"/>
  <c r="L30" i="7"/>
  <c r="L31" i="7"/>
  <c r="L32" i="7"/>
  <c r="L33" i="7"/>
  <c r="K31" i="7"/>
  <c r="K32" i="7"/>
  <c r="K33" i="7"/>
  <c r="K30" i="7"/>
  <c r="O31" i="7"/>
  <c r="O32" i="7"/>
  <c r="O33" i="7"/>
  <c r="O30" i="7"/>
  <c r="AR8" i="10" l="1"/>
  <c r="AR18" i="10" l="1"/>
  <c r="AR19" i="10"/>
  <c r="AR15" i="10"/>
  <c r="AR16" i="10"/>
  <c r="AR17" i="10"/>
  <c r="AR14" i="10"/>
  <c r="AR9" i="10"/>
  <c r="AR10" i="10"/>
  <c r="AR11" i="10"/>
  <c r="AR12" i="10"/>
  <c r="AR13" i="10"/>
  <c r="AC26" i="7" l="1"/>
  <c r="X33" i="6"/>
  <c r="W21" i="9"/>
  <c r="W33" i="9" s="1"/>
  <c r="V21" i="11"/>
  <c r="V33" i="11" s="1"/>
  <c r="X21" i="8"/>
  <c r="X33" i="8" s="1"/>
  <c r="AR33" i="10"/>
  <c r="AA21" i="4"/>
  <c r="AA29" i="4" s="1"/>
  <c r="AC33" i="7" l="1"/>
  <c r="AC32" i="7"/>
  <c r="AC31" i="7"/>
  <c r="AC30" i="7"/>
  <c r="AC29" i="7"/>
  <c r="AC28" i="7"/>
  <c r="AC25" i="7"/>
  <c r="AC35" i="7"/>
  <c r="AC27" i="7"/>
  <c r="AC36" i="7"/>
  <c r="AC34" i="7"/>
  <c r="X26" i="6"/>
  <c r="X30" i="6"/>
  <c r="X28" i="6"/>
  <c r="X31" i="6"/>
  <c r="X27" i="6"/>
  <c r="X29" i="6"/>
  <c r="X23" i="6"/>
  <c r="X24" i="6"/>
  <c r="X32" i="6"/>
  <c r="X22" i="6"/>
  <c r="X25" i="6"/>
  <c r="W23" i="9"/>
  <c r="W31" i="9"/>
  <c r="W27" i="9"/>
  <c r="W28" i="9"/>
  <c r="W22" i="9"/>
  <c r="W24" i="9"/>
  <c r="W32" i="9"/>
  <c r="W26" i="9"/>
  <c r="W29" i="9"/>
  <c r="W30" i="9"/>
  <c r="W25" i="9"/>
  <c r="V27" i="11"/>
  <c r="V29" i="11"/>
  <c r="V22" i="11"/>
  <c r="V30" i="11"/>
  <c r="V23" i="11"/>
  <c r="V31" i="11"/>
  <c r="V26" i="11"/>
  <c r="V24" i="11"/>
  <c r="V32" i="11"/>
  <c r="V28" i="11"/>
  <c r="V25" i="11"/>
  <c r="X29" i="8"/>
  <c r="X22" i="8"/>
  <c r="X30" i="8"/>
  <c r="X26" i="8"/>
  <c r="X23" i="8"/>
  <c r="X31" i="8"/>
  <c r="X28" i="8"/>
  <c r="X24" i="8"/>
  <c r="X32" i="8"/>
  <c r="X27" i="8"/>
  <c r="X25" i="8"/>
  <c r="AR22" i="10"/>
  <c r="AR30" i="10"/>
  <c r="AR26" i="10"/>
  <c r="AR29" i="10"/>
  <c r="AR23" i="10"/>
  <c r="AR31" i="10"/>
  <c r="AR27" i="10"/>
  <c r="AR24" i="10"/>
  <c r="AR32" i="10"/>
  <c r="AR28" i="10"/>
  <c r="AR25" i="10"/>
  <c r="AA22" i="4"/>
  <c r="AA23" i="4"/>
  <c r="AA30" i="4"/>
  <c r="AA31" i="4"/>
  <c r="AA24" i="4"/>
  <c r="AA25" i="4"/>
  <c r="AA33" i="4"/>
  <c r="AA32" i="4"/>
  <c r="AA26" i="4"/>
  <c r="AA27" i="4"/>
  <c r="AA28" i="4"/>
  <c r="AO32" i="10" l="1"/>
  <c r="B22" i="7" l="1"/>
  <c r="Y24" i="7" s="1"/>
  <c r="B19" i="10"/>
  <c r="B20" i="7"/>
  <c r="O24" i="7" s="1"/>
  <c r="B21" i="7"/>
  <c r="P24" i="7" s="1"/>
  <c r="B17" i="10"/>
  <c r="B18" i="10"/>
  <c r="W24" i="7" l="1"/>
  <c r="T24" i="7"/>
  <c r="N24" i="7"/>
  <c r="M24" i="7"/>
  <c r="N30" i="1" l="1"/>
  <c r="U25" i="7" l="1"/>
  <c r="H25" i="7"/>
  <c r="P22" i="6"/>
  <c r="H22" i="6"/>
  <c r="H21" i="9"/>
  <c r="S21" i="9"/>
  <c r="Q21" i="9"/>
  <c r="N21" i="9"/>
  <c r="I21" i="9"/>
  <c r="J21" i="9"/>
  <c r="O22" i="9"/>
  <c r="N22" i="11"/>
  <c r="H22" i="11"/>
  <c r="V22" i="10"/>
  <c r="D22" i="10" s="1"/>
  <c r="P22" i="8"/>
  <c r="J21" i="8"/>
  <c r="S22" i="4"/>
  <c r="I21" i="4"/>
  <c r="H21" i="4"/>
  <c r="N22" i="1"/>
  <c r="H22" i="1"/>
  <c r="K21" i="10"/>
  <c r="M21" i="10"/>
  <c r="J21" i="10"/>
  <c r="I24" i="7"/>
  <c r="S31" i="9" l="1"/>
  <c r="S30" i="9"/>
  <c r="S29" i="9"/>
  <c r="S28" i="9"/>
  <c r="S32" i="9"/>
  <c r="S33" i="9"/>
  <c r="S27" i="9"/>
  <c r="S26" i="9"/>
  <c r="S25" i="9"/>
  <c r="S24" i="9"/>
  <c r="S23" i="9"/>
  <c r="S22" i="9"/>
  <c r="N32" i="7"/>
  <c r="H22" i="4"/>
  <c r="I22" i="4"/>
  <c r="J22" i="8"/>
  <c r="A20" i="4"/>
  <c r="M21" i="4" s="1"/>
  <c r="A20" i="6"/>
  <c r="I21" i="8"/>
  <c r="H21" i="8"/>
  <c r="I21" i="10"/>
  <c r="H21" i="10"/>
  <c r="R21" i="11"/>
  <c r="P21" i="11"/>
  <c r="P33" i="11" s="1"/>
  <c r="M21" i="11"/>
  <c r="M33" i="11" s="1"/>
  <c r="I21" i="11"/>
  <c r="N21" i="10"/>
  <c r="L21" i="10"/>
  <c r="O26" i="7" l="1"/>
  <c r="M26" i="7" s="1"/>
  <c r="P26" i="7"/>
  <c r="N26" i="7" s="1"/>
  <c r="O27" i="7"/>
  <c r="M27" i="7" s="1"/>
  <c r="P27" i="7"/>
  <c r="N27" i="7" s="1"/>
  <c r="P36" i="7"/>
  <c r="N36" i="7" s="1"/>
  <c r="O36" i="7"/>
  <c r="M36" i="7" s="1"/>
  <c r="O29" i="7"/>
  <c r="M29" i="7" s="1"/>
  <c r="P29" i="7"/>
  <c r="N29" i="7" s="1"/>
  <c r="P34" i="7"/>
  <c r="N34" i="7" s="1"/>
  <c r="O34" i="7"/>
  <c r="M34" i="7" s="1"/>
  <c r="P28" i="7"/>
  <c r="N28" i="7" s="1"/>
  <c r="O28" i="7"/>
  <c r="M28" i="7" s="1"/>
  <c r="P35" i="7"/>
  <c r="N35" i="7" s="1"/>
  <c r="O35" i="7"/>
  <c r="M35" i="7" s="1"/>
  <c r="B33" i="11"/>
  <c r="R29" i="11"/>
  <c r="R30" i="11"/>
  <c r="R28" i="11"/>
  <c r="R33" i="11"/>
  <c r="R32" i="11"/>
  <c r="R31" i="11"/>
  <c r="R27" i="11"/>
  <c r="R26" i="11"/>
  <c r="R25" i="11"/>
  <c r="R24" i="11"/>
  <c r="R23" i="11"/>
  <c r="R22" i="11"/>
  <c r="N30" i="7"/>
  <c r="N33" i="7"/>
  <c r="N31" i="7"/>
  <c r="M31" i="7"/>
  <c r="M30" i="7"/>
  <c r="M32" i="7"/>
  <c r="M33" i="7"/>
  <c r="P24" i="11"/>
  <c r="B24" i="11" s="1"/>
  <c r="I23" i="11"/>
  <c r="I33" i="11"/>
  <c r="H23" i="11"/>
  <c r="P22" i="11"/>
  <c r="B22" i="11" s="1"/>
  <c r="P23" i="11"/>
  <c r="B23" i="11" s="1"/>
  <c r="I22" i="11"/>
  <c r="C22" i="11" s="1"/>
  <c r="L21" i="4"/>
  <c r="I23" i="10"/>
  <c r="I22" i="10"/>
  <c r="H32" i="10"/>
  <c r="H30" i="10"/>
  <c r="H28" i="10"/>
  <c r="H26" i="10"/>
  <c r="H24" i="10"/>
  <c r="H22" i="10"/>
  <c r="H33" i="10"/>
  <c r="H31" i="10"/>
  <c r="H29" i="10"/>
  <c r="H27" i="10"/>
  <c r="H25" i="10"/>
  <c r="H23" i="10"/>
  <c r="H22" i="8"/>
  <c r="I22" i="8"/>
  <c r="D22" i="11"/>
  <c r="H25" i="11"/>
  <c r="M22" i="11"/>
  <c r="P25" i="11"/>
  <c r="B25" i="11" s="1"/>
  <c r="P26" i="11"/>
  <c r="P27" i="11"/>
  <c r="B27" i="11" s="1"/>
  <c r="M28" i="11"/>
  <c r="P28" i="11"/>
  <c r="M29" i="11"/>
  <c r="P29" i="11"/>
  <c r="M30" i="11"/>
  <c r="P30" i="11"/>
  <c r="M31" i="11"/>
  <c r="P31" i="11"/>
  <c r="M32" i="11"/>
  <c r="P32" i="11"/>
  <c r="I29" i="11"/>
  <c r="I31" i="11"/>
  <c r="I24" i="10"/>
  <c r="N33" i="9"/>
  <c r="Q33" i="9"/>
  <c r="Q22" i="9"/>
  <c r="B22" i="9" s="1"/>
  <c r="T21" i="8"/>
  <c r="R21" i="8"/>
  <c r="R22" i="8" s="1"/>
  <c r="O21" i="8"/>
  <c r="K21" i="8"/>
  <c r="K22" i="8" s="1"/>
  <c r="P25" i="7" l="1"/>
  <c r="N25" i="7" s="1"/>
  <c r="O25" i="7"/>
  <c r="M25" i="7" s="1"/>
  <c r="B33" i="9"/>
  <c r="K22" i="11"/>
  <c r="A22" i="11" s="1"/>
  <c r="B32" i="11"/>
  <c r="B31" i="11"/>
  <c r="B30" i="11"/>
  <c r="B29" i="11"/>
  <c r="B28" i="11"/>
  <c r="E33" i="11"/>
  <c r="T32" i="8"/>
  <c r="T29" i="8"/>
  <c r="T30" i="8"/>
  <c r="T28" i="8"/>
  <c r="T33" i="8"/>
  <c r="T31" i="8"/>
  <c r="T27" i="8"/>
  <c r="T26" i="8"/>
  <c r="T25" i="8"/>
  <c r="T24" i="8"/>
  <c r="T23" i="8"/>
  <c r="T22" i="8"/>
  <c r="B26" i="11"/>
  <c r="B22" i="10"/>
  <c r="E22" i="11"/>
  <c r="C23" i="11"/>
  <c r="E29" i="11"/>
  <c r="E31" i="11"/>
  <c r="I32" i="11"/>
  <c r="E32" i="11" s="1"/>
  <c r="I30" i="11"/>
  <c r="E30" i="11" s="1"/>
  <c r="I28" i="11"/>
  <c r="E28" i="11" s="1"/>
  <c r="H24" i="11"/>
  <c r="J22" i="9"/>
  <c r="I32" i="9"/>
  <c r="I30" i="9"/>
  <c r="I28" i="9"/>
  <c r="I26" i="9"/>
  <c r="I24" i="9"/>
  <c r="I22" i="9"/>
  <c r="I33" i="9"/>
  <c r="I31" i="9"/>
  <c r="I29" i="9"/>
  <c r="I27" i="9"/>
  <c r="I25" i="9"/>
  <c r="I23" i="9"/>
  <c r="J33" i="9"/>
  <c r="E33" i="9" s="1"/>
  <c r="J31" i="9"/>
  <c r="J29" i="9"/>
  <c r="J27" i="9"/>
  <c r="J25" i="9"/>
  <c r="J32" i="9"/>
  <c r="J30" i="9"/>
  <c r="J28" i="9"/>
  <c r="J26" i="9"/>
  <c r="J24" i="9"/>
  <c r="I24" i="11"/>
  <c r="J23" i="9"/>
  <c r="Q23" i="9"/>
  <c r="Q24" i="9"/>
  <c r="N22" i="9"/>
  <c r="Q25" i="9"/>
  <c r="Q26" i="9"/>
  <c r="Q27" i="9"/>
  <c r="N28" i="9"/>
  <c r="Q28" i="9"/>
  <c r="N29" i="9"/>
  <c r="Q29" i="9"/>
  <c r="N30" i="9"/>
  <c r="Q30" i="9"/>
  <c r="N31" i="9"/>
  <c r="Q31" i="9"/>
  <c r="N32" i="9"/>
  <c r="Q32" i="9"/>
  <c r="B24" i="9" l="1"/>
  <c r="B27" i="9"/>
  <c r="B23" i="9"/>
  <c r="B25" i="9"/>
  <c r="B32" i="9"/>
  <c r="B31" i="9"/>
  <c r="B30" i="9"/>
  <c r="B29" i="9"/>
  <c r="B28" i="9"/>
  <c r="B26" i="10"/>
  <c r="B25" i="10"/>
  <c r="B30" i="10"/>
  <c r="B32" i="10"/>
  <c r="B26" i="9"/>
  <c r="B31" i="10"/>
  <c r="B27" i="10"/>
  <c r="B24" i="10"/>
  <c r="B23" i="10"/>
  <c r="B29" i="10"/>
  <c r="E29" i="9"/>
  <c r="E22" i="9"/>
  <c r="E30" i="9"/>
  <c r="E28" i="9"/>
  <c r="E32" i="9"/>
  <c r="E31" i="9"/>
  <c r="M26" i="11"/>
  <c r="M27" i="11"/>
  <c r="H26" i="11"/>
  <c r="I25" i="10"/>
  <c r="H32" i="9"/>
  <c r="H30" i="9"/>
  <c r="H28" i="9"/>
  <c r="H26" i="9"/>
  <c r="H24" i="9"/>
  <c r="D24" i="9" s="1"/>
  <c r="H22" i="9"/>
  <c r="H33" i="9"/>
  <c r="H31" i="9"/>
  <c r="H29" i="9"/>
  <c r="H27" i="9"/>
  <c r="H25" i="9"/>
  <c r="H23" i="9"/>
  <c r="D23" i="9" s="1"/>
  <c r="C24" i="11"/>
  <c r="I25" i="11"/>
  <c r="S22" i="10" l="1"/>
  <c r="B33" i="10"/>
  <c r="D22" i="9"/>
  <c r="L22" i="9"/>
  <c r="D33" i="9"/>
  <c r="B28" i="10"/>
  <c r="D26" i="9"/>
  <c r="D25" i="9"/>
  <c r="D32" i="9"/>
  <c r="D31" i="9"/>
  <c r="D30" i="9"/>
  <c r="D29" i="9"/>
  <c r="D28" i="9"/>
  <c r="D27" i="9"/>
  <c r="H27" i="11"/>
  <c r="I26" i="11"/>
  <c r="C26" i="11" s="1"/>
  <c r="I27" i="11"/>
  <c r="E27" i="11" s="1"/>
  <c r="I26" i="10"/>
  <c r="C25" i="11"/>
  <c r="D25" i="7"/>
  <c r="D22" i="6"/>
  <c r="D22" i="1"/>
  <c r="T21" i="6"/>
  <c r="W21" i="4"/>
  <c r="U21" i="4"/>
  <c r="N21" i="4"/>
  <c r="C22" i="10" l="1"/>
  <c r="A22" i="10" s="1"/>
  <c r="T33" i="6"/>
  <c r="T29" i="6"/>
  <c r="T28" i="6"/>
  <c r="T32" i="6"/>
  <c r="T31" i="6"/>
  <c r="T30" i="6"/>
  <c r="T27" i="6"/>
  <c r="T26" i="6"/>
  <c r="T25" i="6"/>
  <c r="T24" i="6"/>
  <c r="T23" i="6"/>
  <c r="T22" i="6"/>
  <c r="Y34" i="7"/>
  <c r="Y33" i="7"/>
  <c r="Y36" i="7"/>
  <c r="Y32" i="7"/>
  <c r="Y35" i="7"/>
  <c r="Y31" i="7"/>
  <c r="Y30" i="7"/>
  <c r="Y29" i="7"/>
  <c r="Y28" i="7"/>
  <c r="Y27" i="7"/>
  <c r="Y26" i="7"/>
  <c r="Y25" i="7"/>
  <c r="W33" i="4"/>
  <c r="W29" i="4"/>
  <c r="W32" i="4"/>
  <c r="W31" i="4"/>
  <c r="W30" i="4"/>
  <c r="W28" i="4"/>
  <c r="W27" i="4"/>
  <c r="W26" i="4"/>
  <c r="W25" i="4"/>
  <c r="W24" i="4"/>
  <c r="W23" i="4"/>
  <c r="W22" i="4"/>
  <c r="E26" i="11"/>
  <c r="K28" i="8"/>
  <c r="J23" i="8"/>
  <c r="N27" i="9"/>
  <c r="N26" i="9"/>
  <c r="H28" i="11"/>
  <c r="C27" i="11"/>
  <c r="H23" i="8"/>
  <c r="K24" i="8"/>
  <c r="K23" i="8"/>
  <c r="I24" i="8"/>
  <c r="I23" i="8"/>
  <c r="I27" i="10"/>
  <c r="D22" i="8"/>
  <c r="R24" i="8"/>
  <c r="W25" i="7"/>
  <c r="R21" i="4"/>
  <c r="O21" i="6"/>
  <c r="K21" i="6"/>
  <c r="J21" i="6" s="1"/>
  <c r="R21" i="6"/>
  <c r="AB22" i="10" l="1"/>
  <c r="B24" i="8"/>
  <c r="E26" i="9"/>
  <c r="E27" i="9"/>
  <c r="K29" i="8"/>
  <c r="C28" i="11"/>
  <c r="H29" i="11"/>
  <c r="I25" i="8"/>
  <c r="K25" i="8"/>
  <c r="J24" i="8"/>
  <c r="H24" i="8"/>
  <c r="I28" i="10"/>
  <c r="O32" i="8"/>
  <c r="O30" i="8"/>
  <c r="O28" i="8"/>
  <c r="O26" i="8"/>
  <c r="O22" i="8"/>
  <c r="M22" i="8" s="1"/>
  <c r="O33" i="8"/>
  <c r="O31" i="8"/>
  <c r="O29" i="8"/>
  <c r="O27" i="8"/>
  <c r="R32" i="8"/>
  <c r="R30" i="8"/>
  <c r="R28" i="8"/>
  <c r="R26" i="8"/>
  <c r="R33" i="8"/>
  <c r="R31" i="8"/>
  <c r="R29" i="8"/>
  <c r="R27" i="8"/>
  <c r="R25" i="8"/>
  <c r="B22" i="8"/>
  <c r="R23" i="8"/>
  <c r="L24" i="7"/>
  <c r="J24" i="7"/>
  <c r="K24" i="7"/>
  <c r="K25" i="7" l="1"/>
  <c r="K26" i="7"/>
  <c r="K35" i="7"/>
  <c r="K34" i="7"/>
  <c r="K27" i="7"/>
  <c r="K36" i="7"/>
  <c r="K28" i="7"/>
  <c r="K29" i="7"/>
  <c r="L34" i="7"/>
  <c r="L35" i="7"/>
  <c r="L36" i="7"/>
  <c r="L25" i="7"/>
  <c r="J25" i="7" s="1"/>
  <c r="L29" i="7"/>
  <c r="L26" i="7"/>
  <c r="L27" i="7"/>
  <c r="L28" i="7"/>
  <c r="B23" i="8"/>
  <c r="B25" i="8"/>
  <c r="B27" i="8"/>
  <c r="B33" i="8"/>
  <c r="B32" i="8"/>
  <c r="B31" i="8"/>
  <c r="B30" i="8"/>
  <c r="B29" i="8"/>
  <c r="B28" i="8"/>
  <c r="B26" i="8"/>
  <c r="E29" i="8"/>
  <c r="E28" i="8"/>
  <c r="E22" i="8"/>
  <c r="K30" i="8"/>
  <c r="E30" i="8" s="1"/>
  <c r="H30" i="11"/>
  <c r="C29" i="11"/>
  <c r="H25" i="8"/>
  <c r="J25" i="8"/>
  <c r="I26" i="8"/>
  <c r="K26" i="8"/>
  <c r="E26" i="8" s="1"/>
  <c r="K27" i="8"/>
  <c r="E27" i="8" s="1"/>
  <c r="I29" i="10"/>
  <c r="A22" i="8"/>
  <c r="I25" i="7"/>
  <c r="W36" i="7"/>
  <c r="T36" i="7"/>
  <c r="W27" i="7"/>
  <c r="W26" i="7"/>
  <c r="B25" i="7"/>
  <c r="I21" i="6"/>
  <c r="B36" i="7" l="1"/>
  <c r="B26" i="7"/>
  <c r="B27" i="7"/>
  <c r="U26" i="7"/>
  <c r="J36" i="7"/>
  <c r="I26" i="7"/>
  <c r="K31" i="8"/>
  <c r="E31" i="8" s="1"/>
  <c r="H26" i="7"/>
  <c r="R26" i="7" s="1"/>
  <c r="J26" i="7"/>
  <c r="J29" i="7"/>
  <c r="I27" i="7"/>
  <c r="J33" i="7"/>
  <c r="J31" i="7"/>
  <c r="J28" i="7"/>
  <c r="J32" i="7"/>
  <c r="J30" i="7"/>
  <c r="H31" i="11"/>
  <c r="C30" i="11"/>
  <c r="I27" i="8"/>
  <c r="J26" i="8"/>
  <c r="H26" i="8"/>
  <c r="I30" i="10"/>
  <c r="C22" i="8"/>
  <c r="C25" i="7"/>
  <c r="T27" i="7"/>
  <c r="T25" i="7"/>
  <c r="E25" i="7" s="1"/>
  <c r="T26" i="7"/>
  <c r="T28" i="7"/>
  <c r="W28" i="7"/>
  <c r="T29" i="7"/>
  <c r="W29" i="7"/>
  <c r="T30" i="7"/>
  <c r="W30" i="7"/>
  <c r="T31" i="7"/>
  <c r="W31" i="7"/>
  <c r="T32" i="7"/>
  <c r="W32" i="7"/>
  <c r="T33" i="7"/>
  <c r="W33" i="7"/>
  <c r="T34" i="7"/>
  <c r="W34" i="7"/>
  <c r="T35" i="7"/>
  <c r="W35" i="7"/>
  <c r="R32" i="6"/>
  <c r="O32" i="6"/>
  <c r="R24" i="6"/>
  <c r="R23" i="6"/>
  <c r="R22" i="6"/>
  <c r="M33" i="4"/>
  <c r="R33" i="4"/>
  <c r="K21" i="4"/>
  <c r="J21" i="4" s="1"/>
  <c r="B30" i="7" l="1"/>
  <c r="R25" i="7"/>
  <c r="B28" i="7"/>
  <c r="B22" i="6"/>
  <c r="B23" i="6"/>
  <c r="B24" i="6"/>
  <c r="B35" i="7"/>
  <c r="B32" i="6"/>
  <c r="B34" i="7"/>
  <c r="B33" i="7"/>
  <c r="B32" i="7"/>
  <c r="B31" i="7"/>
  <c r="B29" i="7"/>
  <c r="D26" i="7"/>
  <c r="P23" i="8"/>
  <c r="D23" i="8" s="1"/>
  <c r="N23" i="11"/>
  <c r="D23" i="11" s="1"/>
  <c r="P23" i="6"/>
  <c r="O23" i="9"/>
  <c r="V23" i="10"/>
  <c r="O23" i="6"/>
  <c r="N23" i="9"/>
  <c r="L23" i="9" s="1"/>
  <c r="O23" i="8"/>
  <c r="M23" i="11"/>
  <c r="S23" i="10"/>
  <c r="C23" i="10" s="1"/>
  <c r="A23" i="10" s="1"/>
  <c r="E31" i="7"/>
  <c r="I29" i="7"/>
  <c r="E32" i="7"/>
  <c r="I28" i="7"/>
  <c r="J27" i="7"/>
  <c r="J35" i="7"/>
  <c r="J34" i="7"/>
  <c r="E26" i="7"/>
  <c r="H23" i="6"/>
  <c r="K33" i="8"/>
  <c r="E33" i="8" s="1"/>
  <c r="K32" i="8"/>
  <c r="E32" i="8" s="1"/>
  <c r="R23" i="4"/>
  <c r="H27" i="7"/>
  <c r="I30" i="7"/>
  <c r="U27" i="7"/>
  <c r="C31" i="11"/>
  <c r="H33" i="11"/>
  <c r="H32" i="11"/>
  <c r="H27" i="8"/>
  <c r="J27" i="8"/>
  <c r="I28" i="8"/>
  <c r="I31" i="10"/>
  <c r="S23" i="4"/>
  <c r="C26" i="7"/>
  <c r="R25" i="6"/>
  <c r="R27" i="6"/>
  <c r="O29" i="6"/>
  <c r="R29" i="6"/>
  <c r="O31" i="6"/>
  <c r="R31" i="6"/>
  <c r="O33" i="6"/>
  <c r="R33" i="6"/>
  <c r="O22" i="6"/>
  <c r="R26" i="6"/>
  <c r="O28" i="6"/>
  <c r="R28" i="6"/>
  <c r="O30" i="6"/>
  <c r="R30" i="6"/>
  <c r="M24" i="4"/>
  <c r="K24" i="4"/>
  <c r="N33" i="4"/>
  <c r="K22" i="4"/>
  <c r="M22" i="4"/>
  <c r="K23" i="4"/>
  <c r="M23" i="4"/>
  <c r="K25" i="4"/>
  <c r="M25" i="4"/>
  <c r="K26" i="4"/>
  <c r="M26" i="4"/>
  <c r="K27" i="4"/>
  <c r="M27" i="4"/>
  <c r="K28" i="4"/>
  <c r="M28" i="4"/>
  <c r="K29" i="4"/>
  <c r="M29" i="4"/>
  <c r="K30" i="4"/>
  <c r="M30" i="4"/>
  <c r="K31" i="4"/>
  <c r="M31" i="4"/>
  <c r="K32" i="4"/>
  <c r="M32" i="4"/>
  <c r="K33" i="4"/>
  <c r="J22" i="4"/>
  <c r="R22" i="4"/>
  <c r="R28" i="4"/>
  <c r="R29" i="4"/>
  <c r="R30" i="4"/>
  <c r="R31" i="4"/>
  <c r="R32" i="4"/>
  <c r="AB23" i="10" l="1"/>
  <c r="K23" i="11"/>
  <c r="A23" i="11" s="1"/>
  <c r="R27" i="7"/>
  <c r="B33" i="6"/>
  <c r="M23" i="8"/>
  <c r="A23" i="8" s="1"/>
  <c r="B27" i="6"/>
  <c r="B25" i="6"/>
  <c r="B31" i="6"/>
  <c r="B30" i="6"/>
  <c r="B29" i="6"/>
  <c r="B28" i="6"/>
  <c r="B26" i="6"/>
  <c r="D27" i="7"/>
  <c r="D23" i="6"/>
  <c r="E23" i="11"/>
  <c r="O24" i="6"/>
  <c r="N24" i="9"/>
  <c r="M24" i="11"/>
  <c r="O24" i="8"/>
  <c r="N24" i="11"/>
  <c r="D24" i="11" s="1"/>
  <c r="P24" i="8"/>
  <c r="D24" i="8" s="1"/>
  <c r="P24" i="6"/>
  <c r="O24" i="9"/>
  <c r="V24" i="10"/>
  <c r="E23" i="8"/>
  <c r="C23" i="8" s="1"/>
  <c r="E23" i="9"/>
  <c r="A26" i="7"/>
  <c r="E33" i="7"/>
  <c r="I34" i="7"/>
  <c r="E27" i="7"/>
  <c r="C27" i="7"/>
  <c r="U28" i="7"/>
  <c r="I31" i="7"/>
  <c r="H28" i="7"/>
  <c r="I24" i="6"/>
  <c r="I33" i="6"/>
  <c r="H24" i="6"/>
  <c r="K24" i="6"/>
  <c r="C33" i="11"/>
  <c r="C32" i="11"/>
  <c r="I29" i="8"/>
  <c r="J28" i="8"/>
  <c r="H28" i="8"/>
  <c r="I33" i="10"/>
  <c r="I32" i="10"/>
  <c r="S24" i="4"/>
  <c r="R24" i="4"/>
  <c r="A25" i="7"/>
  <c r="J24" i="6"/>
  <c r="K33" i="6"/>
  <c r="K31" i="6"/>
  <c r="K29" i="6"/>
  <c r="K27" i="6"/>
  <c r="K32" i="6"/>
  <c r="K30" i="6"/>
  <c r="K28" i="6"/>
  <c r="K22" i="6"/>
  <c r="I31" i="6"/>
  <c r="I27" i="6"/>
  <c r="I32" i="6"/>
  <c r="I28" i="6"/>
  <c r="I22" i="6"/>
  <c r="K23" i="6"/>
  <c r="I23" i="6"/>
  <c r="C23" i="6" s="1"/>
  <c r="J33" i="6"/>
  <c r="J31" i="6"/>
  <c r="J29" i="6"/>
  <c r="J27" i="6"/>
  <c r="J25" i="6"/>
  <c r="J32" i="6"/>
  <c r="E32" i="6" s="1"/>
  <c r="J30" i="6"/>
  <c r="J28" i="6"/>
  <c r="E28" i="6" s="1"/>
  <c r="J26" i="6"/>
  <c r="J22" i="6"/>
  <c r="E22" i="6" s="1"/>
  <c r="J23" i="6"/>
  <c r="N31" i="4"/>
  <c r="N29" i="4"/>
  <c r="N27" i="4"/>
  <c r="N25" i="4"/>
  <c r="N22" i="4"/>
  <c r="N32" i="4"/>
  <c r="N30" i="4"/>
  <c r="N28" i="4"/>
  <c r="N26" i="4"/>
  <c r="N23" i="4"/>
  <c r="N24" i="4"/>
  <c r="L33" i="4"/>
  <c r="L32" i="4"/>
  <c r="L31" i="4"/>
  <c r="L30" i="4"/>
  <c r="L29" i="4"/>
  <c r="L28" i="4"/>
  <c r="L27" i="4"/>
  <c r="L26" i="4"/>
  <c r="L25" i="4"/>
  <c r="L22" i="4"/>
  <c r="L23" i="4"/>
  <c r="L24" i="4"/>
  <c r="R28" i="7" l="1"/>
  <c r="E24" i="9"/>
  <c r="L24" i="9"/>
  <c r="M24" i="6"/>
  <c r="M24" i="8"/>
  <c r="A24" i="8" s="1"/>
  <c r="K24" i="11"/>
  <c r="A24" i="11" s="1"/>
  <c r="C22" i="6"/>
  <c r="M22" i="6"/>
  <c r="A22" i="6" s="1"/>
  <c r="S24" i="10"/>
  <c r="C24" i="10" s="1"/>
  <c r="A24" i="10" s="1"/>
  <c r="M23" i="6"/>
  <c r="A23" i="6" s="1"/>
  <c r="E30" i="4"/>
  <c r="E33" i="4"/>
  <c r="E22" i="4"/>
  <c r="E23" i="4"/>
  <c r="E30" i="6"/>
  <c r="E29" i="4"/>
  <c r="E32" i="4"/>
  <c r="E23" i="6"/>
  <c r="E28" i="4"/>
  <c r="P25" i="8"/>
  <c r="D25" i="8" s="1"/>
  <c r="V25" i="10"/>
  <c r="N25" i="11"/>
  <c r="D25" i="11" s="1"/>
  <c r="O25" i="9"/>
  <c r="N25" i="9"/>
  <c r="L25" i="9" s="1"/>
  <c r="M25" i="11"/>
  <c r="O25" i="8"/>
  <c r="E24" i="11"/>
  <c r="E31" i="4"/>
  <c r="E24" i="8"/>
  <c r="C24" i="8" s="1"/>
  <c r="E31" i="6"/>
  <c r="A27" i="7"/>
  <c r="E24" i="4"/>
  <c r="E29" i="6"/>
  <c r="E33" i="6"/>
  <c r="I36" i="7"/>
  <c r="I35" i="7"/>
  <c r="E34" i="7"/>
  <c r="E28" i="7"/>
  <c r="E24" i="6"/>
  <c r="I32" i="7"/>
  <c r="C28" i="7"/>
  <c r="D28" i="7"/>
  <c r="E30" i="7"/>
  <c r="H29" i="7"/>
  <c r="U29" i="7"/>
  <c r="D24" i="6"/>
  <c r="I26" i="6"/>
  <c r="I30" i="6"/>
  <c r="I25" i="6"/>
  <c r="I29" i="6"/>
  <c r="K26" i="6"/>
  <c r="K25" i="6"/>
  <c r="C24" i="6"/>
  <c r="P25" i="6"/>
  <c r="H25" i="6"/>
  <c r="O25" i="6"/>
  <c r="H29" i="8"/>
  <c r="J29" i="8"/>
  <c r="I30" i="8"/>
  <c r="R25" i="4"/>
  <c r="E25" i="4" s="1"/>
  <c r="S25" i="4"/>
  <c r="AB24" i="10" l="1"/>
  <c r="R29" i="7"/>
  <c r="A29" i="7" s="1"/>
  <c r="M25" i="8"/>
  <c r="A25" i="8" s="1"/>
  <c r="M25" i="6"/>
  <c r="A25" i="6" s="1"/>
  <c r="S25" i="10"/>
  <c r="K25" i="11"/>
  <c r="A25" i="11" s="1"/>
  <c r="E25" i="9"/>
  <c r="E29" i="7"/>
  <c r="A24" i="6"/>
  <c r="E25" i="11"/>
  <c r="A28" i="7"/>
  <c r="E25" i="8"/>
  <c r="C25" i="8" s="1"/>
  <c r="P26" i="8"/>
  <c r="M26" i="8" s="1"/>
  <c r="V26" i="10"/>
  <c r="S26" i="10" s="1"/>
  <c r="N26" i="11"/>
  <c r="K26" i="11" s="1"/>
  <c r="A26" i="11" s="1"/>
  <c r="O26" i="9"/>
  <c r="L26" i="9" s="1"/>
  <c r="P26" i="6"/>
  <c r="E36" i="7"/>
  <c r="E35" i="7"/>
  <c r="D29" i="7"/>
  <c r="C29" i="7"/>
  <c r="I33" i="7"/>
  <c r="U30" i="7"/>
  <c r="H30" i="7"/>
  <c r="H26" i="6"/>
  <c r="C25" i="6"/>
  <c r="O27" i="6"/>
  <c r="E27" i="6" s="1"/>
  <c r="O26" i="6"/>
  <c r="D25" i="6"/>
  <c r="I31" i="8"/>
  <c r="J30" i="8"/>
  <c r="H30" i="8"/>
  <c r="R27" i="4"/>
  <c r="R26" i="4"/>
  <c r="S26" i="4"/>
  <c r="I21" i="1"/>
  <c r="M21" i="1"/>
  <c r="C26" i="10" l="1"/>
  <c r="A26" i="10" s="1"/>
  <c r="C25" i="10"/>
  <c r="A25" i="10" s="1"/>
  <c r="R30" i="7"/>
  <c r="A30" i="7" s="1"/>
  <c r="M26" i="6"/>
  <c r="A26" i="6" s="1"/>
  <c r="E27" i="4"/>
  <c r="E26" i="4"/>
  <c r="C26" i="6"/>
  <c r="M26" i="1"/>
  <c r="M29" i="1"/>
  <c r="M30" i="1"/>
  <c r="E26" i="6"/>
  <c r="N23" i="1"/>
  <c r="N27" i="11"/>
  <c r="K27" i="11" s="1"/>
  <c r="A27" i="11" s="1"/>
  <c r="V27" i="10"/>
  <c r="S27" i="10" s="1"/>
  <c r="P27" i="8"/>
  <c r="M27" i="8" s="1"/>
  <c r="P27" i="6"/>
  <c r="O27" i="9"/>
  <c r="L27" i="9" s="1"/>
  <c r="A26" i="8"/>
  <c r="D26" i="8"/>
  <c r="C26" i="8" s="1"/>
  <c r="D26" i="11"/>
  <c r="E25" i="6"/>
  <c r="H31" i="7"/>
  <c r="U31" i="7"/>
  <c r="C30" i="7"/>
  <c r="D30" i="7"/>
  <c r="D26" i="6"/>
  <c r="H27" i="6"/>
  <c r="H31" i="8"/>
  <c r="J31" i="8"/>
  <c r="I33" i="8"/>
  <c r="I32" i="8"/>
  <c r="S27" i="4"/>
  <c r="M33" i="1"/>
  <c r="M32" i="1"/>
  <c r="M31" i="1"/>
  <c r="M28" i="1"/>
  <c r="M22" i="1"/>
  <c r="AB25" i="10" l="1"/>
  <c r="AB26" i="10"/>
  <c r="C27" i="10"/>
  <c r="A27" i="10" s="1"/>
  <c r="M27" i="6"/>
  <c r="A27" i="6" s="1"/>
  <c r="R31" i="7"/>
  <c r="A31" i="7" s="1"/>
  <c r="A27" i="8"/>
  <c r="D27" i="8"/>
  <c r="C27" i="8" s="1"/>
  <c r="D27" i="11"/>
  <c r="O28" i="9"/>
  <c r="L28" i="9" s="1"/>
  <c r="P28" i="8"/>
  <c r="M28" i="8" s="1"/>
  <c r="N28" i="11"/>
  <c r="K28" i="11" s="1"/>
  <c r="A28" i="11" s="1"/>
  <c r="V28" i="10"/>
  <c r="S28" i="10" s="1"/>
  <c r="D31" i="7"/>
  <c r="U32" i="7"/>
  <c r="H32" i="7"/>
  <c r="R32" i="7" s="1"/>
  <c r="C31" i="7"/>
  <c r="C27" i="6"/>
  <c r="H28" i="6"/>
  <c r="P28" i="6"/>
  <c r="D27" i="6"/>
  <c r="J33" i="8"/>
  <c r="J32" i="8"/>
  <c r="H33" i="8"/>
  <c r="H32" i="8"/>
  <c r="S28" i="4"/>
  <c r="N24" i="1"/>
  <c r="C28" i="10" l="1"/>
  <c r="A28" i="10" s="1"/>
  <c r="AB27" i="10"/>
  <c r="M28" i="6"/>
  <c r="J23" i="4"/>
  <c r="D28" i="11"/>
  <c r="H23" i="4"/>
  <c r="A28" i="8"/>
  <c r="D28" i="8"/>
  <c r="C28" i="8" s="1"/>
  <c r="O29" i="9"/>
  <c r="L29" i="9" s="1"/>
  <c r="P29" i="8"/>
  <c r="M29" i="8" s="1"/>
  <c r="N29" i="11"/>
  <c r="K29" i="11" s="1"/>
  <c r="A29" i="11" s="1"/>
  <c r="V29" i="10"/>
  <c r="S29" i="10" s="1"/>
  <c r="I23" i="4"/>
  <c r="D28" i="6"/>
  <c r="C32" i="7"/>
  <c r="A32" i="7"/>
  <c r="H33" i="7"/>
  <c r="U33" i="7"/>
  <c r="D32" i="7"/>
  <c r="H29" i="6"/>
  <c r="P29" i="6"/>
  <c r="C28" i="6"/>
  <c r="A28" i="6"/>
  <c r="S29" i="4"/>
  <c r="H23" i="1"/>
  <c r="D23" i="1" s="1"/>
  <c r="N25" i="1"/>
  <c r="M23" i="1"/>
  <c r="C29" i="10" l="1"/>
  <c r="A29" i="10" s="1"/>
  <c r="AB28" i="10"/>
  <c r="R33" i="7"/>
  <c r="A33" i="7" s="1"/>
  <c r="M29" i="6"/>
  <c r="A29" i="6" s="1"/>
  <c r="D29" i="11"/>
  <c r="O30" i="9"/>
  <c r="L30" i="9" s="1"/>
  <c r="P30" i="6"/>
  <c r="P30" i="8"/>
  <c r="M30" i="8" s="1"/>
  <c r="V30" i="10"/>
  <c r="S30" i="10" s="1"/>
  <c r="C30" i="10" s="1"/>
  <c r="A30" i="10" s="1"/>
  <c r="N30" i="11"/>
  <c r="K30" i="11" s="1"/>
  <c r="A30" i="11" s="1"/>
  <c r="A29" i="8"/>
  <c r="D29" i="8"/>
  <c r="C29" i="8" s="1"/>
  <c r="D33" i="7"/>
  <c r="D29" i="6"/>
  <c r="U34" i="7"/>
  <c r="H34" i="7"/>
  <c r="R34" i="7" s="1"/>
  <c r="C33" i="7"/>
  <c r="H30" i="6"/>
  <c r="C29" i="6"/>
  <c r="H24" i="4"/>
  <c r="J24" i="4"/>
  <c r="I24" i="4"/>
  <c r="S30" i="4"/>
  <c r="N26" i="1"/>
  <c r="H24" i="1"/>
  <c r="D24" i="1" s="1"/>
  <c r="M24" i="1"/>
  <c r="U33" i="4"/>
  <c r="U31" i="4"/>
  <c r="U29" i="4"/>
  <c r="U27" i="4"/>
  <c r="U25" i="4"/>
  <c r="U32" i="4"/>
  <c r="U30" i="4"/>
  <c r="U28" i="4"/>
  <c r="U26" i="4"/>
  <c r="U23" i="4"/>
  <c r="P23" i="4" s="1"/>
  <c r="U24" i="4"/>
  <c r="U22" i="4"/>
  <c r="P22" i="4" s="1"/>
  <c r="R21" i="1"/>
  <c r="P21" i="1"/>
  <c r="AB30" i="10" l="1"/>
  <c r="AB29" i="10"/>
  <c r="P24" i="4"/>
  <c r="R23" i="1"/>
  <c r="R31" i="1"/>
  <c r="R32" i="1"/>
  <c r="R25" i="1"/>
  <c r="R33" i="1"/>
  <c r="R26" i="1"/>
  <c r="R22" i="1"/>
  <c r="R28" i="1"/>
  <c r="R29" i="1"/>
  <c r="R24" i="1"/>
  <c r="R30" i="1"/>
  <c r="R27" i="1"/>
  <c r="M30" i="6"/>
  <c r="A30" i="6" s="1"/>
  <c r="D30" i="11"/>
  <c r="O31" i="9"/>
  <c r="L31" i="9" s="1"/>
  <c r="P31" i="6"/>
  <c r="P31" i="8"/>
  <c r="M31" i="8" s="1"/>
  <c r="N31" i="11"/>
  <c r="K31" i="11" s="1"/>
  <c r="A31" i="11" s="1"/>
  <c r="V31" i="10"/>
  <c r="S31" i="10" s="1"/>
  <c r="C31" i="10" s="1"/>
  <c r="A31" i="10" s="1"/>
  <c r="A30" i="8"/>
  <c r="D30" i="8"/>
  <c r="C30" i="8" s="1"/>
  <c r="H36" i="7"/>
  <c r="H35" i="7"/>
  <c r="U36" i="7"/>
  <c r="U35" i="7"/>
  <c r="C34" i="7"/>
  <c r="A34" i="7"/>
  <c r="D34" i="7"/>
  <c r="H31" i="6"/>
  <c r="C30" i="6"/>
  <c r="D30" i="6"/>
  <c r="I25" i="4"/>
  <c r="J25" i="4"/>
  <c r="H25" i="4"/>
  <c r="S31" i="4"/>
  <c r="N27" i="1"/>
  <c r="M25" i="1"/>
  <c r="H25" i="1"/>
  <c r="D25" i="1" s="1"/>
  <c r="B22" i="4"/>
  <c r="B23" i="4"/>
  <c r="B28" i="4"/>
  <c r="B32" i="4"/>
  <c r="B27" i="4"/>
  <c r="B31" i="4"/>
  <c r="B24" i="4"/>
  <c r="B26" i="4"/>
  <c r="B30" i="4"/>
  <c r="B25" i="4"/>
  <c r="B29" i="4"/>
  <c r="B33" i="4"/>
  <c r="I32" i="1"/>
  <c r="I30" i="1"/>
  <c r="I28" i="1"/>
  <c r="I26" i="1"/>
  <c r="I24" i="1"/>
  <c r="I33" i="1"/>
  <c r="I31" i="1"/>
  <c r="I29" i="1"/>
  <c r="I27" i="1"/>
  <c r="I25" i="1"/>
  <c r="I23" i="1"/>
  <c r="I22" i="1"/>
  <c r="P32" i="1"/>
  <c r="B32" i="1" s="1"/>
  <c r="P30" i="1"/>
  <c r="B30" i="1" s="1"/>
  <c r="P28" i="1"/>
  <c r="B28" i="1" s="1"/>
  <c r="P26" i="1"/>
  <c r="P33" i="1"/>
  <c r="B33" i="1" s="1"/>
  <c r="P31" i="1"/>
  <c r="B31" i="1" s="1"/>
  <c r="P29" i="1"/>
  <c r="B29" i="1" s="1"/>
  <c r="P27" i="1"/>
  <c r="B27" i="1" s="1"/>
  <c r="P25" i="1"/>
  <c r="B25" i="1" s="1"/>
  <c r="AB31" i="10" l="1"/>
  <c r="P25" i="4"/>
  <c r="R36" i="7"/>
  <c r="A36" i="7" s="1"/>
  <c r="R35" i="7"/>
  <c r="A35" i="7" s="1"/>
  <c r="M31" i="6"/>
  <c r="A31" i="6" s="1"/>
  <c r="K25" i="1"/>
  <c r="A25" i="1" s="1"/>
  <c r="B26" i="1"/>
  <c r="D36" i="7"/>
  <c r="D35" i="7"/>
  <c r="A31" i="8"/>
  <c r="D31" i="8"/>
  <c r="C31" i="8" s="1"/>
  <c r="D31" i="11"/>
  <c r="O32" i="9"/>
  <c r="L32" i="9" s="1"/>
  <c r="P32" i="6"/>
  <c r="P32" i="8"/>
  <c r="M32" i="8" s="1"/>
  <c r="N32" i="11"/>
  <c r="K32" i="11" s="1"/>
  <c r="A32" i="11" s="1"/>
  <c r="V32" i="10"/>
  <c r="S32" i="10" s="1"/>
  <c r="C32" i="10" s="1"/>
  <c r="A32" i="10" s="1"/>
  <c r="C25" i="1"/>
  <c r="E25" i="1"/>
  <c r="E22" i="1"/>
  <c r="E29" i="1"/>
  <c r="E33" i="1"/>
  <c r="E26" i="1"/>
  <c r="E30" i="1"/>
  <c r="C23" i="1"/>
  <c r="E23" i="1"/>
  <c r="E31" i="1"/>
  <c r="E24" i="1"/>
  <c r="E28" i="1"/>
  <c r="E32" i="1"/>
  <c r="D31" i="6"/>
  <c r="C36" i="7"/>
  <c r="C35" i="7"/>
  <c r="H33" i="6"/>
  <c r="H32" i="6"/>
  <c r="C31" i="6"/>
  <c r="I26" i="4"/>
  <c r="S33" i="4"/>
  <c r="S32" i="4"/>
  <c r="H26" i="4"/>
  <c r="J26" i="4"/>
  <c r="H26" i="1"/>
  <c r="D26" i="1" s="1"/>
  <c r="N28" i="1"/>
  <c r="M27" i="1"/>
  <c r="E27" i="1" s="1"/>
  <c r="C24" i="1"/>
  <c r="C22" i="1"/>
  <c r="AB32" i="10" l="1"/>
  <c r="P26" i="4"/>
  <c r="K26" i="1"/>
  <c r="A26" i="1" s="1"/>
  <c r="M32" i="6"/>
  <c r="A32" i="6" s="1"/>
  <c r="D32" i="11"/>
  <c r="O33" i="9"/>
  <c r="L33" i="9" s="1"/>
  <c r="P33" i="6"/>
  <c r="D33" i="6" s="1"/>
  <c r="P33" i="8"/>
  <c r="M33" i="8" s="1"/>
  <c r="N33" i="11"/>
  <c r="K33" i="11" s="1"/>
  <c r="A33" i="11" s="1"/>
  <c r="V33" i="10"/>
  <c r="S33" i="10" s="1"/>
  <c r="A32" i="8"/>
  <c r="D32" i="8"/>
  <c r="C32" i="8" s="1"/>
  <c r="C26" i="1"/>
  <c r="C33" i="6"/>
  <c r="C32" i="6"/>
  <c r="D32" i="6"/>
  <c r="J27" i="4"/>
  <c r="H27" i="4"/>
  <c r="I27" i="4"/>
  <c r="N29" i="1"/>
  <c r="H27" i="1"/>
  <c r="P22" i="1"/>
  <c r="C33" i="10" l="1"/>
  <c r="A33" i="10" s="1"/>
  <c r="P27" i="4"/>
  <c r="M33" i="6"/>
  <c r="A33" i="6" s="1"/>
  <c r="B22" i="1"/>
  <c r="K22" i="1"/>
  <c r="A22" i="1" s="1"/>
  <c r="K27" i="1"/>
  <c r="A27" i="1" s="1"/>
  <c r="D33" i="8"/>
  <c r="C33" i="8" s="1"/>
  <c r="A33" i="8"/>
  <c r="D33" i="11"/>
  <c r="I28" i="4"/>
  <c r="H28" i="4"/>
  <c r="J28" i="4"/>
  <c r="D27" i="1"/>
  <c r="C27" i="1"/>
  <c r="H28" i="1"/>
  <c r="K28" i="1" s="1"/>
  <c r="A28" i="1" s="1"/>
  <c r="P24" i="1"/>
  <c r="K24" i="1" s="1"/>
  <c r="A24" i="1" s="1"/>
  <c r="P23" i="1"/>
  <c r="AB33" i="10" l="1"/>
  <c r="P28" i="4"/>
  <c r="K23" i="1"/>
  <c r="A23" i="1" s="1"/>
  <c r="J29" i="4"/>
  <c r="H29" i="4"/>
  <c r="I29" i="4"/>
  <c r="N31" i="1"/>
  <c r="D28" i="1"/>
  <c r="C28" i="1"/>
  <c r="H29" i="1"/>
  <c r="K29" i="1" s="1"/>
  <c r="B24" i="1"/>
  <c r="B23" i="1"/>
  <c r="A22" i="9"/>
  <c r="P29" i="4" l="1"/>
  <c r="A29" i="1"/>
  <c r="I30" i="4"/>
  <c r="H30" i="4"/>
  <c r="J30" i="4"/>
  <c r="H30" i="1"/>
  <c r="D29" i="1"/>
  <c r="C29" i="1"/>
  <c r="N33" i="1"/>
  <c r="N32" i="1"/>
  <c r="C22" i="9"/>
  <c r="P30" i="4" l="1"/>
  <c r="K30" i="1"/>
  <c r="A30" i="1" s="1"/>
  <c r="J31" i="4"/>
  <c r="H31" i="4"/>
  <c r="I31" i="4"/>
  <c r="D30" i="1"/>
  <c r="C30" i="1"/>
  <c r="H31" i="1"/>
  <c r="C29" i="9"/>
  <c r="A29" i="9"/>
  <c r="A32" i="9"/>
  <c r="C32" i="9"/>
  <c r="A23" i="9"/>
  <c r="C23" i="9"/>
  <c r="C33" i="9"/>
  <c r="A33" i="9"/>
  <c r="C25" i="9"/>
  <c r="A25" i="9"/>
  <c r="A24" i="9"/>
  <c r="C24" i="9"/>
  <c r="A28" i="9"/>
  <c r="C28" i="9"/>
  <c r="A27" i="9"/>
  <c r="C27" i="9"/>
  <c r="A30" i="9"/>
  <c r="C30" i="9"/>
  <c r="A26" i="9"/>
  <c r="C26" i="9"/>
  <c r="A31" i="9"/>
  <c r="C31" i="9"/>
  <c r="C23" i="4"/>
  <c r="D23" i="4"/>
  <c r="C29" i="4"/>
  <c r="D29" i="4"/>
  <c r="C27" i="4"/>
  <c r="D27" i="4"/>
  <c r="D26" i="4"/>
  <c r="A26" i="4"/>
  <c r="C26" i="4"/>
  <c r="A25" i="4"/>
  <c r="A23" i="4"/>
  <c r="C22" i="4"/>
  <c r="C30" i="4"/>
  <c r="A29" i="4"/>
  <c r="C28" i="4"/>
  <c r="A27" i="4"/>
  <c r="C24" i="4"/>
  <c r="P31" i="4" l="1"/>
  <c r="A31" i="4" s="1"/>
  <c r="K31" i="1"/>
  <c r="A31" i="1" s="1"/>
  <c r="C31" i="4"/>
  <c r="D31" i="4"/>
  <c r="I33" i="4"/>
  <c r="I32" i="4"/>
  <c r="H33" i="4"/>
  <c r="H32" i="4"/>
  <c r="J33" i="4"/>
  <c r="J32" i="4"/>
  <c r="H33" i="1"/>
  <c r="K33" i="1" s="1"/>
  <c r="H32" i="1"/>
  <c r="D31" i="1"/>
  <c r="C31" i="1"/>
  <c r="A24" i="4"/>
  <c r="A28" i="4"/>
  <c r="A30" i="4"/>
  <c r="A22" i="4"/>
  <c r="D24" i="4"/>
  <c r="D28" i="4"/>
  <c r="D30" i="4"/>
  <c r="D22" i="4"/>
  <c r="D25" i="4"/>
  <c r="C25" i="4"/>
  <c r="P33" i="4" l="1"/>
  <c r="A33" i="4" s="1"/>
  <c r="P32" i="4"/>
  <c r="A32" i="4" s="1"/>
  <c r="A33" i="1"/>
  <c r="K32" i="1"/>
  <c r="A32" i="1" s="1"/>
  <c r="D32" i="4"/>
  <c r="D33" i="4"/>
  <c r="C33" i="4"/>
  <c r="C32" i="4"/>
  <c r="D33" i="1"/>
  <c r="C33" i="1"/>
  <c r="D32" i="1"/>
  <c r="C32" i="1"/>
</calcChain>
</file>

<file path=xl/sharedStrings.xml><?xml version="1.0" encoding="utf-8"?>
<sst xmlns="http://schemas.openxmlformats.org/spreadsheetml/2006/main" count="600" uniqueCount="85">
  <si>
    <t>Customer</t>
  </si>
  <si>
    <t>Jan</t>
  </si>
  <si>
    <t>$</t>
  </si>
  <si>
    <t>$/kWH</t>
  </si>
  <si>
    <t>Energy</t>
  </si>
  <si>
    <t>Rate</t>
  </si>
  <si>
    <t>Calc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</si>
  <si>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</si>
  <si>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</si>
  <si>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</si>
  <si>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</si>
  <si>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</si>
  <si>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</si>
  <si>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</si>
  <si>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</si>
  <si>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</si>
  <si>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</si>
  <si>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</si>
  <si>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kWH Input</t>
  </si>
  <si>
    <t>Total</t>
  </si>
  <si>
    <t>Fuel</t>
  </si>
  <si>
    <t>CUSTOMER+ENERGY</t>
  </si>
  <si>
    <t>Single Phase</t>
  </si>
  <si>
    <t>Demand</t>
  </si>
  <si>
    <t>$/kW</t>
  </si>
  <si>
    <t>kW Input</t>
  </si>
  <si>
    <t>Calc Inputs</t>
  </si>
  <si>
    <t>KYPSC No.2</t>
  </si>
  <si>
    <t>Sheet No.30 - 3rd Revised</t>
  </si>
  <si>
    <t>DSMR</t>
  </si>
  <si>
    <t>FAC</t>
  </si>
  <si>
    <t>PSM</t>
  </si>
  <si>
    <t>Sheet No. 78 6th R</t>
  </si>
  <si>
    <t>HEA</t>
  </si>
  <si>
    <t>&lt;=15 kW</t>
  </si>
  <si>
    <t>&gt;15 kW</t>
  </si>
  <si>
    <t>Sheet No. 40 3rd Revised</t>
  </si>
  <si>
    <t>&lt;=6000 kWh</t>
  </si>
  <si>
    <t>&gt;300* kW</t>
  </si>
  <si>
    <t>&gt;6000&lt;=300*kW</t>
  </si>
  <si>
    <t>Sheet No. 80 3rd R</t>
  </si>
  <si>
    <t>Sheet No. 82 19th R</t>
  </si>
  <si>
    <t>Sheet No. 45 3rd Revised</t>
  </si>
  <si>
    <t>&lt;=300*kW</t>
  </si>
  <si>
    <t>Summer</t>
  </si>
  <si>
    <t>Winter</t>
  </si>
  <si>
    <t>On Peak</t>
  </si>
  <si>
    <t>Off Peak</t>
  </si>
  <si>
    <t>billed kWh</t>
  </si>
  <si>
    <t xml:space="preserve">  On peak</t>
  </si>
  <si>
    <t xml:space="preserve">  Off peak</t>
  </si>
  <si>
    <t>Sheet No. 51 3rd Revised</t>
  </si>
  <si>
    <t xml:space="preserve"> Three Phase</t>
  </si>
  <si>
    <t>540 to 720</t>
  </si>
  <si>
    <t>&lt;540</t>
  </si>
  <si>
    <t>Sheet No. 42 3rd Revised</t>
  </si>
  <si>
    <t>Sheet No. 44 3rd Revised</t>
  </si>
  <si>
    <t>Y</t>
  </si>
  <si>
    <t>Primary</t>
  </si>
  <si>
    <t>Sheet No. 41 3rd Revised</t>
  </si>
  <si>
    <t>Year Round</t>
  </si>
  <si>
    <t>Three Phase</t>
  </si>
  <si>
    <t>Sheet No.43 - 3rd Revised</t>
  </si>
  <si>
    <t>Service/Phase (1, 3, P)</t>
  </si>
  <si>
    <t>Service/Phase (1, 3)</t>
  </si>
  <si>
    <t>Primary Metering (Y,N)</t>
  </si>
  <si>
    <t>Minimum</t>
  </si>
  <si>
    <t>Hours Use</t>
  </si>
  <si>
    <t>Rated Capacity (kW)</t>
  </si>
  <si>
    <t xml:space="preserve">  Total</t>
  </si>
  <si>
    <t>ENTER ON and OFF PEAK VALUES</t>
  </si>
  <si>
    <t>if AVAILABLE</t>
  </si>
  <si>
    <t>n</t>
  </si>
  <si>
    <t>Sheet No. 76 original</t>
  </si>
  <si>
    <t>%</t>
  </si>
  <si>
    <t>ESMR</t>
  </si>
  <si>
    <t>Bill</t>
  </si>
  <si>
    <t>these fields only populate if you have the ON and OFF peak values</t>
  </si>
  <si>
    <t>or ENTER TOTAL (but not BOTH)</t>
  </si>
  <si>
    <t>The 4th Thursday in November</t>
  </si>
  <si>
    <t>Base Fuel</t>
  </si>
  <si>
    <t>(Do not include in Total)</t>
  </si>
  <si>
    <t>P</t>
  </si>
  <si>
    <t>Discount</t>
  </si>
  <si>
    <t>Demand + Riders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</si>
</sst>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_(* #,##0_);_(* \(#,##0\);_(* &quot;-&quot;??_);_(@_)"/>
    <numFmt numFmtId="168" formatCode="_(* #,##0.000_);_(* \(#,##0.0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Alignment="1"/>
    <xf numFmtId="2" fontId="0" fillId="0" borderId="0" xfId="0" applyNumberFormat="1"/>
    <xf numFmtId="0" fontId="0" fillId="2" borderId="0" xfId="0" applyFill="1" applyAlignment="1">
      <alignment horizontal="center"/>
    </xf>
    <xf numFmtId="0" fontId="0" fillId="0" borderId="0" xfId="0" applyFill="1"/>
    <xf numFmtId="166" fontId="0" fillId="0" borderId="0" xfId="0" applyNumberFormat="1" applyFill="1"/>
    <xf numFmtId="164" fontId="0" fillId="0" borderId="0" xfId="0" applyNumberFormat="1" applyFill="1"/>
    <xf numFmtId="0" fontId="1" fillId="3" borderId="0" xfId="0" applyFont="1" applyFill="1"/>
    <xf numFmtId="0" fontId="0" fillId="0" borderId="0" xfId="0" applyAlignment="1">
      <alignment horizontal="center" wrapText="1"/>
    </xf>
    <xf numFmtId="0" fontId="1" fillId="0" borderId="0" xfId="0" applyFont="1" applyFill="1"/>
    <xf numFmtId="165" fontId="0" fillId="0" borderId="0" xfId="0" applyNumberFormat="1" applyFill="1"/>
    <xf numFmtId="0" fontId="0" fillId="4" borderId="0" xfId="0" applyFill="1"/>
    <xf numFmtId="0" fontId="0" fillId="5" borderId="0" xfId="0" applyFill="1"/>
    <xf numFmtId="0" fontId="1" fillId="5" borderId="0" xfId="0" applyFont="1" applyFill="1"/>
    <xf numFmtId="0" fontId="1" fillId="5" borderId="0" xfId="0" applyFont="1" applyFill="1" applyAlignment="1">
      <alignment wrapText="1"/>
    </xf>
    <xf numFmtId="0" fontId="0" fillId="4" borderId="0" xfId="0" applyFill="1" applyAlignment="1">
      <alignment horizontal="center"/>
    </xf>
    <xf numFmtId="0" fontId="0" fillId="4" borderId="0" xfId="0" quotePrefix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quotePrefix="1" applyFill="1" applyAlignment="1">
      <alignment horizontal="center"/>
    </xf>
    <xf numFmtId="43" fontId="0" fillId="0" borderId="0" xfId="1" applyFont="1"/>
    <xf numFmtId="43" fontId="0" fillId="4" borderId="0" xfId="1" applyFont="1" applyFill="1"/>
    <xf numFmtId="167" fontId="1" fillId="3" borderId="0" xfId="1" applyNumberFormat="1" applyFont="1" applyFill="1"/>
    <xf numFmtId="43" fontId="0" fillId="0" borderId="0" xfId="0" applyNumberFormat="1"/>
    <xf numFmtId="43" fontId="0" fillId="0" borderId="0" xfId="1" applyFont="1" applyFill="1"/>
    <xf numFmtId="43" fontId="0" fillId="0" borderId="0" xfId="0" applyNumberFormat="1" applyFill="1"/>
    <xf numFmtId="0" fontId="0" fillId="0" borderId="0" xfId="0" applyFill="1" applyAlignment="1">
      <alignment horizontal="center"/>
    </xf>
    <xf numFmtId="2" fontId="0" fillId="0" borderId="0" xfId="0" applyNumberFormat="1" applyFill="1"/>
    <xf numFmtId="0" fontId="0" fillId="0" borderId="0" xfId="0" applyFill="1" applyAlignment="1">
      <alignment horizontal="center" wrapText="1"/>
    </xf>
    <xf numFmtId="0" fontId="1" fillId="0" borderId="0" xfId="0" applyFont="1"/>
    <xf numFmtId="167" fontId="1" fillId="0" borderId="0" xfId="0" quotePrefix="1" applyNumberFormat="1" applyFont="1" applyAlignment="1">
      <alignment horizontal="center"/>
    </xf>
    <xf numFmtId="167" fontId="0" fillId="4" borderId="0" xfId="1" applyNumberFormat="1" applyFont="1" applyFill="1" applyAlignment="1">
      <alignment horizontal="center"/>
    </xf>
    <xf numFmtId="167" fontId="0" fillId="0" borderId="0" xfId="1" quotePrefix="1" applyNumberFormat="1" applyFont="1" applyAlignment="1">
      <alignment horizontal="center"/>
    </xf>
    <xf numFmtId="167" fontId="0" fillId="0" borderId="0" xfId="1" applyNumberFormat="1" applyFont="1" applyAlignment="1">
      <alignment horizontal="center"/>
    </xf>
    <xf numFmtId="167" fontId="0" fillId="0" borderId="0" xfId="1" applyNumberFormat="1" applyFont="1"/>
    <xf numFmtId="167" fontId="0" fillId="4" borderId="0" xfId="1" applyNumberFormat="1" applyFont="1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right"/>
    </xf>
    <xf numFmtId="167" fontId="0" fillId="0" borderId="0" xfId="1" applyNumberFormat="1" applyFont="1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168" fontId="0" fillId="0" borderId="0" xfId="0" applyNumberFormat="1"/>
    <xf numFmtId="167" fontId="0" fillId="0" borderId="0" xfId="0" applyNumberFormat="1" applyFill="1"/>
    <xf numFmtId="43" fontId="0" fillId="0" borderId="0" xfId="1" applyNumberFormat="1" applyFont="1"/>
    <xf numFmtId="0" fontId="0" fillId="3" borderId="0" xfId="0" applyFill="1"/>
    <xf numFmtId="0" fontId="0" fillId="3" borderId="0" xfId="0" applyFill="1" applyAlignment="1">
      <alignment horizontal="center"/>
    </xf>
    <xf numFmtId="43" fontId="0" fillId="3" borderId="0" xfId="1" applyFont="1" applyFill="1"/>
    <xf numFmtId="167" fontId="0" fillId="3" borderId="0" xfId="1" applyNumberFormat="1" applyFont="1" applyFill="1"/>
    <xf numFmtId="43" fontId="0" fillId="3" borderId="0" xfId="0" applyNumberFormat="1" applyFill="1"/>
    <xf numFmtId="167" fontId="1" fillId="0" borderId="0" xfId="1" quotePrefix="1" applyNumberFormat="1" applyFont="1" applyAlignment="1">
      <alignment horizontal="right"/>
    </xf>
    <xf numFmtId="0" fontId="1" fillId="6" borderId="0" xfId="0" applyFont="1" applyFill="1"/>
    <xf numFmtId="0" fontId="0" fillId="6" borderId="0" xfId="0" applyFill="1"/>
    <xf numFmtId="165" fontId="0" fillId="4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7" borderId="0" xfId="0" quotePrefix="1" applyFont="1" applyFill="1" applyAlignment="1">
      <alignment horizontal="center"/>
    </xf>
    <xf numFmtId="10" fontId="0" fillId="0" borderId="0" xfId="2" applyNumberFormat="1" applyFont="1"/>
    <xf numFmtId="10" fontId="0" fillId="0" borderId="0" xfId="0" applyNumberFormat="1"/>
    <xf numFmtId="43" fontId="0" fillId="6" borderId="0" xfId="1" quotePrefix="1" applyNumberFormat="1" applyFont="1" applyFill="1" applyAlignment="1">
      <alignment horizontal="center"/>
    </xf>
    <xf numFmtId="43" fontId="0" fillId="6" borderId="0" xfId="0" applyNumberFormat="1" applyFill="1"/>
    <xf numFmtId="167" fontId="0" fillId="6" borderId="0" xfId="1" quotePrefix="1" applyNumberFormat="1" applyFont="1" applyFill="1" applyAlignment="1">
      <alignment horizontal="center"/>
    </xf>
    <xf numFmtId="0" fontId="0" fillId="0" borderId="0" xfId="0" quotePrefix="1" applyFill="1" applyAlignment="1">
      <alignment horizontal="center" wrapText="1"/>
    </xf>
    <xf numFmtId="0" fontId="0" fillId="0" borderId="0" xfId="0"/>
    <xf numFmtId="0" fontId="0" fillId="0" borderId="0" xfId="0" applyFill="1"/>
    <xf numFmtId="43" fontId="0" fillId="0" borderId="0" xfId="1" applyFont="1" applyFill="1"/>
    <xf numFmtId="0" fontId="1" fillId="0" borderId="0" xfId="0" applyFont="1"/>
    <xf numFmtId="43" fontId="0" fillId="3" borderId="0" xfId="1" applyFont="1" applyFill="1"/>
    <xf numFmtId="167" fontId="0" fillId="3" borderId="0" xfId="1" applyNumberFormat="1" applyFont="1" applyFill="1"/>
    <xf numFmtId="17" fontId="0" fillId="0" borderId="0" xfId="1" applyNumberFormat="1" applyFont="1" applyFill="1"/>
    <xf numFmtId="0" fontId="0" fillId="0" borderId="0" xfId="0" applyBorder="1"/>
    <xf numFmtId="0" fontId="0" fillId="2" borderId="1" xfId="0" applyFill="1" applyBorder="1" applyAlignment="1">
      <alignment horizontal="center"/>
    </xf>
    <xf numFmtId="16" fontId="0" fillId="0" borderId="0" xfId="0" quotePrefix="1" applyNumberFormat="1"/>
    <xf numFmtId="14" fontId="0" fillId="0" borderId="0" xfId="0" applyNumberFormat="1"/>
    <xf numFmtId="14" fontId="0" fillId="0" borderId="0" xfId="0" applyNumberFormat="1" applyFill="1"/>
    <xf numFmtId="0" fontId="0" fillId="0" borderId="0" xfId="0" quotePrefix="1"/>
    <xf numFmtId="0" fontId="0" fillId="8" borderId="0" xfId="0" applyFill="1"/>
    <xf numFmtId="0" fontId="0" fillId="8" borderId="0" xfId="0" applyFill="1" applyAlignment="1">
      <alignment horizontal="center"/>
    </xf>
    <xf numFmtId="0" fontId="0" fillId="8" borderId="0" xfId="0" quotePrefix="1" applyFill="1" applyAlignment="1">
      <alignment horizontal="center"/>
    </xf>
    <xf numFmtId="165" fontId="0" fillId="8" borderId="0" xfId="0" applyNumberFormat="1" applyFill="1"/>
    <xf numFmtId="167" fontId="0" fillId="8" borderId="0" xfId="0" applyNumberFormat="1" applyFill="1"/>
    <xf numFmtId="43" fontId="0" fillId="8" borderId="0" xfId="1" applyFont="1" applyFill="1"/>
    <xf numFmtId="9" fontId="0" fillId="2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36"/>
  <sheetViews>
    <sheetView tabSelected="1" view="pageLayout" topLeftCell="M1" zoomScaleNormal="75" workbookViewId="0"/>
  </sheetViews>
  <sheetFormatPr defaultRowHeight="15" x14ac:dyDescent="0.25"/>
  <cols>
    <col min="1" max="1" width="11.5703125" customWidth="1"/>
    <col min="2" max="2" width="15.140625" customWidth="1"/>
    <col min="3" max="3" width="12.140625" customWidth="1"/>
    <col min="4" max="5" width="11.5703125" customWidth="1"/>
    <col min="6" max="6" width="2.85546875" customWidth="1"/>
    <col min="7" max="7" width="9.140625" style="16"/>
    <col min="8" max="9" width="12.42578125" customWidth="1"/>
    <col min="10" max="10" width="3" customWidth="1"/>
    <col min="11" max="11" width="18.5703125" bestFit="1" customWidth="1"/>
    <col min="12" max="12" width="2.5703125" customWidth="1"/>
    <col min="13" max="13" width="18.42578125" customWidth="1"/>
    <col min="14" max="14" width="10" customWidth="1"/>
    <col min="15" max="15" width="2.85546875" customWidth="1"/>
    <col min="16" max="16" width="20" style="15" customWidth="1"/>
    <col min="17" max="17" width="2.85546875" customWidth="1"/>
    <col min="18" max="18" width="20.5703125" customWidth="1"/>
    <col min="19" max="19" width="2.5703125" customWidth="1"/>
    <col min="20" max="20" width="15.5703125" style="8" bestFit="1" customWidth="1"/>
    <col min="21" max="21" width="2.85546875" style="8" customWidth="1"/>
    <col min="22" max="22" width="12.5703125" style="8" bestFit="1" customWidth="1"/>
    <col min="23" max="23" width="2.85546875" style="8" customWidth="1"/>
    <col min="24" max="24" width="14.42578125" style="8" bestFit="1" customWidth="1"/>
    <col min="25" max="25" width="2.85546875" style="8" customWidth="1"/>
    <col min="26" max="26" width="12.140625" style="8" customWidth="1"/>
    <col min="27" max="27" width="19.140625" style="8" customWidth="1"/>
    <col min="28" max="28" width="12.42578125" style="8" customWidth="1"/>
    <col min="29" max="29" width="2.85546875" style="8" customWidth="1"/>
    <col min="30" max="30" width="12.140625" style="8" bestFit="1" customWidth="1"/>
    <col min="31" max="33" width="12.140625" style="8" customWidth="1"/>
    <col min="34" max="34" width="2.85546875" style="8" customWidth="1"/>
    <col min="35" max="35" width="15.140625" style="8" bestFit="1" customWidth="1"/>
    <col min="36" max="36" width="14.42578125" style="8" customWidth="1"/>
    <col min="37" max="37" width="2.85546875" style="8" customWidth="1"/>
    <col min="38" max="38" width="15.5703125" style="8" bestFit="1" customWidth="1"/>
    <col min="39" max="39" width="2.85546875" style="8" customWidth="1"/>
    <col min="40" max="40" width="15.5703125" style="8" bestFit="1" customWidth="1"/>
    <col min="41" max="41" width="2.85546875" style="8" customWidth="1"/>
    <col min="42" max="42" width="15.5703125" style="8" bestFit="1" customWidth="1"/>
    <col min="43" max="43" width="2.85546875" style="8" customWidth="1"/>
    <col min="44" max="44" width="13.42578125" style="8" bestFit="1" customWidth="1"/>
    <col min="45" max="45" width="2.85546875" style="8" customWidth="1"/>
    <col min="46" max="46" width="12.140625" style="8" bestFit="1" customWidth="1"/>
    <col min="47" max="47" width="11.42578125" style="8" bestFit="1" customWidth="1"/>
    <col min="48" max="48" width="12.140625" style="8" bestFit="1" customWidth="1"/>
    <col min="49" max="49" width="11.42578125" style="8" bestFit="1" customWidth="1"/>
  </cols>
  <sheetData>
    <row r="1" spans="1:49" x14ac:dyDescent="0.25">
      <c r="A1" t="s">
        <v>27</v>
      </c>
      <c r="C1" s="13"/>
      <c r="D1" s="13"/>
      <c r="E1" s="13"/>
      <c r="F1" s="13"/>
    </row>
    <row r="2" spans="1:49" x14ac:dyDescent="0.25">
      <c r="B2" s="13"/>
      <c r="C2" s="13"/>
      <c r="D2" s="13"/>
      <c r="E2" s="13"/>
      <c r="F2" s="13"/>
      <c r="H2" s="91" t="s">
        <v>28</v>
      </c>
      <c r="I2" s="91"/>
      <c r="K2" s="61" t="s">
        <v>73</v>
      </c>
      <c r="M2" s="91" t="s">
        <v>32</v>
      </c>
      <c r="N2" s="91"/>
      <c r="O2" s="1"/>
      <c r="P2" s="19" t="s">
        <v>40</v>
      </c>
      <c r="R2" s="21" t="s">
        <v>41</v>
      </c>
      <c r="S2" s="1"/>
      <c r="T2" s="30"/>
      <c r="U2" s="30"/>
      <c r="V2" s="30"/>
      <c r="W2" s="30"/>
      <c r="X2" s="30"/>
      <c r="Z2" s="89"/>
      <c r="AA2" s="89"/>
      <c r="AB2" s="89"/>
      <c r="AD2" s="89"/>
      <c r="AE2" s="89"/>
      <c r="AF2" s="89"/>
      <c r="AG2" s="89"/>
      <c r="AI2" s="89"/>
      <c r="AJ2" s="89"/>
      <c r="AL2" s="30"/>
      <c r="AM2" s="30"/>
      <c r="AN2" s="30"/>
      <c r="AO2" s="30"/>
      <c r="AP2" s="30"/>
      <c r="AQ2" s="30"/>
      <c r="AR2" s="30"/>
      <c r="AT2" s="89"/>
      <c r="AU2" s="89"/>
      <c r="AV2" s="89"/>
      <c r="AW2" s="89"/>
    </row>
    <row r="3" spans="1:49" x14ac:dyDescent="0.25">
      <c r="H3" s="91"/>
      <c r="I3" s="91"/>
      <c r="K3" s="61" t="s">
        <v>75</v>
      </c>
      <c r="M3" s="21" t="s">
        <v>29</v>
      </c>
      <c r="N3" s="21" t="s">
        <v>33</v>
      </c>
      <c r="O3" s="1"/>
      <c r="P3" s="19" t="s">
        <v>30</v>
      </c>
      <c r="R3" s="21" t="s">
        <v>31</v>
      </c>
      <c r="S3" s="1"/>
      <c r="T3" s="30"/>
      <c r="U3" s="30"/>
      <c r="V3" s="30"/>
      <c r="W3" s="30"/>
      <c r="X3" s="30"/>
      <c r="Z3" s="89"/>
      <c r="AA3" s="89"/>
      <c r="AB3" s="89"/>
      <c r="AD3" s="89"/>
      <c r="AE3" s="89"/>
      <c r="AF3" s="89"/>
      <c r="AG3" s="89"/>
      <c r="AI3" s="89"/>
      <c r="AJ3" s="89"/>
      <c r="AL3" s="30"/>
      <c r="AM3" s="30"/>
      <c r="AN3" s="30"/>
      <c r="AO3" s="30"/>
      <c r="AP3" s="30"/>
      <c r="AQ3" s="30"/>
      <c r="AR3" s="30"/>
      <c r="AT3" s="89"/>
      <c r="AU3" s="89"/>
      <c r="AV3" s="89"/>
      <c r="AW3" s="89"/>
    </row>
    <row r="4" spans="1:49" x14ac:dyDescent="0.25">
      <c r="H4" s="1" t="s">
        <v>0</v>
      </c>
      <c r="I4" s="1" t="s">
        <v>4</v>
      </c>
      <c r="K4" s="61" t="s">
        <v>76</v>
      </c>
      <c r="M4" s="21" t="s">
        <v>4</v>
      </c>
      <c r="N4" s="21" t="s">
        <v>0</v>
      </c>
      <c r="O4" s="5"/>
      <c r="P4" s="19" t="s">
        <v>4</v>
      </c>
      <c r="Q4" s="1"/>
      <c r="R4" s="21" t="s">
        <v>4</v>
      </c>
      <c r="T4" s="30"/>
      <c r="V4" s="30"/>
      <c r="X4" s="30"/>
      <c r="Y4" s="30"/>
      <c r="Z4" s="30"/>
      <c r="AA4" s="30"/>
      <c r="AB4" s="30"/>
      <c r="AC4" s="30"/>
      <c r="AD4" s="89"/>
      <c r="AE4" s="89"/>
      <c r="AF4" s="89"/>
      <c r="AG4" s="90"/>
      <c r="AH4" s="30"/>
      <c r="AI4" s="30"/>
      <c r="AJ4" s="30"/>
      <c r="AK4" s="30"/>
      <c r="AL4" s="30"/>
      <c r="AN4" s="30"/>
      <c r="AP4" s="30"/>
      <c r="AR4" s="30"/>
      <c r="AS4" s="30"/>
      <c r="AT4" s="89"/>
      <c r="AU4" s="89"/>
      <c r="AV4" s="89"/>
      <c r="AW4" s="90"/>
    </row>
    <row r="5" spans="1:49" x14ac:dyDescent="0.25">
      <c r="K5" s="61"/>
      <c r="M5" s="1"/>
      <c r="N5" s="21"/>
      <c r="O5" s="1"/>
      <c r="Q5" s="1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S5" s="30"/>
      <c r="AT5" s="30"/>
      <c r="AU5" s="30"/>
      <c r="AV5" s="30"/>
      <c r="AW5" s="30"/>
    </row>
    <row r="6" spans="1:49" ht="15.75" x14ac:dyDescent="0.25">
      <c r="H6" s="7" t="s">
        <v>2</v>
      </c>
      <c r="I6" s="2" t="s">
        <v>3</v>
      </c>
      <c r="K6" s="62" t="s">
        <v>74</v>
      </c>
      <c r="M6" s="2" t="s">
        <v>3</v>
      </c>
      <c r="N6" s="7" t="s">
        <v>2</v>
      </c>
      <c r="O6" s="2"/>
      <c r="P6" s="20" t="s">
        <v>3</v>
      </c>
      <c r="Q6" s="2"/>
      <c r="R6" s="2" t="s">
        <v>3</v>
      </c>
      <c r="S6" s="2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1:49" x14ac:dyDescent="0.25">
      <c r="G7" s="17" t="s">
        <v>5</v>
      </c>
    </row>
    <row r="8" spans="1:49" x14ac:dyDescent="0.25">
      <c r="G8" s="16" t="s">
        <v>1</v>
      </c>
      <c r="H8" s="6">
        <v>12.6</v>
      </c>
      <c r="I8" s="4">
        <v>8.0994999999999998E-2</v>
      </c>
      <c r="J8" s="69"/>
      <c r="K8" s="63">
        <v>2.9600000000000001E-2</v>
      </c>
      <c r="L8" s="69"/>
      <c r="M8" s="4">
        <v>6.9750000000000003E-3</v>
      </c>
      <c r="N8" s="6">
        <v>0.3</v>
      </c>
      <c r="O8" s="69"/>
      <c r="P8" s="59">
        <v>3.9734999999999999E-2</v>
      </c>
      <c r="Q8" s="69"/>
      <c r="R8" s="4">
        <v>8.2700000000000004E-4</v>
      </c>
      <c r="V8" s="14"/>
      <c r="W8" s="14"/>
      <c r="X8" s="31"/>
      <c r="Y8" s="14"/>
      <c r="Z8" s="9"/>
      <c r="AA8" s="9"/>
      <c r="AB8" s="9"/>
      <c r="AC8" s="14"/>
      <c r="AD8" s="9"/>
      <c r="AE8" s="9"/>
      <c r="AF8" s="9"/>
      <c r="AG8" s="9"/>
      <c r="AH8" s="14"/>
      <c r="AI8" s="10"/>
      <c r="AJ8" s="10"/>
      <c r="AK8" s="14"/>
      <c r="AM8" s="14"/>
      <c r="AQ8" s="14"/>
      <c r="AS8" s="14"/>
      <c r="AT8" s="14"/>
      <c r="AU8" s="14"/>
      <c r="AV8" s="14"/>
      <c r="AW8" s="14"/>
    </row>
    <row r="9" spans="1:49" x14ac:dyDescent="0.25">
      <c r="G9" s="16" t="s">
        <v>7</v>
      </c>
      <c r="H9" s="6">
        <v>12.6</v>
      </c>
      <c r="I9" s="4">
        <v>8.0994999999999998E-2</v>
      </c>
      <c r="J9" s="69"/>
      <c r="K9" s="63">
        <v>3.15E-2</v>
      </c>
      <c r="L9" s="69"/>
      <c r="M9" s="4">
        <v>6.9750000000000003E-3</v>
      </c>
      <c r="N9" s="6">
        <v>0.3</v>
      </c>
      <c r="O9" s="69"/>
      <c r="P9" s="59">
        <v>2.8598999999999999E-2</v>
      </c>
      <c r="Q9" s="69"/>
      <c r="R9" s="4">
        <v>8.2700000000000004E-4</v>
      </c>
    </row>
    <row r="10" spans="1:49" x14ac:dyDescent="0.25">
      <c r="G10" s="16" t="s">
        <v>8</v>
      </c>
      <c r="H10" s="6">
        <v>12.6</v>
      </c>
      <c r="I10" s="4">
        <v>8.0994999999999998E-2</v>
      </c>
      <c r="J10" s="69"/>
      <c r="K10" s="63">
        <v>4.87E-2</v>
      </c>
      <c r="L10" s="69"/>
      <c r="M10" s="4">
        <v>6.9750000000000003E-3</v>
      </c>
      <c r="N10" s="6">
        <v>0.3</v>
      </c>
      <c r="O10" s="69"/>
      <c r="P10" s="59">
        <v>-1.1869999999999999E-3</v>
      </c>
      <c r="Q10" s="69"/>
      <c r="R10" s="4">
        <v>2.31E-4</v>
      </c>
    </row>
    <row r="11" spans="1:49" x14ac:dyDescent="0.25">
      <c r="G11" s="16" t="s">
        <v>9</v>
      </c>
      <c r="H11" s="6">
        <v>12.6</v>
      </c>
      <c r="I11" s="4">
        <v>8.0994999999999998E-2</v>
      </c>
      <c r="J11" s="69"/>
      <c r="K11" s="63">
        <v>9.0800000000000006E-2</v>
      </c>
      <c r="L11" s="69"/>
      <c r="M11" s="4">
        <v>6.9750000000000003E-3</v>
      </c>
      <c r="N11" s="6">
        <v>0.3</v>
      </c>
      <c r="O11" s="69"/>
      <c r="P11" s="59">
        <v>5.9880000000000003E-3</v>
      </c>
      <c r="Q11" s="69"/>
      <c r="R11" s="4">
        <v>2.31E-4</v>
      </c>
    </row>
    <row r="12" spans="1:49" x14ac:dyDescent="0.25">
      <c r="G12" s="16" t="s">
        <v>10</v>
      </c>
      <c r="H12" s="6">
        <v>12.6</v>
      </c>
      <c r="I12" s="4">
        <v>8.0994999999999998E-2</v>
      </c>
      <c r="J12" s="69"/>
      <c r="K12" s="63">
        <v>8.9200000000000002E-2</v>
      </c>
      <c r="L12" s="69"/>
      <c r="M12" s="4">
        <v>6.9750000000000003E-3</v>
      </c>
      <c r="N12" s="6">
        <v>0.3</v>
      </c>
      <c r="O12" s="69"/>
      <c r="P12" s="59">
        <v>5.8320000000000004E-3</v>
      </c>
      <c r="Q12" s="69"/>
      <c r="R12" s="4">
        <v>2.31E-4</v>
      </c>
      <c r="S12" s="69"/>
    </row>
    <row r="13" spans="1:49" x14ac:dyDescent="0.25">
      <c r="G13" s="16" t="s">
        <v>11</v>
      </c>
      <c r="H13" s="6">
        <v>12.6</v>
      </c>
      <c r="I13" s="4">
        <v>8.0994999999999998E-2</v>
      </c>
      <c r="J13" s="69"/>
      <c r="K13" s="63">
        <v>9.8699999999999996E-2</v>
      </c>
      <c r="L13" s="69"/>
      <c r="M13" s="4">
        <v>6.9750000000000003E-3</v>
      </c>
      <c r="N13" s="6">
        <v>0.3</v>
      </c>
      <c r="O13" s="69"/>
      <c r="P13" s="59">
        <v>2.6634000000000001E-2</v>
      </c>
      <c r="Q13" s="69"/>
      <c r="R13" s="4">
        <v>3.3000000000000003E-5</v>
      </c>
    </row>
    <row r="14" spans="1:49" x14ac:dyDescent="0.25">
      <c r="G14" s="16" t="s">
        <v>12</v>
      </c>
      <c r="H14" s="6">
        <v>12.6</v>
      </c>
      <c r="I14" s="4">
        <v>8.0994999999999998E-2</v>
      </c>
      <c r="J14" s="69"/>
      <c r="K14" s="63">
        <v>9.8100000000000007E-2</v>
      </c>
      <c r="L14" s="69"/>
      <c r="M14" s="4">
        <v>6.9750000000000003E-3</v>
      </c>
      <c r="N14" s="6">
        <v>0.3</v>
      </c>
      <c r="O14" s="69"/>
      <c r="P14" s="59">
        <v>1.1039E-2</v>
      </c>
      <c r="Q14" s="69"/>
      <c r="R14" s="4">
        <v>3.3000000000000003E-5</v>
      </c>
    </row>
    <row r="15" spans="1:49" s="70" customFormat="1" x14ac:dyDescent="0.25">
      <c r="G15" s="16" t="s">
        <v>13</v>
      </c>
      <c r="H15" s="6">
        <v>12.6</v>
      </c>
      <c r="I15" s="4">
        <v>8.0994999999999998E-2</v>
      </c>
      <c r="J15" s="69"/>
      <c r="K15" s="63">
        <v>3.2899999999999999E-2</v>
      </c>
      <c r="L15" s="69"/>
      <c r="M15" s="4">
        <v>6.9750000000000003E-3</v>
      </c>
      <c r="N15" s="6">
        <v>0.3</v>
      </c>
      <c r="O15" s="69"/>
      <c r="P15" s="59">
        <v>1.3535999999999999E-2</v>
      </c>
      <c r="Q15" s="69"/>
      <c r="R15" s="4">
        <v>3.3000000000000003E-5</v>
      </c>
      <c r="S15" s="69"/>
    </row>
    <row r="16" spans="1:49" x14ac:dyDescent="0.25">
      <c r="G16" s="16" t="s">
        <v>14</v>
      </c>
      <c r="H16" s="6">
        <v>12.6</v>
      </c>
      <c r="I16" s="4">
        <v>8.0994999999999998E-2</v>
      </c>
      <c r="J16" s="69"/>
      <c r="K16" s="63">
        <v>3.1E-2</v>
      </c>
      <c r="L16" s="69"/>
      <c r="M16" s="4">
        <v>6.9750000000000003E-3</v>
      </c>
      <c r="N16" s="6">
        <v>0.3</v>
      </c>
      <c r="O16" s="69"/>
      <c r="P16" s="59">
        <v>1.6767000000000001E-2</v>
      </c>
      <c r="Q16" s="69"/>
      <c r="R16" s="4">
        <v>4.7270000000000003E-3</v>
      </c>
    </row>
    <row r="17" spans="1:49" x14ac:dyDescent="0.25">
      <c r="G17" s="16" t="s">
        <v>15</v>
      </c>
      <c r="H17" s="6">
        <v>12.6</v>
      </c>
      <c r="I17" s="4">
        <v>8.0994999999999998E-2</v>
      </c>
      <c r="J17" s="69"/>
      <c r="K17" s="63">
        <v>3.9199999999999999E-2</v>
      </c>
      <c r="L17" s="69"/>
      <c r="M17" s="4">
        <v>6.9750000000000003E-3</v>
      </c>
      <c r="N17" s="6">
        <v>0.3</v>
      </c>
      <c r="O17" s="69"/>
      <c r="P17" s="59">
        <v>5.4503999999999997E-2</v>
      </c>
      <c r="Q17" s="69"/>
      <c r="R17" s="4">
        <v>4.7270000000000003E-3</v>
      </c>
    </row>
    <row r="18" spans="1:49" x14ac:dyDescent="0.25">
      <c r="G18" s="16" t="s">
        <v>16</v>
      </c>
      <c r="H18" s="6">
        <v>12.6</v>
      </c>
      <c r="I18" s="4">
        <v>8.0994999999999998E-2</v>
      </c>
      <c r="J18" s="69"/>
      <c r="K18" s="63">
        <v>4.3E-3</v>
      </c>
      <c r="L18" s="69"/>
      <c r="M18" s="4">
        <v>6.9750000000000003E-3</v>
      </c>
      <c r="N18" s="6">
        <v>0.3</v>
      </c>
      <c r="O18" s="69"/>
      <c r="P18" s="59">
        <v>3.6070999999999999E-2</v>
      </c>
      <c r="Q18" s="69"/>
      <c r="R18" s="4">
        <v>4.7270000000000003E-3</v>
      </c>
      <c r="S18" s="69"/>
    </row>
    <row r="19" spans="1:49" x14ac:dyDescent="0.25">
      <c r="A19" s="11" t="s">
        <v>18</v>
      </c>
      <c r="G19" s="16" t="s">
        <v>17</v>
      </c>
      <c r="H19" s="6">
        <v>12.6</v>
      </c>
      <c r="I19" s="4">
        <v>8.0994999999999998E-2</v>
      </c>
      <c r="J19" s="69"/>
      <c r="K19" s="63">
        <v>7.4700000000000003E-2</v>
      </c>
      <c r="L19" s="69"/>
      <c r="M19" s="4">
        <v>6.9750000000000003E-3</v>
      </c>
      <c r="N19" s="6">
        <v>0.3</v>
      </c>
      <c r="O19" s="69"/>
      <c r="P19" s="59">
        <v>6.1579000000000002E-2</v>
      </c>
      <c r="Q19" s="69"/>
      <c r="R19" s="4">
        <v>4.4869999999999997E-3</v>
      </c>
    </row>
    <row r="20" spans="1:49" x14ac:dyDescent="0.25">
      <c r="A20" s="11">
        <v>1000</v>
      </c>
      <c r="B20" s="1" t="s">
        <v>20</v>
      </c>
      <c r="C20" s="1"/>
      <c r="D20" s="21" t="s">
        <v>0</v>
      </c>
      <c r="E20" s="21" t="s">
        <v>4</v>
      </c>
    </row>
    <row r="21" spans="1:49" ht="30" x14ac:dyDescent="0.25">
      <c r="A21" s="1" t="s">
        <v>19</v>
      </c>
      <c r="B21" s="21" t="s">
        <v>30</v>
      </c>
      <c r="C21" s="12" t="s">
        <v>21</v>
      </c>
      <c r="D21" s="12"/>
      <c r="E21" s="12"/>
      <c r="G21" s="17" t="s">
        <v>6</v>
      </c>
      <c r="H21" s="37"/>
      <c r="I21" s="36">
        <f>$A$20</f>
        <v>1000</v>
      </c>
      <c r="J21" s="38"/>
      <c r="K21" s="38"/>
      <c r="L21" s="38"/>
      <c r="M21" s="36">
        <f>$A$20</f>
        <v>1000</v>
      </c>
      <c r="N21" s="36"/>
      <c r="O21" s="36"/>
      <c r="P21" s="39">
        <f>$A$20</f>
        <v>1000</v>
      </c>
      <c r="Q21" s="38"/>
      <c r="R21" s="38">
        <f>$A$20</f>
        <v>1000</v>
      </c>
      <c r="Z21" s="23"/>
      <c r="AA21" s="23"/>
      <c r="AB21" s="23"/>
      <c r="AD21" s="23"/>
      <c r="AE21" s="23"/>
      <c r="AF21" s="23"/>
      <c r="AG21" s="23"/>
      <c r="AI21" s="23"/>
      <c r="AJ21" s="23"/>
      <c r="AT21" s="23"/>
      <c r="AU21" s="23"/>
      <c r="AV21" s="23"/>
      <c r="AW21" s="23"/>
    </row>
    <row r="22" spans="1:49" x14ac:dyDescent="0.25">
      <c r="A22" s="24">
        <f>ROUND(SUM(H22:R22),2)</f>
        <v>143.91999999999999</v>
      </c>
      <c r="B22" s="24">
        <f>ROUND(P22,2)</f>
        <v>39.74</v>
      </c>
      <c r="C22" s="24">
        <f>ROUND(H22+I22,2)</f>
        <v>93.6</v>
      </c>
      <c r="D22" s="24">
        <f t="shared" ref="D22:D33" si="0">ROUND(H22+N22,2)</f>
        <v>12.9</v>
      </c>
      <c r="E22" s="24">
        <f t="shared" ref="E22:E33" si="1">ROUND(I22+M22+R22,2)</f>
        <v>87.14</v>
      </c>
      <c r="F22" s="6"/>
      <c r="G22" s="16" t="s">
        <v>1</v>
      </c>
      <c r="H22" s="24">
        <f>H8</f>
        <v>12.6</v>
      </c>
      <c r="I22" s="24">
        <f t="shared" ref="I22:M33" si="2">I8*I$21</f>
        <v>80.995000000000005</v>
      </c>
      <c r="J22" s="24"/>
      <c r="K22" s="24">
        <f t="shared" ref="K22:K26" si="3">(SUM(H22:I22)+SUM(M22:R22))*K8</f>
        <v>4.1374288000000004</v>
      </c>
      <c r="L22" s="24"/>
      <c r="M22" s="24">
        <f t="shared" ref="M22" si="4">M8*M$21</f>
        <v>6.9750000000000005</v>
      </c>
      <c r="N22" s="24">
        <f>N8</f>
        <v>0.3</v>
      </c>
      <c r="O22" s="24"/>
      <c r="P22" s="25">
        <f t="shared" ref="P22:P33" si="5">P8*P$21</f>
        <v>39.734999999999999</v>
      </c>
      <c r="Q22" s="24"/>
      <c r="R22" s="24">
        <f>-R8*R$21</f>
        <v>-0.82700000000000007</v>
      </c>
      <c r="S22" s="24"/>
      <c r="T22" s="70"/>
      <c r="U22" s="70"/>
      <c r="V22" s="70"/>
      <c r="W22" s="70"/>
      <c r="X22" s="70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</row>
    <row r="23" spans="1:49" x14ac:dyDescent="0.25">
      <c r="A23" s="24">
        <f t="shared" ref="A23:A33" si="6">ROUND(SUM(H23:R23),2)</f>
        <v>132.69</v>
      </c>
      <c r="B23" s="24">
        <f t="shared" ref="B23:B33" si="7">ROUND(P23,2)</f>
        <v>28.6</v>
      </c>
      <c r="C23" s="24">
        <f t="shared" ref="C23:C33" si="8">ROUND(H23+I23,2)</f>
        <v>93.6</v>
      </c>
      <c r="D23" s="24">
        <f t="shared" si="0"/>
        <v>12.9</v>
      </c>
      <c r="E23" s="24">
        <f t="shared" si="1"/>
        <v>87.14</v>
      </c>
      <c r="G23" s="16" t="s">
        <v>7</v>
      </c>
      <c r="H23" s="24">
        <f t="shared" ref="H23:N33" si="9">H9</f>
        <v>12.6</v>
      </c>
      <c r="I23" s="24">
        <f t="shared" si="2"/>
        <v>80.995000000000005</v>
      </c>
      <c r="J23" s="24"/>
      <c r="K23" s="24">
        <f t="shared" si="3"/>
        <v>4.0522229999999997</v>
      </c>
      <c r="L23" s="24"/>
      <c r="M23" s="24">
        <f t="shared" ref="M23" si="10">M9*M$21</f>
        <v>6.9750000000000005</v>
      </c>
      <c r="N23" s="24">
        <f t="shared" ref="N23:N33" si="11">N9</f>
        <v>0.3</v>
      </c>
      <c r="O23" s="24"/>
      <c r="P23" s="25">
        <f t="shared" si="5"/>
        <v>28.599</v>
      </c>
      <c r="Q23" s="24"/>
      <c r="R23" s="24">
        <f t="shared" ref="R23:R33" si="12">-R9*R$21</f>
        <v>-0.82700000000000007</v>
      </c>
      <c r="S23" s="24"/>
      <c r="T23" s="70"/>
      <c r="U23" s="70"/>
      <c r="V23" s="70"/>
      <c r="W23" s="70"/>
      <c r="X23" s="70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</row>
    <row r="24" spans="1:49" x14ac:dyDescent="0.25">
      <c r="A24" s="24">
        <f t="shared" si="6"/>
        <v>104.3</v>
      </c>
      <c r="B24" s="24">
        <f t="shared" si="7"/>
        <v>-1.19</v>
      </c>
      <c r="C24" s="24">
        <f t="shared" si="8"/>
        <v>93.6</v>
      </c>
      <c r="D24" s="24">
        <f t="shared" si="0"/>
        <v>12.9</v>
      </c>
      <c r="E24" s="24">
        <f t="shared" si="1"/>
        <v>87.74</v>
      </c>
      <c r="G24" s="16" t="s">
        <v>8</v>
      </c>
      <c r="H24" s="24">
        <f t="shared" si="9"/>
        <v>12.6</v>
      </c>
      <c r="I24" s="24">
        <f t="shared" si="2"/>
        <v>80.995000000000005</v>
      </c>
      <c r="J24" s="24"/>
      <c r="K24" s="24">
        <f t="shared" si="3"/>
        <v>4.8433124000000003</v>
      </c>
      <c r="L24" s="24"/>
      <c r="M24" s="24">
        <f t="shared" ref="M24" si="13">M10*M$21</f>
        <v>6.9750000000000005</v>
      </c>
      <c r="N24" s="24">
        <f t="shared" si="11"/>
        <v>0.3</v>
      </c>
      <c r="O24" s="24"/>
      <c r="P24" s="25">
        <f t="shared" si="5"/>
        <v>-1.1869999999999998</v>
      </c>
      <c r="Q24" s="24"/>
      <c r="R24" s="24">
        <f t="shared" si="12"/>
        <v>-0.23100000000000001</v>
      </c>
      <c r="S24" s="24"/>
      <c r="T24" s="70"/>
      <c r="U24" s="70"/>
      <c r="V24" s="70"/>
      <c r="W24" s="70"/>
      <c r="X24" s="70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</row>
    <row r="25" spans="1:49" x14ac:dyDescent="0.25">
      <c r="A25" s="24">
        <f t="shared" si="6"/>
        <v>116.31</v>
      </c>
      <c r="B25" s="24">
        <f t="shared" si="7"/>
        <v>5.99</v>
      </c>
      <c r="C25" s="24">
        <f t="shared" si="8"/>
        <v>93.6</v>
      </c>
      <c r="D25" s="24">
        <f t="shared" si="0"/>
        <v>12.9</v>
      </c>
      <c r="E25" s="24">
        <f t="shared" si="1"/>
        <v>87.74</v>
      </c>
      <c r="G25" s="16" t="s">
        <v>9</v>
      </c>
      <c r="H25" s="24">
        <f t="shared" si="9"/>
        <v>12.6</v>
      </c>
      <c r="I25" s="24">
        <f t="shared" si="2"/>
        <v>80.995000000000005</v>
      </c>
      <c r="J25" s="24"/>
      <c r="K25" s="24">
        <f t="shared" si="3"/>
        <v>9.6817316000000009</v>
      </c>
      <c r="L25" s="24"/>
      <c r="M25" s="24">
        <f t="shared" ref="M25" si="14">M11*M$21</f>
        <v>6.9750000000000005</v>
      </c>
      <c r="N25" s="24">
        <f t="shared" si="11"/>
        <v>0.3</v>
      </c>
      <c r="O25" s="24"/>
      <c r="P25" s="25">
        <f t="shared" si="5"/>
        <v>5.9880000000000004</v>
      </c>
      <c r="Q25" s="24"/>
      <c r="R25" s="24">
        <f t="shared" si="12"/>
        <v>-0.23100000000000001</v>
      </c>
      <c r="S25" s="24"/>
      <c r="T25" s="70"/>
      <c r="U25" s="70"/>
      <c r="V25" s="70"/>
      <c r="W25" s="70"/>
      <c r="X25" s="70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</row>
    <row r="26" spans="1:49" x14ac:dyDescent="0.25">
      <c r="A26" s="24">
        <f t="shared" si="6"/>
        <v>115.97</v>
      </c>
      <c r="B26" s="24">
        <f t="shared" si="7"/>
        <v>5.83</v>
      </c>
      <c r="C26" s="24">
        <f t="shared" si="8"/>
        <v>93.6</v>
      </c>
      <c r="D26" s="24">
        <f t="shared" si="0"/>
        <v>12.9</v>
      </c>
      <c r="E26" s="24">
        <f t="shared" si="1"/>
        <v>87.74</v>
      </c>
      <c r="G26" s="16" t="s">
        <v>10</v>
      </c>
      <c r="H26" s="24">
        <f t="shared" si="9"/>
        <v>12.6</v>
      </c>
      <c r="I26" s="24">
        <f t="shared" si="2"/>
        <v>80.995000000000005</v>
      </c>
      <c r="J26" s="24"/>
      <c r="K26" s="24">
        <f t="shared" si="3"/>
        <v>9.4972132000000009</v>
      </c>
      <c r="L26" s="24"/>
      <c r="M26" s="24">
        <f t="shared" ref="M26" si="15">M12*M$21</f>
        <v>6.9750000000000005</v>
      </c>
      <c r="N26" s="24">
        <f t="shared" si="11"/>
        <v>0.3</v>
      </c>
      <c r="O26" s="24"/>
      <c r="P26" s="25">
        <f t="shared" si="5"/>
        <v>5.8320000000000007</v>
      </c>
      <c r="Q26" s="24"/>
      <c r="R26" s="24">
        <f t="shared" si="12"/>
        <v>-0.23100000000000001</v>
      </c>
      <c r="S26" s="24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</row>
    <row r="27" spans="1:49" x14ac:dyDescent="0.25">
      <c r="A27" s="24">
        <f t="shared" si="6"/>
        <v>140.05000000000001</v>
      </c>
      <c r="B27" s="24">
        <f t="shared" si="7"/>
        <v>26.63</v>
      </c>
      <c r="C27" s="24">
        <f t="shared" si="8"/>
        <v>93.6</v>
      </c>
      <c r="D27" s="24">
        <f t="shared" si="0"/>
        <v>12.9</v>
      </c>
      <c r="E27" s="24">
        <f t="shared" si="1"/>
        <v>87.94</v>
      </c>
      <c r="G27" s="16" t="s">
        <v>11</v>
      </c>
      <c r="H27" s="24">
        <f t="shared" si="9"/>
        <v>12.6</v>
      </c>
      <c r="I27" s="24">
        <f t="shared" si="2"/>
        <v>80.995000000000005</v>
      </c>
      <c r="J27" s="24"/>
      <c r="K27" s="24">
        <f>(SUM(H27:I27)+SUM(M27:R27))*K13</f>
        <v>12.581387700000001</v>
      </c>
      <c r="L27" s="24"/>
      <c r="M27" s="24">
        <f t="shared" ref="M27" si="16">M13*M$21</f>
        <v>6.9750000000000005</v>
      </c>
      <c r="N27" s="24">
        <f t="shared" si="11"/>
        <v>0.3</v>
      </c>
      <c r="O27" s="24"/>
      <c r="P27" s="25">
        <f t="shared" si="5"/>
        <v>26.634</v>
      </c>
      <c r="Q27" s="24"/>
      <c r="R27" s="24">
        <f t="shared" si="12"/>
        <v>-3.3000000000000002E-2</v>
      </c>
      <c r="S27" s="24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</row>
    <row r="28" spans="1:49" x14ac:dyDescent="0.25">
      <c r="A28" s="24">
        <f t="shared" si="6"/>
        <v>122.85</v>
      </c>
      <c r="B28" s="24">
        <f t="shared" si="7"/>
        <v>11.04</v>
      </c>
      <c r="C28" s="24">
        <f t="shared" si="8"/>
        <v>93.6</v>
      </c>
      <c r="D28" s="24">
        <f t="shared" si="0"/>
        <v>12.9</v>
      </c>
      <c r="E28" s="24">
        <f t="shared" si="1"/>
        <v>87.94</v>
      </c>
      <c r="G28" s="16" t="s">
        <v>12</v>
      </c>
      <c r="H28" s="24">
        <f t="shared" si="9"/>
        <v>12.6</v>
      </c>
      <c r="I28" s="24">
        <f t="shared" si="2"/>
        <v>80.995000000000005</v>
      </c>
      <c r="J28" s="24"/>
      <c r="K28" s="24">
        <f t="shared" ref="K28:K33" si="17">(SUM(H28:I28)+SUM(M28:R28))*K14</f>
        <v>10.975035600000002</v>
      </c>
      <c r="L28" s="24"/>
      <c r="M28" s="24">
        <f t="shared" ref="M28" si="18">M14*M$21</f>
        <v>6.9750000000000005</v>
      </c>
      <c r="N28" s="24">
        <f t="shared" si="11"/>
        <v>0.3</v>
      </c>
      <c r="O28" s="24"/>
      <c r="P28" s="25">
        <f t="shared" si="5"/>
        <v>11.039</v>
      </c>
      <c r="Q28" s="24"/>
      <c r="R28" s="24">
        <f t="shared" si="12"/>
        <v>-3.3000000000000002E-2</v>
      </c>
      <c r="S28" s="24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</row>
    <row r="29" spans="1:49" x14ac:dyDescent="0.25">
      <c r="A29" s="24">
        <f t="shared" si="6"/>
        <v>118.14</v>
      </c>
      <c r="B29" s="24">
        <f t="shared" si="7"/>
        <v>13.54</v>
      </c>
      <c r="C29" s="24">
        <f t="shared" si="8"/>
        <v>93.6</v>
      </c>
      <c r="D29" s="24">
        <f t="shared" si="0"/>
        <v>12.9</v>
      </c>
      <c r="E29" s="24">
        <f t="shared" si="1"/>
        <v>87.94</v>
      </c>
      <c r="G29" s="16" t="s">
        <v>13</v>
      </c>
      <c r="H29" s="24">
        <f t="shared" si="9"/>
        <v>12.6</v>
      </c>
      <c r="I29" s="24">
        <f t="shared" si="2"/>
        <v>80.995000000000005</v>
      </c>
      <c r="J29" s="24"/>
      <c r="K29" s="24">
        <f t="shared" si="17"/>
        <v>3.7628716999999994</v>
      </c>
      <c r="L29" s="24"/>
      <c r="M29" s="24">
        <f t="shared" si="2"/>
        <v>6.9750000000000005</v>
      </c>
      <c r="N29" s="24">
        <f t="shared" si="11"/>
        <v>0.3</v>
      </c>
      <c r="O29" s="24"/>
      <c r="P29" s="25">
        <f t="shared" si="5"/>
        <v>13.536</v>
      </c>
      <c r="Q29" s="24"/>
      <c r="R29" s="24">
        <f t="shared" si="12"/>
        <v>-3.3000000000000002E-2</v>
      </c>
      <c r="S29" s="24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</row>
    <row r="30" spans="1:49" x14ac:dyDescent="0.25">
      <c r="A30" s="24">
        <f t="shared" si="6"/>
        <v>116.41</v>
      </c>
      <c r="B30" s="24">
        <f t="shared" si="7"/>
        <v>16.77</v>
      </c>
      <c r="C30" s="24">
        <f t="shared" si="8"/>
        <v>93.6</v>
      </c>
      <c r="D30" s="24">
        <f t="shared" si="0"/>
        <v>12.9</v>
      </c>
      <c r="E30" s="24">
        <f t="shared" si="1"/>
        <v>83.24</v>
      </c>
      <c r="G30" s="16" t="s">
        <v>14</v>
      </c>
      <c r="H30" s="24">
        <f t="shared" si="9"/>
        <v>12.6</v>
      </c>
      <c r="I30" s="24">
        <f t="shared" si="2"/>
        <v>80.995000000000005</v>
      </c>
      <c r="J30" s="24"/>
      <c r="K30" s="24">
        <f t="shared" si="17"/>
        <v>3.50021</v>
      </c>
      <c r="L30" s="24"/>
      <c r="M30" s="24">
        <f t="shared" si="2"/>
        <v>6.9750000000000005</v>
      </c>
      <c r="N30" s="24">
        <f t="shared" si="9"/>
        <v>0.3</v>
      </c>
      <c r="O30" s="24"/>
      <c r="P30" s="25">
        <f t="shared" si="5"/>
        <v>16.766999999999999</v>
      </c>
      <c r="Q30" s="24"/>
      <c r="R30" s="24">
        <f t="shared" si="12"/>
        <v>-4.7270000000000003</v>
      </c>
      <c r="S30" s="24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</row>
    <row r="31" spans="1:49" x14ac:dyDescent="0.25">
      <c r="A31" s="24">
        <f t="shared" si="6"/>
        <v>156.55000000000001</v>
      </c>
      <c r="B31" s="24">
        <f t="shared" si="7"/>
        <v>54.5</v>
      </c>
      <c r="C31" s="24">
        <f t="shared" si="8"/>
        <v>93.6</v>
      </c>
      <c r="D31" s="24">
        <f t="shared" si="0"/>
        <v>12.9</v>
      </c>
      <c r="E31" s="24">
        <f t="shared" si="1"/>
        <v>83.24</v>
      </c>
      <c r="G31" s="16" t="s">
        <v>15</v>
      </c>
      <c r="H31" s="24">
        <f t="shared" si="9"/>
        <v>12.6</v>
      </c>
      <c r="I31" s="24">
        <f t="shared" si="2"/>
        <v>80.995000000000005</v>
      </c>
      <c r="J31" s="24"/>
      <c r="K31" s="24">
        <f t="shared" si="17"/>
        <v>5.9053623999999996</v>
      </c>
      <c r="L31" s="24"/>
      <c r="M31" s="24">
        <f t="shared" ref="M31" si="19">M17*M$21</f>
        <v>6.9750000000000005</v>
      </c>
      <c r="N31" s="24">
        <f t="shared" si="11"/>
        <v>0.3</v>
      </c>
      <c r="O31" s="24"/>
      <c r="P31" s="25">
        <f t="shared" si="5"/>
        <v>54.503999999999998</v>
      </c>
      <c r="Q31" s="24"/>
      <c r="R31" s="24">
        <f t="shared" si="12"/>
        <v>-4.7270000000000003</v>
      </c>
      <c r="S31" s="24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</row>
    <row r="32" spans="1:49" x14ac:dyDescent="0.25">
      <c r="A32" s="24">
        <f t="shared" si="6"/>
        <v>132.78</v>
      </c>
      <c r="B32" s="24">
        <f t="shared" si="7"/>
        <v>36.07</v>
      </c>
      <c r="C32" s="24">
        <f t="shared" si="8"/>
        <v>93.6</v>
      </c>
      <c r="D32" s="24">
        <f t="shared" si="0"/>
        <v>12.9</v>
      </c>
      <c r="E32" s="24">
        <f t="shared" si="1"/>
        <v>83.24</v>
      </c>
      <c r="G32" s="16" t="s">
        <v>16</v>
      </c>
      <c r="H32" s="24">
        <f t="shared" si="9"/>
        <v>12.6</v>
      </c>
      <c r="I32" s="24">
        <f t="shared" si="2"/>
        <v>80.995000000000005</v>
      </c>
      <c r="J32" s="24"/>
      <c r="K32" s="24">
        <f t="shared" si="17"/>
        <v>0.56852020000000003</v>
      </c>
      <c r="L32" s="24"/>
      <c r="M32" s="24">
        <f t="shared" ref="M32" si="20">M18*M$21</f>
        <v>6.9750000000000005</v>
      </c>
      <c r="N32" s="24">
        <f t="shared" si="11"/>
        <v>0.3</v>
      </c>
      <c r="O32" s="24"/>
      <c r="P32" s="25">
        <f t="shared" si="5"/>
        <v>36.070999999999998</v>
      </c>
      <c r="Q32" s="24"/>
      <c r="R32" s="24">
        <f t="shared" si="12"/>
        <v>-4.7270000000000003</v>
      </c>
      <c r="S32" s="24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</row>
    <row r="33" spans="1:49" x14ac:dyDescent="0.25">
      <c r="A33" s="24">
        <f t="shared" si="6"/>
        <v>169.76</v>
      </c>
      <c r="B33" s="24">
        <f t="shared" si="7"/>
        <v>61.58</v>
      </c>
      <c r="C33" s="24">
        <f t="shared" si="8"/>
        <v>93.6</v>
      </c>
      <c r="D33" s="24">
        <f t="shared" si="0"/>
        <v>12.9</v>
      </c>
      <c r="E33" s="24">
        <f t="shared" si="1"/>
        <v>83.48</v>
      </c>
      <c r="G33" s="16" t="s">
        <v>17</v>
      </c>
      <c r="H33" s="24">
        <f t="shared" si="9"/>
        <v>12.6</v>
      </c>
      <c r="I33" s="24">
        <f t="shared" si="2"/>
        <v>80.995000000000005</v>
      </c>
      <c r="J33" s="24"/>
      <c r="K33" s="24">
        <f t="shared" si="17"/>
        <v>11.7997614</v>
      </c>
      <c r="L33" s="24"/>
      <c r="M33" s="24">
        <f t="shared" ref="M33" si="21">M19*M$21</f>
        <v>6.9750000000000005</v>
      </c>
      <c r="N33" s="24">
        <f t="shared" si="11"/>
        <v>0.3</v>
      </c>
      <c r="O33" s="24"/>
      <c r="P33" s="25">
        <f t="shared" si="5"/>
        <v>61.579000000000001</v>
      </c>
      <c r="Q33" s="24"/>
      <c r="R33" s="24">
        <f t="shared" si="12"/>
        <v>-4.4870000000000001</v>
      </c>
      <c r="S33" s="24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</row>
    <row r="36" spans="1:49" x14ac:dyDescent="0.25">
      <c r="E36" s="27"/>
    </row>
  </sheetData>
  <mergeCells count="15">
    <mergeCell ref="H2:I2"/>
    <mergeCell ref="Z2:AB2"/>
    <mergeCell ref="AT2:AW2"/>
    <mergeCell ref="AT3:AW3"/>
    <mergeCell ref="H3:I3"/>
    <mergeCell ref="M2:N2"/>
    <mergeCell ref="AD2:AG2"/>
    <mergeCell ref="AI2:AJ2"/>
    <mergeCell ref="AT4:AU4"/>
    <mergeCell ref="AV4:AW4"/>
    <mergeCell ref="AD4:AE4"/>
    <mergeCell ref="AF4:AG4"/>
    <mergeCell ref="Z3:AB3"/>
    <mergeCell ref="AD3:AG3"/>
    <mergeCell ref="AI3:AJ3"/>
  </mergeCells>
  <pageMargins left="0.7" right="0.7" top="0.75" bottom="0.75" header="0.3" footer="0.3"/>
  <pageSetup scale="24" orientation="landscape" r:id="rId1"/>
  <headerFooter>
    <oddHeader>&amp;C&amp;"Times New Roman,Bold"&amp;10&amp;U
UNREDACTED
CONFIDENTIAL PROPRIETARY TRADE SECRET&amp;R&amp;"Times New Roman,Bold"&amp;10KyPSC Case No. 2022-00394
STAFF-DR-01-002 Confidential Attachment 2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35"/>
  <sheetViews>
    <sheetView tabSelected="1" view="pageLayout" zoomScaleNormal="75" workbookViewId="0"/>
  </sheetViews>
  <sheetFormatPr defaultRowHeight="15" x14ac:dyDescent="0.25"/>
  <cols>
    <col min="1" max="1" width="21.85546875" customWidth="1"/>
    <col min="2" max="2" width="15.140625" customWidth="1"/>
    <col min="3" max="3" width="12.140625" customWidth="1"/>
    <col min="4" max="4" width="13.42578125" customWidth="1"/>
    <col min="5" max="5" width="11.5703125" customWidth="1"/>
    <col min="6" max="6" width="2.85546875" customWidth="1"/>
    <col min="7" max="7" width="9.140625" style="16"/>
    <col min="8" max="9" width="9.42578125" bestFit="1" customWidth="1"/>
    <col min="10" max="10" width="10.42578125" bestFit="1" customWidth="1"/>
    <col min="11" max="11" width="11.5703125" customWidth="1"/>
    <col min="12" max="14" width="15.85546875" customWidth="1"/>
    <col min="15" max="15" width="2.85546875" customWidth="1"/>
    <col min="16" max="16" width="18.5703125" customWidth="1"/>
    <col min="17" max="17" width="2.85546875" customWidth="1"/>
    <col min="18" max="19" width="12.140625" customWidth="1"/>
    <col min="20" max="20" width="2.85546875" customWidth="1"/>
    <col min="21" max="21" width="18.5703125" style="15" customWidth="1"/>
    <col min="22" max="22" width="2.85546875" customWidth="1"/>
    <col min="23" max="23" width="21.42578125" customWidth="1"/>
    <col min="24" max="24" width="2.85546875" style="8" customWidth="1"/>
    <col min="25" max="25" width="12.5703125" style="8" bestFit="1" customWidth="1"/>
    <col min="26" max="26" width="2.85546875" style="8" customWidth="1"/>
    <col min="27" max="27" width="22.140625" style="82" customWidth="1"/>
    <col min="28" max="28" width="2.85546875" style="8" customWidth="1"/>
    <col min="29" max="29" width="12.140625" style="8" customWidth="1"/>
    <col min="30" max="30" width="19.140625" style="8" customWidth="1"/>
    <col min="31" max="31" width="12.42578125" style="8" customWidth="1"/>
    <col min="32" max="32" width="2.85546875" style="8" customWidth="1"/>
    <col min="33" max="33" width="12.42578125" style="8" bestFit="1" customWidth="1"/>
    <col min="34" max="34" width="12.140625" style="8" customWidth="1"/>
    <col min="35" max="35" width="2.85546875" style="8" customWidth="1"/>
    <col min="36" max="36" width="15.42578125" style="8" bestFit="1" customWidth="1"/>
    <col min="37" max="37" width="14.42578125" style="8" customWidth="1"/>
    <col min="38" max="38" width="2.85546875" style="8" customWidth="1"/>
    <col min="39" max="39" width="15.5703125" style="8" bestFit="1" customWidth="1"/>
    <col min="40" max="40" width="2.85546875" style="8" customWidth="1"/>
    <col min="41" max="41" width="15.5703125" style="8" bestFit="1" customWidth="1"/>
    <col min="42" max="42" width="2.85546875" style="8" customWidth="1"/>
    <col min="43" max="43" width="15.5703125" style="8" bestFit="1" customWidth="1"/>
    <col min="44" max="44" width="2.85546875" style="8" customWidth="1"/>
    <col min="45" max="45" width="15.5703125" style="8" bestFit="1" customWidth="1"/>
    <col min="46" max="46" width="2.85546875" style="8" customWidth="1"/>
    <col min="47" max="47" width="12.42578125" style="8" bestFit="1" customWidth="1"/>
    <col min="48" max="48" width="11.5703125" style="8" bestFit="1" customWidth="1"/>
    <col min="49" max="49" width="12.42578125" style="8" bestFit="1" customWidth="1"/>
    <col min="50" max="50" width="11.5703125" style="8" bestFit="1" customWidth="1"/>
    <col min="51" max="58" width="9.140625" style="8"/>
  </cols>
  <sheetData>
    <row r="1" spans="1:50" x14ac:dyDescent="0.25">
      <c r="A1" t="s">
        <v>27</v>
      </c>
      <c r="C1" s="13"/>
      <c r="D1" s="13"/>
      <c r="E1" s="13"/>
      <c r="F1" s="13"/>
    </row>
    <row r="2" spans="1:50" x14ac:dyDescent="0.25">
      <c r="B2" s="13"/>
      <c r="C2" s="13"/>
      <c r="D2" s="13"/>
      <c r="E2" s="13"/>
      <c r="F2" s="13"/>
      <c r="H2" s="91" t="s">
        <v>36</v>
      </c>
      <c r="I2" s="91"/>
      <c r="J2" s="91"/>
      <c r="K2" s="91"/>
      <c r="L2" s="91"/>
      <c r="M2" s="91"/>
      <c r="N2" s="91"/>
      <c r="P2" s="61" t="s">
        <v>73</v>
      </c>
      <c r="R2" s="91" t="s">
        <v>32</v>
      </c>
      <c r="S2" s="91"/>
      <c r="T2" s="3"/>
      <c r="U2" s="19" t="s">
        <v>40</v>
      </c>
      <c r="W2" s="21" t="s">
        <v>41</v>
      </c>
      <c r="X2" s="30"/>
      <c r="Y2" s="30"/>
      <c r="Z2" s="30"/>
      <c r="AA2" s="83"/>
      <c r="AC2" s="89"/>
      <c r="AD2" s="89"/>
      <c r="AE2" s="89"/>
      <c r="AG2" s="89"/>
      <c r="AH2" s="89"/>
      <c r="AJ2" s="89"/>
      <c r="AK2" s="89"/>
      <c r="AM2" s="30"/>
      <c r="AN2" s="30"/>
      <c r="AO2" s="30"/>
      <c r="AP2" s="30"/>
      <c r="AQ2" s="30"/>
      <c r="AR2" s="30"/>
      <c r="AS2" s="30"/>
      <c r="AU2" s="89"/>
      <c r="AV2" s="89"/>
      <c r="AW2" s="89"/>
      <c r="AX2" s="89"/>
    </row>
    <row r="3" spans="1:50" x14ac:dyDescent="0.25">
      <c r="H3" s="91"/>
      <c r="I3" s="91"/>
      <c r="J3" s="91"/>
      <c r="K3" s="91"/>
      <c r="L3" s="21"/>
      <c r="M3" s="21"/>
      <c r="N3" s="21"/>
      <c r="P3" s="61" t="s">
        <v>75</v>
      </c>
      <c r="R3" s="21" t="s">
        <v>29</v>
      </c>
      <c r="S3" s="21" t="s">
        <v>33</v>
      </c>
      <c r="T3" s="3"/>
      <c r="U3" s="19" t="s">
        <v>30</v>
      </c>
      <c r="W3" s="21" t="s">
        <v>31</v>
      </c>
      <c r="X3" s="30"/>
      <c r="Y3" s="30"/>
      <c r="Z3" s="30"/>
      <c r="AA3" s="83" t="s">
        <v>80</v>
      </c>
      <c r="AC3" s="89"/>
      <c r="AD3" s="89"/>
      <c r="AE3" s="89"/>
      <c r="AG3" s="89"/>
      <c r="AH3" s="89"/>
      <c r="AJ3" s="89"/>
      <c r="AK3" s="89"/>
      <c r="AM3" s="30"/>
      <c r="AN3" s="30"/>
      <c r="AO3" s="30"/>
      <c r="AP3" s="30"/>
      <c r="AQ3" s="30"/>
      <c r="AR3" s="30"/>
      <c r="AS3" s="30"/>
      <c r="AU3" s="89"/>
      <c r="AV3" s="89"/>
      <c r="AW3" s="89"/>
      <c r="AX3" s="89"/>
    </row>
    <row r="4" spans="1:50" x14ac:dyDescent="0.25">
      <c r="H4" s="91" t="s">
        <v>0</v>
      </c>
      <c r="I4" s="91"/>
      <c r="J4" s="91" t="s">
        <v>23</v>
      </c>
      <c r="K4" s="91"/>
      <c r="L4" s="21" t="s">
        <v>4</v>
      </c>
      <c r="M4" s="21" t="s">
        <v>4</v>
      </c>
      <c r="N4" s="21" t="s">
        <v>4</v>
      </c>
      <c r="P4" s="61" t="s">
        <v>76</v>
      </c>
      <c r="R4" s="21" t="s">
        <v>4</v>
      </c>
      <c r="S4" s="21" t="s">
        <v>0</v>
      </c>
      <c r="T4" s="5"/>
      <c r="U4" s="19" t="s">
        <v>4</v>
      </c>
      <c r="V4" s="3"/>
      <c r="W4" s="21" t="s">
        <v>4</v>
      </c>
      <c r="Y4" s="30"/>
      <c r="AA4" s="83" t="s">
        <v>81</v>
      </c>
      <c r="AB4" s="30"/>
      <c r="AC4" s="89"/>
      <c r="AD4" s="89"/>
      <c r="AE4" s="89"/>
      <c r="AF4" s="30"/>
      <c r="AG4" s="89"/>
      <c r="AH4" s="90"/>
      <c r="AI4" s="30"/>
      <c r="AJ4" s="89"/>
      <c r="AK4" s="89"/>
      <c r="AL4" s="30"/>
      <c r="AM4" s="30"/>
      <c r="AO4" s="30"/>
      <c r="AQ4" s="30"/>
      <c r="AS4" s="30"/>
      <c r="AT4" s="30"/>
      <c r="AU4" s="89"/>
      <c r="AV4" s="89"/>
      <c r="AW4" s="89"/>
      <c r="AX4" s="89"/>
    </row>
    <row r="5" spans="1:50" ht="30" x14ac:dyDescent="0.25">
      <c r="H5" s="12" t="s">
        <v>22</v>
      </c>
      <c r="I5" s="12" t="s">
        <v>61</v>
      </c>
      <c r="J5" s="21" t="s">
        <v>34</v>
      </c>
      <c r="K5" s="21" t="s">
        <v>35</v>
      </c>
      <c r="L5" s="21" t="s">
        <v>37</v>
      </c>
      <c r="M5" s="21" t="s">
        <v>39</v>
      </c>
      <c r="N5" s="21" t="s">
        <v>38</v>
      </c>
      <c r="P5" s="61"/>
      <c r="R5" s="21"/>
      <c r="S5" s="21"/>
      <c r="T5" s="3"/>
      <c r="V5" s="3"/>
      <c r="AB5" s="30"/>
      <c r="AC5" s="30"/>
      <c r="AD5" s="30"/>
      <c r="AE5" s="30"/>
      <c r="AF5" s="30"/>
      <c r="AG5" s="32"/>
      <c r="AH5" s="32"/>
      <c r="AI5" s="30"/>
      <c r="AJ5" s="30"/>
      <c r="AK5" s="30"/>
      <c r="AL5" s="30"/>
      <c r="AT5" s="30"/>
      <c r="AU5" s="30"/>
      <c r="AV5" s="30"/>
      <c r="AW5" s="32"/>
      <c r="AX5" s="32"/>
    </row>
    <row r="6" spans="1:50" ht="15.75" x14ac:dyDescent="0.25">
      <c r="H6" s="7" t="s">
        <v>2</v>
      </c>
      <c r="I6" s="7" t="s">
        <v>2</v>
      </c>
      <c r="J6" s="2" t="s">
        <v>24</v>
      </c>
      <c r="K6" s="2" t="s">
        <v>24</v>
      </c>
      <c r="L6" s="2" t="s">
        <v>3</v>
      </c>
      <c r="M6" s="2" t="s">
        <v>3</v>
      </c>
      <c r="N6" s="2" t="s">
        <v>3</v>
      </c>
      <c r="P6" s="62" t="s">
        <v>74</v>
      </c>
      <c r="R6" s="2" t="s">
        <v>3</v>
      </c>
      <c r="S6" s="7" t="s">
        <v>2</v>
      </c>
      <c r="T6" s="2"/>
      <c r="U6" s="20" t="s">
        <v>3</v>
      </c>
      <c r="V6" s="2"/>
      <c r="W6" s="2" t="s">
        <v>3</v>
      </c>
      <c r="X6" s="23"/>
      <c r="Y6" s="23"/>
      <c r="Z6" s="23"/>
      <c r="AA6" s="84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0" x14ac:dyDescent="0.25">
      <c r="G7" s="17" t="s">
        <v>5</v>
      </c>
    </row>
    <row r="8" spans="1:50" x14ac:dyDescent="0.25">
      <c r="G8" s="16" t="s">
        <v>1</v>
      </c>
      <c r="H8" s="6">
        <v>15</v>
      </c>
      <c r="I8" s="6">
        <v>30</v>
      </c>
      <c r="J8" s="6">
        <v>0</v>
      </c>
      <c r="K8" s="6">
        <v>9</v>
      </c>
      <c r="L8" s="4">
        <v>8.9169999999999999E-2</v>
      </c>
      <c r="M8" s="4">
        <v>5.5342000000000002E-2</v>
      </c>
      <c r="N8" s="4">
        <v>4.5603999999999999E-2</v>
      </c>
      <c r="O8" s="69"/>
      <c r="P8" s="63">
        <v>4.4600000000000001E-2</v>
      </c>
      <c r="Q8" s="69"/>
      <c r="R8" s="4">
        <v>-7.18E-4</v>
      </c>
      <c r="S8" s="6">
        <v>0</v>
      </c>
      <c r="T8" s="69"/>
      <c r="U8" s="59">
        <f>RS!$P8</f>
        <v>3.9734999999999999E-2</v>
      </c>
      <c r="V8" s="69"/>
      <c r="W8" s="4">
        <f>RS!R8</f>
        <v>8.2700000000000004E-4</v>
      </c>
      <c r="X8" s="70"/>
      <c r="Y8" s="70"/>
      <c r="Z8" s="70"/>
      <c r="AA8" s="85">
        <v>2.5401E-2</v>
      </c>
      <c r="AB8" s="14"/>
      <c r="AC8" s="9"/>
      <c r="AD8" s="9"/>
      <c r="AE8" s="9"/>
      <c r="AF8" s="14"/>
      <c r="AG8" s="14"/>
      <c r="AH8" s="14"/>
      <c r="AI8" s="14"/>
      <c r="AJ8" s="10"/>
      <c r="AK8" s="10"/>
      <c r="AL8" s="14"/>
      <c r="AN8" s="14"/>
      <c r="AR8" s="14"/>
      <c r="AT8" s="14"/>
      <c r="AU8" s="14"/>
      <c r="AV8" s="14"/>
      <c r="AW8" s="14"/>
      <c r="AX8" s="14"/>
    </row>
    <row r="9" spans="1:50" x14ac:dyDescent="0.25">
      <c r="G9" s="16" t="s">
        <v>7</v>
      </c>
      <c r="H9" s="6">
        <v>15</v>
      </c>
      <c r="I9" s="6">
        <v>30</v>
      </c>
      <c r="J9" s="6">
        <v>0</v>
      </c>
      <c r="K9" s="6">
        <v>9</v>
      </c>
      <c r="L9" s="4">
        <v>8.9169999999999999E-2</v>
      </c>
      <c r="M9" s="4">
        <v>5.5342000000000002E-2</v>
      </c>
      <c r="N9" s="4">
        <v>4.5603999999999999E-2</v>
      </c>
      <c r="O9" s="69"/>
      <c r="P9" s="63">
        <v>4.8800000000000003E-2</v>
      </c>
      <c r="Q9" s="69"/>
      <c r="R9" s="4">
        <v>-7.18E-4</v>
      </c>
      <c r="S9" s="6">
        <v>0</v>
      </c>
      <c r="T9" s="69"/>
      <c r="U9" s="59">
        <f>RS!$P9</f>
        <v>2.8598999999999999E-2</v>
      </c>
      <c r="V9" s="69"/>
      <c r="W9" s="4">
        <f>RS!R9</f>
        <v>8.2700000000000004E-4</v>
      </c>
      <c r="X9" s="70"/>
      <c r="Y9" s="70"/>
      <c r="Z9" s="70"/>
      <c r="AA9" s="85">
        <v>2.5401E-2</v>
      </c>
      <c r="AC9" s="9"/>
      <c r="AD9" s="9"/>
      <c r="AE9" s="9"/>
      <c r="AG9" s="14"/>
      <c r="AH9" s="14"/>
      <c r="AJ9" s="10"/>
      <c r="AK9" s="10"/>
      <c r="AM9" s="31"/>
      <c r="AO9" s="14"/>
      <c r="AQ9" s="14"/>
      <c r="AS9" s="31"/>
      <c r="AU9" s="14"/>
      <c r="AV9" s="14"/>
      <c r="AW9" s="14"/>
      <c r="AX9" s="14"/>
    </row>
    <row r="10" spans="1:50" x14ac:dyDescent="0.25">
      <c r="G10" s="16" t="s">
        <v>8</v>
      </c>
      <c r="H10" s="6">
        <v>15</v>
      </c>
      <c r="I10" s="6">
        <v>30</v>
      </c>
      <c r="J10" s="6">
        <v>0</v>
      </c>
      <c r="K10" s="6">
        <v>9</v>
      </c>
      <c r="L10" s="4">
        <v>8.9169999999999999E-2</v>
      </c>
      <c r="M10" s="4">
        <v>5.5342000000000002E-2</v>
      </c>
      <c r="N10" s="4">
        <v>4.5603999999999999E-2</v>
      </c>
      <c r="O10" s="69"/>
      <c r="P10" s="63">
        <v>7.85E-2</v>
      </c>
      <c r="Q10" s="69"/>
      <c r="R10" s="4">
        <v>-7.18E-4</v>
      </c>
      <c r="S10" s="6">
        <v>0</v>
      </c>
      <c r="T10" s="69"/>
      <c r="U10" s="59">
        <f>RS!$P10</f>
        <v>-1.1869999999999999E-3</v>
      </c>
      <c r="V10" s="69"/>
      <c r="W10" s="4">
        <f>RS!R10</f>
        <v>2.31E-4</v>
      </c>
      <c r="X10" s="70"/>
      <c r="Y10" s="70"/>
      <c r="Z10" s="70"/>
      <c r="AA10" s="85">
        <v>2.5401E-2</v>
      </c>
      <c r="AC10" s="9"/>
      <c r="AD10" s="9"/>
      <c r="AE10" s="9"/>
      <c r="AG10" s="14"/>
      <c r="AH10" s="14"/>
      <c r="AJ10" s="10"/>
      <c r="AK10" s="10"/>
      <c r="AM10" s="31"/>
      <c r="AO10" s="14"/>
      <c r="AQ10" s="14"/>
      <c r="AS10" s="31"/>
      <c r="AU10" s="14"/>
      <c r="AV10" s="14"/>
      <c r="AW10" s="14"/>
      <c r="AX10" s="14"/>
    </row>
    <row r="11" spans="1:50" x14ac:dyDescent="0.25">
      <c r="A11" s="11" t="s">
        <v>65</v>
      </c>
      <c r="G11" s="16" t="s">
        <v>9</v>
      </c>
      <c r="H11" s="6">
        <v>15</v>
      </c>
      <c r="I11" s="6">
        <v>30</v>
      </c>
      <c r="J11" s="6">
        <v>0</v>
      </c>
      <c r="K11" s="6">
        <v>9</v>
      </c>
      <c r="L11" s="4">
        <v>8.9169999999999999E-2</v>
      </c>
      <c r="M11" s="4">
        <v>5.5342000000000002E-2</v>
      </c>
      <c r="N11" s="4">
        <v>4.5603999999999999E-2</v>
      </c>
      <c r="O11" s="69"/>
      <c r="P11" s="63">
        <v>0.1507</v>
      </c>
      <c r="Q11" s="69"/>
      <c r="R11" s="4">
        <v>-7.18E-4</v>
      </c>
      <c r="S11" s="6">
        <v>0</v>
      </c>
      <c r="T11" s="69"/>
      <c r="U11" s="59">
        <f>RS!$P11</f>
        <v>5.9880000000000003E-3</v>
      </c>
      <c r="V11" s="69"/>
      <c r="W11" s="4">
        <f>RS!R11</f>
        <v>2.31E-4</v>
      </c>
      <c r="X11" s="70"/>
      <c r="Y11" s="70"/>
      <c r="Z11" s="70"/>
      <c r="AA11" s="85">
        <v>2.5401E-2</v>
      </c>
    </row>
    <row r="12" spans="1:50" x14ac:dyDescent="0.25">
      <c r="A12" s="42" t="s">
        <v>72</v>
      </c>
      <c r="G12" s="16" t="s">
        <v>10</v>
      </c>
      <c r="H12" s="6">
        <v>15</v>
      </c>
      <c r="I12" s="6">
        <v>30</v>
      </c>
      <c r="J12" s="6">
        <v>0</v>
      </c>
      <c r="K12" s="6">
        <v>9</v>
      </c>
      <c r="L12" s="4">
        <v>8.9169999999999999E-2</v>
      </c>
      <c r="M12" s="4">
        <v>5.5342000000000002E-2</v>
      </c>
      <c r="N12" s="4">
        <v>4.5603999999999999E-2</v>
      </c>
      <c r="O12" s="69"/>
      <c r="P12" s="63">
        <v>0.1482</v>
      </c>
      <c r="Q12" s="69"/>
      <c r="R12" s="4">
        <v>-7.18E-4</v>
      </c>
      <c r="S12" s="6">
        <v>0</v>
      </c>
      <c r="T12" s="69"/>
      <c r="U12" s="59">
        <f>RS!$P12</f>
        <v>5.8320000000000004E-3</v>
      </c>
      <c r="V12" s="69"/>
      <c r="W12" s="4">
        <f>RS!R12</f>
        <v>2.31E-4</v>
      </c>
      <c r="X12" s="70"/>
      <c r="Y12" s="70"/>
      <c r="Z12" s="70"/>
      <c r="AA12" s="85">
        <v>2.5401E-2</v>
      </c>
    </row>
    <row r="13" spans="1:50" x14ac:dyDescent="0.25">
      <c r="A13" s="11" t="s">
        <v>64</v>
      </c>
      <c r="B13" s="8"/>
      <c r="G13" s="16" t="s">
        <v>11</v>
      </c>
      <c r="H13" s="6">
        <v>15</v>
      </c>
      <c r="I13" s="6">
        <v>30</v>
      </c>
      <c r="J13" s="6">
        <v>0</v>
      </c>
      <c r="K13" s="6">
        <v>9</v>
      </c>
      <c r="L13" s="4">
        <v>8.9169999999999999E-2</v>
      </c>
      <c r="M13" s="4">
        <v>5.5342000000000002E-2</v>
      </c>
      <c r="N13" s="4">
        <v>4.5603999999999999E-2</v>
      </c>
      <c r="O13" s="69"/>
      <c r="P13" s="63">
        <v>0.16520000000000001</v>
      </c>
      <c r="Q13" s="69"/>
      <c r="R13" s="4">
        <v>-7.18E-4</v>
      </c>
      <c r="S13" s="6">
        <v>0</v>
      </c>
      <c r="T13" s="69"/>
      <c r="U13" s="59">
        <f>RS!$P13</f>
        <v>2.6634000000000001E-2</v>
      </c>
      <c r="V13" s="69"/>
      <c r="W13" s="4">
        <f>RS!R13</f>
        <v>3.3000000000000003E-5</v>
      </c>
      <c r="X13" s="70"/>
      <c r="Y13" s="70"/>
      <c r="Z13" s="70"/>
      <c r="AA13" s="85">
        <v>2.5401E-2</v>
      </c>
    </row>
    <row r="14" spans="1:50" x14ac:dyDescent="0.25">
      <c r="A14" s="11">
        <v>1</v>
      </c>
      <c r="G14" s="16" t="s">
        <v>12</v>
      </c>
      <c r="H14" s="6">
        <v>15</v>
      </c>
      <c r="I14" s="6">
        <v>30</v>
      </c>
      <c r="J14" s="6">
        <v>0</v>
      </c>
      <c r="K14" s="6">
        <v>9</v>
      </c>
      <c r="L14" s="4">
        <v>8.9169999999999999E-2</v>
      </c>
      <c r="M14" s="4">
        <v>5.5342000000000002E-2</v>
      </c>
      <c r="N14" s="4">
        <v>4.5603999999999999E-2</v>
      </c>
      <c r="O14" s="69"/>
      <c r="P14" s="63">
        <v>0.16789999999999999</v>
      </c>
      <c r="Q14" s="69"/>
      <c r="R14" s="4">
        <v>-7.18E-4</v>
      </c>
      <c r="S14" s="6">
        <v>0</v>
      </c>
      <c r="T14" s="69"/>
      <c r="U14" s="59">
        <f>RS!$P14</f>
        <v>1.1039E-2</v>
      </c>
      <c r="V14" s="69"/>
      <c r="W14" s="4">
        <f>RS!R14</f>
        <v>3.3000000000000003E-5</v>
      </c>
      <c r="X14" s="70"/>
      <c r="Y14" s="70"/>
      <c r="Z14" s="70"/>
      <c r="AA14" s="85">
        <v>2.5401E-2</v>
      </c>
    </row>
    <row r="15" spans="1:50" x14ac:dyDescent="0.25">
      <c r="A15" s="11" t="s">
        <v>25</v>
      </c>
      <c r="G15" s="16" t="s">
        <v>13</v>
      </c>
      <c r="H15" s="6">
        <v>15</v>
      </c>
      <c r="I15" s="6">
        <v>30</v>
      </c>
      <c r="J15" s="6">
        <v>0</v>
      </c>
      <c r="K15" s="6">
        <v>9</v>
      </c>
      <c r="L15" s="4">
        <v>8.9169999999999999E-2</v>
      </c>
      <c r="M15" s="4">
        <v>5.5342000000000002E-2</v>
      </c>
      <c r="N15" s="4">
        <v>4.5603999999999999E-2</v>
      </c>
      <c r="O15" s="69"/>
      <c r="P15" s="63">
        <v>5.7200000000000001E-2</v>
      </c>
      <c r="Q15" s="69"/>
      <c r="R15" s="4">
        <v>-7.18E-4</v>
      </c>
      <c r="S15" s="6">
        <v>0</v>
      </c>
      <c r="T15" s="69"/>
      <c r="U15" s="59">
        <f>RS!$P15</f>
        <v>1.3535999999999999E-2</v>
      </c>
      <c r="V15" s="69"/>
      <c r="W15" s="4">
        <f>RS!R15</f>
        <v>3.3000000000000003E-5</v>
      </c>
      <c r="X15" s="70"/>
      <c r="Y15" s="70"/>
      <c r="Z15" s="70"/>
      <c r="AA15" s="85">
        <v>2.5401E-2</v>
      </c>
    </row>
    <row r="16" spans="1:50" x14ac:dyDescent="0.25">
      <c r="A16" s="11">
        <v>30</v>
      </c>
      <c r="G16" s="16" t="s">
        <v>14</v>
      </c>
      <c r="H16" s="6">
        <v>15</v>
      </c>
      <c r="I16" s="6">
        <v>30</v>
      </c>
      <c r="J16" s="6">
        <v>0</v>
      </c>
      <c r="K16" s="6">
        <v>9</v>
      </c>
      <c r="L16" s="4">
        <v>8.9169999999999999E-2</v>
      </c>
      <c r="M16" s="4">
        <v>5.5342000000000002E-2</v>
      </c>
      <c r="N16" s="4">
        <v>4.5603999999999999E-2</v>
      </c>
      <c r="O16" s="69"/>
      <c r="P16" s="63">
        <v>5.4899999999999997E-2</v>
      </c>
      <c r="Q16" s="69"/>
      <c r="R16" s="4">
        <v>-7.18E-4</v>
      </c>
      <c r="S16" s="6">
        <v>0</v>
      </c>
      <c r="T16" s="69"/>
      <c r="U16" s="59">
        <f>RS!$P16</f>
        <v>1.6767000000000001E-2</v>
      </c>
      <c r="V16" s="69"/>
      <c r="W16" s="4">
        <f>RS!R16</f>
        <v>4.7270000000000003E-3</v>
      </c>
      <c r="X16" s="70"/>
      <c r="Y16" s="70"/>
      <c r="Z16" s="70"/>
      <c r="AA16" s="85">
        <v>2.5401E-2</v>
      </c>
    </row>
    <row r="17" spans="1:50" x14ac:dyDescent="0.25">
      <c r="A17" s="11" t="s">
        <v>18</v>
      </c>
      <c r="G17" s="16" t="s">
        <v>15</v>
      </c>
      <c r="H17" s="6">
        <v>15</v>
      </c>
      <c r="I17" s="6">
        <v>30</v>
      </c>
      <c r="J17" s="6">
        <v>0</v>
      </c>
      <c r="K17" s="6">
        <v>9</v>
      </c>
      <c r="L17" s="4">
        <v>8.9169999999999999E-2</v>
      </c>
      <c r="M17" s="4">
        <v>5.5342000000000002E-2</v>
      </c>
      <c r="N17" s="4">
        <v>4.5603999999999999E-2</v>
      </c>
      <c r="O17" s="69"/>
      <c r="P17" s="63">
        <v>7.0599999999999996E-2</v>
      </c>
      <c r="Q17" s="69"/>
      <c r="R17" s="4">
        <v>-7.18E-4</v>
      </c>
      <c r="S17" s="6">
        <v>0</v>
      </c>
      <c r="T17" s="69"/>
      <c r="U17" s="59">
        <f>RS!$P17</f>
        <v>5.4503999999999997E-2</v>
      </c>
      <c r="V17" s="69"/>
      <c r="W17" s="4">
        <f>RS!R17</f>
        <v>4.7270000000000003E-3</v>
      </c>
      <c r="X17" s="70"/>
      <c r="Y17" s="70"/>
      <c r="Z17" s="70"/>
      <c r="AA17" s="85">
        <v>2.5401E-2</v>
      </c>
    </row>
    <row r="18" spans="1:50" x14ac:dyDescent="0.25">
      <c r="A18" s="26">
        <v>9000</v>
      </c>
      <c r="G18" s="16" t="s">
        <v>16</v>
      </c>
      <c r="H18" s="6">
        <v>15</v>
      </c>
      <c r="I18" s="6">
        <v>30</v>
      </c>
      <c r="J18" s="6">
        <v>0</v>
      </c>
      <c r="K18" s="6">
        <v>9</v>
      </c>
      <c r="L18" s="4">
        <v>8.9169999999999999E-2</v>
      </c>
      <c r="M18" s="4">
        <v>5.5342000000000002E-2</v>
      </c>
      <c r="N18" s="4">
        <v>4.5603999999999999E-2</v>
      </c>
      <c r="O18" s="69"/>
      <c r="P18" s="63">
        <v>7.7999999999999996E-3</v>
      </c>
      <c r="Q18" s="69"/>
      <c r="R18" s="4">
        <v>-7.18E-4</v>
      </c>
      <c r="S18" s="6">
        <v>0</v>
      </c>
      <c r="T18" s="69"/>
      <c r="U18" s="59">
        <f>RS!$P18</f>
        <v>3.6070999999999999E-2</v>
      </c>
      <c r="V18" s="69"/>
      <c r="W18" s="4">
        <f>RS!R18</f>
        <v>4.7270000000000003E-3</v>
      </c>
      <c r="X18" s="70"/>
      <c r="Y18" s="70"/>
      <c r="Z18" s="70"/>
      <c r="AA18" s="85">
        <v>2.5401E-2</v>
      </c>
    </row>
    <row r="19" spans="1:50" x14ac:dyDescent="0.25">
      <c r="A19" s="33" t="s">
        <v>48</v>
      </c>
      <c r="G19" s="16" t="s">
        <v>17</v>
      </c>
      <c r="H19" s="6">
        <v>15</v>
      </c>
      <c r="I19" s="6">
        <v>30</v>
      </c>
      <c r="J19" s="6">
        <v>0</v>
      </c>
      <c r="K19" s="6">
        <v>9</v>
      </c>
      <c r="L19" s="4">
        <v>8.9169999999999999E-2</v>
      </c>
      <c r="M19" s="4">
        <v>5.5342000000000002E-2</v>
      </c>
      <c r="N19" s="4">
        <v>4.5603999999999999E-2</v>
      </c>
      <c r="O19" s="69"/>
      <c r="P19" s="63">
        <v>0.14299999999999999</v>
      </c>
      <c r="Q19" s="69"/>
      <c r="R19" s="4">
        <v>-7.18E-4</v>
      </c>
      <c r="S19" s="6">
        <v>0</v>
      </c>
      <c r="T19" s="69"/>
      <c r="U19" s="59">
        <f>RS!$P19</f>
        <v>6.1579000000000002E-2</v>
      </c>
      <c r="V19" s="69"/>
      <c r="W19" s="4">
        <f>RS!R19</f>
        <v>4.4869999999999997E-3</v>
      </c>
      <c r="X19" s="70"/>
      <c r="Y19" s="70"/>
      <c r="Z19" s="70"/>
      <c r="AA19" s="85">
        <v>2.5401E-2</v>
      </c>
      <c r="AB19" s="70"/>
    </row>
    <row r="20" spans="1:50" x14ac:dyDescent="0.25">
      <c r="A20" s="34">
        <f>ROUND(IF($A$12="n",$A$18,$A$18*0.985),0)</f>
        <v>9000</v>
      </c>
      <c r="B20" s="3" t="s">
        <v>20</v>
      </c>
      <c r="C20" s="3"/>
      <c r="D20" s="21" t="s">
        <v>0</v>
      </c>
      <c r="E20" s="21" t="s">
        <v>4</v>
      </c>
      <c r="L20" s="27"/>
    </row>
    <row r="21" spans="1:50" ht="30" x14ac:dyDescent="0.25">
      <c r="A21" s="3" t="s">
        <v>19</v>
      </c>
      <c r="B21" s="21" t="s">
        <v>30</v>
      </c>
      <c r="C21" s="12" t="s">
        <v>21</v>
      </c>
      <c r="D21" s="12"/>
      <c r="E21" s="12"/>
      <c r="G21" s="18" t="s">
        <v>26</v>
      </c>
      <c r="H21" s="38">
        <f>IF($A$14=1,1,0)</f>
        <v>1</v>
      </c>
      <c r="I21" s="38">
        <f>IF($A$14=3,1,0)</f>
        <v>0</v>
      </c>
      <c r="J21" s="36">
        <f>$A$16-K21</f>
        <v>15</v>
      </c>
      <c r="K21" s="36">
        <f>IF($A$16&gt;15,$A$16-15,0)</f>
        <v>15</v>
      </c>
      <c r="L21" s="36">
        <f>IF(A20&lt;=6000,A20,6000)</f>
        <v>6000</v>
      </c>
      <c r="M21" s="36">
        <f>IF(A20&lt;=6000,0,IF($A$20&gt;(6000+$A$16*300),$A$16*300,$A$16*300-6000+$A$20-$A$16*300))</f>
        <v>3000</v>
      </c>
      <c r="N21" s="36">
        <f>IF($A$20&gt;(M21+6000),$A$20-M21-6000,0)</f>
        <v>0</v>
      </c>
      <c r="O21" s="38"/>
      <c r="P21" s="38"/>
      <c r="Q21" s="38"/>
      <c r="R21" s="36">
        <f>$A$20</f>
        <v>9000</v>
      </c>
      <c r="S21" s="36"/>
      <c r="T21" s="36"/>
      <c r="U21" s="39">
        <f>$A$20</f>
        <v>9000</v>
      </c>
      <c r="V21" s="38"/>
      <c r="W21" s="38">
        <f>$A$20</f>
        <v>9000</v>
      </c>
      <c r="AA21" s="86">
        <f>+A18</f>
        <v>9000</v>
      </c>
      <c r="AC21" s="23"/>
      <c r="AD21" s="23"/>
      <c r="AE21" s="23"/>
      <c r="AG21" s="23"/>
      <c r="AH21" s="23"/>
      <c r="AJ21" s="23"/>
      <c r="AK21" s="23"/>
      <c r="AU21" s="23"/>
      <c r="AV21" s="23"/>
      <c r="AW21" s="23"/>
      <c r="AX21" s="23"/>
    </row>
    <row r="22" spans="1:50" x14ac:dyDescent="0.25">
      <c r="A22" s="24">
        <f t="shared" ref="A22:A23" si="0">ROUND(SUM(H22:W22),2)</f>
        <v>1221.9000000000001</v>
      </c>
      <c r="B22" s="28">
        <f>ROUND(U22,2)</f>
        <v>357.62</v>
      </c>
      <c r="C22" s="28">
        <f>ROUND(H22+J22+I22+K22,2)</f>
        <v>150</v>
      </c>
      <c r="D22" s="24">
        <f>ROUND(SUM(H22:I22)+S22,2)</f>
        <v>15</v>
      </c>
      <c r="E22" s="24">
        <f>ROUND(SUM(L22:N22)+R22+W22,2)</f>
        <v>687.14</v>
      </c>
      <c r="F22" s="6"/>
      <c r="G22" s="16" t="s">
        <v>1</v>
      </c>
      <c r="H22" s="24">
        <f>H8*H$21</f>
        <v>15</v>
      </c>
      <c r="I22" s="24">
        <f>I8*I$21</f>
        <v>0</v>
      </c>
      <c r="J22" s="24">
        <f t="shared" ref="J22" si="1">J8*J$21</f>
        <v>0</v>
      </c>
      <c r="K22" s="24">
        <f t="shared" ref="K22:N33" si="2">K8*K$21</f>
        <v>135</v>
      </c>
      <c r="L22" s="24">
        <f t="shared" si="2"/>
        <v>535.02</v>
      </c>
      <c r="M22" s="24">
        <f t="shared" si="2"/>
        <v>166.02600000000001</v>
      </c>
      <c r="N22" s="24">
        <f t="shared" si="2"/>
        <v>0</v>
      </c>
      <c r="O22" s="28"/>
      <c r="P22" s="24">
        <f>(SUM(H22:N22)+SUM(R22:W22)-U22-AA22)*P8</f>
        <v>27.140527200000001</v>
      </c>
      <c r="Q22" s="28"/>
      <c r="R22" s="24">
        <f t="shared" ref="R22:R33" si="3">R8*R$21</f>
        <v>-6.4619999999999997</v>
      </c>
      <c r="S22" s="24">
        <f>S8</f>
        <v>0</v>
      </c>
      <c r="T22" s="28"/>
      <c r="U22" s="25">
        <f>U8*U21</f>
        <v>357.61500000000001</v>
      </c>
      <c r="V22" s="28"/>
      <c r="W22" s="24">
        <f>-W8*W$21</f>
        <v>-7.4430000000000005</v>
      </c>
      <c r="X22" s="28"/>
      <c r="Y22" s="28"/>
      <c r="Z22" s="28"/>
      <c r="AA22" s="87">
        <f>AA8*AA21</f>
        <v>228.60900000000001</v>
      </c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</row>
    <row r="23" spans="1:50" x14ac:dyDescent="0.25">
      <c r="A23" s="24">
        <f t="shared" si="0"/>
        <v>1124.23</v>
      </c>
      <c r="B23" s="28">
        <f t="shared" ref="B23:B33" si="4">ROUND(U23,2)</f>
        <v>257.39</v>
      </c>
      <c r="C23" s="28">
        <f t="shared" ref="C23:C33" si="5">ROUND(H23+J23+I23+K23,2)</f>
        <v>150</v>
      </c>
      <c r="D23" s="24">
        <f t="shared" ref="D23:D33" si="6">ROUND(SUM(H23:I23)+S23,2)</f>
        <v>15</v>
      </c>
      <c r="E23" s="24">
        <f t="shared" ref="E23:E33" si="7">ROUND(SUM(L23:N23)+R23+W23,2)</f>
        <v>687.14</v>
      </c>
      <c r="G23" s="16" t="s">
        <v>7</v>
      </c>
      <c r="H23" s="24">
        <f t="shared" ref="H23:I33" si="8">H9*H$21</f>
        <v>15</v>
      </c>
      <c r="I23" s="24">
        <f t="shared" si="8"/>
        <v>0</v>
      </c>
      <c r="J23" s="24">
        <f t="shared" ref="J23" si="9">J9*J$21</f>
        <v>0</v>
      </c>
      <c r="K23" s="24">
        <f t="shared" si="2"/>
        <v>135</v>
      </c>
      <c r="L23" s="24">
        <f t="shared" si="2"/>
        <v>535.02</v>
      </c>
      <c r="M23" s="24">
        <f t="shared" si="2"/>
        <v>166.02600000000001</v>
      </c>
      <c r="N23" s="24">
        <f t="shared" si="2"/>
        <v>0</v>
      </c>
      <c r="O23" s="24"/>
      <c r="P23" s="24">
        <f t="shared" ref="P23:P33" si="10">(SUM(H23:N23)+SUM(R23:W23)-U23-AA23)*P9</f>
        <v>29.696361600000003</v>
      </c>
      <c r="Q23" s="24"/>
      <c r="R23" s="24">
        <f t="shared" si="3"/>
        <v>-6.4619999999999997</v>
      </c>
      <c r="S23" s="24">
        <f t="shared" ref="S23:S33" si="11">S9</f>
        <v>0</v>
      </c>
      <c r="T23" s="24"/>
      <c r="U23" s="25">
        <f t="shared" ref="U23:U33" si="12">U9*U$21</f>
        <v>257.39100000000002</v>
      </c>
      <c r="V23" s="24"/>
      <c r="W23" s="24">
        <f t="shared" ref="W23:W33" si="13">-W9*W$21</f>
        <v>-7.4430000000000005</v>
      </c>
      <c r="X23" s="28"/>
      <c r="Y23" s="28"/>
      <c r="Z23" s="28"/>
      <c r="AA23" s="87">
        <f t="shared" ref="AA23:AA33" si="14">AA9*AA$21</f>
        <v>228.60900000000001</v>
      </c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</row>
    <row r="24" spans="1:50" x14ac:dyDescent="0.25">
      <c r="A24" s="24">
        <f>ROUND(SUM(H24:W24),2)</f>
        <v>880.01</v>
      </c>
      <c r="B24" s="28">
        <f t="shared" si="4"/>
        <v>-10.68</v>
      </c>
      <c r="C24" s="28">
        <f t="shared" si="5"/>
        <v>150</v>
      </c>
      <c r="D24" s="24">
        <f t="shared" si="6"/>
        <v>15</v>
      </c>
      <c r="E24" s="24">
        <f t="shared" si="7"/>
        <v>692.51</v>
      </c>
      <c r="G24" s="16" t="s">
        <v>8</v>
      </c>
      <c r="H24" s="24">
        <f t="shared" si="8"/>
        <v>15</v>
      </c>
      <c r="I24" s="24">
        <f t="shared" si="8"/>
        <v>0</v>
      </c>
      <c r="J24" s="24">
        <f t="shared" ref="J24" si="15">J10*J$21</f>
        <v>0</v>
      </c>
      <c r="K24" s="24">
        <f t="shared" si="2"/>
        <v>135</v>
      </c>
      <c r="L24" s="24">
        <f t="shared" si="2"/>
        <v>535.02</v>
      </c>
      <c r="M24" s="24">
        <f t="shared" si="2"/>
        <v>166.02600000000001</v>
      </c>
      <c r="N24" s="24">
        <f t="shared" si="2"/>
        <v>0</v>
      </c>
      <c r="O24" s="24"/>
      <c r="P24" s="24">
        <f t="shared" si="10"/>
        <v>48.190835999999997</v>
      </c>
      <c r="Q24" s="24"/>
      <c r="R24" s="28">
        <f t="shared" si="3"/>
        <v>-6.4619999999999997</v>
      </c>
      <c r="S24" s="24">
        <f t="shared" si="11"/>
        <v>0</v>
      </c>
      <c r="T24" s="24"/>
      <c r="U24" s="25">
        <f t="shared" si="12"/>
        <v>-10.683</v>
      </c>
      <c r="V24" s="24"/>
      <c r="W24" s="24">
        <f t="shared" si="13"/>
        <v>-2.0790000000000002</v>
      </c>
      <c r="X24" s="28"/>
      <c r="Y24" s="28"/>
      <c r="Z24" s="28"/>
      <c r="AA24" s="87">
        <f t="shared" si="14"/>
        <v>228.60900000000001</v>
      </c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</row>
    <row r="25" spans="1:50" x14ac:dyDescent="0.25">
      <c r="A25" s="24">
        <f t="shared" ref="A25:A33" si="16">ROUND(SUM(H25:W25),2)</f>
        <v>988.91</v>
      </c>
      <c r="B25" s="28">
        <f t="shared" si="4"/>
        <v>53.89</v>
      </c>
      <c r="C25" s="28">
        <f t="shared" si="5"/>
        <v>150</v>
      </c>
      <c r="D25" s="24">
        <f t="shared" si="6"/>
        <v>15</v>
      </c>
      <c r="E25" s="24">
        <f t="shared" si="7"/>
        <v>692.51</v>
      </c>
      <c r="G25" s="16" t="s">
        <v>9</v>
      </c>
      <c r="H25" s="24">
        <f t="shared" si="8"/>
        <v>15</v>
      </c>
      <c r="I25" s="24">
        <f t="shared" si="8"/>
        <v>0</v>
      </c>
      <c r="J25" s="24">
        <f t="shared" ref="J25" si="17">J11*J$21</f>
        <v>0</v>
      </c>
      <c r="K25" s="24">
        <f t="shared" si="2"/>
        <v>135</v>
      </c>
      <c r="L25" s="24">
        <f t="shared" si="2"/>
        <v>535.02</v>
      </c>
      <c r="M25" s="24">
        <f t="shared" si="2"/>
        <v>166.02600000000001</v>
      </c>
      <c r="N25" s="24">
        <f t="shared" si="2"/>
        <v>0</v>
      </c>
      <c r="O25" s="24"/>
      <c r="P25" s="24">
        <f t="shared" si="10"/>
        <v>92.51412719999999</v>
      </c>
      <c r="Q25" s="24"/>
      <c r="R25" s="24">
        <f t="shared" si="3"/>
        <v>-6.4619999999999997</v>
      </c>
      <c r="S25" s="24">
        <f t="shared" si="11"/>
        <v>0</v>
      </c>
      <c r="T25" s="24"/>
      <c r="U25" s="25">
        <f t="shared" si="12"/>
        <v>53.892000000000003</v>
      </c>
      <c r="V25" s="24"/>
      <c r="W25" s="24">
        <f t="shared" si="13"/>
        <v>-2.0790000000000002</v>
      </c>
      <c r="X25" s="28"/>
      <c r="Y25" s="28"/>
      <c r="Z25" s="28"/>
      <c r="AA25" s="87">
        <f t="shared" si="14"/>
        <v>228.60900000000001</v>
      </c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</row>
    <row r="26" spans="1:50" x14ac:dyDescent="0.25">
      <c r="A26" s="24">
        <f t="shared" si="16"/>
        <v>985.97</v>
      </c>
      <c r="B26" s="28">
        <f t="shared" si="4"/>
        <v>52.49</v>
      </c>
      <c r="C26" s="28">
        <f t="shared" si="5"/>
        <v>150</v>
      </c>
      <c r="D26" s="24">
        <f t="shared" si="6"/>
        <v>15</v>
      </c>
      <c r="E26" s="24">
        <f t="shared" si="7"/>
        <v>692.51</v>
      </c>
      <c r="G26" s="16" t="s">
        <v>10</v>
      </c>
      <c r="H26" s="24">
        <f t="shared" si="8"/>
        <v>15</v>
      </c>
      <c r="I26" s="24">
        <f t="shared" si="8"/>
        <v>0</v>
      </c>
      <c r="J26" s="24">
        <f t="shared" ref="J26" si="18">J12*J$21</f>
        <v>0</v>
      </c>
      <c r="K26" s="24">
        <f t="shared" si="2"/>
        <v>135</v>
      </c>
      <c r="L26" s="24">
        <f t="shared" si="2"/>
        <v>535.02</v>
      </c>
      <c r="M26" s="24">
        <f t="shared" si="2"/>
        <v>166.02600000000001</v>
      </c>
      <c r="N26" s="24">
        <f t="shared" si="2"/>
        <v>0</v>
      </c>
      <c r="O26" s="24"/>
      <c r="P26" s="24">
        <f t="shared" si="10"/>
        <v>90.979387199999991</v>
      </c>
      <c r="Q26" s="24"/>
      <c r="R26" s="24">
        <f t="shared" si="3"/>
        <v>-6.4619999999999997</v>
      </c>
      <c r="S26" s="24">
        <f t="shared" si="11"/>
        <v>0</v>
      </c>
      <c r="T26" s="24"/>
      <c r="U26" s="25">
        <f t="shared" si="12"/>
        <v>52.488000000000007</v>
      </c>
      <c r="V26" s="24"/>
      <c r="W26" s="24">
        <f t="shared" si="13"/>
        <v>-2.0790000000000002</v>
      </c>
      <c r="X26" s="28"/>
      <c r="Y26" s="28"/>
      <c r="Z26" s="28"/>
      <c r="AA26" s="87">
        <f t="shared" si="14"/>
        <v>228.60900000000001</v>
      </c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</row>
    <row r="27" spans="1:50" x14ac:dyDescent="0.25">
      <c r="A27" s="24">
        <f t="shared" si="16"/>
        <v>1185.7</v>
      </c>
      <c r="B27" s="28">
        <f t="shared" si="4"/>
        <v>239.71</v>
      </c>
      <c r="C27" s="28">
        <f t="shared" si="5"/>
        <v>150</v>
      </c>
      <c r="D27" s="24">
        <f t="shared" si="6"/>
        <v>15</v>
      </c>
      <c r="E27" s="24">
        <f t="shared" si="7"/>
        <v>694.29</v>
      </c>
      <c r="G27" s="16" t="s">
        <v>11</v>
      </c>
      <c r="H27" s="24">
        <f t="shared" si="8"/>
        <v>15</v>
      </c>
      <c r="I27" s="24">
        <f t="shared" si="8"/>
        <v>0</v>
      </c>
      <c r="J27" s="24">
        <f t="shared" ref="J27" si="19">J13*J$21</f>
        <v>0</v>
      </c>
      <c r="K27" s="24">
        <f t="shared" si="2"/>
        <v>135</v>
      </c>
      <c r="L27" s="24">
        <f t="shared" si="2"/>
        <v>535.02</v>
      </c>
      <c r="M27" s="24">
        <f t="shared" si="2"/>
        <v>166.02600000000001</v>
      </c>
      <c r="N27" s="24">
        <f t="shared" si="2"/>
        <v>0</v>
      </c>
      <c r="O27" s="24"/>
      <c r="P27" s="24">
        <f t="shared" si="10"/>
        <v>101.71000560000003</v>
      </c>
      <c r="Q27" s="24"/>
      <c r="R27" s="24">
        <f t="shared" si="3"/>
        <v>-6.4619999999999997</v>
      </c>
      <c r="S27" s="24">
        <f t="shared" si="11"/>
        <v>0</v>
      </c>
      <c r="T27" s="24"/>
      <c r="U27" s="25">
        <f t="shared" si="12"/>
        <v>239.70600000000002</v>
      </c>
      <c r="V27" s="24"/>
      <c r="W27" s="24">
        <f t="shared" si="13"/>
        <v>-0.29700000000000004</v>
      </c>
      <c r="X27" s="28"/>
      <c r="Y27" s="28"/>
      <c r="Z27" s="28"/>
      <c r="AA27" s="87">
        <f t="shared" si="14"/>
        <v>228.60900000000001</v>
      </c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</row>
    <row r="28" spans="1:50" x14ac:dyDescent="0.25">
      <c r="A28" s="24">
        <f t="shared" si="16"/>
        <v>1047.01</v>
      </c>
      <c r="B28" s="28">
        <f t="shared" si="4"/>
        <v>99.35</v>
      </c>
      <c r="C28" s="28">
        <f t="shared" si="5"/>
        <v>150</v>
      </c>
      <c r="D28" s="24">
        <f t="shared" si="6"/>
        <v>15</v>
      </c>
      <c r="E28" s="24">
        <f t="shared" si="7"/>
        <v>694.29</v>
      </c>
      <c r="G28" s="16" t="s">
        <v>12</v>
      </c>
      <c r="H28" s="24">
        <f t="shared" si="8"/>
        <v>15</v>
      </c>
      <c r="I28" s="24">
        <f t="shared" si="8"/>
        <v>0</v>
      </c>
      <c r="J28" s="24">
        <f t="shared" ref="J28" si="20">J14*J$21</f>
        <v>0</v>
      </c>
      <c r="K28" s="24">
        <f t="shared" si="2"/>
        <v>135</v>
      </c>
      <c r="L28" s="24">
        <f t="shared" si="2"/>
        <v>535.02</v>
      </c>
      <c r="M28" s="24">
        <f t="shared" si="2"/>
        <v>166.02600000000001</v>
      </c>
      <c r="N28" s="24">
        <f t="shared" si="2"/>
        <v>0</v>
      </c>
      <c r="O28" s="24"/>
      <c r="P28" s="24">
        <f t="shared" si="10"/>
        <v>103.37233619999999</v>
      </c>
      <c r="Q28" s="24"/>
      <c r="R28" s="24">
        <f t="shared" si="3"/>
        <v>-6.4619999999999997</v>
      </c>
      <c r="S28" s="24">
        <f t="shared" si="11"/>
        <v>0</v>
      </c>
      <c r="T28" s="24"/>
      <c r="U28" s="25">
        <f t="shared" si="12"/>
        <v>99.350999999999999</v>
      </c>
      <c r="V28" s="24"/>
      <c r="W28" s="24">
        <f t="shared" si="13"/>
        <v>-0.29700000000000004</v>
      </c>
      <c r="X28" s="28"/>
      <c r="Y28" s="28"/>
      <c r="Z28" s="28"/>
      <c r="AA28" s="87">
        <f t="shared" si="14"/>
        <v>228.60900000000001</v>
      </c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</row>
    <row r="29" spans="1:50" x14ac:dyDescent="0.25">
      <c r="A29" s="24">
        <f t="shared" si="16"/>
        <v>1001.33</v>
      </c>
      <c r="B29" s="28">
        <f t="shared" si="4"/>
        <v>121.82</v>
      </c>
      <c r="C29" s="28">
        <f t="shared" si="5"/>
        <v>150</v>
      </c>
      <c r="D29" s="24">
        <f t="shared" si="6"/>
        <v>15</v>
      </c>
      <c r="E29" s="24">
        <f t="shared" si="7"/>
        <v>694.29</v>
      </c>
      <c r="G29" s="16" t="s">
        <v>13</v>
      </c>
      <c r="H29" s="24">
        <f t="shared" si="8"/>
        <v>15</v>
      </c>
      <c r="I29" s="24">
        <f t="shared" si="8"/>
        <v>0</v>
      </c>
      <c r="J29" s="24">
        <f t="shared" ref="J29" si="21">J15*J$21</f>
        <v>0</v>
      </c>
      <c r="K29" s="24">
        <f t="shared" si="2"/>
        <v>135</v>
      </c>
      <c r="L29" s="24">
        <f t="shared" si="2"/>
        <v>535.02</v>
      </c>
      <c r="M29" s="24">
        <f t="shared" si="2"/>
        <v>166.02600000000001</v>
      </c>
      <c r="N29" s="24">
        <f t="shared" si="2"/>
        <v>0</v>
      </c>
      <c r="O29" s="24"/>
      <c r="P29" s="24">
        <f t="shared" si="10"/>
        <v>35.216781600000004</v>
      </c>
      <c r="Q29" s="24"/>
      <c r="R29" s="24">
        <f t="shared" si="3"/>
        <v>-6.4619999999999997</v>
      </c>
      <c r="S29" s="24">
        <f t="shared" si="11"/>
        <v>0</v>
      </c>
      <c r="T29" s="24"/>
      <c r="U29" s="25">
        <f t="shared" si="12"/>
        <v>121.824</v>
      </c>
      <c r="V29" s="24"/>
      <c r="W29" s="24">
        <f t="shared" si="13"/>
        <v>-0.29700000000000004</v>
      </c>
      <c r="X29" s="28"/>
      <c r="Y29" s="28"/>
      <c r="Z29" s="28"/>
      <c r="AA29" s="87">
        <f t="shared" si="14"/>
        <v>228.60900000000001</v>
      </c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</row>
    <row r="30" spans="1:50" x14ac:dyDescent="0.25">
      <c r="A30" s="24">
        <f t="shared" si="16"/>
        <v>984.43</v>
      </c>
      <c r="B30" s="28">
        <f t="shared" si="4"/>
        <v>150.9</v>
      </c>
      <c r="C30" s="28">
        <f t="shared" si="5"/>
        <v>150</v>
      </c>
      <c r="D30" s="24">
        <f t="shared" si="6"/>
        <v>15</v>
      </c>
      <c r="E30" s="24">
        <f t="shared" si="7"/>
        <v>652.04</v>
      </c>
      <c r="G30" s="16" t="s">
        <v>14</v>
      </c>
      <c r="H30" s="24">
        <f t="shared" si="8"/>
        <v>15</v>
      </c>
      <c r="I30" s="24">
        <f t="shared" si="8"/>
        <v>0</v>
      </c>
      <c r="J30" s="24">
        <f t="shared" ref="J30" si="22">J16*J$21</f>
        <v>0</v>
      </c>
      <c r="K30" s="24">
        <f t="shared" si="2"/>
        <v>135</v>
      </c>
      <c r="L30" s="24">
        <f t="shared" si="2"/>
        <v>535.02</v>
      </c>
      <c r="M30" s="24">
        <f t="shared" si="2"/>
        <v>166.02600000000001</v>
      </c>
      <c r="N30" s="24">
        <f t="shared" si="2"/>
        <v>0</v>
      </c>
      <c r="O30" s="24"/>
      <c r="P30" s="24">
        <f t="shared" si="10"/>
        <v>31.481416799999998</v>
      </c>
      <c r="Q30" s="24"/>
      <c r="R30" s="24">
        <f t="shared" si="3"/>
        <v>-6.4619999999999997</v>
      </c>
      <c r="S30" s="24">
        <f t="shared" si="11"/>
        <v>0</v>
      </c>
      <c r="T30" s="24"/>
      <c r="U30" s="25">
        <f t="shared" si="12"/>
        <v>150.90300000000002</v>
      </c>
      <c r="V30" s="24"/>
      <c r="W30" s="24">
        <f t="shared" si="13"/>
        <v>-42.542999999999999</v>
      </c>
      <c r="X30" s="28"/>
      <c r="Y30" s="28"/>
      <c r="Z30" s="28"/>
      <c r="AA30" s="87">
        <f t="shared" si="14"/>
        <v>228.60900000000001</v>
      </c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</row>
    <row r="31" spans="1:50" x14ac:dyDescent="0.25">
      <c r="A31" s="24">
        <f t="shared" si="16"/>
        <v>1333.06</v>
      </c>
      <c r="B31" s="28">
        <f t="shared" si="4"/>
        <v>490.54</v>
      </c>
      <c r="C31" s="28">
        <f t="shared" si="5"/>
        <v>150</v>
      </c>
      <c r="D31" s="24">
        <f t="shared" si="6"/>
        <v>15</v>
      </c>
      <c r="E31" s="24">
        <f t="shared" si="7"/>
        <v>652.04</v>
      </c>
      <c r="G31" s="16" t="s">
        <v>15</v>
      </c>
      <c r="H31" s="24">
        <f t="shared" si="8"/>
        <v>15</v>
      </c>
      <c r="I31" s="24">
        <f t="shared" si="8"/>
        <v>0</v>
      </c>
      <c r="J31" s="24">
        <f t="shared" ref="J31" si="23">J17*J$21</f>
        <v>0</v>
      </c>
      <c r="K31" s="24">
        <f t="shared" si="2"/>
        <v>135</v>
      </c>
      <c r="L31" s="24">
        <f t="shared" si="2"/>
        <v>535.02</v>
      </c>
      <c r="M31" s="24">
        <f t="shared" si="2"/>
        <v>166.02600000000001</v>
      </c>
      <c r="N31" s="24">
        <f t="shared" si="2"/>
        <v>0</v>
      </c>
      <c r="O31" s="24"/>
      <c r="P31" s="24">
        <f t="shared" si="10"/>
        <v>40.484299200000002</v>
      </c>
      <c r="Q31" s="24"/>
      <c r="R31" s="24">
        <f t="shared" si="3"/>
        <v>-6.4619999999999997</v>
      </c>
      <c r="S31" s="24">
        <f t="shared" si="11"/>
        <v>0</v>
      </c>
      <c r="T31" s="24"/>
      <c r="U31" s="25">
        <f t="shared" si="12"/>
        <v>490.53599999999994</v>
      </c>
      <c r="V31" s="24"/>
      <c r="W31" s="24">
        <f t="shared" si="13"/>
        <v>-42.542999999999999</v>
      </c>
      <c r="X31" s="28"/>
      <c r="Y31" s="28"/>
      <c r="Z31" s="28"/>
      <c r="AA31" s="87">
        <f t="shared" si="14"/>
        <v>228.60900000000001</v>
      </c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</row>
    <row r="32" spans="1:50" x14ac:dyDescent="0.25">
      <c r="A32" s="24">
        <f t="shared" si="16"/>
        <v>1131.1500000000001</v>
      </c>
      <c r="B32" s="28">
        <f t="shared" si="4"/>
        <v>324.64</v>
      </c>
      <c r="C32" s="28">
        <f t="shared" si="5"/>
        <v>150</v>
      </c>
      <c r="D32" s="24">
        <f t="shared" si="6"/>
        <v>15</v>
      </c>
      <c r="E32" s="24">
        <f t="shared" si="7"/>
        <v>652.04</v>
      </c>
      <c r="G32" s="16" t="s">
        <v>16</v>
      </c>
      <c r="H32" s="24">
        <f t="shared" si="8"/>
        <v>15</v>
      </c>
      <c r="I32" s="24">
        <f t="shared" si="8"/>
        <v>0</v>
      </c>
      <c r="J32" s="24">
        <f t="shared" ref="J32" si="24">J18*J$21</f>
        <v>0</v>
      </c>
      <c r="K32" s="24">
        <f t="shared" si="2"/>
        <v>135</v>
      </c>
      <c r="L32" s="24">
        <f t="shared" si="2"/>
        <v>535.02</v>
      </c>
      <c r="M32" s="24">
        <f t="shared" si="2"/>
        <v>166.02600000000001</v>
      </c>
      <c r="N32" s="24">
        <f t="shared" si="2"/>
        <v>0</v>
      </c>
      <c r="O32" s="24"/>
      <c r="P32" s="24">
        <f t="shared" si="10"/>
        <v>4.4727696000000003</v>
      </c>
      <c r="Q32" s="24"/>
      <c r="R32" s="24">
        <f t="shared" si="3"/>
        <v>-6.4619999999999997</v>
      </c>
      <c r="S32" s="24">
        <f t="shared" si="11"/>
        <v>0</v>
      </c>
      <c r="T32" s="24"/>
      <c r="U32" s="25">
        <f t="shared" si="12"/>
        <v>324.63900000000001</v>
      </c>
      <c r="V32" s="24"/>
      <c r="W32" s="24">
        <f t="shared" si="13"/>
        <v>-42.542999999999999</v>
      </c>
      <c r="X32" s="28"/>
      <c r="Y32" s="28"/>
      <c r="Z32" s="28"/>
      <c r="AA32" s="87">
        <f t="shared" si="14"/>
        <v>228.60900000000001</v>
      </c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</row>
    <row r="33" spans="1:50" x14ac:dyDescent="0.25">
      <c r="A33" s="24">
        <f t="shared" si="16"/>
        <v>1440.72</v>
      </c>
      <c r="B33" s="28">
        <f t="shared" si="4"/>
        <v>554.21</v>
      </c>
      <c r="C33" s="28">
        <f t="shared" si="5"/>
        <v>150</v>
      </c>
      <c r="D33" s="24">
        <f t="shared" si="6"/>
        <v>15</v>
      </c>
      <c r="E33" s="24">
        <f t="shared" si="7"/>
        <v>654.20000000000005</v>
      </c>
      <c r="G33" s="16" t="s">
        <v>17</v>
      </c>
      <c r="H33" s="24">
        <f t="shared" si="8"/>
        <v>15</v>
      </c>
      <c r="I33" s="24">
        <f t="shared" si="8"/>
        <v>0</v>
      </c>
      <c r="J33" s="24">
        <f t="shared" ref="J33" si="25">J19*J$21</f>
        <v>0</v>
      </c>
      <c r="K33" s="24">
        <f t="shared" si="2"/>
        <v>135</v>
      </c>
      <c r="L33" s="24">
        <f t="shared" si="2"/>
        <v>535.02</v>
      </c>
      <c r="M33" s="24">
        <f t="shared" si="2"/>
        <v>166.02600000000001</v>
      </c>
      <c r="N33" s="24">
        <f t="shared" si="2"/>
        <v>0</v>
      </c>
      <c r="O33" s="24"/>
      <c r="P33" s="24">
        <f t="shared" si="10"/>
        <v>82.30965599999999</v>
      </c>
      <c r="Q33" s="24"/>
      <c r="R33" s="24">
        <f t="shared" si="3"/>
        <v>-6.4619999999999997</v>
      </c>
      <c r="S33" s="24">
        <f t="shared" si="11"/>
        <v>0</v>
      </c>
      <c r="T33" s="24"/>
      <c r="U33" s="25">
        <f t="shared" si="12"/>
        <v>554.21100000000001</v>
      </c>
      <c r="V33" s="24"/>
      <c r="W33" s="24">
        <f t="shared" si="13"/>
        <v>-40.382999999999996</v>
      </c>
      <c r="X33" s="28"/>
      <c r="Y33" s="28"/>
      <c r="Z33" s="28"/>
      <c r="AA33" s="87">
        <f t="shared" si="14"/>
        <v>228.60900000000001</v>
      </c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</row>
    <row r="34" spans="1:50" x14ac:dyDescent="0.25">
      <c r="B34" s="8"/>
      <c r="C34" s="8"/>
      <c r="D34" s="8"/>
    </row>
    <row r="35" spans="1:50" x14ac:dyDescent="0.25">
      <c r="A35" s="27"/>
      <c r="B35" s="8"/>
      <c r="C35" s="8"/>
      <c r="D35" s="29"/>
    </row>
  </sheetData>
  <mergeCells count="18">
    <mergeCell ref="H3:K3"/>
    <mergeCell ref="H2:N2"/>
    <mergeCell ref="R2:S2"/>
    <mergeCell ref="AJ2:AK2"/>
    <mergeCell ref="H4:I4"/>
    <mergeCell ref="J4:K4"/>
    <mergeCell ref="AC4:AE4"/>
    <mergeCell ref="AG4:AH4"/>
    <mergeCell ref="AG2:AH2"/>
    <mergeCell ref="AC3:AE3"/>
    <mergeCell ref="AG3:AH3"/>
    <mergeCell ref="AC2:AE2"/>
    <mergeCell ref="AU2:AX2"/>
    <mergeCell ref="AJ4:AK4"/>
    <mergeCell ref="AU4:AV4"/>
    <mergeCell ref="AW4:AX4"/>
    <mergeCell ref="AJ3:AK3"/>
    <mergeCell ref="AU3:AX3"/>
  </mergeCells>
  <pageMargins left="0.7" right="0.7" top="0.75" bottom="0.75" header="0.3" footer="0.3"/>
  <pageSetup scale="24" orientation="landscape" r:id="rId1"/>
  <headerFooter>
    <oddHeader>&amp;C&amp;"Times New Roman,Bold"&amp;10&amp;U
UNREDACTED
CONFIDENTIAL PROPRIETARY TRADE SECRET&amp;R&amp;"Times New Roman,Bold"&amp;10KyPSC Case No. 2022-00394
STAFF-DR-01-002 Confidential Attachment 2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I35"/>
  <sheetViews>
    <sheetView tabSelected="1" view="pageLayout" zoomScaleNormal="75" workbookViewId="0"/>
  </sheetViews>
  <sheetFormatPr defaultRowHeight="15" x14ac:dyDescent="0.25"/>
  <cols>
    <col min="1" max="1" width="20.5703125" customWidth="1"/>
    <col min="2" max="2" width="15.140625" customWidth="1"/>
    <col min="3" max="3" width="13.85546875" customWidth="1"/>
    <col min="4" max="4" width="15.5703125" customWidth="1"/>
    <col min="5" max="5" width="14.42578125" customWidth="1"/>
    <col min="6" max="6" width="2.85546875" customWidth="1"/>
    <col min="7" max="7" width="9.140625" style="16"/>
    <col min="8" max="9" width="9.42578125" bestFit="1" customWidth="1"/>
    <col min="10" max="10" width="9.42578125" customWidth="1"/>
    <col min="11" max="11" width="12.5703125" bestFit="1" customWidth="1"/>
    <col min="12" max="12" width="11.5703125" customWidth="1"/>
    <col min="13" max="13" width="12.5703125" bestFit="1" customWidth="1"/>
    <col min="14" max="14" width="11.5703125" customWidth="1"/>
    <col min="15" max="17" width="15.5703125" customWidth="1"/>
    <col min="18" max="18" width="2.85546875" customWidth="1"/>
    <col min="19" max="19" width="18.5703125" customWidth="1"/>
    <col min="20" max="20" width="2.85546875" customWidth="1"/>
    <col min="21" max="21" width="15.5703125" customWidth="1"/>
    <col min="22" max="22" width="12.140625" customWidth="1"/>
    <col min="23" max="23" width="2.85546875" customWidth="1"/>
    <col min="24" max="24" width="18.5703125" style="15" customWidth="1"/>
    <col min="25" max="25" width="2.85546875" customWidth="1"/>
    <col min="26" max="26" width="21.42578125" customWidth="1"/>
    <col min="27" max="27" width="2.85546875" style="8" customWidth="1"/>
    <col min="28" max="28" width="12.5703125" style="8" bestFit="1" customWidth="1"/>
    <col min="29" max="29" width="2.85546875" style="8" customWidth="1"/>
    <col min="30" max="30" width="14.42578125" style="8" bestFit="1" customWidth="1"/>
    <col min="31" max="31" width="2.85546875" style="8" customWidth="1"/>
    <col min="32" max="32" width="12.140625" style="8" customWidth="1"/>
    <col min="33" max="33" width="19.140625" style="8" customWidth="1"/>
    <col min="34" max="34" width="12.42578125" style="8" customWidth="1"/>
    <col min="35" max="35" width="2.85546875" style="8" customWidth="1"/>
    <col min="36" max="36" width="23.42578125" style="8" bestFit="1" customWidth="1"/>
    <col min="37" max="37" width="27.140625" style="8" customWidth="1"/>
    <col min="38" max="38" width="13.28515625" style="8" customWidth="1"/>
    <col min="39" max="39" width="15.5703125" style="8" bestFit="1" customWidth="1"/>
    <col min="40" max="40" width="27.140625" style="8" customWidth="1"/>
    <col min="41" max="41" width="10.5703125" style="8" customWidth="1"/>
    <col min="42" max="42" width="15.5703125" style="8" bestFit="1" customWidth="1"/>
    <col min="43" max="43" width="2.85546875" style="8" customWidth="1"/>
    <col min="44" max="44" width="22.140625" style="82" customWidth="1"/>
    <col min="45" max="45" width="2.85546875" style="8" customWidth="1"/>
    <col min="46" max="46" width="15.5703125" style="8" bestFit="1" customWidth="1"/>
    <col min="47" max="47" width="2.85546875" style="8" customWidth="1"/>
    <col min="48" max="48" width="15.5703125" style="8" bestFit="1" customWidth="1"/>
    <col min="49" max="49" width="2.85546875" style="8" customWidth="1"/>
    <col min="50" max="50" width="12.42578125" style="8" bestFit="1" customWidth="1"/>
    <col min="51" max="51" width="11.5703125" style="8" bestFit="1" customWidth="1"/>
    <col min="52" max="52" width="12.42578125" style="8" bestFit="1" customWidth="1"/>
    <col min="53" max="53" width="11.5703125" style="8" bestFit="1" customWidth="1"/>
    <col min="54" max="61" width="9.140625" style="8"/>
  </cols>
  <sheetData>
    <row r="1" spans="1:53" x14ac:dyDescent="0.25">
      <c r="A1" t="s">
        <v>27</v>
      </c>
      <c r="C1" s="13"/>
      <c r="D1" s="13"/>
      <c r="E1" s="13"/>
      <c r="F1" s="13"/>
    </row>
    <row r="2" spans="1:53" x14ac:dyDescent="0.25">
      <c r="B2" s="13"/>
      <c r="C2" s="13"/>
      <c r="D2" s="13"/>
      <c r="E2" s="13"/>
      <c r="F2" s="13"/>
      <c r="H2" s="91" t="s">
        <v>59</v>
      </c>
      <c r="I2" s="91"/>
      <c r="J2" s="91"/>
      <c r="K2" s="91"/>
      <c r="L2" s="91"/>
      <c r="M2" s="91"/>
      <c r="N2" s="91"/>
      <c r="O2" s="91"/>
      <c r="P2" s="91"/>
      <c r="Q2" s="91"/>
      <c r="S2" s="61" t="s">
        <v>73</v>
      </c>
      <c r="U2" s="91" t="s">
        <v>32</v>
      </c>
      <c r="V2" s="91"/>
      <c r="W2" s="45"/>
      <c r="X2" s="19" t="s">
        <v>40</v>
      </c>
      <c r="Z2" s="45" t="s">
        <v>41</v>
      </c>
      <c r="AA2" s="44"/>
      <c r="AB2" s="44"/>
      <c r="AC2" s="44"/>
      <c r="AD2" s="44"/>
      <c r="AF2" s="89"/>
      <c r="AG2" s="89"/>
      <c r="AH2" s="89"/>
      <c r="AJ2" s="89"/>
      <c r="AK2" s="89"/>
      <c r="AM2" s="89"/>
      <c r="AN2" s="89"/>
      <c r="AP2" s="44"/>
      <c r="AQ2" s="44"/>
      <c r="AR2" s="83"/>
      <c r="AS2" s="44"/>
      <c r="AT2" s="44"/>
      <c r="AU2" s="44"/>
      <c r="AV2" s="44"/>
      <c r="AX2" s="89"/>
      <c r="AY2" s="89"/>
      <c r="AZ2" s="89"/>
      <c r="BA2" s="89"/>
    </row>
    <row r="3" spans="1:53" x14ac:dyDescent="0.25">
      <c r="H3" s="22"/>
      <c r="I3" s="22"/>
      <c r="J3" s="22"/>
      <c r="K3" s="91" t="s">
        <v>23</v>
      </c>
      <c r="L3" s="91"/>
      <c r="M3" s="91"/>
      <c r="N3" s="91"/>
      <c r="O3" s="91" t="s">
        <v>4</v>
      </c>
      <c r="P3" s="91"/>
      <c r="Q3" s="91"/>
      <c r="S3" s="61" t="s">
        <v>75</v>
      </c>
      <c r="U3" s="45" t="s">
        <v>29</v>
      </c>
      <c r="V3" s="45" t="s">
        <v>33</v>
      </c>
      <c r="W3" s="45"/>
      <c r="X3" s="19" t="s">
        <v>30</v>
      </c>
      <c r="Z3" s="45" t="s">
        <v>31</v>
      </c>
      <c r="AA3" s="44"/>
      <c r="AB3" s="44"/>
      <c r="AC3" s="44"/>
      <c r="AD3" s="44"/>
      <c r="AF3" s="89"/>
      <c r="AG3" s="89"/>
      <c r="AH3" s="89"/>
      <c r="AJ3" s="89"/>
      <c r="AK3" s="89"/>
      <c r="AM3" s="89"/>
      <c r="AN3" s="89"/>
      <c r="AP3" s="44"/>
      <c r="AQ3" s="44"/>
      <c r="AR3" s="83" t="s">
        <v>80</v>
      </c>
      <c r="AS3" s="44"/>
      <c r="AT3" s="44"/>
      <c r="AU3" s="44"/>
      <c r="AV3" s="44"/>
      <c r="AX3" s="89"/>
      <c r="AY3" s="89"/>
      <c r="AZ3" s="89"/>
      <c r="BA3" s="89"/>
    </row>
    <row r="4" spans="1:53" x14ac:dyDescent="0.25">
      <c r="H4" s="91" t="s">
        <v>0</v>
      </c>
      <c r="I4" s="91"/>
      <c r="J4" s="45"/>
      <c r="K4" s="91" t="s">
        <v>44</v>
      </c>
      <c r="L4" s="91"/>
      <c r="M4" s="91" t="s">
        <v>45</v>
      </c>
      <c r="N4" s="91"/>
      <c r="O4" s="45" t="s">
        <v>46</v>
      </c>
      <c r="P4" s="45" t="s">
        <v>46</v>
      </c>
      <c r="Q4" s="45" t="s">
        <v>47</v>
      </c>
      <c r="S4" s="61" t="s">
        <v>76</v>
      </c>
      <c r="U4" s="45" t="s">
        <v>4</v>
      </c>
      <c r="V4" s="45" t="s">
        <v>0</v>
      </c>
      <c r="W4" s="22"/>
      <c r="X4" s="19" t="s">
        <v>4</v>
      </c>
      <c r="Y4" s="45"/>
      <c r="Z4" s="45" t="s">
        <v>4</v>
      </c>
      <c r="AB4" s="44"/>
      <c r="AD4" s="44"/>
      <c r="AE4" s="44"/>
      <c r="AF4" s="89"/>
      <c r="AG4" s="89"/>
      <c r="AH4" s="89"/>
      <c r="AI4" s="44"/>
      <c r="AJ4" s="89"/>
      <c r="AK4" s="90"/>
      <c r="AL4" s="44"/>
      <c r="AM4" s="89"/>
      <c r="AN4" s="89"/>
      <c r="AO4" s="44"/>
      <c r="AP4" s="44"/>
      <c r="AR4" s="83" t="s">
        <v>81</v>
      </c>
      <c r="AT4" s="44"/>
      <c r="AV4" s="44"/>
      <c r="AW4" s="44"/>
      <c r="AX4" s="89"/>
      <c r="AY4" s="89"/>
      <c r="AZ4" s="89"/>
      <c r="BA4" s="89"/>
    </row>
    <row r="5" spans="1:53" ht="30" x14ac:dyDescent="0.25">
      <c r="H5" s="12" t="s">
        <v>22</v>
      </c>
      <c r="I5" s="12" t="s">
        <v>61</v>
      </c>
      <c r="J5" s="12" t="s">
        <v>58</v>
      </c>
      <c r="K5" s="45" t="s">
        <v>46</v>
      </c>
      <c r="L5" s="45" t="s">
        <v>47</v>
      </c>
      <c r="M5" s="45" t="s">
        <v>46</v>
      </c>
      <c r="N5" s="45" t="s">
        <v>47</v>
      </c>
      <c r="O5" s="45" t="s">
        <v>44</v>
      </c>
      <c r="P5" s="45" t="s">
        <v>45</v>
      </c>
      <c r="Q5" s="45" t="s">
        <v>60</v>
      </c>
      <c r="S5" s="61"/>
      <c r="U5" s="45"/>
      <c r="V5" s="45"/>
      <c r="W5" s="45"/>
      <c r="Y5" s="45"/>
      <c r="AE5" s="44"/>
      <c r="AF5" s="44"/>
      <c r="AG5" s="44"/>
      <c r="AH5" s="44"/>
      <c r="AI5" s="44"/>
      <c r="AJ5" s="32"/>
      <c r="AK5" s="32"/>
      <c r="AL5" s="44"/>
      <c r="AM5" s="44"/>
      <c r="AN5" s="44"/>
      <c r="AO5" s="44"/>
      <c r="AW5" s="44"/>
      <c r="AX5" s="44"/>
      <c r="AY5" s="44"/>
      <c r="AZ5" s="32"/>
      <c r="BA5" s="32"/>
    </row>
    <row r="6" spans="1:53" ht="15.75" x14ac:dyDescent="0.25">
      <c r="H6" s="7" t="s">
        <v>2</v>
      </c>
      <c r="I6" s="7" t="s">
        <v>2</v>
      </c>
      <c r="J6" s="7" t="s">
        <v>2</v>
      </c>
      <c r="K6" s="2" t="s">
        <v>24</v>
      </c>
      <c r="L6" s="2" t="s">
        <v>24</v>
      </c>
      <c r="M6" s="2" t="s">
        <v>24</v>
      </c>
      <c r="N6" s="2" t="s">
        <v>24</v>
      </c>
      <c r="O6" s="2" t="s">
        <v>3</v>
      </c>
      <c r="P6" s="2" t="s">
        <v>3</v>
      </c>
      <c r="Q6" s="2" t="s">
        <v>3</v>
      </c>
      <c r="S6" s="62" t="s">
        <v>74</v>
      </c>
      <c r="U6" s="2" t="s">
        <v>3</v>
      </c>
      <c r="V6" s="7" t="s">
        <v>2</v>
      </c>
      <c r="W6" s="2"/>
      <c r="X6" s="20" t="s">
        <v>3</v>
      </c>
      <c r="Y6" s="2"/>
      <c r="Z6" s="2" t="s">
        <v>3</v>
      </c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84"/>
      <c r="AS6" s="23"/>
      <c r="AT6" s="23"/>
      <c r="AU6" s="23"/>
      <c r="AV6" s="23"/>
      <c r="AW6" s="23"/>
      <c r="AX6" s="23"/>
      <c r="AY6" s="23"/>
      <c r="AZ6" s="23"/>
      <c r="BA6" s="23"/>
    </row>
    <row r="7" spans="1:53" x14ac:dyDescent="0.25">
      <c r="A7" s="11" t="s">
        <v>65</v>
      </c>
      <c r="B7" s="42" t="s">
        <v>72</v>
      </c>
      <c r="G7" s="17" t="s">
        <v>5</v>
      </c>
    </row>
    <row r="8" spans="1:53" x14ac:dyDescent="0.25">
      <c r="A8" s="11" t="s">
        <v>63</v>
      </c>
      <c r="B8" s="42" t="s">
        <v>82</v>
      </c>
      <c r="G8" s="16" t="s">
        <v>1</v>
      </c>
      <c r="H8" s="6">
        <v>63.5</v>
      </c>
      <c r="I8" s="6">
        <v>127</v>
      </c>
      <c r="J8" s="6">
        <v>138</v>
      </c>
      <c r="K8" s="6">
        <v>14.85</v>
      </c>
      <c r="L8" s="6">
        <v>1.34</v>
      </c>
      <c r="M8" s="6">
        <v>14.05</v>
      </c>
      <c r="N8" s="6">
        <v>1.34</v>
      </c>
      <c r="O8" s="4">
        <v>4.8389000000000001E-2</v>
      </c>
      <c r="P8" s="4">
        <v>4.6261999999999998E-2</v>
      </c>
      <c r="Q8" s="4">
        <v>3.9909E-2</v>
      </c>
      <c r="R8" s="69"/>
      <c r="S8" s="63">
        <f t="shared" ref="S8:S17" si="0">S9</f>
        <v>0.14299999999999999</v>
      </c>
      <c r="T8" s="69"/>
      <c r="U8" s="69">
        <f>DS!R8</f>
        <v>-7.18E-4</v>
      </c>
      <c r="V8" s="6">
        <f>DS!S8</f>
        <v>0</v>
      </c>
      <c r="W8" s="69"/>
      <c r="X8" s="59">
        <f>0.066744-0.025401</f>
        <v>4.1342999999999998E-2</v>
      </c>
      <c r="Y8" s="69"/>
      <c r="Z8" s="4">
        <f t="shared" ref="Z8:Z17" si="1">Z9</f>
        <v>4.4869999999999997E-3</v>
      </c>
      <c r="AA8" s="70"/>
      <c r="AB8" s="70"/>
      <c r="AC8" s="70"/>
      <c r="AD8" s="70"/>
      <c r="AE8" s="70"/>
      <c r="AF8" s="70"/>
      <c r="AG8" s="70"/>
      <c r="AH8" s="70"/>
      <c r="AI8" s="70"/>
      <c r="AJ8" s="76"/>
      <c r="AK8" s="70"/>
      <c r="AL8" s="70"/>
      <c r="AM8" s="70"/>
      <c r="AN8" s="70"/>
      <c r="AO8" s="70"/>
      <c r="AP8" s="70"/>
      <c r="AQ8" s="70"/>
      <c r="AR8" s="85">
        <f>+DS!$AA8</f>
        <v>2.5401E-2</v>
      </c>
      <c r="AU8" s="14"/>
      <c r="AW8" s="14"/>
      <c r="AX8" s="14"/>
      <c r="AY8" s="14"/>
      <c r="AZ8" s="14"/>
      <c r="BA8" s="14"/>
    </row>
    <row r="9" spans="1:53" x14ac:dyDescent="0.25">
      <c r="A9" s="11" t="s">
        <v>25</v>
      </c>
      <c r="D9" t="s">
        <v>83</v>
      </c>
      <c r="E9" s="88">
        <v>0.5</v>
      </c>
      <c r="G9" s="16" t="s">
        <v>7</v>
      </c>
      <c r="H9" s="6">
        <v>63.5</v>
      </c>
      <c r="I9" s="6">
        <v>127</v>
      </c>
      <c r="J9" s="6">
        <v>138</v>
      </c>
      <c r="K9" s="6">
        <v>14.85</v>
      </c>
      <c r="L9" s="6">
        <v>1.34</v>
      </c>
      <c r="M9" s="6">
        <v>14.05</v>
      </c>
      <c r="N9" s="6">
        <v>1.34</v>
      </c>
      <c r="O9" s="4">
        <v>4.8389000000000001E-2</v>
      </c>
      <c r="P9" s="4">
        <v>4.6261999999999998E-2</v>
      </c>
      <c r="Q9" s="4">
        <v>3.9909E-2</v>
      </c>
      <c r="R9" s="69"/>
      <c r="S9" s="63">
        <f t="shared" si="0"/>
        <v>0.14299999999999999</v>
      </c>
      <c r="T9" s="69"/>
      <c r="U9" s="69">
        <f>DS!R9</f>
        <v>-7.18E-4</v>
      </c>
      <c r="V9" s="6">
        <f>DS!S9</f>
        <v>0</v>
      </c>
      <c r="W9" s="69"/>
      <c r="X9" s="59">
        <f t="shared" ref="X9:X19" si="2">0.066744-0.025401</f>
        <v>4.1342999999999998E-2</v>
      </c>
      <c r="Y9" s="69"/>
      <c r="Z9" s="4">
        <f t="shared" si="1"/>
        <v>4.4869999999999997E-3</v>
      </c>
      <c r="AB9" s="14"/>
      <c r="AD9" s="31"/>
      <c r="AF9" s="9"/>
      <c r="AG9" s="9"/>
      <c r="AH9" s="9"/>
      <c r="AJ9" s="14"/>
      <c r="AK9" s="70"/>
      <c r="AL9" s="70"/>
      <c r="AM9" s="10"/>
      <c r="AN9" s="10"/>
      <c r="AP9" s="31"/>
      <c r="AR9" s="85">
        <f>+DS!$AA9</f>
        <v>2.5401E-2</v>
      </c>
      <c r="AT9" s="14"/>
      <c r="AV9" s="31"/>
      <c r="AX9" s="14"/>
      <c r="AY9" s="14"/>
      <c r="AZ9" s="14"/>
      <c r="BA9" s="14"/>
    </row>
    <row r="10" spans="1:53" x14ac:dyDescent="0.25">
      <c r="A10" s="11" t="s">
        <v>49</v>
      </c>
      <c r="B10" s="11">
        <v>4920</v>
      </c>
      <c r="G10" s="16" t="s">
        <v>8</v>
      </c>
      <c r="H10" s="6">
        <v>63.5</v>
      </c>
      <c r="I10" s="6">
        <v>127</v>
      </c>
      <c r="J10" s="6">
        <v>138</v>
      </c>
      <c r="K10" s="6">
        <v>14.85</v>
      </c>
      <c r="L10" s="6">
        <v>1.34</v>
      </c>
      <c r="M10" s="6">
        <v>14.05</v>
      </c>
      <c r="N10" s="6">
        <v>1.34</v>
      </c>
      <c r="O10" s="4">
        <v>4.8389000000000001E-2</v>
      </c>
      <c r="P10" s="4">
        <v>4.6261999999999998E-2</v>
      </c>
      <c r="Q10" s="4">
        <v>3.9909E-2</v>
      </c>
      <c r="R10" s="69"/>
      <c r="S10" s="63">
        <f t="shared" si="0"/>
        <v>0.14299999999999999</v>
      </c>
      <c r="T10" s="69"/>
      <c r="U10" s="69">
        <f>DS!R10</f>
        <v>-7.18E-4</v>
      </c>
      <c r="V10" s="6">
        <f>DS!S10</f>
        <v>0</v>
      </c>
      <c r="W10" s="69"/>
      <c r="X10" s="59">
        <f t="shared" si="2"/>
        <v>4.1342999999999998E-2</v>
      </c>
      <c r="Y10" s="69"/>
      <c r="Z10" s="4">
        <f t="shared" si="1"/>
        <v>4.4869999999999997E-3</v>
      </c>
      <c r="AB10" s="14"/>
      <c r="AD10" s="31"/>
      <c r="AF10" s="9"/>
      <c r="AG10" s="9"/>
      <c r="AH10" s="9"/>
      <c r="AJ10" s="14"/>
      <c r="AK10" s="14"/>
      <c r="AM10" s="10"/>
      <c r="AN10" s="10"/>
      <c r="AP10" s="31"/>
      <c r="AR10" s="85">
        <f>+DS!$AA10</f>
        <v>2.5401E-2</v>
      </c>
      <c r="AT10" s="14"/>
      <c r="AV10" s="31"/>
      <c r="AX10" s="14"/>
      <c r="AY10" s="14"/>
      <c r="AZ10" s="14"/>
      <c r="BA10" s="14"/>
    </row>
    <row r="11" spans="1:53" x14ac:dyDescent="0.25">
      <c r="A11" s="11" t="s">
        <v>50</v>
      </c>
      <c r="B11" s="11">
        <v>0</v>
      </c>
      <c r="G11" s="16" t="s">
        <v>9</v>
      </c>
      <c r="H11" s="6">
        <v>63.5</v>
      </c>
      <c r="I11" s="6">
        <v>127</v>
      </c>
      <c r="J11" s="6">
        <v>138</v>
      </c>
      <c r="K11" s="6">
        <v>14.85</v>
      </c>
      <c r="L11" s="6">
        <v>1.34</v>
      </c>
      <c r="M11" s="6">
        <v>14.05</v>
      </c>
      <c r="N11" s="6">
        <v>1.34</v>
      </c>
      <c r="O11" s="4">
        <v>4.8389000000000001E-2</v>
      </c>
      <c r="P11" s="4">
        <v>4.6261999999999998E-2</v>
      </c>
      <c r="Q11" s="4">
        <v>3.9909E-2</v>
      </c>
      <c r="R11" s="69"/>
      <c r="S11" s="63">
        <f t="shared" si="0"/>
        <v>0.14299999999999999</v>
      </c>
      <c r="T11" s="69"/>
      <c r="U11" s="69">
        <f>DS!R11</f>
        <v>-7.18E-4</v>
      </c>
      <c r="V11" s="6">
        <f>DS!S11</f>
        <v>0</v>
      </c>
      <c r="W11" s="69"/>
      <c r="X11" s="59">
        <f t="shared" si="2"/>
        <v>4.1342999999999998E-2</v>
      </c>
      <c r="Y11" s="69"/>
      <c r="Z11" s="4">
        <f t="shared" si="1"/>
        <v>4.4869999999999997E-3</v>
      </c>
      <c r="AR11" s="85">
        <f>+DS!$AA11</f>
        <v>2.5401E-2</v>
      </c>
    </row>
    <row r="12" spans="1:53" x14ac:dyDescent="0.25">
      <c r="A12" s="11" t="s">
        <v>18</v>
      </c>
      <c r="G12" s="16" t="s">
        <v>10</v>
      </c>
      <c r="H12" s="6">
        <v>63.5</v>
      </c>
      <c r="I12" s="6">
        <v>127</v>
      </c>
      <c r="J12" s="6">
        <v>138</v>
      </c>
      <c r="K12" s="6">
        <v>14.85</v>
      </c>
      <c r="L12" s="6">
        <v>1.34</v>
      </c>
      <c r="M12" s="6">
        <v>14.05</v>
      </c>
      <c r="N12" s="6">
        <v>1.34</v>
      </c>
      <c r="O12" s="4">
        <v>4.8389000000000001E-2</v>
      </c>
      <c r="P12" s="4">
        <v>4.6261999999999998E-2</v>
      </c>
      <c r="Q12" s="4">
        <v>3.9909E-2</v>
      </c>
      <c r="R12" s="69"/>
      <c r="S12" s="63">
        <f t="shared" si="0"/>
        <v>0.14299999999999999</v>
      </c>
      <c r="T12" s="69"/>
      <c r="U12" s="69">
        <f>DS!R12</f>
        <v>-7.18E-4</v>
      </c>
      <c r="V12" s="6">
        <f>DS!S12</f>
        <v>0</v>
      </c>
      <c r="W12" s="69"/>
      <c r="X12" s="59">
        <f t="shared" si="2"/>
        <v>4.1342999999999998E-2</v>
      </c>
      <c r="Y12" s="69"/>
      <c r="Z12" s="4">
        <f t="shared" si="1"/>
        <v>4.4869999999999997E-3</v>
      </c>
      <c r="AR12" s="85">
        <f>+DS!$AA12</f>
        <v>2.5401E-2</v>
      </c>
    </row>
    <row r="13" spans="1:53" x14ac:dyDescent="0.25">
      <c r="A13" s="11" t="s">
        <v>49</v>
      </c>
      <c r="B13" s="11">
        <f>460800*0.28848</f>
        <v>132931.584</v>
      </c>
      <c r="C13" s="57" t="s">
        <v>70</v>
      </c>
      <c r="D13" s="57"/>
      <c r="G13" s="16" t="s">
        <v>11</v>
      </c>
      <c r="H13" s="6">
        <v>63.5</v>
      </c>
      <c r="I13" s="6">
        <v>127</v>
      </c>
      <c r="J13" s="6">
        <v>138</v>
      </c>
      <c r="K13" s="6">
        <v>14.85</v>
      </c>
      <c r="L13" s="6">
        <v>1.34</v>
      </c>
      <c r="M13" s="6">
        <v>14.05</v>
      </c>
      <c r="N13" s="6">
        <v>1.34</v>
      </c>
      <c r="O13" s="4">
        <v>4.8389000000000001E-2</v>
      </c>
      <c r="P13" s="4">
        <v>4.6261999999999998E-2</v>
      </c>
      <c r="Q13" s="4">
        <v>3.9909E-2</v>
      </c>
      <c r="R13" s="69"/>
      <c r="S13" s="63">
        <f t="shared" si="0"/>
        <v>0.14299999999999999</v>
      </c>
      <c r="T13" s="69"/>
      <c r="U13" s="69">
        <f>DS!R13</f>
        <v>-7.18E-4</v>
      </c>
      <c r="V13" s="6">
        <f>DS!S13</f>
        <v>0</v>
      </c>
      <c r="W13" s="69"/>
      <c r="X13" s="59">
        <f t="shared" si="2"/>
        <v>4.1342999999999998E-2</v>
      </c>
      <c r="Y13" s="69"/>
      <c r="Z13" s="4">
        <f t="shared" si="1"/>
        <v>4.4869999999999997E-3</v>
      </c>
      <c r="AR13" s="85">
        <f>+DS!$AA13</f>
        <v>2.5401E-2</v>
      </c>
    </row>
    <row r="14" spans="1:53" x14ac:dyDescent="0.25">
      <c r="A14" s="11" t="s">
        <v>50</v>
      </c>
      <c r="B14" s="11">
        <f>460800-B13</f>
        <v>327868.41599999997</v>
      </c>
      <c r="C14" s="57" t="s">
        <v>71</v>
      </c>
      <c r="D14" s="57"/>
      <c r="G14" s="16" t="s">
        <v>12</v>
      </c>
      <c r="H14" s="6">
        <v>63.5</v>
      </c>
      <c r="I14" s="6">
        <v>127</v>
      </c>
      <c r="J14" s="6">
        <v>138</v>
      </c>
      <c r="K14" s="6">
        <v>14.85</v>
      </c>
      <c r="L14" s="6">
        <v>1.34</v>
      </c>
      <c r="M14" s="6">
        <v>14.05</v>
      </c>
      <c r="N14" s="6">
        <v>1.34</v>
      </c>
      <c r="O14" s="4">
        <v>4.8389000000000001E-2</v>
      </c>
      <c r="P14" s="4">
        <v>4.6261999999999998E-2</v>
      </c>
      <c r="Q14" s="4">
        <v>3.9909E-2</v>
      </c>
      <c r="R14" s="69"/>
      <c r="S14" s="63">
        <f t="shared" si="0"/>
        <v>0.14299999999999999</v>
      </c>
      <c r="T14" s="69"/>
      <c r="U14" s="69">
        <f>DS!R14</f>
        <v>-7.18E-4</v>
      </c>
      <c r="V14" s="6">
        <f>DS!S14</f>
        <v>0</v>
      </c>
      <c r="W14" s="69"/>
      <c r="X14" s="59">
        <f t="shared" si="2"/>
        <v>4.1342999999999998E-2</v>
      </c>
      <c r="Y14" s="69"/>
      <c r="Z14" s="4">
        <f t="shared" si="1"/>
        <v>4.4869999999999997E-3</v>
      </c>
      <c r="AR14" s="85">
        <f>+DS!$AA14</f>
        <v>2.5401E-2</v>
      </c>
    </row>
    <row r="15" spans="1:53" x14ac:dyDescent="0.25">
      <c r="A15" s="11" t="s">
        <v>69</v>
      </c>
      <c r="B15" s="26"/>
      <c r="C15" s="57" t="s">
        <v>78</v>
      </c>
      <c r="D15" s="58"/>
      <c r="G15" s="16" t="s">
        <v>13</v>
      </c>
      <c r="H15" s="6">
        <v>63.5</v>
      </c>
      <c r="I15" s="6">
        <v>127</v>
      </c>
      <c r="J15" s="6">
        <v>138</v>
      </c>
      <c r="K15" s="6">
        <v>14.85</v>
      </c>
      <c r="L15" s="6">
        <v>1.34</v>
      </c>
      <c r="M15" s="6">
        <v>14.05</v>
      </c>
      <c r="N15" s="6">
        <v>1.34</v>
      </c>
      <c r="O15" s="4">
        <v>4.8389000000000001E-2</v>
      </c>
      <c r="P15" s="4">
        <v>4.6261999999999998E-2</v>
      </c>
      <c r="Q15" s="4">
        <v>3.9909E-2</v>
      </c>
      <c r="R15" s="69"/>
      <c r="S15" s="63">
        <f t="shared" si="0"/>
        <v>0.14299999999999999</v>
      </c>
      <c r="T15" s="69"/>
      <c r="U15" s="69">
        <f>DS!R15</f>
        <v>-7.18E-4</v>
      </c>
      <c r="V15" s="6">
        <f>DS!S15</f>
        <v>0</v>
      </c>
      <c r="W15" s="69"/>
      <c r="X15" s="59">
        <f t="shared" si="2"/>
        <v>4.1342999999999998E-2</v>
      </c>
      <c r="Y15" s="69"/>
      <c r="Z15" s="4">
        <f t="shared" si="1"/>
        <v>4.4869999999999997E-3</v>
      </c>
      <c r="AR15" s="85">
        <f>+DS!$AA15</f>
        <v>2.5401E-2</v>
      </c>
    </row>
    <row r="16" spans="1:53" x14ac:dyDescent="0.25">
      <c r="A16" s="33" t="s">
        <v>48</v>
      </c>
      <c r="G16" s="16" t="s">
        <v>14</v>
      </c>
      <c r="H16" s="6">
        <v>63.5</v>
      </c>
      <c r="I16" s="6">
        <v>127</v>
      </c>
      <c r="J16" s="6">
        <v>138</v>
      </c>
      <c r="K16" s="6">
        <v>14.85</v>
      </c>
      <c r="L16" s="6">
        <v>1.34</v>
      </c>
      <c r="M16" s="6">
        <v>14.05</v>
      </c>
      <c r="N16" s="6">
        <v>1.34</v>
      </c>
      <c r="O16" s="4">
        <v>4.8389000000000001E-2</v>
      </c>
      <c r="P16" s="4">
        <v>4.6261999999999998E-2</v>
      </c>
      <c r="Q16" s="4">
        <v>3.9909E-2</v>
      </c>
      <c r="R16" s="69"/>
      <c r="S16" s="63">
        <f t="shared" si="0"/>
        <v>0.14299999999999999</v>
      </c>
      <c r="T16" s="69"/>
      <c r="U16" s="69">
        <f>DS!R16</f>
        <v>-7.18E-4</v>
      </c>
      <c r="V16" s="6">
        <f>DS!S16</f>
        <v>0</v>
      </c>
      <c r="W16" s="69"/>
      <c r="X16" s="59">
        <f t="shared" si="2"/>
        <v>4.1342999999999998E-2</v>
      </c>
      <c r="Y16" s="69"/>
      <c r="Z16" s="4">
        <f t="shared" si="1"/>
        <v>4.4869999999999997E-3</v>
      </c>
      <c r="AA16" s="70"/>
      <c r="AR16" s="85">
        <f>+DS!$AA16</f>
        <v>2.5401E-2</v>
      </c>
    </row>
    <row r="17" spans="1:53" x14ac:dyDescent="0.25">
      <c r="A17" s="11" t="s">
        <v>49</v>
      </c>
      <c r="B17" s="56">
        <f>ROUND(IF($B$7="n",$B$13,$B$13*0.985),0)</f>
        <v>132932</v>
      </c>
      <c r="G17" s="16" t="s">
        <v>15</v>
      </c>
      <c r="H17" s="6">
        <v>63.5</v>
      </c>
      <c r="I17" s="6">
        <v>127</v>
      </c>
      <c r="J17" s="6">
        <v>138</v>
      </c>
      <c r="K17" s="6">
        <v>14.85</v>
      </c>
      <c r="L17" s="6">
        <v>1.34</v>
      </c>
      <c r="M17" s="6">
        <v>14.05</v>
      </c>
      <c r="N17" s="6">
        <v>1.34</v>
      </c>
      <c r="O17" s="4">
        <v>4.8389000000000001E-2</v>
      </c>
      <c r="P17" s="4">
        <v>4.6261999999999998E-2</v>
      </c>
      <c r="Q17" s="4">
        <v>3.9909E-2</v>
      </c>
      <c r="R17" s="69"/>
      <c r="S17" s="63">
        <f t="shared" si="0"/>
        <v>0.14299999999999999</v>
      </c>
      <c r="T17" s="69"/>
      <c r="U17" s="69">
        <f>DS!R17</f>
        <v>-7.18E-4</v>
      </c>
      <c r="V17" s="6">
        <f>DS!S17</f>
        <v>0</v>
      </c>
      <c r="W17" s="69"/>
      <c r="X17" s="59">
        <f t="shared" si="2"/>
        <v>4.1342999999999998E-2</v>
      </c>
      <c r="Y17" s="69"/>
      <c r="Z17" s="4">
        <f t="shared" si="1"/>
        <v>4.4869999999999997E-3</v>
      </c>
      <c r="AR17" s="85">
        <f>+DS!$AA17</f>
        <v>2.5401E-2</v>
      </c>
    </row>
    <row r="18" spans="1:53" x14ac:dyDescent="0.25">
      <c r="A18" s="11" t="s">
        <v>50</v>
      </c>
      <c r="B18" s="56">
        <f>ROUND(IF($B$7="n",$B$14,$B$14*0.985),0)</f>
        <v>327868</v>
      </c>
      <c r="G18" s="16" t="s">
        <v>16</v>
      </c>
      <c r="H18" s="6">
        <v>63.5</v>
      </c>
      <c r="I18" s="6">
        <v>127</v>
      </c>
      <c r="J18" s="6">
        <v>138</v>
      </c>
      <c r="K18" s="6">
        <v>14.85</v>
      </c>
      <c r="L18" s="6">
        <v>1.34</v>
      </c>
      <c r="M18" s="6">
        <v>14.05</v>
      </c>
      <c r="N18" s="6">
        <v>1.34</v>
      </c>
      <c r="O18" s="4">
        <v>4.8389000000000001E-2</v>
      </c>
      <c r="P18" s="4">
        <v>4.6261999999999998E-2</v>
      </c>
      <c r="Q18" s="4">
        <v>3.9909E-2</v>
      </c>
      <c r="R18" s="69"/>
      <c r="S18" s="63">
        <f>S19</f>
        <v>0.14299999999999999</v>
      </c>
      <c r="T18" s="69"/>
      <c r="U18" s="69">
        <f>DS!R18</f>
        <v>-7.18E-4</v>
      </c>
      <c r="V18" s="6">
        <f>DS!S18</f>
        <v>0</v>
      </c>
      <c r="W18" s="69"/>
      <c r="X18" s="59">
        <f t="shared" si="2"/>
        <v>4.1342999999999998E-2</v>
      </c>
      <c r="Y18" s="69"/>
      <c r="Z18" s="4">
        <f>Z19</f>
        <v>4.4869999999999997E-3</v>
      </c>
      <c r="AG18" s="80"/>
      <c r="AR18" s="85">
        <f>+DS!$AA18</f>
        <v>2.5401E-2</v>
      </c>
    </row>
    <row r="19" spans="1:53" x14ac:dyDescent="0.25">
      <c r="A19" s="11" t="s">
        <v>69</v>
      </c>
      <c r="B19" s="56">
        <f>ROUND(IF($B$7="n",SUM($B$13:$B$15),SUM($B$13:$B$15)*0.985),0)</f>
        <v>460800</v>
      </c>
      <c r="G19" s="16" t="s">
        <v>17</v>
      </c>
      <c r="H19" s="6">
        <v>63.5</v>
      </c>
      <c r="I19" s="6">
        <v>127</v>
      </c>
      <c r="J19" s="6">
        <v>138</v>
      </c>
      <c r="K19" s="6">
        <v>14.85</v>
      </c>
      <c r="L19" s="6">
        <v>1.34</v>
      </c>
      <c r="M19" s="6">
        <v>14.05</v>
      </c>
      <c r="N19" s="6">
        <v>1.34</v>
      </c>
      <c r="O19" s="4">
        <v>4.8389000000000001E-2</v>
      </c>
      <c r="P19" s="4">
        <v>4.6261999999999998E-2</v>
      </c>
      <c r="Q19" s="4">
        <v>3.9909E-2</v>
      </c>
      <c r="R19" s="69"/>
      <c r="S19" s="63">
        <f>DS!P19</f>
        <v>0.14299999999999999</v>
      </c>
      <c r="T19" s="69"/>
      <c r="U19" s="69">
        <f>DS!R19</f>
        <v>-7.18E-4</v>
      </c>
      <c r="V19" s="6">
        <f>DS!S19</f>
        <v>0</v>
      </c>
      <c r="W19" s="69"/>
      <c r="X19" s="59">
        <f t="shared" si="2"/>
        <v>4.1342999999999998E-2</v>
      </c>
      <c r="Y19" s="69"/>
      <c r="Z19" s="4">
        <f>RS!R19</f>
        <v>4.4869999999999997E-3</v>
      </c>
      <c r="AJ19" s="76"/>
      <c r="AK19" s="72"/>
      <c r="AL19" s="77">
        <v>2019</v>
      </c>
      <c r="AR19" s="85">
        <f>+DS!$AA19</f>
        <v>2.5401E-2</v>
      </c>
    </row>
    <row r="20" spans="1:53" x14ac:dyDescent="0.25">
      <c r="B20" s="45" t="s">
        <v>20</v>
      </c>
      <c r="C20" s="45" t="s">
        <v>23</v>
      </c>
      <c r="D20" s="45" t="s">
        <v>0</v>
      </c>
      <c r="E20" s="45" t="s">
        <v>4</v>
      </c>
      <c r="O20" s="66"/>
      <c r="P20" s="58"/>
      <c r="Q20" s="58"/>
      <c r="AB20" s="51"/>
      <c r="AC20" s="51"/>
      <c r="AD20" s="51"/>
      <c r="AE20" s="51"/>
      <c r="AF20" s="51"/>
      <c r="AJ20" s="69"/>
      <c r="AK20" s="69"/>
      <c r="AL20" s="69"/>
      <c r="AR20" s="85"/>
    </row>
    <row r="21" spans="1:53" ht="30" x14ac:dyDescent="0.25">
      <c r="A21" s="45" t="s">
        <v>19</v>
      </c>
      <c r="B21" s="45" t="s">
        <v>30</v>
      </c>
      <c r="C21" s="12" t="s">
        <v>84</v>
      </c>
      <c r="D21" s="12"/>
      <c r="E21" s="12"/>
      <c r="G21" s="18" t="s">
        <v>26</v>
      </c>
      <c r="H21" s="43">
        <f>IF($B$8=1,1,0)</f>
        <v>0</v>
      </c>
      <c r="I21" s="43">
        <f>IF($B$8=3,1,0)</f>
        <v>0</v>
      </c>
      <c r="J21" s="43">
        <f>IF($B$8="P",1,0)</f>
        <v>1</v>
      </c>
      <c r="K21" s="36">
        <f>$B$10</f>
        <v>4920</v>
      </c>
      <c r="L21" s="36">
        <f>$B$11</f>
        <v>0</v>
      </c>
      <c r="M21" s="36">
        <f>$B$10</f>
        <v>4920</v>
      </c>
      <c r="N21" s="36">
        <f>$B$11</f>
        <v>0</v>
      </c>
      <c r="O21" s="65"/>
      <c r="P21" s="65"/>
      <c r="Q21" s="65"/>
      <c r="R21" s="50"/>
      <c r="S21" s="50"/>
      <c r="T21" s="50"/>
      <c r="U21" s="36"/>
      <c r="V21" s="36"/>
      <c r="W21" s="36"/>
      <c r="X21" s="39"/>
      <c r="Y21" s="38"/>
      <c r="Z21" s="38"/>
      <c r="AB21" s="52" t="s">
        <v>83</v>
      </c>
      <c r="AC21" s="51"/>
      <c r="AD21" s="52"/>
      <c r="AE21" s="51"/>
      <c r="AF21" s="52"/>
      <c r="AG21" s="68"/>
      <c r="AH21" s="23"/>
      <c r="AJ21" s="72"/>
      <c r="AK21" s="72"/>
      <c r="AL21" s="72"/>
      <c r="AM21" s="23"/>
      <c r="AN21" s="23"/>
      <c r="AR21" s="86">
        <f>IF(+B15=0,(B13+B14),B15)</f>
        <v>460800</v>
      </c>
      <c r="AX21" s="23"/>
      <c r="AY21" s="23"/>
      <c r="AZ21" s="23"/>
      <c r="BA21" s="23"/>
    </row>
    <row r="22" spans="1:53" x14ac:dyDescent="0.25">
      <c r="A22" s="24">
        <f>SUM(B22:E22)</f>
        <v>156546.57</v>
      </c>
      <c r="B22" s="28">
        <f>ROUND(X22,2)</f>
        <v>75179.429999999993</v>
      </c>
      <c r="C22" s="28">
        <f>ROUND((SUM(K22:N22)*$E$9)+S22,2)</f>
        <v>52409.58</v>
      </c>
      <c r="D22" s="24">
        <f>ROUND(SUM(H22:J22)*$E$9+V22,2)</f>
        <v>69</v>
      </c>
      <c r="E22" s="24">
        <f>ROUND((SUM(O22:Q22)*$E$9)+U22+Z22,2)</f>
        <v>28888.560000000001</v>
      </c>
      <c r="F22" s="6"/>
      <c r="G22" s="16" t="s">
        <v>1</v>
      </c>
      <c r="H22" s="24">
        <f>H8*H$21</f>
        <v>0</v>
      </c>
      <c r="I22" s="24">
        <f t="shared" ref="I22" si="3">I8*I$21</f>
        <v>0</v>
      </c>
      <c r="J22" s="24">
        <f t="shared" ref="J22:J33" si="4">J8*J$21*1</f>
        <v>138</v>
      </c>
      <c r="K22" s="24">
        <f t="shared" ref="K22:K33" si="5">IF(M22&gt;0,0,K$21*1*K8)</f>
        <v>0</v>
      </c>
      <c r="L22" s="24">
        <f t="shared" ref="L22:L33" si="6">IF(N22&gt;0,0,L$21*1*L8)</f>
        <v>0</v>
      </c>
      <c r="M22" s="24">
        <f t="shared" ref="M22:N33" si="7">IF(OR($G22="Jun",$G22="Jul",$G22="Aug",$G22="Sep"),0,M$21*1*M8)</f>
        <v>69126</v>
      </c>
      <c r="N22" s="24">
        <f t="shared" si="7"/>
        <v>0</v>
      </c>
      <c r="O22" s="24">
        <v>0</v>
      </c>
      <c r="P22" s="24">
        <v>30113</v>
      </c>
      <c r="Q22" s="24">
        <v>46594</v>
      </c>
      <c r="R22" s="28"/>
      <c r="S22" s="24">
        <f>(SUM(H22:Q22)+SUM(U22:Z22)-X22-AR22)*S8</f>
        <v>17846.58313151999</v>
      </c>
      <c r="T22" s="28"/>
      <c r="U22" s="24">
        <v>-1305.634176</v>
      </c>
      <c r="V22" s="24">
        <f>V8</f>
        <v>0</v>
      </c>
      <c r="W22" s="28"/>
      <c r="X22" s="25">
        <v>75179.434175999995</v>
      </c>
      <c r="Y22" s="28"/>
      <c r="Z22" s="24">
        <v>-8159.3043839999991</v>
      </c>
      <c r="AA22" s="28"/>
      <c r="AB22" s="53">
        <f>SUM(H22:Z22)-A22</f>
        <v>72985.508747520013</v>
      </c>
      <c r="AC22" s="53"/>
      <c r="AD22" s="54"/>
      <c r="AE22" s="53"/>
      <c r="AF22" s="53"/>
      <c r="AG22" s="28"/>
      <c r="AH22" s="75"/>
      <c r="AI22" s="28"/>
      <c r="AJ22" s="69"/>
      <c r="AK22" s="78"/>
      <c r="AL22" s="79"/>
      <c r="AM22" s="28"/>
      <c r="AN22" s="28"/>
      <c r="AO22" s="28"/>
      <c r="AP22" s="28"/>
      <c r="AQ22" s="28"/>
      <c r="AR22" s="87">
        <f>AR8*AR21</f>
        <v>11704.7808</v>
      </c>
      <c r="AS22" s="28"/>
      <c r="AT22" s="28"/>
      <c r="AU22" s="28"/>
      <c r="AV22" s="28"/>
      <c r="AW22" s="28"/>
      <c r="AX22" s="28"/>
      <c r="AY22" s="28"/>
      <c r="AZ22" s="28"/>
      <c r="BA22" s="28"/>
    </row>
    <row r="23" spans="1:53" x14ac:dyDescent="0.25">
      <c r="A23" s="24">
        <f t="shared" ref="A23:A33" si="8">SUM(B23:E23)</f>
        <v>146200.36000000002</v>
      </c>
      <c r="B23" s="28">
        <f t="shared" ref="B23:B33" si="9">ROUND(X23,2)</f>
        <v>68344.94</v>
      </c>
      <c r="C23" s="71">
        <f t="shared" ref="C23:C33" si="10">ROUND((SUM(K23:N23)*$E$9)+S23,2)</f>
        <v>51532.91</v>
      </c>
      <c r="D23" s="24">
        <f t="shared" ref="D23:D33" si="11">ROUND(SUM(H23:J23)*$E$9+V23,2)</f>
        <v>69</v>
      </c>
      <c r="E23" s="24">
        <f t="shared" ref="E23:E33" si="12">ROUND((SUM(O23:Q23)*$E$9)+U23+Z23,2)</f>
        <v>26253.51</v>
      </c>
      <c r="G23" s="16" t="s">
        <v>7</v>
      </c>
      <c r="H23" s="24">
        <f t="shared" ref="H23:I33" si="13">H9*H$21</f>
        <v>0</v>
      </c>
      <c r="I23" s="24">
        <f t="shared" si="13"/>
        <v>0</v>
      </c>
      <c r="J23" s="24">
        <f t="shared" si="4"/>
        <v>138</v>
      </c>
      <c r="K23" s="24">
        <f t="shared" si="5"/>
        <v>0</v>
      </c>
      <c r="L23" s="24">
        <f t="shared" si="6"/>
        <v>0</v>
      </c>
      <c r="M23" s="24">
        <f t="shared" si="7"/>
        <v>69126</v>
      </c>
      <c r="N23" s="24">
        <f t="shared" si="7"/>
        <v>0</v>
      </c>
      <c r="O23" s="24">
        <v>0</v>
      </c>
      <c r="P23" s="24">
        <v>27245</v>
      </c>
      <c r="Q23" s="24">
        <v>42471</v>
      </c>
      <c r="R23" s="24"/>
      <c r="S23" s="24">
        <f t="shared" ref="S23:S33" si="14">(SUM(H23:Q23)+SUM(U23:Z23)-X23-AR23)*S9</f>
        <v>16969.914332799999</v>
      </c>
      <c r="T23" s="24"/>
      <c r="U23" s="24">
        <v>-1186.9401600000001</v>
      </c>
      <c r="V23" s="24">
        <f t="shared" ref="V23:V33" si="15">V9</f>
        <v>0</v>
      </c>
      <c r="W23" s="24"/>
      <c r="X23" s="25">
        <v>68344.940159999998</v>
      </c>
      <c r="Y23" s="24"/>
      <c r="Z23" s="24">
        <v>-7417.5494399999998</v>
      </c>
      <c r="AA23" s="28"/>
      <c r="AB23" s="73">
        <f t="shared" ref="AB23:AB33" si="16">SUM(H23:Z23)-A23</f>
        <v>69490.004892799974</v>
      </c>
      <c r="AC23" s="53"/>
      <c r="AD23" s="74"/>
      <c r="AE23" s="53"/>
      <c r="AF23" s="53"/>
      <c r="AG23" s="71"/>
      <c r="AH23" s="75"/>
      <c r="AI23" s="28"/>
      <c r="AJ23" s="69"/>
      <c r="AK23" s="69"/>
      <c r="AL23" s="80"/>
      <c r="AM23" s="28"/>
      <c r="AN23" s="28"/>
      <c r="AO23" s="28"/>
      <c r="AP23" s="28"/>
      <c r="AQ23" s="28"/>
      <c r="AR23" s="87">
        <f t="shared" ref="AR23:AR33" si="17">AR9*AR$21</f>
        <v>11704.7808</v>
      </c>
      <c r="AS23" s="28"/>
      <c r="AT23" s="28"/>
      <c r="AU23" s="28"/>
      <c r="AV23" s="28"/>
      <c r="AW23" s="28"/>
      <c r="AX23" s="28"/>
      <c r="AY23" s="28"/>
      <c r="AZ23" s="28"/>
      <c r="BA23" s="28"/>
    </row>
    <row r="24" spans="1:53" x14ac:dyDescent="0.25">
      <c r="A24" s="24">
        <f t="shared" si="8"/>
        <v>161846.68</v>
      </c>
      <c r="B24" s="28">
        <f t="shared" si="9"/>
        <v>78596.679999999993</v>
      </c>
      <c r="C24" s="71">
        <f t="shared" si="10"/>
        <v>52876.160000000003</v>
      </c>
      <c r="D24" s="24">
        <f t="shared" si="11"/>
        <v>69</v>
      </c>
      <c r="E24" s="24">
        <f t="shared" si="12"/>
        <v>30304.84</v>
      </c>
      <c r="G24" s="16" t="s">
        <v>8</v>
      </c>
      <c r="H24" s="24">
        <f t="shared" si="13"/>
        <v>0</v>
      </c>
      <c r="I24" s="24">
        <f t="shared" si="13"/>
        <v>0</v>
      </c>
      <c r="J24" s="24">
        <f t="shared" si="4"/>
        <v>138</v>
      </c>
      <c r="K24" s="24">
        <f t="shared" si="5"/>
        <v>0</v>
      </c>
      <c r="L24" s="24">
        <f t="shared" si="6"/>
        <v>0</v>
      </c>
      <c r="M24" s="24">
        <f t="shared" si="7"/>
        <v>69126</v>
      </c>
      <c r="N24" s="24">
        <f t="shared" si="7"/>
        <v>0</v>
      </c>
      <c r="O24" s="24">
        <v>0</v>
      </c>
      <c r="P24" s="24">
        <v>32981</v>
      </c>
      <c r="Q24" s="24">
        <v>47419</v>
      </c>
      <c r="R24" s="24"/>
      <c r="S24" s="24">
        <f t="shared" si="14"/>
        <v>18313.160030879997</v>
      </c>
      <c r="T24" s="24"/>
      <c r="U24" s="24">
        <v>-1364.981184</v>
      </c>
      <c r="V24" s="24">
        <f t="shared" si="15"/>
        <v>0</v>
      </c>
      <c r="W24" s="24"/>
      <c r="X24" s="25">
        <v>78596.681184000001</v>
      </c>
      <c r="Y24" s="24"/>
      <c r="Z24" s="24">
        <v>-8530.1818559999992</v>
      </c>
      <c r="AA24" s="28"/>
      <c r="AB24" s="73">
        <f t="shared" si="16"/>
        <v>74831.99817488002</v>
      </c>
      <c r="AC24" s="53"/>
      <c r="AD24" s="74"/>
      <c r="AE24" s="53"/>
      <c r="AF24" s="53"/>
      <c r="AG24" s="73"/>
      <c r="AH24" s="75"/>
      <c r="AI24" s="28"/>
      <c r="AK24" s="70"/>
      <c r="AL24" s="80"/>
      <c r="AM24" s="28"/>
      <c r="AN24" s="28"/>
      <c r="AO24" s="28"/>
      <c r="AP24" s="28"/>
      <c r="AQ24" s="28"/>
      <c r="AR24" s="87">
        <f t="shared" si="17"/>
        <v>11704.7808</v>
      </c>
      <c r="AS24" s="28"/>
      <c r="AT24" s="28"/>
      <c r="AU24" s="28"/>
      <c r="AV24" s="28"/>
      <c r="AW24" s="28"/>
      <c r="AX24" s="28"/>
      <c r="AY24" s="28"/>
      <c r="AZ24" s="28"/>
      <c r="BA24" s="28"/>
    </row>
    <row r="25" spans="1:53" x14ac:dyDescent="0.25">
      <c r="A25" s="24">
        <f t="shared" si="8"/>
        <v>146200.36000000002</v>
      </c>
      <c r="B25" s="28">
        <f t="shared" si="9"/>
        <v>68344.94</v>
      </c>
      <c r="C25" s="71">
        <f t="shared" si="10"/>
        <v>51532.91</v>
      </c>
      <c r="D25" s="24">
        <f t="shared" si="11"/>
        <v>69</v>
      </c>
      <c r="E25" s="24">
        <f t="shared" si="12"/>
        <v>26253.51</v>
      </c>
      <c r="G25" s="16" t="s">
        <v>9</v>
      </c>
      <c r="H25" s="24">
        <f t="shared" si="13"/>
        <v>0</v>
      </c>
      <c r="I25" s="24">
        <f t="shared" si="13"/>
        <v>0</v>
      </c>
      <c r="J25" s="24">
        <f t="shared" si="4"/>
        <v>138</v>
      </c>
      <c r="K25" s="24">
        <f t="shared" si="5"/>
        <v>0</v>
      </c>
      <c r="L25" s="24">
        <f t="shared" si="6"/>
        <v>0</v>
      </c>
      <c r="M25" s="24">
        <f t="shared" si="7"/>
        <v>69126</v>
      </c>
      <c r="N25" s="24">
        <f t="shared" si="7"/>
        <v>0</v>
      </c>
      <c r="O25" s="24">
        <v>0</v>
      </c>
      <c r="P25" s="24">
        <v>27245</v>
      </c>
      <c r="Q25" s="24">
        <v>42471</v>
      </c>
      <c r="R25" s="24"/>
      <c r="S25" s="24">
        <f t="shared" si="14"/>
        <v>16969.914332799999</v>
      </c>
      <c r="T25" s="24"/>
      <c r="U25" s="24">
        <v>-1186.9401600000001</v>
      </c>
      <c r="V25" s="24">
        <f t="shared" si="15"/>
        <v>0</v>
      </c>
      <c r="W25" s="24"/>
      <c r="X25" s="25">
        <v>68344.940159999998</v>
      </c>
      <c r="Y25" s="24"/>
      <c r="Z25" s="24">
        <v>-7417.5494399999998</v>
      </c>
      <c r="AA25" s="28"/>
      <c r="AB25" s="73">
        <f t="shared" si="16"/>
        <v>69490.004892799974</v>
      </c>
      <c r="AC25" s="53"/>
      <c r="AD25" s="74"/>
      <c r="AE25" s="53"/>
      <c r="AF25" s="53"/>
      <c r="AG25" s="73"/>
      <c r="AH25" s="75"/>
      <c r="AI25" s="28"/>
      <c r="AM25" s="28"/>
      <c r="AN25" s="28"/>
      <c r="AO25" s="28"/>
      <c r="AP25" s="28"/>
      <c r="AQ25" s="28"/>
      <c r="AR25" s="87">
        <f t="shared" si="17"/>
        <v>11704.7808</v>
      </c>
      <c r="AS25" s="28"/>
      <c r="AT25" s="28"/>
      <c r="AU25" s="28"/>
      <c r="AV25" s="28"/>
      <c r="AW25" s="28"/>
      <c r="AX25" s="28"/>
      <c r="AY25" s="28"/>
      <c r="AZ25" s="28"/>
      <c r="BA25" s="28"/>
    </row>
    <row r="26" spans="1:53" x14ac:dyDescent="0.25">
      <c r="A26" s="24">
        <f t="shared" si="8"/>
        <v>161720.00999999998</v>
      </c>
      <c r="B26" s="28">
        <f t="shared" si="9"/>
        <v>78596.679999999993</v>
      </c>
      <c r="C26" s="71">
        <f t="shared" si="10"/>
        <v>52847.99</v>
      </c>
      <c r="D26" s="24">
        <f t="shared" si="11"/>
        <v>69</v>
      </c>
      <c r="E26" s="24">
        <f t="shared" si="12"/>
        <v>30206.34</v>
      </c>
      <c r="G26" s="16" t="s">
        <v>10</v>
      </c>
      <c r="H26" s="24">
        <f t="shared" si="13"/>
        <v>0</v>
      </c>
      <c r="I26" s="24">
        <f t="shared" si="13"/>
        <v>0</v>
      </c>
      <c r="J26" s="24">
        <f t="shared" si="4"/>
        <v>138</v>
      </c>
      <c r="K26" s="24">
        <f t="shared" si="5"/>
        <v>0</v>
      </c>
      <c r="L26" s="24">
        <f t="shared" si="6"/>
        <v>0</v>
      </c>
      <c r="M26" s="24">
        <f t="shared" si="7"/>
        <v>69126</v>
      </c>
      <c r="N26" s="24">
        <f t="shared" si="7"/>
        <v>0</v>
      </c>
      <c r="O26" s="24">
        <v>0</v>
      </c>
      <c r="P26" s="24">
        <v>31547</v>
      </c>
      <c r="Q26" s="24">
        <v>48656</v>
      </c>
      <c r="R26" s="24"/>
      <c r="S26" s="24">
        <f t="shared" si="14"/>
        <v>18284.989030879995</v>
      </c>
      <c r="T26" s="24"/>
      <c r="U26" s="24">
        <v>-1364.981184</v>
      </c>
      <c r="V26" s="24">
        <f t="shared" si="15"/>
        <v>0</v>
      </c>
      <c r="W26" s="24"/>
      <c r="X26" s="25">
        <v>78596.681184000001</v>
      </c>
      <c r="Y26" s="24"/>
      <c r="Z26" s="24">
        <v>-8530.1818559999992</v>
      </c>
      <c r="AA26" s="28"/>
      <c r="AB26" s="73">
        <f t="shared" si="16"/>
        <v>74733.497174880002</v>
      </c>
      <c r="AC26" s="53"/>
      <c r="AD26" s="74"/>
      <c r="AE26" s="53"/>
      <c r="AF26" s="53"/>
      <c r="AG26" s="71"/>
      <c r="AH26" s="75"/>
      <c r="AI26" s="28"/>
      <c r="AJ26" s="69"/>
      <c r="AK26" s="69"/>
      <c r="AL26" s="80"/>
      <c r="AM26" s="28"/>
      <c r="AN26" s="28"/>
      <c r="AO26" s="28"/>
      <c r="AP26" s="28"/>
      <c r="AQ26" s="28"/>
      <c r="AR26" s="87">
        <f t="shared" si="17"/>
        <v>11704.7808</v>
      </c>
      <c r="AS26" s="28"/>
      <c r="AT26" s="28"/>
      <c r="AU26" s="28"/>
      <c r="AV26" s="28"/>
      <c r="AW26" s="28"/>
      <c r="AX26" s="28"/>
      <c r="AY26" s="28"/>
      <c r="AZ26" s="28"/>
      <c r="BA26" s="28"/>
    </row>
    <row r="27" spans="1:53" x14ac:dyDescent="0.25">
      <c r="A27" s="24">
        <f t="shared" si="8"/>
        <v>160136.44</v>
      </c>
      <c r="B27" s="28">
        <f t="shared" si="9"/>
        <v>75179.429999999993</v>
      </c>
      <c r="C27" s="71">
        <f t="shared" si="10"/>
        <v>55175.95</v>
      </c>
      <c r="D27" s="24">
        <f t="shared" si="11"/>
        <v>69</v>
      </c>
      <c r="E27" s="24">
        <f t="shared" si="12"/>
        <v>29712.06</v>
      </c>
      <c r="G27" s="16" t="s">
        <v>11</v>
      </c>
      <c r="H27" s="24">
        <f t="shared" si="13"/>
        <v>0</v>
      </c>
      <c r="I27" s="24">
        <f t="shared" si="13"/>
        <v>0</v>
      </c>
      <c r="J27" s="24">
        <f t="shared" si="4"/>
        <v>138</v>
      </c>
      <c r="K27" s="24">
        <f t="shared" si="5"/>
        <v>73062</v>
      </c>
      <c r="L27" s="24">
        <f t="shared" si="6"/>
        <v>0</v>
      </c>
      <c r="M27" s="24">
        <f t="shared" si="7"/>
        <v>0</v>
      </c>
      <c r="N27" s="24">
        <f t="shared" si="7"/>
        <v>0</v>
      </c>
      <c r="O27" s="24">
        <v>32997</v>
      </c>
      <c r="P27" s="24">
        <v>0</v>
      </c>
      <c r="Q27" s="24">
        <v>45357</v>
      </c>
      <c r="R27" s="24"/>
      <c r="S27" s="24">
        <f t="shared" si="14"/>
        <v>18644.952131519993</v>
      </c>
      <c r="T27" s="24"/>
      <c r="U27" s="24">
        <v>-1305.634176</v>
      </c>
      <c r="V27" s="24">
        <f t="shared" si="15"/>
        <v>0</v>
      </c>
      <c r="W27" s="24"/>
      <c r="X27" s="25">
        <v>75179.434175999995</v>
      </c>
      <c r="Y27" s="24"/>
      <c r="Z27" s="24">
        <v>-8159.3043839999991</v>
      </c>
      <c r="AA27" s="28"/>
      <c r="AB27" s="73">
        <f t="shared" si="16"/>
        <v>75777.007747520023</v>
      </c>
      <c r="AC27" s="53"/>
      <c r="AD27" s="74"/>
      <c r="AE27" s="53"/>
      <c r="AF27" s="53"/>
      <c r="AG27" s="71"/>
      <c r="AH27" s="75"/>
      <c r="AI27" s="28"/>
      <c r="AM27" s="28"/>
      <c r="AN27" s="28"/>
      <c r="AO27" s="28"/>
      <c r="AP27" s="28"/>
      <c r="AQ27" s="28"/>
      <c r="AR27" s="87">
        <f t="shared" si="17"/>
        <v>11704.7808</v>
      </c>
      <c r="AS27" s="28"/>
      <c r="AT27" s="28"/>
      <c r="AU27" s="28"/>
      <c r="AV27" s="28"/>
      <c r="AW27" s="28"/>
      <c r="AX27" s="28"/>
      <c r="AY27" s="28"/>
      <c r="AZ27" s="28"/>
      <c r="BA27" s="28"/>
    </row>
    <row r="28" spans="1:53" x14ac:dyDescent="0.25">
      <c r="A28" s="24">
        <f t="shared" si="8"/>
        <v>154752.12</v>
      </c>
      <c r="B28" s="28">
        <f t="shared" si="9"/>
        <v>71762.19</v>
      </c>
      <c r="C28" s="71">
        <f t="shared" si="10"/>
        <v>54690.64</v>
      </c>
      <c r="D28" s="24">
        <f t="shared" si="11"/>
        <v>69</v>
      </c>
      <c r="E28" s="24">
        <f t="shared" si="12"/>
        <v>28230.29</v>
      </c>
      <c r="G28" s="16" t="s">
        <v>12</v>
      </c>
      <c r="H28" s="24">
        <f t="shared" si="13"/>
        <v>0</v>
      </c>
      <c r="I28" s="24">
        <f t="shared" si="13"/>
        <v>0</v>
      </c>
      <c r="J28" s="24">
        <f t="shared" si="4"/>
        <v>138</v>
      </c>
      <c r="K28" s="24">
        <f t="shared" si="5"/>
        <v>73062</v>
      </c>
      <c r="L28" s="24">
        <f t="shared" si="6"/>
        <v>0</v>
      </c>
      <c r="M28" s="24">
        <f t="shared" si="7"/>
        <v>0</v>
      </c>
      <c r="N28" s="24">
        <f t="shared" si="7"/>
        <v>0</v>
      </c>
      <c r="O28" s="24">
        <v>29997</v>
      </c>
      <c r="P28" s="24">
        <v>0</v>
      </c>
      <c r="Q28" s="24">
        <v>44533</v>
      </c>
      <c r="R28" s="24"/>
      <c r="S28" s="24">
        <f t="shared" si="14"/>
        <v>18159.642232159997</v>
      </c>
      <c r="T28" s="24"/>
      <c r="U28" s="24">
        <v>-1246.2871680000001</v>
      </c>
      <c r="V28" s="24">
        <f t="shared" si="15"/>
        <v>0</v>
      </c>
      <c r="W28" s="24"/>
      <c r="X28" s="25">
        <v>71762.187167999989</v>
      </c>
      <c r="Y28" s="24"/>
      <c r="Z28" s="24">
        <v>-7788.426911999999</v>
      </c>
      <c r="AA28" s="28"/>
      <c r="AB28" s="73">
        <f t="shared" si="16"/>
        <v>73864.99532016</v>
      </c>
      <c r="AC28" s="53"/>
      <c r="AD28" s="74"/>
      <c r="AE28" s="53"/>
      <c r="AF28" s="53"/>
      <c r="AG28" s="71"/>
      <c r="AH28" s="75"/>
      <c r="AI28" s="28"/>
      <c r="AJ28" s="69"/>
      <c r="AK28" s="81"/>
      <c r="AL28" s="80"/>
      <c r="AM28" s="28"/>
      <c r="AN28" s="28"/>
      <c r="AO28" s="28"/>
      <c r="AP28" s="28"/>
      <c r="AQ28" s="28"/>
      <c r="AR28" s="87">
        <f t="shared" si="17"/>
        <v>11704.7808</v>
      </c>
      <c r="AS28" s="28"/>
      <c r="AT28" s="28"/>
      <c r="AU28" s="28"/>
      <c r="AV28" s="28"/>
      <c r="AW28" s="28"/>
      <c r="AX28" s="28"/>
      <c r="AY28" s="28"/>
      <c r="AZ28" s="28"/>
      <c r="BA28" s="28"/>
    </row>
    <row r="29" spans="1:53" x14ac:dyDescent="0.25">
      <c r="A29" s="24">
        <f t="shared" si="8"/>
        <v>165352.31999999998</v>
      </c>
      <c r="B29" s="28">
        <f t="shared" si="9"/>
        <v>78596.679999999993</v>
      </c>
      <c r="C29" s="71">
        <f t="shared" si="10"/>
        <v>55623.8</v>
      </c>
      <c r="D29" s="24">
        <f t="shared" si="11"/>
        <v>69</v>
      </c>
      <c r="E29" s="24">
        <f t="shared" si="12"/>
        <v>31062.84</v>
      </c>
      <c r="G29" s="16" t="s">
        <v>13</v>
      </c>
      <c r="H29" s="24">
        <f t="shared" si="13"/>
        <v>0</v>
      </c>
      <c r="I29" s="24">
        <f t="shared" si="13"/>
        <v>0</v>
      </c>
      <c r="J29" s="24">
        <f t="shared" si="4"/>
        <v>138</v>
      </c>
      <c r="K29" s="24">
        <f t="shared" si="5"/>
        <v>73062</v>
      </c>
      <c r="L29" s="24">
        <f t="shared" si="6"/>
        <v>0</v>
      </c>
      <c r="M29" s="24">
        <f t="shared" si="7"/>
        <v>0</v>
      </c>
      <c r="N29" s="24">
        <f t="shared" si="7"/>
        <v>0</v>
      </c>
      <c r="O29" s="24">
        <v>34497</v>
      </c>
      <c r="P29" s="24">
        <v>0</v>
      </c>
      <c r="Q29" s="24">
        <v>47419</v>
      </c>
      <c r="R29" s="24"/>
      <c r="S29" s="24">
        <f t="shared" si="14"/>
        <v>19092.796030879996</v>
      </c>
      <c r="T29" s="24"/>
      <c r="U29" s="24">
        <v>-1364.981184</v>
      </c>
      <c r="V29" s="24">
        <f t="shared" si="15"/>
        <v>0</v>
      </c>
      <c r="W29" s="24"/>
      <c r="X29" s="25">
        <v>78596.681184000001</v>
      </c>
      <c r="Y29" s="24"/>
      <c r="Z29" s="24">
        <v>-8530.1818559999992</v>
      </c>
      <c r="AA29" s="28"/>
      <c r="AB29" s="73">
        <f t="shared" si="16"/>
        <v>77557.994174880034</v>
      </c>
      <c r="AC29" s="53"/>
      <c r="AD29" s="74"/>
      <c r="AE29" s="53"/>
      <c r="AF29" s="53"/>
      <c r="AG29" s="71"/>
      <c r="AH29" s="75"/>
      <c r="AI29" s="28"/>
      <c r="AM29" s="28"/>
      <c r="AN29" s="28"/>
      <c r="AO29" s="28"/>
      <c r="AP29" s="28"/>
      <c r="AQ29" s="28"/>
      <c r="AR29" s="87">
        <f t="shared" si="17"/>
        <v>11704.7808</v>
      </c>
      <c r="AS29" s="28"/>
      <c r="AT29" s="28"/>
      <c r="AU29" s="28"/>
      <c r="AV29" s="28"/>
      <c r="AW29" s="28"/>
      <c r="AX29" s="28"/>
      <c r="AY29" s="28"/>
      <c r="AZ29" s="28"/>
      <c r="BA29" s="28"/>
    </row>
    <row r="30" spans="1:53" x14ac:dyDescent="0.25">
      <c r="A30" s="24">
        <f t="shared" si="8"/>
        <v>154752.12</v>
      </c>
      <c r="B30" s="28">
        <f t="shared" si="9"/>
        <v>71762.19</v>
      </c>
      <c r="C30" s="71">
        <f t="shared" si="10"/>
        <v>54690.64</v>
      </c>
      <c r="D30" s="24">
        <f t="shared" si="11"/>
        <v>69</v>
      </c>
      <c r="E30" s="24">
        <f t="shared" si="12"/>
        <v>28230.29</v>
      </c>
      <c r="G30" s="16" t="s">
        <v>14</v>
      </c>
      <c r="H30" s="24">
        <f t="shared" si="13"/>
        <v>0</v>
      </c>
      <c r="I30" s="24">
        <f t="shared" si="13"/>
        <v>0</v>
      </c>
      <c r="J30" s="24">
        <f t="shared" si="4"/>
        <v>138</v>
      </c>
      <c r="K30" s="24">
        <f t="shared" si="5"/>
        <v>73062</v>
      </c>
      <c r="L30" s="24">
        <f t="shared" si="6"/>
        <v>0</v>
      </c>
      <c r="M30" s="24">
        <f t="shared" si="7"/>
        <v>0</v>
      </c>
      <c r="N30" s="24">
        <f t="shared" si="7"/>
        <v>0</v>
      </c>
      <c r="O30" s="24">
        <v>29997</v>
      </c>
      <c r="P30" s="24">
        <v>0</v>
      </c>
      <c r="Q30" s="24">
        <v>44533</v>
      </c>
      <c r="R30" s="24"/>
      <c r="S30" s="24">
        <f t="shared" si="14"/>
        <v>18159.642232159997</v>
      </c>
      <c r="T30" s="24"/>
      <c r="U30" s="24">
        <v>-1246.2871680000001</v>
      </c>
      <c r="V30" s="24">
        <f t="shared" si="15"/>
        <v>0</v>
      </c>
      <c r="W30" s="24"/>
      <c r="X30" s="25">
        <v>71762.187167999989</v>
      </c>
      <c r="Y30" s="24"/>
      <c r="Z30" s="24">
        <v>-7788.426911999999</v>
      </c>
      <c r="AA30" s="28"/>
      <c r="AB30" s="73">
        <f t="shared" si="16"/>
        <v>73864.99532016</v>
      </c>
      <c r="AC30" s="53"/>
      <c r="AD30" s="74"/>
      <c r="AE30" s="53"/>
      <c r="AF30" s="53"/>
      <c r="AG30" s="71"/>
      <c r="AH30" s="75"/>
      <c r="AI30" s="28"/>
      <c r="AJ30" s="69"/>
      <c r="AK30" s="69"/>
      <c r="AL30" s="80"/>
      <c r="AM30" s="28"/>
      <c r="AN30" s="28"/>
      <c r="AO30" s="28"/>
      <c r="AP30" s="28"/>
      <c r="AQ30" s="28"/>
      <c r="AR30" s="87">
        <f t="shared" si="17"/>
        <v>11704.7808</v>
      </c>
      <c r="AS30" s="28"/>
      <c r="AT30" s="28"/>
      <c r="AU30" s="28"/>
      <c r="AV30" s="28"/>
      <c r="AW30" s="28"/>
      <c r="AX30" s="28"/>
      <c r="AY30" s="28"/>
      <c r="AZ30" s="28"/>
      <c r="BA30" s="28"/>
    </row>
    <row r="31" spans="1:53" x14ac:dyDescent="0.25">
      <c r="A31" s="24">
        <f t="shared" si="8"/>
        <v>156546.57</v>
      </c>
      <c r="B31" s="28">
        <f t="shared" si="9"/>
        <v>75179.429999999993</v>
      </c>
      <c r="C31" s="71">
        <f t="shared" si="10"/>
        <v>52409.58</v>
      </c>
      <c r="D31" s="24">
        <f t="shared" si="11"/>
        <v>69</v>
      </c>
      <c r="E31" s="24">
        <f t="shared" si="12"/>
        <v>28888.560000000001</v>
      </c>
      <c r="G31" s="16" t="s">
        <v>15</v>
      </c>
      <c r="H31" s="24">
        <f t="shared" si="13"/>
        <v>0</v>
      </c>
      <c r="I31" s="24">
        <f t="shared" si="13"/>
        <v>0</v>
      </c>
      <c r="J31" s="24">
        <f t="shared" si="4"/>
        <v>138</v>
      </c>
      <c r="K31" s="24">
        <f t="shared" si="5"/>
        <v>0</v>
      </c>
      <c r="L31" s="24">
        <f t="shared" si="6"/>
        <v>0</v>
      </c>
      <c r="M31" s="24">
        <f t="shared" si="7"/>
        <v>69126</v>
      </c>
      <c r="N31" s="24">
        <f t="shared" si="7"/>
        <v>0</v>
      </c>
      <c r="O31" s="24">
        <v>0</v>
      </c>
      <c r="P31" s="24">
        <v>30113</v>
      </c>
      <c r="Q31" s="24">
        <v>46594</v>
      </c>
      <c r="R31" s="24"/>
      <c r="S31" s="24">
        <f t="shared" si="14"/>
        <v>17846.58313151999</v>
      </c>
      <c r="T31" s="24"/>
      <c r="U31" s="24">
        <v>-1305.634176</v>
      </c>
      <c r="V31" s="24">
        <f t="shared" si="15"/>
        <v>0</v>
      </c>
      <c r="W31" s="24"/>
      <c r="X31" s="25">
        <v>75179.434175999995</v>
      </c>
      <c r="Y31" s="24"/>
      <c r="Z31" s="24">
        <v>-8159.3043839999991</v>
      </c>
      <c r="AA31" s="28"/>
      <c r="AB31" s="73">
        <f t="shared" si="16"/>
        <v>72985.508747520013</v>
      </c>
      <c r="AC31" s="53"/>
      <c r="AD31" s="74"/>
      <c r="AE31" s="53"/>
      <c r="AF31" s="53"/>
      <c r="AG31" s="71"/>
      <c r="AH31" s="75"/>
      <c r="AI31" s="28"/>
      <c r="AJ31" s="69"/>
      <c r="AK31" s="69"/>
      <c r="AL31" s="80"/>
      <c r="AM31" s="28"/>
      <c r="AN31" s="28"/>
      <c r="AO31" s="28"/>
      <c r="AP31" s="28"/>
      <c r="AQ31" s="28"/>
      <c r="AR31" s="87">
        <f t="shared" si="17"/>
        <v>11704.7808</v>
      </c>
      <c r="AS31" s="28"/>
      <c r="AT31" s="28"/>
      <c r="AU31" s="28"/>
      <c r="AV31" s="28"/>
      <c r="AW31" s="28"/>
      <c r="AX31" s="28"/>
      <c r="AY31" s="28"/>
      <c r="AZ31" s="28"/>
      <c r="BA31" s="28"/>
    </row>
    <row r="32" spans="1:53" x14ac:dyDescent="0.25">
      <c r="A32" s="24">
        <f t="shared" si="8"/>
        <v>156419.9</v>
      </c>
      <c r="B32" s="28">
        <f t="shared" si="9"/>
        <v>75179.429999999993</v>
      </c>
      <c r="C32" s="71">
        <f t="shared" si="10"/>
        <v>52381.41</v>
      </c>
      <c r="D32" s="24">
        <f t="shared" si="11"/>
        <v>69</v>
      </c>
      <c r="E32" s="24">
        <f t="shared" si="12"/>
        <v>28790.06</v>
      </c>
      <c r="G32" s="16" t="s">
        <v>16</v>
      </c>
      <c r="H32" s="24">
        <f t="shared" si="13"/>
        <v>0</v>
      </c>
      <c r="I32" s="24">
        <f t="shared" si="13"/>
        <v>0</v>
      </c>
      <c r="J32" s="24">
        <f t="shared" si="4"/>
        <v>138</v>
      </c>
      <c r="K32" s="24">
        <f t="shared" si="5"/>
        <v>0</v>
      </c>
      <c r="L32" s="24">
        <f t="shared" si="6"/>
        <v>0</v>
      </c>
      <c r="M32" s="24">
        <f t="shared" si="7"/>
        <v>69126</v>
      </c>
      <c r="N32" s="24">
        <f t="shared" si="7"/>
        <v>0</v>
      </c>
      <c r="O32" s="24">
        <v>0</v>
      </c>
      <c r="P32" s="24">
        <v>28679</v>
      </c>
      <c r="Q32" s="24">
        <v>47831</v>
      </c>
      <c r="R32" s="24"/>
      <c r="S32" s="24">
        <f t="shared" si="14"/>
        <v>17818.412131519992</v>
      </c>
      <c r="T32" s="24"/>
      <c r="U32" s="24">
        <v>-1305.634176</v>
      </c>
      <c r="V32" s="24">
        <f t="shared" si="15"/>
        <v>0</v>
      </c>
      <c r="W32" s="24"/>
      <c r="X32" s="25">
        <v>75179.434175999995</v>
      </c>
      <c r="Y32" s="24"/>
      <c r="Z32" s="24">
        <v>-8159.3043839999991</v>
      </c>
      <c r="AA32" s="28"/>
      <c r="AB32" s="73">
        <f t="shared" si="16"/>
        <v>72887.007747519994</v>
      </c>
      <c r="AC32" s="53"/>
      <c r="AD32" s="74"/>
      <c r="AE32" s="53"/>
      <c r="AF32" s="53"/>
      <c r="AG32" s="71"/>
      <c r="AH32" s="75"/>
      <c r="AI32" s="28"/>
      <c r="AJ32" s="69"/>
      <c r="AK32" s="78"/>
      <c r="AL32" s="79"/>
      <c r="AM32" s="69"/>
      <c r="AN32" s="69" t="s">
        <v>79</v>
      </c>
      <c r="AO32" s="80">
        <f>DATE(AL19,11,1)+21+CHOOSE(WEEKDAY(DATE(AL19,11,1)),4,3,2,1,0,6,5)</f>
        <v>43797</v>
      </c>
      <c r="AP32" s="28"/>
      <c r="AQ32" s="28"/>
      <c r="AR32" s="87">
        <f t="shared" si="17"/>
        <v>11704.7808</v>
      </c>
      <c r="AS32" s="28"/>
      <c r="AT32" s="28"/>
      <c r="AU32" s="28"/>
      <c r="AV32" s="28"/>
      <c r="AW32" s="28"/>
      <c r="AX32" s="28"/>
      <c r="AY32" s="28"/>
      <c r="AZ32" s="28"/>
      <c r="BA32" s="28"/>
    </row>
    <row r="33" spans="1:53" x14ac:dyDescent="0.25">
      <c r="A33" s="24">
        <f t="shared" si="8"/>
        <v>151373.80000000002</v>
      </c>
      <c r="B33" s="28">
        <f t="shared" si="9"/>
        <v>71762.19</v>
      </c>
      <c r="C33" s="71">
        <f t="shared" si="10"/>
        <v>51971.32</v>
      </c>
      <c r="D33" s="24">
        <f t="shared" si="11"/>
        <v>69</v>
      </c>
      <c r="E33" s="24">
        <f t="shared" si="12"/>
        <v>27571.29</v>
      </c>
      <c r="G33" s="16" t="s">
        <v>17</v>
      </c>
      <c r="H33" s="24">
        <f t="shared" si="13"/>
        <v>0</v>
      </c>
      <c r="I33" s="24">
        <f t="shared" si="13"/>
        <v>0</v>
      </c>
      <c r="J33" s="24">
        <f t="shared" si="4"/>
        <v>138</v>
      </c>
      <c r="K33" s="24">
        <f t="shared" si="5"/>
        <v>0</v>
      </c>
      <c r="L33" s="24">
        <f t="shared" si="6"/>
        <v>0</v>
      </c>
      <c r="M33" s="24">
        <f t="shared" si="7"/>
        <v>69126</v>
      </c>
      <c r="N33" s="24">
        <f t="shared" si="7"/>
        <v>0</v>
      </c>
      <c r="O33" s="24">
        <v>0</v>
      </c>
      <c r="P33" s="24">
        <v>28679</v>
      </c>
      <c r="Q33" s="24">
        <v>44533</v>
      </c>
      <c r="R33" s="24"/>
      <c r="S33" s="24">
        <f t="shared" si="14"/>
        <v>17408.320232159997</v>
      </c>
      <c r="T33" s="24"/>
      <c r="U33" s="24">
        <v>-1246.2871680000001</v>
      </c>
      <c r="V33" s="24">
        <f t="shared" si="15"/>
        <v>0</v>
      </c>
      <c r="W33" s="24"/>
      <c r="X33" s="25">
        <v>71762.187167999989</v>
      </c>
      <c r="Y33" s="24"/>
      <c r="Z33" s="24">
        <v>-7788.426911999999</v>
      </c>
      <c r="AA33" s="28"/>
      <c r="AB33" s="73">
        <f t="shared" si="16"/>
        <v>71237.993320159934</v>
      </c>
      <c r="AC33" s="53"/>
      <c r="AD33" s="74"/>
      <c r="AE33" s="53"/>
      <c r="AF33" s="53"/>
      <c r="AG33" s="71"/>
      <c r="AH33" s="75"/>
      <c r="AI33" s="28"/>
      <c r="AJ33" s="69"/>
      <c r="AK33" s="81"/>
      <c r="AL33" s="79"/>
      <c r="AM33" s="28"/>
      <c r="AN33" s="28"/>
      <c r="AO33" s="28"/>
      <c r="AP33" s="28"/>
      <c r="AQ33" s="28"/>
      <c r="AR33" s="87">
        <f t="shared" si="17"/>
        <v>11704.7808</v>
      </c>
      <c r="AS33" s="28"/>
      <c r="AT33" s="28"/>
      <c r="AU33" s="28"/>
      <c r="AV33" s="28"/>
      <c r="AW33" s="28"/>
      <c r="AX33" s="28"/>
      <c r="AY33" s="28"/>
      <c r="AZ33" s="28"/>
      <c r="BA33" s="28"/>
    </row>
    <row r="34" spans="1:53" x14ac:dyDescent="0.25">
      <c r="B34" s="8"/>
      <c r="C34" s="8"/>
      <c r="D34" s="8"/>
      <c r="AB34" s="51"/>
      <c r="AC34" s="51"/>
      <c r="AD34" s="51"/>
      <c r="AE34" s="51"/>
      <c r="AF34" s="55"/>
    </row>
    <row r="35" spans="1:53" x14ac:dyDescent="0.25">
      <c r="A35" s="48"/>
      <c r="B35" s="8"/>
      <c r="C35" s="8"/>
      <c r="D35" s="29"/>
      <c r="Q35" s="27"/>
      <c r="AD35" s="49"/>
    </row>
  </sheetData>
  <mergeCells count="20">
    <mergeCell ref="AX2:BA2"/>
    <mergeCell ref="H2:Q2"/>
    <mergeCell ref="U2:V2"/>
    <mergeCell ref="AF2:AH2"/>
    <mergeCell ref="AJ2:AK2"/>
    <mergeCell ref="AM2:AN2"/>
    <mergeCell ref="H4:I4"/>
    <mergeCell ref="K4:L4"/>
    <mergeCell ref="AF4:AH4"/>
    <mergeCell ref="AJ4:AK4"/>
    <mergeCell ref="AM4:AN4"/>
    <mergeCell ref="AX4:AY4"/>
    <mergeCell ref="AZ4:BA4"/>
    <mergeCell ref="M4:N4"/>
    <mergeCell ref="K3:N3"/>
    <mergeCell ref="O3:Q3"/>
    <mergeCell ref="AF3:AH3"/>
    <mergeCell ref="AJ3:AK3"/>
    <mergeCell ref="AM3:AN3"/>
    <mergeCell ref="AX3:BA3"/>
  </mergeCells>
  <pageMargins left="0.7" right="0.7" top="0.75" bottom="0.75" header="0.3" footer="0.3"/>
  <pageSetup scale="24" orientation="landscape" r:id="rId1"/>
  <headerFooter>
    <oddHeader>&amp;C&amp;"Times New Roman,Bold"&amp;10&amp;U
UNREDACTED
CONFIDENTIAL PROPRIETARY TRADE SECRET&amp;R&amp;"Times New Roman,Bold"&amp;10KyPSC Case No. 2022-00394
STAFF-DR-01-002 Confidential Attachment 2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C35"/>
  <sheetViews>
    <sheetView tabSelected="1" view="pageLayout" zoomScaleNormal="75" workbookViewId="0"/>
  </sheetViews>
  <sheetFormatPr defaultRowHeight="15" x14ac:dyDescent="0.25"/>
  <cols>
    <col min="1" max="1" width="20.140625" customWidth="1"/>
    <col min="2" max="2" width="15.140625" customWidth="1"/>
    <col min="3" max="3" width="12.140625" customWidth="1"/>
    <col min="4" max="4" width="13.42578125" customWidth="1"/>
    <col min="5" max="5" width="11.5703125" customWidth="1"/>
    <col min="6" max="6" width="2.85546875" customWidth="1"/>
    <col min="7" max="7" width="9.140625" style="16"/>
    <col min="8" max="9" width="9.42578125" bestFit="1" customWidth="1"/>
    <col min="10" max="10" width="9.42578125" customWidth="1"/>
    <col min="11" max="11" width="15.85546875" customWidth="1"/>
    <col min="12" max="12" width="2.85546875" customWidth="1"/>
    <col min="13" max="13" width="18.5703125" customWidth="1"/>
    <col min="14" max="14" width="2.85546875" customWidth="1"/>
    <col min="15" max="16" width="12.140625" customWidth="1"/>
    <col min="17" max="17" width="2.85546875" customWidth="1"/>
    <col min="18" max="18" width="18.5703125" style="15" customWidth="1"/>
    <col min="19" max="19" width="2.85546875" customWidth="1"/>
    <col min="20" max="20" width="21.42578125" customWidth="1"/>
    <col min="21" max="21" width="2.85546875" style="8" customWidth="1"/>
    <col min="22" max="22" width="12.5703125" style="8" bestFit="1" customWidth="1"/>
    <col min="23" max="23" width="2.85546875" style="8" customWidth="1"/>
    <col min="24" max="24" width="22.140625" style="82" customWidth="1"/>
    <col min="25" max="25" width="2.85546875" style="8" customWidth="1"/>
    <col min="26" max="26" width="12.140625" style="8" customWidth="1"/>
    <col min="27" max="27" width="19.140625" style="8" customWidth="1"/>
    <col min="28" max="28" width="12.42578125" style="8" customWidth="1"/>
    <col min="29" max="29" width="2.85546875" style="8" customWidth="1"/>
    <col min="30" max="30" width="12.42578125" style="8" bestFit="1" customWidth="1"/>
    <col min="31" max="31" width="12.140625" style="8" customWidth="1"/>
    <col min="32" max="32" width="2.85546875" style="8" customWidth="1"/>
    <col min="33" max="33" width="15.42578125" style="8" bestFit="1" customWidth="1"/>
    <col min="34" max="34" width="14.42578125" style="8" customWidth="1"/>
    <col min="35" max="35" width="2.85546875" style="8" customWidth="1"/>
    <col min="36" max="36" width="15.5703125" style="8" bestFit="1" customWidth="1"/>
    <col min="37" max="37" width="2.85546875" style="8" customWidth="1"/>
    <col min="38" max="38" width="15.5703125" style="8" bestFit="1" customWidth="1"/>
    <col min="39" max="39" width="2.85546875" style="8" customWidth="1"/>
    <col min="40" max="40" width="15.5703125" style="8" bestFit="1" customWidth="1"/>
    <col min="41" max="41" width="2.85546875" style="8" customWidth="1"/>
    <col min="42" max="42" width="15.5703125" style="8" bestFit="1" customWidth="1"/>
    <col min="43" max="43" width="2.85546875" style="8" customWidth="1"/>
    <col min="44" max="44" width="12.42578125" style="8" bestFit="1" customWidth="1"/>
    <col min="45" max="45" width="11.5703125" style="8" bestFit="1" customWidth="1"/>
    <col min="46" max="46" width="12.42578125" style="8" bestFit="1" customWidth="1"/>
    <col min="47" max="47" width="11.5703125" style="8" bestFit="1" customWidth="1"/>
    <col min="48" max="55" width="9.140625" style="8"/>
  </cols>
  <sheetData>
    <row r="1" spans="1:47" x14ac:dyDescent="0.25">
      <c r="A1" t="s">
        <v>27</v>
      </c>
      <c r="C1" s="13"/>
      <c r="D1" s="13"/>
      <c r="E1" s="13"/>
      <c r="F1" s="13"/>
    </row>
    <row r="2" spans="1:47" x14ac:dyDescent="0.25">
      <c r="B2" s="13"/>
      <c r="C2" s="13"/>
      <c r="D2" s="13"/>
      <c r="E2" s="13"/>
      <c r="F2" s="13"/>
      <c r="H2" s="91" t="s">
        <v>55</v>
      </c>
      <c r="I2" s="91"/>
      <c r="J2" s="91"/>
      <c r="K2" s="91"/>
      <c r="M2" s="61" t="s">
        <v>73</v>
      </c>
      <c r="O2" s="91" t="s">
        <v>32</v>
      </c>
      <c r="P2" s="91"/>
      <c r="Q2" s="41"/>
      <c r="R2" s="19" t="s">
        <v>40</v>
      </c>
      <c r="T2" s="41" t="s">
        <v>41</v>
      </c>
      <c r="U2" s="40"/>
      <c r="V2" s="40"/>
      <c r="W2" s="40"/>
      <c r="X2" s="83"/>
      <c r="Z2" s="89"/>
      <c r="AA2" s="89"/>
      <c r="AB2" s="89"/>
      <c r="AD2" s="89"/>
      <c r="AE2" s="89"/>
      <c r="AG2" s="89"/>
      <c r="AH2" s="89"/>
      <c r="AJ2" s="40"/>
      <c r="AK2" s="40"/>
      <c r="AL2" s="40"/>
      <c r="AM2" s="40"/>
      <c r="AN2" s="40"/>
      <c r="AO2" s="40"/>
      <c r="AP2" s="40"/>
      <c r="AR2" s="89"/>
      <c r="AS2" s="89"/>
      <c r="AT2" s="89"/>
      <c r="AU2" s="89"/>
    </row>
    <row r="3" spans="1:47" x14ac:dyDescent="0.25">
      <c r="H3" s="91"/>
      <c r="I3" s="91"/>
      <c r="J3" s="91"/>
      <c r="K3" s="41"/>
      <c r="M3" s="61" t="s">
        <v>75</v>
      </c>
      <c r="O3" s="41" t="s">
        <v>29</v>
      </c>
      <c r="P3" s="41" t="s">
        <v>33</v>
      </c>
      <c r="Q3" s="41"/>
      <c r="R3" s="19" t="s">
        <v>30</v>
      </c>
      <c r="T3" s="41" t="s">
        <v>31</v>
      </c>
      <c r="U3" s="40"/>
      <c r="V3" s="40"/>
      <c r="W3" s="40"/>
      <c r="X3" s="83" t="s">
        <v>80</v>
      </c>
      <c r="Z3" s="89"/>
      <c r="AA3" s="89"/>
      <c r="AB3" s="89"/>
      <c r="AD3" s="89"/>
      <c r="AE3" s="89"/>
      <c r="AG3" s="89"/>
      <c r="AH3" s="89"/>
      <c r="AJ3" s="40"/>
      <c r="AK3" s="40"/>
      <c r="AL3" s="40"/>
      <c r="AM3" s="40"/>
      <c r="AN3" s="40"/>
      <c r="AO3" s="40"/>
      <c r="AP3" s="40"/>
      <c r="AR3" s="89"/>
      <c r="AS3" s="89"/>
      <c r="AT3" s="89"/>
      <c r="AU3" s="89"/>
    </row>
    <row r="4" spans="1:47" x14ac:dyDescent="0.25">
      <c r="H4" s="91" t="s">
        <v>0</v>
      </c>
      <c r="I4" s="91"/>
      <c r="J4" s="41"/>
      <c r="K4" s="41" t="s">
        <v>4</v>
      </c>
      <c r="M4" s="61" t="s">
        <v>76</v>
      </c>
      <c r="O4" s="41" t="s">
        <v>4</v>
      </c>
      <c r="P4" s="41" t="s">
        <v>0</v>
      </c>
      <c r="Q4" s="22"/>
      <c r="R4" s="19" t="s">
        <v>4</v>
      </c>
      <c r="S4" s="41"/>
      <c r="T4" s="41" t="s">
        <v>4</v>
      </c>
      <c r="V4" s="40"/>
      <c r="X4" s="83" t="s">
        <v>81</v>
      </c>
      <c r="Y4" s="40"/>
      <c r="Z4" s="89"/>
      <c r="AA4" s="89"/>
      <c r="AB4" s="89"/>
      <c r="AC4" s="40"/>
      <c r="AD4" s="89"/>
      <c r="AE4" s="90"/>
      <c r="AF4" s="40"/>
      <c r="AG4" s="89"/>
      <c r="AH4" s="89"/>
      <c r="AI4" s="40"/>
      <c r="AJ4" s="40"/>
      <c r="AL4" s="40"/>
      <c r="AN4" s="40"/>
      <c r="AP4" s="40"/>
      <c r="AQ4" s="40"/>
      <c r="AR4" s="89"/>
      <c r="AS4" s="89"/>
      <c r="AT4" s="89"/>
      <c r="AU4" s="89"/>
    </row>
    <row r="5" spans="1:47" ht="30" x14ac:dyDescent="0.25">
      <c r="H5" s="12" t="s">
        <v>22</v>
      </c>
      <c r="I5" s="12" t="s">
        <v>52</v>
      </c>
      <c r="J5" s="12" t="s">
        <v>58</v>
      </c>
      <c r="K5" s="41"/>
      <c r="M5" s="61"/>
      <c r="O5" s="41"/>
      <c r="P5" s="41"/>
      <c r="Q5" s="41"/>
      <c r="S5" s="41"/>
      <c r="Y5" s="40"/>
      <c r="Z5" s="40"/>
      <c r="AA5" s="40"/>
      <c r="AB5" s="40"/>
      <c r="AC5" s="40"/>
      <c r="AD5" s="32"/>
      <c r="AE5" s="32"/>
      <c r="AF5" s="40"/>
      <c r="AG5" s="40"/>
      <c r="AH5" s="40"/>
      <c r="AI5" s="40"/>
      <c r="AQ5" s="40"/>
      <c r="AR5" s="40"/>
      <c r="AS5" s="40"/>
      <c r="AT5" s="32"/>
      <c r="AU5" s="32"/>
    </row>
    <row r="6" spans="1:47" ht="15.75" x14ac:dyDescent="0.25">
      <c r="H6" s="7" t="s">
        <v>2</v>
      </c>
      <c r="I6" s="7" t="s">
        <v>2</v>
      </c>
      <c r="J6" s="7" t="s">
        <v>2</v>
      </c>
      <c r="K6" s="2" t="s">
        <v>3</v>
      </c>
      <c r="M6" s="62" t="s">
        <v>74</v>
      </c>
      <c r="O6" s="2" t="s">
        <v>3</v>
      </c>
      <c r="P6" s="7" t="s">
        <v>2</v>
      </c>
      <c r="Q6" s="2"/>
      <c r="R6" s="20" t="s">
        <v>3</v>
      </c>
      <c r="S6" s="2"/>
      <c r="T6" s="2" t="s">
        <v>3</v>
      </c>
      <c r="U6" s="23"/>
      <c r="V6" s="23"/>
      <c r="W6" s="23"/>
      <c r="X6" s="84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</row>
    <row r="7" spans="1:47" x14ac:dyDescent="0.25">
      <c r="G7" s="17" t="s">
        <v>5</v>
      </c>
    </row>
    <row r="8" spans="1:47" x14ac:dyDescent="0.25">
      <c r="G8" s="16" t="s">
        <v>1</v>
      </c>
      <c r="H8" s="6">
        <v>15</v>
      </c>
      <c r="I8" s="6">
        <v>30</v>
      </c>
      <c r="J8" s="6">
        <v>117</v>
      </c>
      <c r="K8" s="4">
        <v>6.9267999999999996E-2</v>
      </c>
      <c r="L8" s="69"/>
      <c r="M8" s="63">
        <f>DS!P8</f>
        <v>4.4600000000000001E-2</v>
      </c>
      <c r="N8" s="69"/>
      <c r="O8" s="69">
        <f>DS!R8</f>
        <v>-7.18E-4</v>
      </c>
      <c r="P8" s="6">
        <f>DS!S8</f>
        <v>0</v>
      </c>
      <c r="Q8" s="69"/>
      <c r="R8" s="59">
        <f>RS!$P8</f>
        <v>3.9734999999999999E-2</v>
      </c>
      <c r="S8" s="69"/>
      <c r="T8" s="4">
        <f>RS!R8</f>
        <v>8.2700000000000004E-4</v>
      </c>
      <c r="U8" s="70"/>
      <c r="V8" s="70"/>
      <c r="W8" s="70"/>
      <c r="X8" s="85">
        <f>+DS!AA8</f>
        <v>2.5401E-2</v>
      </c>
      <c r="Y8" s="14"/>
      <c r="Z8" s="9"/>
      <c r="AA8" s="9"/>
      <c r="AB8" s="9"/>
      <c r="AC8" s="14"/>
      <c r="AD8" s="14"/>
      <c r="AE8" s="14"/>
      <c r="AF8" s="14"/>
      <c r="AG8" s="10"/>
      <c r="AH8" s="10"/>
      <c r="AI8" s="14"/>
      <c r="AK8" s="14"/>
      <c r="AO8" s="14"/>
      <c r="AQ8" s="14"/>
      <c r="AR8" s="14"/>
      <c r="AS8" s="14"/>
      <c r="AT8" s="14"/>
      <c r="AU8" s="14"/>
    </row>
    <row r="9" spans="1:47" x14ac:dyDescent="0.25">
      <c r="G9" s="16" t="s">
        <v>7</v>
      </c>
      <c r="H9" s="6">
        <v>15</v>
      </c>
      <c r="I9" s="6">
        <v>30</v>
      </c>
      <c r="J9" s="6">
        <v>117</v>
      </c>
      <c r="K9" s="4">
        <v>6.9267999999999996E-2</v>
      </c>
      <c r="L9" s="69"/>
      <c r="M9" s="63">
        <f>DS!P9</f>
        <v>4.8800000000000003E-2</v>
      </c>
      <c r="N9" s="69"/>
      <c r="O9" s="69">
        <f>DS!R9</f>
        <v>-7.18E-4</v>
      </c>
      <c r="P9" s="6">
        <f>DS!S9</f>
        <v>0</v>
      </c>
      <c r="Q9" s="69"/>
      <c r="R9" s="59">
        <f>RS!$P9</f>
        <v>2.8598999999999999E-2</v>
      </c>
      <c r="S9" s="69"/>
      <c r="T9" s="4">
        <f>RS!R9</f>
        <v>8.2700000000000004E-4</v>
      </c>
      <c r="U9" s="70"/>
      <c r="V9" s="70"/>
      <c r="W9" s="70"/>
      <c r="X9" s="85">
        <f>+DS!AA9</f>
        <v>2.5401E-2</v>
      </c>
      <c r="Z9" s="9"/>
      <c r="AA9" s="9"/>
      <c r="AB9" s="9"/>
      <c r="AD9" s="14"/>
      <c r="AE9" s="14"/>
      <c r="AG9" s="10"/>
      <c r="AH9" s="10"/>
      <c r="AJ9" s="31"/>
      <c r="AL9" s="14"/>
      <c r="AN9" s="14"/>
      <c r="AP9" s="31"/>
      <c r="AR9" s="14"/>
      <c r="AS9" s="14"/>
      <c r="AT9" s="14"/>
      <c r="AU9" s="14"/>
    </row>
    <row r="10" spans="1:47" x14ac:dyDescent="0.25">
      <c r="G10" s="16" t="s">
        <v>8</v>
      </c>
      <c r="H10" s="6">
        <v>15</v>
      </c>
      <c r="I10" s="6">
        <v>30</v>
      </c>
      <c r="J10" s="6">
        <v>117</v>
      </c>
      <c r="K10" s="4">
        <v>6.9267999999999996E-2</v>
      </c>
      <c r="L10" s="69"/>
      <c r="M10" s="63">
        <f>DS!P10</f>
        <v>7.85E-2</v>
      </c>
      <c r="N10" s="69"/>
      <c r="O10" s="69">
        <f>DS!R10</f>
        <v>-7.18E-4</v>
      </c>
      <c r="P10" s="6">
        <f>DS!S10</f>
        <v>0</v>
      </c>
      <c r="Q10" s="69"/>
      <c r="R10" s="59">
        <f>RS!$P10</f>
        <v>-1.1869999999999999E-3</v>
      </c>
      <c r="S10" s="69"/>
      <c r="T10" s="4">
        <f>RS!R10</f>
        <v>2.31E-4</v>
      </c>
      <c r="U10" s="70"/>
      <c r="V10" s="70"/>
      <c r="W10" s="70"/>
      <c r="X10" s="85">
        <f>+DS!AA10</f>
        <v>2.5401E-2</v>
      </c>
      <c r="Z10" s="9"/>
      <c r="AA10" s="9"/>
      <c r="AB10" s="9"/>
      <c r="AD10" s="14"/>
      <c r="AE10" s="14"/>
      <c r="AG10" s="10"/>
      <c r="AH10" s="10"/>
      <c r="AJ10" s="31"/>
      <c r="AL10" s="14"/>
      <c r="AN10" s="14"/>
      <c r="AP10" s="31"/>
      <c r="AR10" s="14"/>
      <c r="AS10" s="14"/>
      <c r="AT10" s="14"/>
      <c r="AU10" s="14"/>
    </row>
    <row r="11" spans="1:47" x14ac:dyDescent="0.25">
      <c r="A11" s="13"/>
      <c r="G11" s="16" t="s">
        <v>9</v>
      </c>
      <c r="H11" s="6">
        <v>15</v>
      </c>
      <c r="I11" s="6">
        <v>30</v>
      </c>
      <c r="J11" s="6">
        <v>117</v>
      </c>
      <c r="K11" s="4">
        <v>6.9267999999999996E-2</v>
      </c>
      <c r="L11" s="69"/>
      <c r="M11" s="63">
        <f>DS!P11</f>
        <v>0.1507</v>
      </c>
      <c r="N11" s="69"/>
      <c r="O11" s="69">
        <f>DS!R11</f>
        <v>-7.18E-4</v>
      </c>
      <c r="P11" s="6">
        <f>DS!S11</f>
        <v>0</v>
      </c>
      <c r="Q11" s="69"/>
      <c r="R11" s="59">
        <f>RS!$P11</f>
        <v>5.9880000000000003E-3</v>
      </c>
      <c r="S11" s="69"/>
      <c r="T11" s="4">
        <f>RS!R11</f>
        <v>2.31E-4</v>
      </c>
      <c r="U11" s="70"/>
      <c r="V11" s="70"/>
      <c r="W11" s="70"/>
      <c r="X11" s="85">
        <f>+DS!AA11</f>
        <v>2.5401E-2</v>
      </c>
    </row>
    <row r="12" spans="1:47" x14ac:dyDescent="0.25">
      <c r="A12" s="46"/>
      <c r="G12" s="16" t="s">
        <v>10</v>
      </c>
      <c r="H12" s="6">
        <v>15</v>
      </c>
      <c r="I12" s="6">
        <v>30</v>
      </c>
      <c r="J12" s="6">
        <v>117</v>
      </c>
      <c r="K12" s="4">
        <v>6.9267999999999996E-2</v>
      </c>
      <c r="L12" s="69"/>
      <c r="M12" s="63">
        <f>DS!P12</f>
        <v>0.1482</v>
      </c>
      <c r="N12" s="69"/>
      <c r="O12" s="69">
        <f>DS!R12</f>
        <v>-7.18E-4</v>
      </c>
      <c r="P12" s="6">
        <f>DS!S12</f>
        <v>0</v>
      </c>
      <c r="Q12" s="69"/>
      <c r="R12" s="59">
        <f>RS!$P12</f>
        <v>5.8320000000000004E-3</v>
      </c>
      <c r="S12" s="69"/>
      <c r="T12" s="4">
        <f>RS!R12</f>
        <v>2.31E-4</v>
      </c>
      <c r="U12" s="70"/>
      <c r="V12" s="70"/>
      <c r="W12" s="70"/>
      <c r="X12" s="85">
        <f>+DS!AA12</f>
        <v>2.5401E-2</v>
      </c>
    </row>
    <row r="13" spans="1:47" x14ac:dyDescent="0.25">
      <c r="B13" s="8"/>
      <c r="G13" s="16" t="s">
        <v>11</v>
      </c>
      <c r="H13" s="6">
        <v>15</v>
      </c>
      <c r="I13" s="6">
        <v>30</v>
      </c>
      <c r="J13" s="6">
        <v>117</v>
      </c>
      <c r="K13" s="4">
        <v>6.9267999999999996E-2</v>
      </c>
      <c r="L13" s="69"/>
      <c r="M13" s="63">
        <f>DS!P13</f>
        <v>0.16520000000000001</v>
      </c>
      <c r="N13" s="69"/>
      <c r="O13" s="69">
        <f>DS!R13</f>
        <v>-7.18E-4</v>
      </c>
      <c r="P13" s="6">
        <f>DS!S13</f>
        <v>0</v>
      </c>
      <c r="Q13" s="69"/>
      <c r="R13" s="59">
        <f>RS!$P13</f>
        <v>2.6634000000000001E-2</v>
      </c>
      <c r="S13" s="69"/>
      <c r="T13" s="4">
        <f>RS!R13</f>
        <v>3.3000000000000003E-5</v>
      </c>
      <c r="U13" s="70"/>
      <c r="V13" s="70"/>
      <c r="W13" s="70"/>
      <c r="X13" s="85">
        <f>+DS!AA13</f>
        <v>2.5401E-2</v>
      </c>
    </row>
    <row r="14" spans="1:47" x14ac:dyDescent="0.25">
      <c r="G14" s="16" t="s">
        <v>12</v>
      </c>
      <c r="H14" s="6">
        <v>15</v>
      </c>
      <c r="I14" s="6">
        <v>30</v>
      </c>
      <c r="J14" s="6">
        <v>117</v>
      </c>
      <c r="K14" s="4">
        <v>6.9267999999999996E-2</v>
      </c>
      <c r="L14" s="69"/>
      <c r="M14" s="63">
        <f>DS!P14</f>
        <v>0.16789999999999999</v>
      </c>
      <c r="N14" s="69"/>
      <c r="O14" s="69">
        <f>DS!R14</f>
        <v>-7.18E-4</v>
      </c>
      <c r="P14" s="6">
        <f>DS!S14</f>
        <v>0</v>
      </c>
      <c r="Q14" s="69"/>
      <c r="R14" s="59">
        <f>RS!$P14</f>
        <v>1.1039E-2</v>
      </c>
      <c r="S14" s="69"/>
      <c r="T14" s="4">
        <f>RS!R14</f>
        <v>3.3000000000000003E-5</v>
      </c>
      <c r="U14" s="70"/>
      <c r="V14" s="70"/>
      <c r="W14" s="70"/>
      <c r="X14" s="85">
        <f>+DS!AA14</f>
        <v>2.5401E-2</v>
      </c>
      <c r="Y14" s="70"/>
    </row>
    <row r="15" spans="1:47" x14ac:dyDescent="0.25">
      <c r="G15" s="16" t="s">
        <v>13</v>
      </c>
      <c r="H15" s="6">
        <v>15</v>
      </c>
      <c r="I15" s="6">
        <v>30</v>
      </c>
      <c r="J15" s="6">
        <v>117</v>
      </c>
      <c r="K15" s="4">
        <v>6.9267999999999996E-2</v>
      </c>
      <c r="L15" s="69"/>
      <c r="M15" s="63">
        <f>DS!P15</f>
        <v>5.7200000000000001E-2</v>
      </c>
      <c r="N15" s="69"/>
      <c r="O15" s="69">
        <f>DS!R15</f>
        <v>-7.18E-4</v>
      </c>
      <c r="P15" s="6">
        <f>DS!S15</f>
        <v>0</v>
      </c>
      <c r="Q15" s="69"/>
      <c r="R15" s="59">
        <f>RS!$P15</f>
        <v>1.3535999999999999E-2</v>
      </c>
      <c r="S15" s="69"/>
      <c r="T15" s="4">
        <f>RS!R15</f>
        <v>3.3000000000000003E-5</v>
      </c>
      <c r="U15" s="70"/>
      <c r="V15" s="70"/>
      <c r="W15" s="70"/>
      <c r="X15" s="85">
        <f>+DS!AA15</f>
        <v>2.5401E-2</v>
      </c>
    </row>
    <row r="16" spans="1:47" x14ac:dyDescent="0.25">
      <c r="G16" s="16" t="s">
        <v>14</v>
      </c>
      <c r="H16" s="6">
        <v>15</v>
      </c>
      <c r="I16" s="6">
        <v>30</v>
      </c>
      <c r="J16" s="6">
        <v>117</v>
      </c>
      <c r="K16" s="4">
        <v>6.9267999999999996E-2</v>
      </c>
      <c r="L16" s="69"/>
      <c r="M16" s="63">
        <f>DS!P16</f>
        <v>5.4899999999999997E-2</v>
      </c>
      <c r="N16" s="69"/>
      <c r="O16" s="69">
        <f>DS!R16</f>
        <v>-7.18E-4</v>
      </c>
      <c r="P16" s="6">
        <f>DS!S16</f>
        <v>0</v>
      </c>
      <c r="Q16" s="69"/>
      <c r="R16" s="59">
        <f>RS!$P16</f>
        <v>1.6767000000000001E-2</v>
      </c>
      <c r="S16" s="69"/>
      <c r="T16" s="4">
        <f>RS!R16</f>
        <v>4.7270000000000003E-3</v>
      </c>
      <c r="U16" s="70"/>
      <c r="V16" s="70"/>
      <c r="W16" s="70"/>
      <c r="X16" s="85">
        <f>+DS!AA16</f>
        <v>2.5401E-2</v>
      </c>
    </row>
    <row r="17" spans="1:47" x14ac:dyDescent="0.25">
      <c r="A17" s="11" t="s">
        <v>63</v>
      </c>
      <c r="G17" s="16" t="s">
        <v>15</v>
      </c>
      <c r="H17" s="6">
        <v>15</v>
      </c>
      <c r="I17" s="6">
        <v>30</v>
      </c>
      <c r="J17" s="6">
        <v>117</v>
      </c>
      <c r="K17" s="4">
        <v>6.9267999999999996E-2</v>
      </c>
      <c r="L17" s="69"/>
      <c r="M17" s="63">
        <f>DS!P17</f>
        <v>7.0599999999999996E-2</v>
      </c>
      <c r="N17" s="69"/>
      <c r="O17" s="69">
        <f>DS!R17</f>
        <v>-7.18E-4</v>
      </c>
      <c r="P17" s="6">
        <f>DS!S17</f>
        <v>0</v>
      </c>
      <c r="Q17" s="69"/>
      <c r="R17" s="59">
        <f>RS!$P17</f>
        <v>5.4503999999999997E-2</v>
      </c>
      <c r="S17" s="69"/>
      <c r="T17" s="4">
        <f>RS!R17</f>
        <v>4.7270000000000003E-3</v>
      </c>
      <c r="U17" s="70"/>
      <c r="V17" s="70"/>
      <c r="W17" s="70"/>
      <c r="X17" s="85">
        <f>+DS!AA17</f>
        <v>2.5401E-2</v>
      </c>
    </row>
    <row r="18" spans="1:47" x14ac:dyDescent="0.25">
      <c r="A18" s="42">
        <v>1</v>
      </c>
      <c r="G18" s="16" t="s">
        <v>16</v>
      </c>
      <c r="H18" s="6">
        <v>15</v>
      </c>
      <c r="I18" s="6">
        <v>30</v>
      </c>
      <c r="J18" s="6">
        <v>117</v>
      </c>
      <c r="K18" s="4">
        <v>6.9267999999999996E-2</v>
      </c>
      <c r="L18" s="69"/>
      <c r="M18" s="63">
        <f>DS!P18</f>
        <v>7.7999999999999996E-3</v>
      </c>
      <c r="N18" s="69"/>
      <c r="O18" s="69">
        <f>DS!R18</f>
        <v>-7.18E-4</v>
      </c>
      <c r="P18" s="6">
        <f>DS!S18</f>
        <v>0</v>
      </c>
      <c r="Q18" s="69"/>
      <c r="R18" s="59">
        <f>RS!$P18</f>
        <v>3.6070999999999999E-2</v>
      </c>
      <c r="S18" s="69"/>
      <c r="T18" s="4">
        <f>RS!R18</f>
        <v>4.7270000000000003E-3</v>
      </c>
      <c r="U18" s="70"/>
      <c r="V18" s="70"/>
      <c r="W18" s="70"/>
      <c r="X18" s="85">
        <f>+DS!AA18</f>
        <v>2.5401E-2</v>
      </c>
    </row>
    <row r="19" spans="1:47" x14ac:dyDescent="0.25">
      <c r="A19" s="11" t="s">
        <v>18</v>
      </c>
      <c r="G19" s="16" t="s">
        <v>17</v>
      </c>
      <c r="H19" s="6">
        <v>15</v>
      </c>
      <c r="I19" s="6">
        <v>30</v>
      </c>
      <c r="J19" s="6">
        <v>117</v>
      </c>
      <c r="K19" s="4">
        <v>6.9267999999999996E-2</v>
      </c>
      <c r="L19" s="69"/>
      <c r="M19" s="63">
        <f>DS!P19</f>
        <v>0.14299999999999999</v>
      </c>
      <c r="N19" s="69"/>
      <c r="O19" s="69">
        <f>DS!R19</f>
        <v>-7.18E-4</v>
      </c>
      <c r="P19" s="6">
        <f>DS!S19</f>
        <v>0</v>
      </c>
      <c r="Q19" s="69"/>
      <c r="R19" s="59">
        <f>RS!$P19</f>
        <v>6.1579000000000002E-2</v>
      </c>
      <c r="S19" s="69"/>
      <c r="T19" s="4">
        <f>RS!R19</f>
        <v>4.4869999999999997E-3</v>
      </c>
      <c r="U19" s="70"/>
      <c r="V19" s="70"/>
      <c r="W19" s="70"/>
      <c r="X19" s="85">
        <f>+DS!AA19</f>
        <v>2.5401E-2</v>
      </c>
      <c r="Y19" s="70"/>
      <c r="Z19" s="70"/>
    </row>
    <row r="20" spans="1:47" x14ac:dyDescent="0.25">
      <c r="A20" s="26">
        <v>9400</v>
      </c>
      <c r="B20" s="41" t="s">
        <v>20</v>
      </c>
      <c r="C20" s="41"/>
      <c r="D20" s="41" t="s">
        <v>0</v>
      </c>
      <c r="E20" s="41" t="s">
        <v>4</v>
      </c>
      <c r="K20" s="27"/>
    </row>
    <row r="21" spans="1:47" ht="30" x14ac:dyDescent="0.25">
      <c r="A21" s="41" t="s">
        <v>19</v>
      </c>
      <c r="B21" s="41" t="s">
        <v>30</v>
      </c>
      <c r="C21" s="12" t="s">
        <v>21</v>
      </c>
      <c r="D21" s="12"/>
      <c r="E21" s="12"/>
      <c r="G21" s="18" t="s">
        <v>26</v>
      </c>
      <c r="H21" s="43">
        <f>IF($A$18=1,1,0)</f>
        <v>1</v>
      </c>
      <c r="I21" s="43">
        <f>IF($A$18=3,1,0)</f>
        <v>0</v>
      </c>
      <c r="J21" s="43">
        <f>IF($A$18="p",1,0)</f>
        <v>0</v>
      </c>
      <c r="K21" s="36">
        <f>$A$20</f>
        <v>9400</v>
      </c>
      <c r="L21" s="38"/>
      <c r="M21" s="38"/>
      <c r="N21" s="38"/>
      <c r="O21" s="36">
        <f>$A$20</f>
        <v>9400</v>
      </c>
      <c r="P21" s="36"/>
      <c r="Q21" s="36"/>
      <c r="R21" s="39">
        <f>$A$20</f>
        <v>9400</v>
      </c>
      <c r="S21" s="38"/>
      <c r="T21" s="36">
        <f>$A$20</f>
        <v>9400</v>
      </c>
      <c r="X21" s="86">
        <f>+A20</f>
        <v>9400</v>
      </c>
      <c r="Z21" s="23"/>
      <c r="AA21" s="23"/>
      <c r="AB21" s="23"/>
      <c r="AD21" s="23"/>
      <c r="AE21" s="23"/>
      <c r="AG21" s="23"/>
      <c r="AH21" s="23"/>
      <c r="AR21" s="23"/>
      <c r="AS21" s="23"/>
      <c r="AT21" s="23"/>
      <c r="AU21" s="23"/>
    </row>
    <row r="22" spans="1:47" x14ac:dyDescent="0.25">
      <c r="A22" s="24">
        <f t="shared" ref="A22:A23" si="0">ROUND(SUM(H22:T22),2)</f>
        <v>1043.52</v>
      </c>
      <c r="B22" s="28">
        <f>ROUND(R22,2)</f>
        <v>373.51</v>
      </c>
      <c r="C22" s="28">
        <f>ROUND(D22+E22,2)</f>
        <v>651.6</v>
      </c>
      <c r="D22" s="24">
        <f>ROUND(SUM(H22:J22)+P22,2)</f>
        <v>15</v>
      </c>
      <c r="E22" s="24">
        <f>ROUND(SUM(K22:K22)+O22+T22,2)</f>
        <v>636.6</v>
      </c>
      <c r="F22" s="6"/>
      <c r="G22" s="16" t="s">
        <v>1</v>
      </c>
      <c r="H22" s="24">
        <f>H8*H$21</f>
        <v>15</v>
      </c>
      <c r="I22" s="24">
        <f>I8*I$21</f>
        <v>0</v>
      </c>
      <c r="J22" s="24">
        <f>J8*J$21</f>
        <v>0</v>
      </c>
      <c r="K22" s="24">
        <f>K8*K$21</f>
        <v>651.11919999999998</v>
      </c>
      <c r="L22" s="28"/>
      <c r="M22" s="24">
        <f>(SUM(H22:K22)+SUM(O22:T22)-R22-X22)*M8</f>
        <v>18.412075279999996</v>
      </c>
      <c r="N22" s="28"/>
      <c r="O22" s="24">
        <f t="shared" ref="O22:O33" si="1">O8*O$21</f>
        <v>-6.7492000000000001</v>
      </c>
      <c r="P22" s="24">
        <f>P8</f>
        <v>0</v>
      </c>
      <c r="Q22" s="28"/>
      <c r="R22" s="25">
        <f t="shared" ref="R22:R33" si="2">R8*R$21</f>
        <v>373.50900000000001</v>
      </c>
      <c r="S22" s="28"/>
      <c r="T22" s="24">
        <f>-T8*T$21</f>
        <v>-7.7738000000000005</v>
      </c>
      <c r="U22" s="28"/>
      <c r="V22" s="28"/>
      <c r="W22" s="28"/>
      <c r="X22" s="87">
        <f>X8*X21</f>
        <v>238.76939999999999</v>
      </c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</row>
    <row r="23" spans="1:47" x14ac:dyDescent="0.25">
      <c r="A23" s="24">
        <f t="shared" si="0"/>
        <v>940.57</v>
      </c>
      <c r="B23" s="28">
        <f t="shared" ref="B23:B33" si="3">ROUND(R23,2)</f>
        <v>268.83</v>
      </c>
      <c r="C23" s="28">
        <f t="shared" ref="C23:C33" si="4">ROUND(D23+E23,2)</f>
        <v>651.6</v>
      </c>
      <c r="D23" s="24">
        <f t="shared" ref="D23:D33" si="5">ROUND(SUM(H23:J23)+P23,2)</f>
        <v>15</v>
      </c>
      <c r="E23" s="24">
        <f t="shared" ref="E23:E33" si="6">ROUND(SUM(K23:K23)+O23+T23,2)</f>
        <v>636.6</v>
      </c>
      <c r="G23" s="16" t="s">
        <v>7</v>
      </c>
      <c r="H23" s="24">
        <f t="shared" ref="H23:I23" si="7">H9*H$21</f>
        <v>15</v>
      </c>
      <c r="I23" s="24">
        <f t="shared" si="7"/>
        <v>0</v>
      </c>
      <c r="J23" s="24">
        <f t="shared" ref="J23:K33" si="8">J9*J$21</f>
        <v>0</v>
      </c>
      <c r="K23" s="24">
        <f t="shared" si="8"/>
        <v>651.11919999999998</v>
      </c>
      <c r="L23" s="24"/>
      <c r="M23" s="24">
        <f t="shared" ref="M23:M33" si="9">(SUM(H23:K23)+SUM(O23:T23)-R23-X23)*M9</f>
        <v>20.145947839999998</v>
      </c>
      <c r="N23" s="24"/>
      <c r="O23" s="24">
        <f t="shared" si="1"/>
        <v>-6.7492000000000001</v>
      </c>
      <c r="P23" s="24">
        <f t="shared" ref="P23:P33" si="10">P9</f>
        <v>0</v>
      </c>
      <c r="Q23" s="24"/>
      <c r="R23" s="25">
        <f t="shared" si="2"/>
        <v>268.8306</v>
      </c>
      <c r="S23" s="24"/>
      <c r="T23" s="24">
        <f t="shared" ref="T23:T33" si="11">-T9*T$21</f>
        <v>-7.7738000000000005</v>
      </c>
      <c r="U23" s="28"/>
      <c r="V23" s="28"/>
      <c r="W23" s="28"/>
      <c r="X23" s="87">
        <f t="shared" ref="X23:X33" si="12">X9*X$21</f>
        <v>238.76939999999999</v>
      </c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</row>
    <row r="24" spans="1:47" x14ac:dyDescent="0.25">
      <c r="A24" s="24">
        <f>ROUND(SUM(H24:T24),2)</f>
        <v>678.89</v>
      </c>
      <c r="B24" s="28">
        <f t="shared" si="3"/>
        <v>-11.16</v>
      </c>
      <c r="C24" s="28">
        <f t="shared" si="4"/>
        <v>657.2</v>
      </c>
      <c r="D24" s="24">
        <f t="shared" si="5"/>
        <v>15</v>
      </c>
      <c r="E24" s="24">
        <f t="shared" si="6"/>
        <v>642.20000000000005</v>
      </c>
      <c r="G24" s="16" t="s">
        <v>8</v>
      </c>
      <c r="H24" s="24">
        <f t="shared" ref="H24:I24" si="13">H10*H$21</f>
        <v>15</v>
      </c>
      <c r="I24" s="24">
        <f t="shared" si="13"/>
        <v>0</v>
      </c>
      <c r="J24" s="24">
        <f t="shared" si="8"/>
        <v>0</v>
      </c>
      <c r="K24" s="24">
        <f t="shared" si="8"/>
        <v>651.11919999999998</v>
      </c>
      <c r="L24" s="24"/>
      <c r="M24" s="24">
        <f t="shared" si="9"/>
        <v>32.846692199999993</v>
      </c>
      <c r="N24" s="24"/>
      <c r="O24" s="28">
        <f t="shared" si="1"/>
        <v>-6.7492000000000001</v>
      </c>
      <c r="P24" s="24">
        <f t="shared" si="10"/>
        <v>0</v>
      </c>
      <c r="Q24" s="24"/>
      <c r="R24" s="25">
        <f t="shared" si="2"/>
        <v>-11.1578</v>
      </c>
      <c r="S24" s="24"/>
      <c r="T24" s="24">
        <f t="shared" si="11"/>
        <v>-2.1714000000000002</v>
      </c>
      <c r="U24" s="28"/>
      <c r="V24" s="28"/>
      <c r="W24" s="28"/>
      <c r="X24" s="87">
        <f t="shared" si="12"/>
        <v>238.76939999999999</v>
      </c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</row>
    <row r="25" spans="1:47" x14ac:dyDescent="0.25">
      <c r="A25" s="24">
        <f t="shared" ref="A25:A33" si="14">ROUND(SUM(H25:T25),2)</f>
        <v>776.54</v>
      </c>
      <c r="B25" s="28">
        <f t="shared" si="3"/>
        <v>56.29</v>
      </c>
      <c r="C25" s="28">
        <f t="shared" si="4"/>
        <v>657.2</v>
      </c>
      <c r="D25" s="24">
        <f t="shared" si="5"/>
        <v>15</v>
      </c>
      <c r="E25" s="24">
        <f t="shared" si="6"/>
        <v>642.20000000000005</v>
      </c>
      <c r="G25" s="16" t="s">
        <v>9</v>
      </c>
      <c r="H25" s="24">
        <f t="shared" ref="H25:I25" si="15">H11*H$21</f>
        <v>15</v>
      </c>
      <c r="I25" s="24">
        <f t="shared" si="15"/>
        <v>0</v>
      </c>
      <c r="J25" s="24">
        <f t="shared" si="8"/>
        <v>0</v>
      </c>
      <c r="K25" s="24">
        <f t="shared" si="8"/>
        <v>651.11919999999998</v>
      </c>
      <c r="L25" s="24"/>
      <c r="M25" s="24">
        <f t="shared" si="9"/>
        <v>63.057280439999985</v>
      </c>
      <c r="N25" s="24"/>
      <c r="O25" s="24">
        <f t="shared" si="1"/>
        <v>-6.7492000000000001</v>
      </c>
      <c r="P25" s="24">
        <f t="shared" si="10"/>
        <v>0</v>
      </c>
      <c r="Q25" s="24"/>
      <c r="R25" s="25">
        <f t="shared" si="2"/>
        <v>56.287200000000006</v>
      </c>
      <c r="S25" s="24"/>
      <c r="T25" s="24">
        <f t="shared" si="11"/>
        <v>-2.1714000000000002</v>
      </c>
      <c r="U25" s="28"/>
      <c r="V25" s="28"/>
      <c r="W25" s="28"/>
      <c r="X25" s="87">
        <f t="shared" si="12"/>
        <v>238.76939999999999</v>
      </c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</row>
    <row r="26" spans="1:47" x14ac:dyDescent="0.25">
      <c r="A26" s="24">
        <f t="shared" si="14"/>
        <v>774.03</v>
      </c>
      <c r="B26" s="28">
        <f t="shared" si="3"/>
        <v>54.82</v>
      </c>
      <c r="C26" s="28">
        <f t="shared" si="4"/>
        <v>657.2</v>
      </c>
      <c r="D26" s="24">
        <f t="shared" si="5"/>
        <v>15</v>
      </c>
      <c r="E26" s="24">
        <f t="shared" si="6"/>
        <v>642.20000000000005</v>
      </c>
      <c r="G26" s="16" t="s">
        <v>10</v>
      </c>
      <c r="H26" s="24">
        <f t="shared" ref="H26:I26" si="16">H12*H$21</f>
        <v>15</v>
      </c>
      <c r="I26" s="24">
        <f t="shared" si="16"/>
        <v>0</v>
      </c>
      <c r="J26" s="24">
        <f t="shared" si="8"/>
        <v>0</v>
      </c>
      <c r="K26" s="24">
        <f t="shared" si="8"/>
        <v>651.11919999999998</v>
      </c>
      <c r="L26" s="24"/>
      <c r="M26" s="24">
        <f t="shared" si="9"/>
        <v>62.011207440000007</v>
      </c>
      <c r="N26" s="24"/>
      <c r="O26" s="24">
        <f t="shared" si="1"/>
        <v>-6.7492000000000001</v>
      </c>
      <c r="P26" s="24">
        <f t="shared" si="10"/>
        <v>0</v>
      </c>
      <c r="Q26" s="24"/>
      <c r="R26" s="25">
        <f t="shared" si="2"/>
        <v>54.820800000000006</v>
      </c>
      <c r="S26" s="24"/>
      <c r="T26" s="24">
        <f t="shared" si="11"/>
        <v>-2.1714000000000002</v>
      </c>
      <c r="U26" s="28"/>
      <c r="V26" s="28"/>
      <c r="W26" s="28"/>
      <c r="X26" s="87">
        <f t="shared" si="12"/>
        <v>238.76939999999999</v>
      </c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</row>
    <row r="27" spans="1:47" x14ac:dyDescent="0.25">
      <c r="A27" s="24">
        <f t="shared" si="14"/>
        <v>978.85</v>
      </c>
      <c r="B27" s="28">
        <f t="shared" si="3"/>
        <v>250.36</v>
      </c>
      <c r="C27" s="28">
        <f t="shared" si="4"/>
        <v>659.06</v>
      </c>
      <c r="D27" s="24">
        <f t="shared" si="5"/>
        <v>15</v>
      </c>
      <c r="E27" s="24">
        <f t="shared" si="6"/>
        <v>644.05999999999995</v>
      </c>
      <c r="G27" s="16" t="s">
        <v>11</v>
      </c>
      <c r="H27" s="24">
        <f t="shared" ref="H27:I27" si="17">H13*H$21</f>
        <v>15</v>
      </c>
      <c r="I27" s="24">
        <f t="shared" si="17"/>
        <v>0</v>
      </c>
      <c r="J27" s="24">
        <f t="shared" si="8"/>
        <v>0</v>
      </c>
      <c r="K27" s="24">
        <f t="shared" si="8"/>
        <v>651.11919999999998</v>
      </c>
      <c r="L27" s="24"/>
      <c r="M27" s="24">
        <f t="shared" si="9"/>
        <v>69.431974080000003</v>
      </c>
      <c r="N27" s="24"/>
      <c r="O27" s="24">
        <f t="shared" si="1"/>
        <v>-6.7492000000000001</v>
      </c>
      <c r="P27" s="24">
        <f t="shared" si="10"/>
        <v>0</v>
      </c>
      <c r="Q27" s="24"/>
      <c r="R27" s="25">
        <f t="shared" si="2"/>
        <v>250.3596</v>
      </c>
      <c r="S27" s="24"/>
      <c r="T27" s="24">
        <f t="shared" si="11"/>
        <v>-0.31020000000000003</v>
      </c>
      <c r="U27" s="28"/>
      <c r="V27" s="28"/>
      <c r="W27" s="28"/>
      <c r="X27" s="87">
        <f t="shared" si="12"/>
        <v>238.76939999999999</v>
      </c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</row>
    <row r="28" spans="1:47" x14ac:dyDescent="0.25">
      <c r="A28" s="24">
        <f t="shared" si="14"/>
        <v>833.39</v>
      </c>
      <c r="B28" s="28">
        <f t="shared" si="3"/>
        <v>103.77</v>
      </c>
      <c r="C28" s="28">
        <f t="shared" si="4"/>
        <v>659.06</v>
      </c>
      <c r="D28" s="24">
        <f t="shared" si="5"/>
        <v>15</v>
      </c>
      <c r="E28" s="24">
        <f t="shared" si="6"/>
        <v>644.05999999999995</v>
      </c>
      <c r="G28" s="16" t="s">
        <v>12</v>
      </c>
      <c r="H28" s="24">
        <f t="shared" ref="H28:I28" si="18">H14*H$21</f>
        <v>15</v>
      </c>
      <c r="I28" s="24">
        <f t="shared" si="18"/>
        <v>0</v>
      </c>
      <c r="J28" s="24">
        <f t="shared" si="8"/>
        <v>0</v>
      </c>
      <c r="K28" s="24">
        <f t="shared" si="8"/>
        <v>651.11919999999998</v>
      </c>
      <c r="L28" s="24"/>
      <c r="M28" s="24">
        <f t="shared" si="9"/>
        <v>70.566758159999978</v>
      </c>
      <c r="N28" s="24"/>
      <c r="O28" s="24">
        <f t="shared" si="1"/>
        <v>-6.7492000000000001</v>
      </c>
      <c r="P28" s="24">
        <f t="shared" si="10"/>
        <v>0</v>
      </c>
      <c r="Q28" s="24"/>
      <c r="R28" s="25">
        <f t="shared" si="2"/>
        <v>103.7666</v>
      </c>
      <c r="S28" s="24"/>
      <c r="T28" s="24">
        <f t="shared" si="11"/>
        <v>-0.31020000000000003</v>
      </c>
      <c r="U28" s="28"/>
      <c r="V28" s="28"/>
      <c r="W28" s="28"/>
      <c r="X28" s="87">
        <f t="shared" si="12"/>
        <v>238.76939999999999</v>
      </c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</row>
    <row r="29" spans="1:47" x14ac:dyDescent="0.25">
      <c r="A29" s="24">
        <f t="shared" si="14"/>
        <v>810.34</v>
      </c>
      <c r="B29" s="28">
        <f t="shared" si="3"/>
        <v>127.24</v>
      </c>
      <c r="C29" s="28">
        <f t="shared" si="4"/>
        <v>659.06</v>
      </c>
      <c r="D29" s="24">
        <f t="shared" si="5"/>
        <v>15</v>
      </c>
      <c r="E29" s="24">
        <f t="shared" si="6"/>
        <v>644.05999999999995</v>
      </c>
      <c r="G29" s="16" t="s">
        <v>13</v>
      </c>
      <c r="H29" s="24">
        <f t="shared" ref="H29:I29" si="19">H15*H$21</f>
        <v>15</v>
      </c>
      <c r="I29" s="24">
        <f t="shared" si="19"/>
        <v>0</v>
      </c>
      <c r="J29" s="24">
        <f t="shared" si="8"/>
        <v>0</v>
      </c>
      <c r="K29" s="24">
        <f t="shared" si="8"/>
        <v>651.11919999999998</v>
      </c>
      <c r="L29" s="24"/>
      <c r="M29" s="24">
        <f t="shared" si="9"/>
        <v>24.040610879999999</v>
      </c>
      <c r="N29" s="24"/>
      <c r="O29" s="24">
        <f t="shared" si="1"/>
        <v>-6.7492000000000001</v>
      </c>
      <c r="P29" s="24">
        <f t="shared" si="10"/>
        <v>0</v>
      </c>
      <c r="Q29" s="24"/>
      <c r="R29" s="25">
        <f t="shared" si="2"/>
        <v>127.2384</v>
      </c>
      <c r="S29" s="24"/>
      <c r="T29" s="24">
        <f t="shared" si="11"/>
        <v>-0.31020000000000003</v>
      </c>
      <c r="U29" s="28"/>
      <c r="V29" s="28"/>
      <c r="W29" s="28"/>
      <c r="X29" s="87">
        <f t="shared" si="12"/>
        <v>238.76939999999999</v>
      </c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</row>
    <row r="30" spans="1:47" x14ac:dyDescent="0.25">
      <c r="A30" s="24">
        <f t="shared" si="14"/>
        <v>793.2</v>
      </c>
      <c r="B30" s="28">
        <f t="shared" si="3"/>
        <v>157.61000000000001</v>
      </c>
      <c r="C30" s="28">
        <f t="shared" si="4"/>
        <v>614.94000000000005</v>
      </c>
      <c r="D30" s="24">
        <f t="shared" si="5"/>
        <v>15</v>
      </c>
      <c r="E30" s="24">
        <f t="shared" si="6"/>
        <v>599.94000000000005</v>
      </c>
      <c r="G30" s="16" t="s">
        <v>14</v>
      </c>
      <c r="H30" s="24">
        <f t="shared" ref="H30:I30" si="20">H16*H$21</f>
        <v>15</v>
      </c>
      <c r="I30" s="24">
        <f t="shared" si="20"/>
        <v>0</v>
      </c>
      <c r="J30" s="24">
        <f t="shared" si="8"/>
        <v>0</v>
      </c>
      <c r="K30" s="24">
        <f t="shared" si="8"/>
        <v>651.11919999999998</v>
      </c>
      <c r="L30" s="24"/>
      <c r="M30" s="24">
        <f t="shared" si="9"/>
        <v>20.651557319999991</v>
      </c>
      <c r="N30" s="24"/>
      <c r="O30" s="24">
        <f t="shared" si="1"/>
        <v>-6.7492000000000001</v>
      </c>
      <c r="P30" s="24">
        <f t="shared" si="10"/>
        <v>0</v>
      </c>
      <c r="Q30" s="24"/>
      <c r="R30" s="25">
        <f t="shared" si="2"/>
        <v>157.60980000000001</v>
      </c>
      <c r="S30" s="24"/>
      <c r="T30" s="24">
        <f t="shared" si="11"/>
        <v>-44.433800000000005</v>
      </c>
      <c r="U30" s="28"/>
      <c r="V30" s="28"/>
      <c r="W30" s="28"/>
      <c r="X30" s="87">
        <f t="shared" si="12"/>
        <v>238.76939999999999</v>
      </c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</row>
    <row r="31" spans="1:47" x14ac:dyDescent="0.25">
      <c r="A31" s="24">
        <f t="shared" si="14"/>
        <v>1153.83</v>
      </c>
      <c r="B31" s="28">
        <f t="shared" si="3"/>
        <v>512.34</v>
      </c>
      <c r="C31" s="28">
        <f t="shared" si="4"/>
        <v>614.94000000000005</v>
      </c>
      <c r="D31" s="24">
        <f t="shared" si="5"/>
        <v>15</v>
      </c>
      <c r="E31" s="24">
        <f t="shared" si="6"/>
        <v>599.94000000000005</v>
      </c>
      <c r="G31" s="16" t="s">
        <v>15</v>
      </c>
      <c r="H31" s="24">
        <f t="shared" ref="H31:I31" si="21">H17*H$21</f>
        <v>15</v>
      </c>
      <c r="I31" s="24">
        <f t="shared" si="21"/>
        <v>0</v>
      </c>
      <c r="J31" s="24">
        <f t="shared" si="8"/>
        <v>0</v>
      </c>
      <c r="K31" s="24">
        <f t="shared" si="8"/>
        <v>651.11919999999998</v>
      </c>
      <c r="L31" s="24"/>
      <c r="M31" s="24">
        <f t="shared" si="9"/>
        <v>26.557376079999997</v>
      </c>
      <c r="N31" s="24"/>
      <c r="O31" s="24">
        <f t="shared" si="1"/>
        <v>-6.7492000000000001</v>
      </c>
      <c r="P31" s="24">
        <f t="shared" si="10"/>
        <v>0</v>
      </c>
      <c r="Q31" s="24"/>
      <c r="R31" s="25">
        <f t="shared" si="2"/>
        <v>512.33759999999995</v>
      </c>
      <c r="S31" s="24"/>
      <c r="T31" s="24">
        <f t="shared" si="11"/>
        <v>-44.433800000000005</v>
      </c>
      <c r="U31" s="28"/>
      <c r="V31" s="28"/>
      <c r="W31" s="28"/>
      <c r="X31" s="87">
        <f t="shared" si="12"/>
        <v>238.76939999999999</v>
      </c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</row>
    <row r="32" spans="1:47" x14ac:dyDescent="0.25">
      <c r="A32" s="24">
        <f t="shared" si="14"/>
        <v>956.94</v>
      </c>
      <c r="B32" s="28">
        <f t="shared" si="3"/>
        <v>339.07</v>
      </c>
      <c r="C32" s="28">
        <f t="shared" si="4"/>
        <v>614.94000000000005</v>
      </c>
      <c r="D32" s="24">
        <f t="shared" si="5"/>
        <v>15</v>
      </c>
      <c r="E32" s="24">
        <f t="shared" si="6"/>
        <v>599.94000000000005</v>
      </c>
      <c r="G32" s="16" t="s">
        <v>16</v>
      </c>
      <c r="H32" s="24">
        <f t="shared" ref="H32:I32" si="22">H18*H$21</f>
        <v>15</v>
      </c>
      <c r="I32" s="24">
        <f t="shared" si="22"/>
        <v>0</v>
      </c>
      <c r="J32" s="24">
        <f t="shared" si="8"/>
        <v>0</v>
      </c>
      <c r="K32" s="24">
        <f t="shared" si="8"/>
        <v>651.11919999999998</v>
      </c>
      <c r="L32" s="24"/>
      <c r="M32" s="24">
        <f t="shared" si="9"/>
        <v>2.9341010400000003</v>
      </c>
      <c r="N32" s="24"/>
      <c r="O32" s="24">
        <f t="shared" si="1"/>
        <v>-6.7492000000000001</v>
      </c>
      <c r="P32" s="24">
        <f t="shared" si="10"/>
        <v>0</v>
      </c>
      <c r="Q32" s="24"/>
      <c r="R32" s="25">
        <f t="shared" si="2"/>
        <v>339.06739999999996</v>
      </c>
      <c r="S32" s="24"/>
      <c r="T32" s="24">
        <f t="shared" si="11"/>
        <v>-44.433800000000005</v>
      </c>
      <c r="U32" s="28"/>
      <c r="V32" s="28"/>
      <c r="W32" s="28"/>
      <c r="X32" s="87">
        <f t="shared" si="12"/>
        <v>238.76939999999999</v>
      </c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</row>
    <row r="33" spans="1:47" x14ac:dyDescent="0.25">
      <c r="A33" s="24">
        <f t="shared" si="14"/>
        <v>1250.1500000000001</v>
      </c>
      <c r="B33" s="28">
        <f t="shared" si="3"/>
        <v>578.84</v>
      </c>
      <c r="C33" s="28">
        <f t="shared" si="4"/>
        <v>617.19000000000005</v>
      </c>
      <c r="D33" s="24">
        <f t="shared" si="5"/>
        <v>15</v>
      </c>
      <c r="E33" s="24">
        <f t="shared" si="6"/>
        <v>602.19000000000005</v>
      </c>
      <c r="G33" s="16" t="s">
        <v>17</v>
      </c>
      <c r="H33" s="24">
        <f t="shared" ref="H33:I33" si="23">H19*H$21</f>
        <v>15</v>
      </c>
      <c r="I33" s="24">
        <f t="shared" si="23"/>
        <v>0</v>
      </c>
      <c r="J33" s="24">
        <f t="shared" si="8"/>
        <v>0</v>
      </c>
      <c r="K33" s="24">
        <f t="shared" si="8"/>
        <v>651.11919999999998</v>
      </c>
      <c r="L33" s="24"/>
      <c r="M33" s="24">
        <f t="shared" si="9"/>
        <v>54.11446039999997</v>
      </c>
      <c r="N33" s="24"/>
      <c r="O33" s="24">
        <f t="shared" si="1"/>
        <v>-6.7492000000000001</v>
      </c>
      <c r="P33" s="24">
        <f t="shared" si="10"/>
        <v>0</v>
      </c>
      <c r="Q33" s="24"/>
      <c r="R33" s="25">
        <f t="shared" si="2"/>
        <v>578.84260000000006</v>
      </c>
      <c r="S33" s="24"/>
      <c r="T33" s="24">
        <f t="shared" si="11"/>
        <v>-42.177799999999998</v>
      </c>
      <c r="U33" s="28"/>
      <c r="V33" s="28"/>
      <c r="W33" s="28"/>
      <c r="X33" s="87">
        <f t="shared" si="12"/>
        <v>238.76939999999999</v>
      </c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</row>
    <row r="34" spans="1:47" x14ac:dyDescent="0.25">
      <c r="B34" s="8"/>
      <c r="C34" s="8"/>
      <c r="D34" s="8"/>
    </row>
    <row r="35" spans="1:47" x14ac:dyDescent="0.25">
      <c r="A35" s="27"/>
      <c r="B35" s="8"/>
      <c r="C35" s="8"/>
      <c r="D35" s="29"/>
    </row>
  </sheetData>
  <mergeCells count="17">
    <mergeCell ref="AR2:AU2"/>
    <mergeCell ref="H2:K2"/>
    <mergeCell ref="O2:P2"/>
    <mergeCell ref="Z2:AB2"/>
    <mergeCell ref="AD2:AE2"/>
    <mergeCell ref="AG2:AH2"/>
    <mergeCell ref="AR4:AS4"/>
    <mergeCell ref="AT4:AU4"/>
    <mergeCell ref="H3:J3"/>
    <mergeCell ref="Z3:AB3"/>
    <mergeCell ref="AD3:AE3"/>
    <mergeCell ref="AG3:AH3"/>
    <mergeCell ref="AR3:AU3"/>
    <mergeCell ref="H4:I4"/>
    <mergeCell ref="Z4:AB4"/>
    <mergeCell ref="AD4:AE4"/>
    <mergeCell ref="AG4:AH4"/>
  </mergeCells>
  <pageMargins left="0.7" right="0.7" top="0.75" bottom="0.75" header="0.3" footer="0.3"/>
  <pageSetup scale="24" orientation="landscape" r:id="rId1"/>
  <headerFooter>
    <oddHeader>&amp;C&amp;"Times New Roman,Bold"&amp;10&amp;U
UNREDACTED
CONFIDENTIAL PROPRIETARY TRADE SECRET&amp;R&amp;"Times New Roman,Bold"&amp;10KyPSC Case No. 2022-00394
STAFF-DR-01-002 Confidential Attachment 2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W34"/>
  <sheetViews>
    <sheetView tabSelected="1" view="pageLayout" zoomScaleNormal="75" workbookViewId="0"/>
  </sheetViews>
  <sheetFormatPr defaultRowHeight="15" x14ac:dyDescent="0.25"/>
  <cols>
    <col min="1" max="1" width="11.5703125" customWidth="1"/>
    <col min="2" max="2" width="15.140625" customWidth="1"/>
    <col min="3" max="3" width="12.140625" customWidth="1"/>
    <col min="4" max="5" width="11.5703125" customWidth="1"/>
    <col min="6" max="6" width="2.85546875" customWidth="1"/>
    <col min="7" max="7" width="9.140625" style="16"/>
    <col min="8" max="9" width="12.42578125" customWidth="1"/>
    <col min="10" max="10" width="2.5703125" customWidth="1"/>
    <col min="11" max="11" width="18.5703125" bestFit="1" customWidth="1"/>
    <col min="12" max="12" width="2.5703125" customWidth="1"/>
    <col min="13" max="13" width="18.42578125" customWidth="1"/>
    <col min="14" max="14" width="10" customWidth="1"/>
    <col min="15" max="15" width="2.85546875" customWidth="1"/>
    <col min="16" max="16" width="20" style="15" customWidth="1"/>
    <col min="17" max="17" width="2.85546875" customWidth="1"/>
    <col min="18" max="18" width="20.5703125" customWidth="1"/>
    <col min="19" max="19" width="2.5703125" customWidth="1"/>
    <col min="20" max="20" width="15.5703125" style="8" bestFit="1" customWidth="1"/>
    <col min="21" max="21" width="2.85546875" style="8" customWidth="1"/>
    <col min="22" max="22" width="22.140625" style="82" customWidth="1"/>
    <col min="23" max="23" width="2.85546875" style="8" customWidth="1"/>
    <col min="24" max="24" width="14.42578125" style="8" bestFit="1" customWidth="1"/>
    <col min="25" max="25" width="2.85546875" style="8" customWidth="1"/>
    <col min="26" max="26" width="12.140625" style="8" customWidth="1"/>
    <col min="27" max="27" width="19.140625" style="8" customWidth="1"/>
    <col min="28" max="28" width="12.42578125" style="8" customWidth="1"/>
    <col min="29" max="29" width="2.85546875" style="8" customWidth="1"/>
    <col min="30" max="30" width="12.140625" style="8" bestFit="1" customWidth="1"/>
    <col min="31" max="33" width="12.140625" style="8" customWidth="1"/>
    <col min="34" max="34" width="2.85546875" style="8" customWidth="1"/>
    <col min="35" max="35" width="15.140625" style="8" bestFit="1" customWidth="1"/>
    <col min="36" max="36" width="14.42578125" style="8" customWidth="1"/>
    <col min="37" max="37" width="2.85546875" style="8" customWidth="1"/>
    <col min="38" max="38" width="15.5703125" style="8" bestFit="1" customWidth="1"/>
    <col min="39" max="39" width="2.85546875" style="8" customWidth="1"/>
    <col min="40" max="40" width="15.5703125" style="8" bestFit="1" customWidth="1"/>
    <col min="41" max="41" width="2.85546875" style="8" customWidth="1"/>
    <col min="42" max="42" width="15.5703125" style="8" bestFit="1" customWidth="1"/>
    <col min="43" max="43" width="2.85546875" style="8" customWidth="1"/>
    <col min="44" max="44" width="13.42578125" style="8" bestFit="1" customWidth="1"/>
    <col min="45" max="45" width="2.85546875" style="8" customWidth="1"/>
    <col min="46" max="46" width="12.140625" style="8" bestFit="1" customWidth="1"/>
    <col min="47" max="47" width="11.42578125" style="8" bestFit="1" customWidth="1"/>
    <col min="48" max="48" width="12.140625" style="8" bestFit="1" customWidth="1"/>
    <col min="49" max="49" width="11.42578125" style="8" bestFit="1" customWidth="1"/>
  </cols>
  <sheetData>
    <row r="1" spans="1:49" x14ac:dyDescent="0.25">
      <c r="A1" t="s">
        <v>27</v>
      </c>
      <c r="C1" s="13"/>
      <c r="D1" s="13"/>
      <c r="E1" s="13"/>
      <c r="F1" s="13"/>
    </row>
    <row r="2" spans="1:49" x14ac:dyDescent="0.25">
      <c r="B2" s="13"/>
      <c r="C2" s="13"/>
      <c r="D2" s="13"/>
      <c r="E2" s="13"/>
      <c r="F2" s="13"/>
      <c r="H2" s="91" t="s">
        <v>62</v>
      </c>
      <c r="I2" s="91"/>
      <c r="K2" s="61" t="s">
        <v>73</v>
      </c>
      <c r="M2" s="91" t="s">
        <v>32</v>
      </c>
      <c r="N2" s="91"/>
      <c r="O2" s="45"/>
      <c r="P2" s="19" t="s">
        <v>40</v>
      </c>
      <c r="R2" s="45" t="s">
        <v>41</v>
      </c>
      <c r="S2" s="45"/>
      <c r="T2" s="44"/>
      <c r="U2" s="44"/>
      <c r="V2" s="83"/>
      <c r="W2" s="44"/>
      <c r="X2" s="44"/>
      <c r="Z2" s="89"/>
      <c r="AA2" s="89"/>
      <c r="AB2" s="89"/>
      <c r="AD2" s="89"/>
      <c r="AE2" s="89"/>
      <c r="AF2" s="89"/>
      <c r="AG2" s="89"/>
      <c r="AI2" s="89"/>
      <c r="AJ2" s="89"/>
      <c r="AL2" s="44"/>
      <c r="AM2" s="44"/>
      <c r="AN2" s="44"/>
      <c r="AO2" s="44"/>
      <c r="AP2" s="44"/>
      <c r="AQ2" s="44"/>
      <c r="AR2" s="44"/>
      <c r="AT2" s="89"/>
      <c r="AU2" s="89"/>
      <c r="AV2" s="89"/>
      <c r="AW2" s="89"/>
    </row>
    <row r="3" spans="1:49" x14ac:dyDescent="0.25">
      <c r="H3" s="91"/>
      <c r="I3" s="91"/>
      <c r="K3" s="61" t="s">
        <v>75</v>
      </c>
      <c r="M3" s="45" t="s">
        <v>29</v>
      </c>
      <c r="N3" s="45" t="s">
        <v>33</v>
      </c>
      <c r="O3" s="45"/>
      <c r="P3" s="19" t="s">
        <v>30</v>
      </c>
      <c r="R3" s="45" t="s">
        <v>31</v>
      </c>
      <c r="S3" s="45"/>
      <c r="T3" s="44"/>
      <c r="U3" s="44"/>
      <c r="V3" s="83" t="s">
        <v>80</v>
      </c>
      <c r="W3" s="44"/>
      <c r="X3" s="44"/>
      <c r="Z3" s="89"/>
      <c r="AA3" s="89"/>
      <c r="AB3" s="89"/>
      <c r="AD3" s="89"/>
      <c r="AE3" s="89"/>
      <c r="AF3" s="89"/>
      <c r="AG3" s="89"/>
      <c r="AI3" s="89"/>
      <c r="AJ3" s="89"/>
      <c r="AL3" s="44"/>
      <c r="AM3" s="44"/>
      <c r="AN3" s="44"/>
      <c r="AO3" s="44"/>
      <c r="AP3" s="44"/>
      <c r="AQ3" s="44"/>
      <c r="AR3" s="44"/>
      <c r="AT3" s="89"/>
      <c r="AU3" s="89"/>
      <c r="AV3" s="89"/>
      <c r="AW3" s="89"/>
    </row>
    <row r="4" spans="1:49" x14ac:dyDescent="0.25">
      <c r="H4" s="45" t="s">
        <v>0</v>
      </c>
      <c r="I4" s="45" t="s">
        <v>4</v>
      </c>
      <c r="K4" s="61" t="s">
        <v>76</v>
      </c>
      <c r="M4" s="45" t="s">
        <v>4</v>
      </c>
      <c r="N4" s="45" t="s">
        <v>0</v>
      </c>
      <c r="O4" s="22"/>
      <c r="P4" s="19" t="s">
        <v>4</v>
      </c>
      <c r="Q4" s="45"/>
      <c r="R4" s="45" t="s">
        <v>4</v>
      </c>
      <c r="T4" s="44"/>
      <c r="V4" s="83" t="s">
        <v>81</v>
      </c>
      <c r="X4" s="44"/>
      <c r="Y4" s="44"/>
      <c r="Z4" s="44"/>
      <c r="AA4" s="44"/>
      <c r="AB4" s="44"/>
      <c r="AC4" s="44"/>
      <c r="AD4" s="89"/>
      <c r="AE4" s="89"/>
      <c r="AF4" s="89"/>
      <c r="AG4" s="90"/>
      <c r="AH4" s="44"/>
      <c r="AI4" s="44"/>
      <c r="AJ4" s="44"/>
      <c r="AK4" s="44"/>
      <c r="AL4" s="44"/>
      <c r="AN4" s="44"/>
      <c r="AP4" s="44"/>
      <c r="AR4" s="44"/>
      <c r="AS4" s="44"/>
      <c r="AT4" s="89"/>
      <c r="AU4" s="89"/>
      <c r="AV4" s="89"/>
      <c r="AW4" s="90"/>
    </row>
    <row r="5" spans="1:49" x14ac:dyDescent="0.25">
      <c r="K5" s="61"/>
      <c r="M5" s="45"/>
      <c r="N5" s="45"/>
      <c r="O5" s="45"/>
      <c r="Q5" s="45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S5" s="44"/>
      <c r="AT5" s="44"/>
      <c r="AU5" s="44"/>
      <c r="AV5" s="44"/>
      <c r="AW5" s="44"/>
    </row>
    <row r="6" spans="1:49" ht="15.75" x14ac:dyDescent="0.25">
      <c r="H6" s="7" t="s">
        <v>2</v>
      </c>
      <c r="I6" s="2" t="s">
        <v>3</v>
      </c>
      <c r="K6" s="62" t="s">
        <v>74</v>
      </c>
      <c r="M6" s="2" t="s">
        <v>3</v>
      </c>
      <c r="N6" s="7" t="s">
        <v>2</v>
      </c>
      <c r="O6" s="2"/>
      <c r="P6" s="20" t="s">
        <v>3</v>
      </c>
      <c r="Q6" s="2"/>
      <c r="R6" s="2" t="s">
        <v>3</v>
      </c>
      <c r="S6" s="2"/>
      <c r="T6" s="23"/>
      <c r="U6" s="23"/>
      <c r="V6" s="84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1:49" x14ac:dyDescent="0.25">
      <c r="G7" s="17" t="s">
        <v>5</v>
      </c>
    </row>
    <row r="8" spans="1:49" x14ac:dyDescent="0.25">
      <c r="G8" s="16" t="s">
        <v>1</v>
      </c>
      <c r="H8" s="6">
        <v>15</v>
      </c>
      <c r="I8" s="4">
        <v>0.10796500000000001</v>
      </c>
      <c r="J8" s="69"/>
      <c r="K8" s="63">
        <f>DS!P8</f>
        <v>4.4600000000000001E-2</v>
      </c>
      <c r="L8" s="69"/>
      <c r="M8" s="69">
        <f>DS!R8</f>
        <v>-7.18E-4</v>
      </c>
      <c r="N8" s="6">
        <f>DS!S8</f>
        <v>0</v>
      </c>
      <c r="O8" s="69"/>
      <c r="P8" s="59">
        <f>RS!$P8</f>
        <v>3.9734999999999999E-2</v>
      </c>
      <c r="Q8" s="69"/>
      <c r="R8" s="4">
        <f>RS!R8</f>
        <v>8.2700000000000004E-4</v>
      </c>
      <c r="S8" s="69"/>
      <c r="T8" s="70"/>
      <c r="U8" s="70"/>
      <c r="V8" s="85">
        <f>+DS!$AA8</f>
        <v>2.5401E-2</v>
      </c>
      <c r="W8" s="14"/>
      <c r="X8" s="31"/>
      <c r="Y8" s="14"/>
      <c r="Z8" s="9"/>
      <c r="AA8" s="9"/>
      <c r="AB8" s="9"/>
      <c r="AC8" s="14"/>
      <c r="AD8" s="9"/>
      <c r="AE8" s="9"/>
      <c r="AF8" s="9"/>
      <c r="AG8" s="9"/>
      <c r="AH8" s="14"/>
      <c r="AI8" s="10"/>
      <c r="AJ8" s="10"/>
      <c r="AK8" s="14"/>
      <c r="AM8" s="14"/>
      <c r="AQ8" s="14"/>
      <c r="AS8" s="14"/>
      <c r="AT8" s="14"/>
      <c r="AU8" s="14"/>
      <c r="AV8" s="14"/>
      <c r="AW8" s="14"/>
    </row>
    <row r="9" spans="1:49" x14ac:dyDescent="0.25">
      <c r="G9" s="16" t="s">
        <v>7</v>
      </c>
      <c r="H9" s="6">
        <v>15</v>
      </c>
      <c r="I9" s="4">
        <v>0.10796500000000001</v>
      </c>
      <c r="J9" s="69"/>
      <c r="K9" s="63">
        <f>DS!P9</f>
        <v>4.8800000000000003E-2</v>
      </c>
      <c r="L9" s="69"/>
      <c r="M9" s="69">
        <f>DS!R9</f>
        <v>-7.18E-4</v>
      </c>
      <c r="N9" s="6">
        <f>DS!S9</f>
        <v>0</v>
      </c>
      <c r="O9" s="69"/>
      <c r="P9" s="59">
        <f>RS!$P9</f>
        <v>2.8598999999999999E-2</v>
      </c>
      <c r="Q9" s="69"/>
      <c r="R9" s="4">
        <f>RS!R9</f>
        <v>8.2700000000000004E-4</v>
      </c>
      <c r="S9" s="69"/>
      <c r="T9" s="70"/>
      <c r="U9" s="70"/>
      <c r="V9" s="85">
        <f>+DS!$AA9</f>
        <v>2.5401E-2</v>
      </c>
    </row>
    <row r="10" spans="1:49" x14ac:dyDescent="0.25">
      <c r="G10" s="16" t="s">
        <v>8</v>
      </c>
      <c r="H10" s="6">
        <v>15</v>
      </c>
      <c r="I10" s="4">
        <v>0.10796500000000001</v>
      </c>
      <c r="J10" s="69"/>
      <c r="K10" s="63">
        <f>DS!P10</f>
        <v>7.85E-2</v>
      </c>
      <c r="L10" s="69"/>
      <c r="M10" s="69">
        <f>DS!R10</f>
        <v>-7.18E-4</v>
      </c>
      <c r="N10" s="6">
        <f>DS!S10</f>
        <v>0</v>
      </c>
      <c r="O10" s="69"/>
      <c r="P10" s="59">
        <f>RS!$P10</f>
        <v>-1.1869999999999999E-3</v>
      </c>
      <c r="Q10" s="69"/>
      <c r="R10" s="4">
        <f>RS!R10</f>
        <v>2.31E-4</v>
      </c>
      <c r="S10" s="69"/>
      <c r="T10" s="70"/>
      <c r="U10" s="70"/>
      <c r="V10" s="85">
        <f>+DS!$AA10</f>
        <v>2.5401E-2</v>
      </c>
    </row>
    <row r="11" spans="1:49" x14ac:dyDescent="0.25">
      <c r="G11" s="16" t="s">
        <v>9</v>
      </c>
      <c r="H11" s="6">
        <v>15</v>
      </c>
      <c r="I11" s="4">
        <v>0.10796500000000001</v>
      </c>
      <c r="J11" s="69"/>
      <c r="K11" s="63">
        <f>DS!P11</f>
        <v>0.1507</v>
      </c>
      <c r="L11" s="69"/>
      <c r="M11" s="69">
        <f>DS!R11</f>
        <v>-7.18E-4</v>
      </c>
      <c r="N11" s="6">
        <f>DS!S11</f>
        <v>0</v>
      </c>
      <c r="O11" s="69"/>
      <c r="P11" s="59">
        <f>RS!$P11</f>
        <v>5.9880000000000003E-3</v>
      </c>
      <c r="Q11" s="69"/>
      <c r="R11" s="4">
        <f>RS!R11</f>
        <v>2.31E-4</v>
      </c>
      <c r="S11" s="69"/>
      <c r="T11" s="70"/>
      <c r="U11" s="70"/>
      <c r="V11" s="85">
        <f>+DS!$AA11</f>
        <v>2.5401E-2</v>
      </c>
    </row>
    <row r="12" spans="1:49" x14ac:dyDescent="0.25">
      <c r="G12" s="16" t="s">
        <v>10</v>
      </c>
      <c r="H12" s="6">
        <v>15</v>
      </c>
      <c r="I12" s="4">
        <v>0.10796500000000001</v>
      </c>
      <c r="J12" s="69"/>
      <c r="K12" s="63">
        <f>DS!P12</f>
        <v>0.1482</v>
      </c>
      <c r="L12" s="69"/>
      <c r="M12" s="69">
        <f>DS!R12</f>
        <v>-7.18E-4</v>
      </c>
      <c r="N12" s="6">
        <f>DS!S12</f>
        <v>0</v>
      </c>
      <c r="O12" s="69"/>
      <c r="P12" s="59">
        <f>RS!$P12</f>
        <v>5.8320000000000004E-3</v>
      </c>
      <c r="Q12" s="69"/>
      <c r="R12" s="4">
        <f>RS!R12</f>
        <v>2.31E-4</v>
      </c>
      <c r="S12" s="69"/>
      <c r="T12" s="70"/>
      <c r="U12" s="70"/>
      <c r="V12" s="85">
        <f>+DS!$AA12</f>
        <v>2.5401E-2</v>
      </c>
    </row>
    <row r="13" spans="1:49" x14ac:dyDescent="0.25">
      <c r="G13" s="16" t="s">
        <v>11</v>
      </c>
      <c r="H13" s="6">
        <v>15</v>
      </c>
      <c r="I13" s="4">
        <v>0.10796500000000001</v>
      </c>
      <c r="J13" s="69"/>
      <c r="K13" s="63">
        <f>DS!P13</f>
        <v>0.16520000000000001</v>
      </c>
      <c r="L13" s="69"/>
      <c r="M13" s="69">
        <f>DS!R13</f>
        <v>-7.18E-4</v>
      </c>
      <c r="N13" s="6">
        <f>DS!S13</f>
        <v>0</v>
      </c>
      <c r="O13" s="69"/>
      <c r="P13" s="59">
        <f>RS!$P13</f>
        <v>2.6634000000000001E-2</v>
      </c>
      <c r="Q13" s="69"/>
      <c r="R13" s="4">
        <f>RS!R13</f>
        <v>3.3000000000000003E-5</v>
      </c>
      <c r="S13" s="69"/>
      <c r="T13" s="70"/>
      <c r="U13" s="70"/>
      <c r="V13" s="85">
        <f>+DS!$AA13</f>
        <v>2.5401E-2</v>
      </c>
    </row>
    <row r="14" spans="1:49" x14ac:dyDescent="0.25">
      <c r="G14" s="16" t="s">
        <v>12</v>
      </c>
      <c r="H14" s="6">
        <v>15</v>
      </c>
      <c r="I14" s="4">
        <v>0.10796500000000001</v>
      </c>
      <c r="J14" s="69"/>
      <c r="K14" s="63">
        <f>DS!P14</f>
        <v>0.16789999999999999</v>
      </c>
      <c r="L14" s="69"/>
      <c r="M14" s="69">
        <f>DS!R14</f>
        <v>-7.18E-4</v>
      </c>
      <c r="N14" s="6">
        <f>DS!S14</f>
        <v>0</v>
      </c>
      <c r="O14" s="69"/>
      <c r="P14" s="59">
        <f>RS!$P14</f>
        <v>1.1039E-2</v>
      </c>
      <c r="Q14" s="69"/>
      <c r="R14" s="4">
        <f>RS!R14</f>
        <v>3.3000000000000003E-5</v>
      </c>
      <c r="S14" s="69"/>
      <c r="T14" s="70"/>
      <c r="U14" s="70"/>
      <c r="V14" s="85">
        <f>+DS!$AA14</f>
        <v>2.5401E-2</v>
      </c>
    </row>
    <row r="15" spans="1:49" x14ac:dyDescent="0.25">
      <c r="G15" s="16" t="s">
        <v>13</v>
      </c>
      <c r="H15" s="6">
        <v>15</v>
      </c>
      <c r="I15" s="4">
        <v>0.10796500000000001</v>
      </c>
      <c r="J15" s="69"/>
      <c r="K15" s="63">
        <f>DS!P15</f>
        <v>5.7200000000000001E-2</v>
      </c>
      <c r="L15" s="69"/>
      <c r="M15" s="69">
        <f>DS!R15</f>
        <v>-7.18E-4</v>
      </c>
      <c r="N15" s="6">
        <f>DS!S15</f>
        <v>0</v>
      </c>
      <c r="O15" s="69"/>
      <c r="P15" s="59">
        <f>RS!$P15</f>
        <v>1.3535999999999999E-2</v>
      </c>
      <c r="Q15" s="69"/>
      <c r="R15" s="4">
        <f>RS!R15</f>
        <v>3.3000000000000003E-5</v>
      </c>
      <c r="S15" s="69"/>
      <c r="T15" s="70"/>
      <c r="U15" s="70"/>
      <c r="V15" s="85">
        <f>+DS!$AA15</f>
        <v>2.5401E-2</v>
      </c>
    </row>
    <row r="16" spans="1:49" x14ac:dyDescent="0.25">
      <c r="G16" s="16" t="s">
        <v>14</v>
      </c>
      <c r="H16" s="6">
        <v>15</v>
      </c>
      <c r="I16" s="4">
        <v>0.10796500000000001</v>
      </c>
      <c r="J16" s="69"/>
      <c r="K16" s="63">
        <f>DS!P16</f>
        <v>5.4899999999999997E-2</v>
      </c>
      <c r="L16" s="69"/>
      <c r="M16" s="69">
        <f>DS!R16</f>
        <v>-7.18E-4</v>
      </c>
      <c r="N16" s="6">
        <f>DS!S16</f>
        <v>0</v>
      </c>
      <c r="O16" s="69"/>
      <c r="P16" s="59">
        <f>RS!$P16</f>
        <v>1.6767000000000001E-2</v>
      </c>
      <c r="Q16" s="69"/>
      <c r="R16" s="4">
        <f>RS!R16</f>
        <v>4.7270000000000003E-3</v>
      </c>
      <c r="S16" s="69"/>
      <c r="T16" s="70"/>
      <c r="U16" s="70"/>
      <c r="V16" s="85">
        <f>+DS!$AA16</f>
        <v>2.5401E-2</v>
      </c>
    </row>
    <row r="17" spans="1:49" x14ac:dyDescent="0.25">
      <c r="G17" s="16" t="s">
        <v>15</v>
      </c>
      <c r="H17" s="6">
        <v>15</v>
      </c>
      <c r="I17" s="4">
        <v>0.10796500000000001</v>
      </c>
      <c r="J17" s="69"/>
      <c r="K17" s="63">
        <f>DS!P17</f>
        <v>7.0599999999999996E-2</v>
      </c>
      <c r="L17" s="69"/>
      <c r="M17" s="69">
        <f>DS!R17</f>
        <v>-7.18E-4</v>
      </c>
      <c r="N17" s="6">
        <f>DS!S17</f>
        <v>0</v>
      </c>
      <c r="O17" s="69"/>
      <c r="P17" s="59">
        <f>RS!$P17</f>
        <v>5.4503999999999997E-2</v>
      </c>
      <c r="Q17" s="69"/>
      <c r="R17" s="4">
        <f>RS!R17</f>
        <v>4.7270000000000003E-3</v>
      </c>
      <c r="S17" s="69"/>
      <c r="T17" s="70"/>
      <c r="U17" s="70"/>
      <c r="V17" s="85">
        <f>+DS!$AA17</f>
        <v>2.5401E-2</v>
      </c>
    </row>
    <row r="18" spans="1:49" x14ac:dyDescent="0.25">
      <c r="G18" s="16" t="s">
        <v>16</v>
      </c>
      <c r="H18" s="6">
        <v>15</v>
      </c>
      <c r="I18" s="4">
        <v>0.10796500000000001</v>
      </c>
      <c r="J18" s="69"/>
      <c r="K18" s="63">
        <f>DS!P18</f>
        <v>7.7999999999999996E-3</v>
      </c>
      <c r="L18" s="69"/>
      <c r="M18" s="69">
        <f>DS!R18</f>
        <v>-7.18E-4</v>
      </c>
      <c r="N18" s="6">
        <f>DS!S18</f>
        <v>0</v>
      </c>
      <c r="O18" s="69"/>
      <c r="P18" s="59">
        <f>RS!$P18</f>
        <v>3.6070999999999999E-2</v>
      </c>
      <c r="Q18" s="69"/>
      <c r="R18" s="4">
        <f>RS!R18</f>
        <v>4.7270000000000003E-3</v>
      </c>
      <c r="S18" s="69"/>
      <c r="T18" s="70"/>
      <c r="U18" s="70"/>
      <c r="V18" s="85">
        <f>+DS!$AA18</f>
        <v>2.5401E-2</v>
      </c>
    </row>
    <row r="19" spans="1:49" x14ac:dyDescent="0.25">
      <c r="A19" s="11" t="s">
        <v>18</v>
      </c>
      <c r="G19" s="16" t="s">
        <v>17</v>
      </c>
      <c r="H19" s="6">
        <v>15</v>
      </c>
      <c r="I19" s="4">
        <v>0.10796500000000001</v>
      </c>
      <c r="J19" s="69"/>
      <c r="K19" s="63">
        <f>DS!P19</f>
        <v>0.14299999999999999</v>
      </c>
      <c r="L19" s="69"/>
      <c r="M19" s="69">
        <f>DS!R19</f>
        <v>-7.18E-4</v>
      </c>
      <c r="N19" s="6">
        <f>DS!S19</f>
        <v>0</v>
      </c>
      <c r="O19" s="69"/>
      <c r="P19" s="59">
        <f>RS!$P19</f>
        <v>6.1579000000000002E-2</v>
      </c>
      <c r="Q19" s="69"/>
      <c r="R19" s="4">
        <f>RS!R19</f>
        <v>4.4869999999999997E-3</v>
      </c>
      <c r="S19" s="69"/>
      <c r="T19" s="70"/>
      <c r="U19" s="70"/>
      <c r="V19" s="85">
        <f>+DS!$AA19</f>
        <v>2.5401E-2</v>
      </c>
    </row>
    <row r="20" spans="1:49" x14ac:dyDescent="0.25">
      <c r="A20" s="11">
        <v>500</v>
      </c>
      <c r="B20" s="45" t="s">
        <v>20</v>
      </c>
      <c r="C20" s="45"/>
      <c r="D20" s="45" t="s">
        <v>0</v>
      </c>
      <c r="E20" s="45" t="s">
        <v>4</v>
      </c>
    </row>
    <row r="21" spans="1:49" ht="30" x14ac:dyDescent="0.25">
      <c r="A21" s="45" t="s">
        <v>19</v>
      </c>
      <c r="B21" s="45" t="s">
        <v>30</v>
      </c>
      <c r="C21" s="12" t="s">
        <v>21</v>
      </c>
      <c r="D21" s="12"/>
      <c r="E21" s="12"/>
      <c r="G21" s="17" t="s">
        <v>6</v>
      </c>
      <c r="H21" s="37"/>
      <c r="I21" s="36">
        <f>$A$20</f>
        <v>500</v>
      </c>
      <c r="J21" s="38"/>
      <c r="K21" s="38"/>
      <c r="L21" s="38"/>
      <c r="M21" s="36">
        <f>$A$20</f>
        <v>500</v>
      </c>
      <c r="N21" s="36"/>
      <c r="O21" s="36"/>
      <c r="P21" s="39">
        <f>$A$20</f>
        <v>500</v>
      </c>
      <c r="Q21" s="38"/>
      <c r="R21" s="38">
        <f>$A$20</f>
        <v>500</v>
      </c>
      <c r="V21" s="86">
        <f>+A20</f>
        <v>500</v>
      </c>
      <c r="Z21" s="23"/>
      <c r="AA21" s="23"/>
      <c r="AB21" s="23"/>
      <c r="AD21" s="23"/>
      <c r="AE21" s="23"/>
      <c r="AF21" s="23"/>
      <c r="AG21" s="23"/>
      <c r="AI21" s="23"/>
      <c r="AJ21" s="23"/>
      <c r="AT21" s="23"/>
      <c r="AU21" s="23"/>
      <c r="AV21" s="23"/>
      <c r="AW21" s="23"/>
    </row>
    <row r="22" spans="1:49" x14ac:dyDescent="0.25">
      <c r="A22" s="24">
        <f>ROUND(SUM(H22:R22),2)</f>
        <v>90.55</v>
      </c>
      <c r="B22" s="24">
        <f>ROUND(P22,2)</f>
        <v>19.87</v>
      </c>
      <c r="C22" s="24">
        <f>ROUND(H22+I22,2)</f>
        <v>68.98</v>
      </c>
      <c r="D22" s="24">
        <f>ROUND(H22+N22,2)</f>
        <v>15</v>
      </c>
      <c r="E22" s="24">
        <f>ROUND(I22+M22+R22,2)</f>
        <v>53.21</v>
      </c>
      <c r="F22" s="6"/>
      <c r="G22" s="16" t="s">
        <v>1</v>
      </c>
      <c r="H22" s="24">
        <f>H8</f>
        <v>15</v>
      </c>
      <c r="I22" s="24">
        <f t="shared" ref="I22:I33" si="0">I8*I$21</f>
        <v>53.982500000000002</v>
      </c>
      <c r="J22" s="24"/>
      <c r="K22" s="24">
        <f>(SUM(H22:I22)+SUM(M22:R22)-P22-V22)*K8</f>
        <v>2.4757237000000005</v>
      </c>
      <c r="L22" s="24"/>
      <c r="M22" s="24">
        <f t="shared" ref="M22:M33" si="1">M8*M$21</f>
        <v>-0.35899999999999999</v>
      </c>
      <c r="N22" s="24">
        <f>N8</f>
        <v>0</v>
      </c>
      <c r="O22" s="24"/>
      <c r="P22" s="25">
        <f t="shared" ref="P22:P33" si="2">P8*P$21</f>
        <v>19.8675</v>
      </c>
      <c r="Q22" s="24"/>
      <c r="R22" s="24">
        <f>-R8*R$21</f>
        <v>-0.41350000000000003</v>
      </c>
      <c r="S22" s="24"/>
      <c r="T22" s="28"/>
      <c r="U22" s="28"/>
      <c r="V22" s="87">
        <f>V8*V21</f>
        <v>12.7005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</row>
    <row r="23" spans="1:49" x14ac:dyDescent="0.25">
      <c r="A23" s="24">
        <f t="shared" ref="A23:A33" si="3">ROUND(SUM(H23:R23),2)</f>
        <v>85.22</v>
      </c>
      <c r="B23" s="24">
        <f t="shared" ref="B23:B33" si="4">ROUND(P23,2)</f>
        <v>14.3</v>
      </c>
      <c r="C23" s="24">
        <f t="shared" ref="C23:C33" si="5">ROUND(H23+I23,2)</f>
        <v>68.98</v>
      </c>
      <c r="D23" s="24">
        <f t="shared" ref="D23:D33" si="6">ROUND(H23+N23,2)</f>
        <v>15</v>
      </c>
      <c r="E23" s="24">
        <f t="shared" ref="E23:E33" si="7">ROUND(I23+M23+R23,2)</f>
        <v>53.21</v>
      </c>
      <c r="G23" s="16" t="s">
        <v>7</v>
      </c>
      <c r="H23" s="24">
        <f t="shared" ref="H23:H33" si="8">H9</f>
        <v>15</v>
      </c>
      <c r="I23" s="24">
        <f t="shared" si="0"/>
        <v>53.982500000000002</v>
      </c>
      <c r="J23" s="24"/>
      <c r="K23" s="24">
        <f t="shared" ref="K23:K33" si="9">(SUM(H23:I23)+SUM(M23:R23)-P23-V23)*K9</f>
        <v>2.7088636000000008</v>
      </c>
      <c r="L23" s="24"/>
      <c r="M23" s="24">
        <f t="shared" si="1"/>
        <v>-0.35899999999999999</v>
      </c>
      <c r="N23" s="24">
        <f t="shared" ref="N23:N33" si="10">N9</f>
        <v>0</v>
      </c>
      <c r="O23" s="24"/>
      <c r="P23" s="25">
        <f t="shared" si="2"/>
        <v>14.2995</v>
      </c>
      <c r="Q23" s="24"/>
      <c r="R23" s="24">
        <f t="shared" ref="R23:R33" si="11">-R9*R$21</f>
        <v>-0.41350000000000003</v>
      </c>
      <c r="S23" s="24"/>
      <c r="T23" s="28"/>
      <c r="U23" s="28"/>
      <c r="V23" s="87">
        <f t="shared" ref="V23:V33" si="12">V9*V$21</f>
        <v>12.7005</v>
      </c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</row>
    <row r="24" spans="1:49" x14ac:dyDescent="0.25">
      <c r="A24" s="24">
        <f t="shared" si="3"/>
        <v>72.3</v>
      </c>
      <c r="B24" s="24">
        <f t="shared" si="4"/>
        <v>-0.59</v>
      </c>
      <c r="C24" s="24">
        <f t="shared" si="5"/>
        <v>68.98</v>
      </c>
      <c r="D24" s="24">
        <f t="shared" si="6"/>
        <v>15</v>
      </c>
      <c r="E24" s="24">
        <f t="shared" si="7"/>
        <v>53.51</v>
      </c>
      <c r="G24" s="16" t="s">
        <v>8</v>
      </c>
      <c r="H24" s="24">
        <f t="shared" si="8"/>
        <v>15</v>
      </c>
      <c r="I24" s="24">
        <f t="shared" si="0"/>
        <v>53.982500000000002</v>
      </c>
      <c r="J24" s="24"/>
      <c r="K24" s="24">
        <f t="shared" si="9"/>
        <v>4.3808887500000013</v>
      </c>
      <c r="L24" s="24"/>
      <c r="M24" s="24">
        <f t="shared" si="1"/>
        <v>-0.35899999999999999</v>
      </c>
      <c r="N24" s="24">
        <f t="shared" si="10"/>
        <v>0</v>
      </c>
      <c r="O24" s="24"/>
      <c r="P24" s="25">
        <f t="shared" si="2"/>
        <v>-0.59349999999999992</v>
      </c>
      <c r="Q24" s="24"/>
      <c r="R24" s="24">
        <f t="shared" si="11"/>
        <v>-0.11550000000000001</v>
      </c>
      <c r="S24" s="24"/>
      <c r="T24" s="28"/>
      <c r="U24" s="28"/>
      <c r="V24" s="87">
        <f t="shared" si="12"/>
        <v>12.7005</v>
      </c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</row>
    <row r="25" spans="1:49" x14ac:dyDescent="0.25">
      <c r="A25" s="24">
        <f t="shared" si="3"/>
        <v>79.91</v>
      </c>
      <c r="B25" s="24">
        <f t="shared" si="4"/>
        <v>2.99</v>
      </c>
      <c r="C25" s="24">
        <f t="shared" si="5"/>
        <v>68.98</v>
      </c>
      <c r="D25" s="24">
        <f t="shared" si="6"/>
        <v>15</v>
      </c>
      <c r="E25" s="24">
        <f t="shared" si="7"/>
        <v>53.51</v>
      </c>
      <c r="G25" s="16" t="s">
        <v>9</v>
      </c>
      <c r="H25" s="24">
        <f t="shared" si="8"/>
        <v>15</v>
      </c>
      <c r="I25" s="24">
        <f t="shared" si="0"/>
        <v>53.982500000000002</v>
      </c>
      <c r="J25" s="24"/>
      <c r="K25" s="24">
        <f t="shared" si="9"/>
        <v>8.4101902499999994</v>
      </c>
      <c r="L25" s="24"/>
      <c r="M25" s="24">
        <f t="shared" si="1"/>
        <v>-0.35899999999999999</v>
      </c>
      <c r="N25" s="24">
        <f t="shared" si="10"/>
        <v>0</v>
      </c>
      <c r="O25" s="24"/>
      <c r="P25" s="25">
        <f t="shared" si="2"/>
        <v>2.9940000000000002</v>
      </c>
      <c r="Q25" s="24"/>
      <c r="R25" s="24">
        <f t="shared" si="11"/>
        <v>-0.11550000000000001</v>
      </c>
      <c r="S25" s="24"/>
      <c r="T25" s="28"/>
      <c r="U25" s="28"/>
      <c r="V25" s="87">
        <f t="shared" si="12"/>
        <v>12.7005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</row>
    <row r="26" spans="1:49" x14ac:dyDescent="0.25">
      <c r="A26" s="24">
        <f t="shared" si="3"/>
        <v>79.69</v>
      </c>
      <c r="B26" s="24">
        <f t="shared" si="4"/>
        <v>2.92</v>
      </c>
      <c r="C26" s="24">
        <f t="shared" si="5"/>
        <v>68.98</v>
      </c>
      <c r="D26" s="24">
        <f t="shared" si="6"/>
        <v>15</v>
      </c>
      <c r="E26" s="24">
        <f t="shared" si="7"/>
        <v>53.51</v>
      </c>
      <c r="G26" s="16" t="s">
        <v>10</v>
      </c>
      <c r="H26" s="24">
        <f t="shared" si="8"/>
        <v>15</v>
      </c>
      <c r="I26" s="24">
        <f t="shared" si="0"/>
        <v>53.982500000000002</v>
      </c>
      <c r="J26" s="24"/>
      <c r="K26" s="24">
        <f t="shared" si="9"/>
        <v>8.2706715000000024</v>
      </c>
      <c r="L26" s="24"/>
      <c r="M26" s="24">
        <f t="shared" si="1"/>
        <v>-0.35899999999999999</v>
      </c>
      <c r="N26" s="24">
        <f t="shared" si="10"/>
        <v>0</v>
      </c>
      <c r="O26" s="24"/>
      <c r="P26" s="25">
        <f t="shared" si="2"/>
        <v>2.9160000000000004</v>
      </c>
      <c r="Q26" s="24"/>
      <c r="R26" s="24">
        <f t="shared" si="11"/>
        <v>-0.11550000000000001</v>
      </c>
      <c r="S26" s="24"/>
      <c r="T26" s="28"/>
      <c r="U26" s="28"/>
      <c r="V26" s="87">
        <f t="shared" si="12"/>
        <v>12.7005</v>
      </c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</row>
    <row r="27" spans="1:49" x14ac:dyDescent="0.25">
      <c r="A27" s="24">
        <f t="shared" si="3"/>
        <v>91.16</v>
      </c>
      <c r="B27" s="24">
        <f t="shared" si="4"/>
        <v>13.32</v>
      </c>
      <c r="C27" s="24">
        <f t="shared" si="5"/>
        <v>68.98</v>
      </c>
      <c r="D27" s="24">
        <f t="shared" si="6"/>
        <v>15</v>
      </c>
      <c r="E27" s="24">
        <f t="shared" si="7"/>
        <v>53.61</v>
      </c>
      <c r="G27" s="16" t="s">
        <v>11</v>
      </c>
      <c r="H27" s="24">
        <f t="shared" si="8"/>
        <v>15</v>
      </c>
      <c r="I27" s="24">
        <f t="shared" si="0"/>
        <v>53.982500000000002</v>
      </c>
      <c r="J27" s="24"/>
      <c r="K27" s="24">
        <f t="shared" si="9"/>
        <v>9.2357538000000012</v>
      </c>
      <c r="L27" s="24"/>
      <c r="M27" s="24">
        <f t="shared" si="1"/>
        <v>-0.35899999999999999</v>
      </c>
      <c r="N27" s="24">
        <f t="shared" si="10"/>
        <v>0</v>
      </c>
      <c r="O27" s="24"/>
      <c r="P27" s="25">
        <f t="shared" si="2"/>
        <v>13.317</v>
      </c>
      <c r="Q27" s="24"/>
      <c r="R27" s="24">
        <f t="shared" si="11"/>
        <v>-1.6500000000000001E-2</v>
      </c>
      <c r="S27" s="24"/>
      <c r="T27" s="28"/>
      <c r="U27" s="28"/>
      <c r="V27" s="87">
        <f t="shared" si="12"/>
        <v>12.7005</v>
      </c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</row>
    <row r="28" spans="1:49" x14ac:dyDescent="0.25">
      <c r="A28" s="24">
        <f t="shared" si="3"/>
        <v>83.51</v>
      </c>
      <c r="B28" s="24">
        <f t="shared" si="4"/>
        <v>5.52</v>
      </c>
      <c r="C28" s="24">
        <f t="shared" si="5"/>
        <v>68.98</v>
      </c>
      <c r="D28" s="24">
        <f t="shared" si="6"/>
        <v>15</v>
      </c>
      <c r="E28" s="24">
        <f t="shared" si="7"/>
        <v>53.61</v>
      </c>
      <c r="G28" s="16" t="s">
        <v>12</v>
      </c>
      <c r="H28" s="24">
        <f t="shared" si="8"/>
        <v>15</v>
      </c>
      <c r="I28" s="24">
        <f t="shared" si="0"/>
        <v>53.982500000000002</v>
      </c>
      <c r="J28" s="24"/>
      <c r="K28" s="24">
        <f t="shared" si="9"/>
        <v>9.3867013500000027</v>
      </c>
      <c r="L28" s="24"/>
      <c r="M28" s="24">
        <f t="shared" si="1"/>
        <v>-0.35899999999999999</v>
      </c>
      <c r="N28" s="24">
        <f t="shared" si="10"/>
        <v>0</v>
      </c>
      <c r="O28" s="24"/>
      <c r="P28" s="25">
        <f t="shared" si="2"/>
        <v>5.5194999999999999</v>
      </c>
      <c r="Q28" s="24"/>
      <c r="R28" s="24">
        <f t="shared" si="11"/>
        <v>-1.6500000000000001E-2</v>
      </c>
      <c r="S28" s="24"/>
      <c r="T28" s="28"/>
      <c r="U28" s="28"/>
      <c r="V28" s="87">
        <f t="shared" si="12"/>
        <v>12.7005</v>
      </c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</row>
    <row r="29" spans="1:49" x14ac:dyDescent="0.25">
      <c r="A29" s="24">
        <f t="shared" si="3"/>
        <v>78.569999999999993</v>
      </c>
      <c r="B29" s="24">
        <f t="shared" si="4"/>
        <v>6.77</v>
      </c>
      <c r="C29" s="24">
        <f t="shared" si="5"/>
        <v>68.98</v>
      </c>
      <c r="D29" s="24">
        <f t="shared" si="6"/>
        <v>15</v>
      </c>
      <c r="E29" s="24">
        <f t="shared" si="7"/>
        <v>53.61</v>
      </c>
      <c r="G29" s="16" t="s">
        <v>13</v>
      </c>
      <c r="H29" s="24">
        <f t="shared" si="8"/>
        <v>15</v>
      </c>
      <c r="I29" s="24">
        <f t="shared" si="0"/>
        <v>53.982500000000002</v>
      </c>
      <c r="J29" s="24"/>
      <c r="K29" s="24">
        <f t="shared" si="9"/>
        <v>3.1978518</v>
      </c>
      <c r="L29" s="24"/>
      <c r="M29" s="24">
        <f t="shared" si="1"/>
        <v>-0.35899999999999999</v>
      </c>
      <c r="N29" s="24">
        <f t="shared" si="10"/>
        <v>0</v>
      </c>
      <c r="O29" s="24"/>
      <c r="P29" s="25">
        <f t="shared" si="2"/>
        <v>6.7679999999999998</v>
      </c>
      <c r="Q29" s="24"/>
      <c r="R29" s="24">
        <f t="shared" si="11"/>
        <v>-1.6500000000000001E-2</v>
      </c>
      <c r="S29" s="24"/>
      <c r="T29" s="28"/>
      <c r="U29" s="28"/>
      <c r="V29" s="87">
        <f t="shared" si="12"/>
        <v>12.7005</v>
      </c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</row>
    <row r="30" spans="1:49" x14ac:dyDescent="0.25">
      <c r="A30" s="24">
        <f t="shared" si="3"/>
        <v>77.58</v>
      </c>
      <c r="B30" s="24">
        <f t="shared" si="4"/>
        <v>8.3800000000000008</v>
      </c>
      <c r="C30" s="24">
        <f t="shared" si="5"/>
        <v>68.98</v>
      </c>
      <c r="D30" s="24">
        <f t="shared" si="6"/>
        <v>15</v>
      </c>
      <c r="E30" s="24">
        <f t="shared" si="7"/>
        <v>51.26</v>
      </c>
      <c r="G30" s="16" t="s">
        <v>14</v>
      </c>
      <c r="H30" s="24">
        <f t="shared" si="8"/>
        <v>15</v>
      </c>
      <c r="I30" s="24">
        <f t="shared" si="0"/>
        <v>53.982500000000002</v>
      </c>
      <c r="J30" s="24"/>
      <c r="K30" s="24">
        <f t="shared" si="9"/>
        <v>2.9404165500000001</v>
      </c>
      <c r="L30" s="24"/>
      <c r="M30" s="24">
        <f t="shared" si="1"/>
        <v>-0.35899999999999999</v>
      </c>
      <c r="N30" s="24">
        <f t="shared" si="10"/>
        <v>0</v>
      </c>
      <c r="O30" s="24"/>
      <c r="P30" s="25">
        <f t="shared" si="2"/>
        <v>8.3834999999999997</v>
      </c>
      <c r="Q30" s="24"/>
      <c r="R30" s="24">
        <f t="shared" si="11"/>
        <v>-2.3635000000000002</v>
      </c>
      <c r="S30" s="24"/>
      <c r="T30" s="28"/>
      <c r="U30" s="28"/>
      <c r="V30" s="87">
        <f t="shared" si="12"/>
        <v>12.7005</v>
      </c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</row>
    <row r="31" spans="1:49" x14ac:dyDescent="0.25">
      <c r="A31" s="24">
        <f t="shared" si="3"/>
        <v>97.29</v>
      </c>
      <c r="B31" s="24">
        <f t="shared" si="4"/>
        <v>27.25</v>
      </c>
      <c r="C31" s="24">
        <f t="shared" si="5"/>
        <v>68.98</v>
      </c>
      <c r="D31" s="24">
        <f t="shared" si="6"/>
        <v>15</v>
      </c>
      <c r="E31" s="24">
        <f t="shared" si="7"/>
        <v>51.26</v>
      </c>
      <c r="G31" s="16" t="s">
        <v>15</v>
      </c>
      <c r="H31" s="24">
        <f t="shared" si="8"/>
        <v>15</v>
      </c>
      <c r="I31" s="24">
        <f t="shared" si="0"/>
        <v>53.982500000000002</v>
      </c>
      <c r="J31" s="24"/>
      <c r="K31" s="24">
        <f t="shared" si="9"/>
        <v>3.7813007000000001</v>
      </c>
      <c r="L31" s="24"/>
      <c r="M31" s="24">
        <f t="shared" si="1"/>
        <v>-0.35899999999999999</v>
      </c>
      <c r="N31" s="24">
        <f t="shared" si="10"/>
        <v>0</v>
      </c>
      <c r="O31" s="24"/>
      <c r="P31" s="25">
        <f t="shared" si="2"/>
        <v>27.251999999999999</v>
      </c>
      <c r="Q31" s="24"/>
      <c r="R31" s="24">
        <f t="shared" si="11"/>
        <v>-2.3635000000000002</v>
      </c>
      <c r="S31" s="24"/>
      <c r="T31" s="28"/>
      <c r="U31" s="28"/>
      <c r="V31" s="87">
        <f t="shared" si="12"/>
        <v>12.7005</v>
      </c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</row>
    <row r="32" spans="1:49" x14ac:dyDescent="0.25">
      <c r="A32" s="24">
        <f t="shared" si="3"/>
        <v>84.71</v>
      </c>
      <c r="B32" s="24">
        <f t="shared" si="4"/>
        <v>18.04</v>
      </c>
      <c r="C32" s="24">
        <f t="shared" si="5"/>
        <v>68.98</v>
      </c>
      <c r="D32" s="24">
        <f t="shared" si="6"/>
        <v>15</v>
      </c>
      <c r="E32" s="24">
        <f t="shared" si="7"/>
        <v>51.26</v>
      </c>
      <c r="G32" s="16" t="s">
        <v>16</v>
      </c>
      <c r="H32" s="24">
        <f t="shared" si="8"/>
        <v>15</v>
      </c>
      <c r="I32" s="24">
        <f t="shared" si="0"/>
        <v>53.982500000000002</v>
      </c>
      <c r="J32" s="24"/>
      <c r="K32" s="24">
        <f t="shared" si="9"/>
        <v>0.41776410000000003</v>
      </c>
      <c r="L32" s="24"/>
      <c r="M32" s="24">
        <f t="shared" si="1"/>
        <v>-0.35899999999999999</v>
      </c>
      <c r="N32" s="24">
        <f t="shared" si="10"/>
        <v>0</v>
      </c>
      <c r="O32" s="24"/>
      <c r="P32" s="25">
        <f t="shared" si="2"/>
        <v>18.035499999999999</v>
      </c>
      <c r="Q32" s="24"/>
      <c r="R32" s="24">
        <f t="shared" si="11"/>
        <v>-2.3635000000000002</v>
      </c>
      <c r="S32" s="24"/>
      <c r="T32" s="28"/>
      <c r="U32" s="28"/>
      <c r="V32" s="87">
        <f t="shared" si="12"/>
        <v>12.7005</v>
      </c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</row>
    <row r="33" spans="1:49" x14ac:dyDescent="0.25">
      <c r="A33" s="24">
        <f t="shared" si="3"/>
        <v>104.85</v>
      </c>
      <c r="B33" s="24">
        <f t="shared" si="4"/>
        <v>30.79</v>
      </c>
      <c r="C33" s="24">
        <f t="shared" si="5"/>
        <v>68.98</v>
      </c>
      <c r="D33" s="24">
        <f t="shared" si="6"/>
        <v>15</v>
      </c>
      <c r="E33" s="24">
        <f t="shared" si="7"/>
        <v>51.38</v>
      </c>
      <c r="G33" s="16" t="s">
        <v>17</v>
      </c>
      <c r="H33" s="24">
        <f t="shared" si="8"/>
        <v>15</v>
      </c>
      <c r="I33" s="24">
        <f t="shared" si="0"/>
        <v>53.982500000000002</v>
      </c>
      <c r="J33" s="24"/>
      <c r="K33" s="24">
        <f t="shared" si="9"/>
        <v>7.6761684999999993</v>
      </c>
      <c r="L33" s="24"/>
      <c r="M33" s="24">
        <f t="shared" si="1"/>
        <v>-0.35899999999999999</v>
      </c>
      <c r="N33" s="24">
        <f t="shared" si="10"/>
        <v>0</v>
      </c>
      <c r="O33" s="24"/>
      <c r="P33" s="25">
        <f t="shared" si="2"/>
        <v>30.7895</v>
      </c>
      <c r="Q33" s="24"/>
      <c r="R33" s="24">
        <f t="shared" si="11"/>
        <v>-2.2435</v>
      </c>
      <c r="S33" s="24"/>
      <c r="T33" s="28"/>
      <c r="U33" s="28"/>
      <c r="V33" s="87">
        <f t="shared" si="12"/>
        <v>12.7005</v>
      </c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</row>
    <row r="34" spans="1:49" x14ac:dyDescent="0.25">
      <c r="A34" s="24"/>
    </row>
  </sheetData>
  <mergeCells count="15">
    <mergeCell ref="AD4:AE4"/>
    <mergeCell ref="AF4:AG4"/>
    <mergeCell ref="AT4:AU4"/>
    <mergeCell ref="AV4:AW4"/>
    <mergeCell ref="H2:I2"/>
    <mergeCell ref="M2:N2"/>
    <mergeCell ref="Z2:AB2"/>
    <mergeCell ref="AD2:AG2"/>
    <mergeCell ref="AI2:AJ2"/>
    <mergeCell ref="AT2:AW2"/>
    <mergeCell ref="H3:I3"/>
    <mergeCell ref="Z3:AB3"/>
    <mergeCell ref="AD3:AG3"/>
    <mergeCell ref="AI3:AJ3"/>
    <mergeCell ref="AT3:AW3"/>
  </mergeCells>
  <pageMargins left="0.7" right="0.7" top="0.75" bottom="0.75" header="0.3" footer="0.3"/>
  <pageSetup scale="24" orientation="landscape" r:id="rId1"/>
  <headerFooter>
    <oddHeader>&amp;C&amp;"Times New Roman,Bold"&amp;10&amp;U
UNREDACTED
CONFIDENTIAL PROPRIETARY TRADE SECRET&amp;R&amp;"Times New Roman,Bold"&amp;10KyPSC Case No. 2022-00394
STAFF-DR-01-002 Confidential Attachment 2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B65"/>
  <sheetViews>
    <sheetView tabSelected="1" view="pageLayout" zoomScaleNormal="75" workbookViewId="0"/>
  </sheetViews>
  <sheetFormatPr defaultRowHeight="15" x14ac:dyDescent="0.25"/>
  <cols>
    <col min="1" max="1" width="18.42578125" customWidth="1"/>
    <col min="2" max="2" width="15.140625" customWidth="1"/>
    <col min="3" max="3" width="12.140625" customWidth="1"/>
    <col min="4" max="4" width="13.42578125" customWidth="1"/>
    <col min="5" max="5" width="11.5703125" customWidth="1"/>
    <col min="6" max="6" width="2.85546875" customWidth="1"/>
    <col min="7" max="7" width="9.140625" style="16"/>
    <col min="8" max="9" width="16" customWidth="1"/>
    <col min="10" max="10" width="15.85546875" customWidth="1"/>
    <col min="11" max="11" width="2.85546875" customWidth="1"/>
    <col min="12" max="12" width="18.5703125" customWidth="1"/>
    <col min="13" max="13" width="2.85546875" customWidth="1"/>
    <col min="14" max="15" width="12.140625" customWidth="1"/>
    <col min="16" max="16" width="2.85546875" customWidth="1"/>
    <col min="17" max="17" width="18.5703125" style="15" customWidth="1"/>
    <col min="18" max="18" width="2.85546875" customWidth="1"/>
    <col min="19" max="19" width="21.42578125" customWidth="1"/>
    <col min="20" max="20" width="2.85546875" style="8" customWidth="1"/>
    <col min="21" max="21" width="12.5703125" style="8" bestFit="1" customWidth="1"/>
    <col min="22" max="22" width="2.85546875" style="8" customWidth="1"/>
    <col min="23" max="23" width="22.140625" style="82" customWidth="1"/>
    <col min="24" max="24" width="2.85546875" style="8" customWidth="1"/>
    <col min="25" max="25" width="12.140625" style="8" customWidth="1"/>
    <col min="26" max="26" width="19.140625" style="8" customWidth="1"/>
    <col min="27" max="27" width="12.42578125" style="8" customWidth="1"/>
    <col min="28" max="28" width="2.85546875" style="8" customWidth="1"/>
    <col min="29" max="29" width="12.42578125" style="8" bestFit="1" customWidth="1"/>
    <col min="30" max="30" width="12.140625" style="8" customWidth="1"/>
    <col min="31" max="31" width="2.85546875" style="8" customWidth="1"/>
    <col min="32" max="32" width="15.42578125" style="8" bestFit="1" customWidth="1"/>
    <col min="33" max="33" width="14.42578125" style="8" customWidth="1"/>
    <col min="34" max="34" width="2.85546875" style="8" customWidth="1"/>
    <col min="35" max="35" width="15.5703125" style="8" bestFit="1" customWidth="1"/>
    <col min="36" max="36" width="2.85546875" style="8" customWidth="1"/>
    <col min="37" max="37" width="15.5703125" style="8" bestFit="1" customWidth="1"/>
    <col min="38" max="38" width="2.85546875" style="8" customWidth="1"/>
    <col min="39" max="39" width="15.5703125" style="8" bestFit="1" customWidth="1"/>
    <col min="40" max="40" width="2.85546875" style="8" customWidth="1"/>
    <col min="41" max="41" width="15.5703125" style="8" bestFit="1" customWidth="1"/>
    <col min="42" max="42" width="2.85546875" style="8" customWidth="1"/>
    <col min="43" max="43" width="12.42578125" style="8" bestFit="1" customWidth="1"/>
    <col min="44" max="44" width="11.5703125" style="8" bestFit="1" customWidth="1"/>
    <col min="45" max="45" width="12.42578125" style="8" bestFit="1" customWidth="1"/>
    <col min="46" max="46" width="11.5703125" style="8" bestFit="1" customWidth="1"/>
    <col min="47" max="54" width="9.140625" style="8"/>
  </cols>
  <sheetData>
    <row r="1" spans="1:46" x14ac:dyDescent="0.25">
      <c r="A1" t="s">
        <v>27</v>
      </c>
      <c r="C1" s="13"/>
      <c r="D1" s="13"/>
      <c r="E1" s="13"/>
      <c r="F1" s="13"/>
    </row>
    <row r="2" spans="1:46" x14ac:dyDescent="0.25">
      <c r="B2" s="13"/>
      <c r="C2" s="13"/>
      <c r="D2" s="13"/>
      <c r="E2" s="13"/>
      <c r="F2" s="13"/>
      <c r="H2" s="91" t="s">
        <v>56</v>
      </c>
      <c r="I2" s="91"/>
      <c r="J2" s="91"/>
      <c r="L2" s="61" t="s">
        <v>73</v>
      </c>
      <c r="N2" s="91" t="s">
        <v>32</v>
      </c>
      <c r="O2" s="91"/>
      <c r="P2" s="41"/>
      <c r="Q2" s="19" t="s">
        <v>40</v>
      </c>
      <c r="S2" s="41" t="s">
        <v>41</v>
      </c>
      <c r="T2" s="40"/>
      <c r="U2" s="40"/>
      <c r="V2" s="40"/>
      <c r="W2" s="83"/>
      <c r="Y2" s="89"/>
      <c r="Z2" s="89"/>
      <c r="AA2" s="89"/>
      <c r="AC2" s="89"/>
      <c r="AD2" s="89"/>
      <c r="AF2" s="89"/>
      <c r="AG2" s="89"/>
      <c r="AI2" s="40"/>
      <c r="AJ2" s="40"/>
      <c r="AK2" s="40"/>
      <c r="AL2" s="40"/>
      <c r="AM2" s="40"/>
      <c r="AN2" s="40"/>
      <c r="AO2" s="40"/>
      <c r="AQ2" s="89"/>
      <c r="AR2" s="89"/>
      <c r="AS2" s="89"/>
      <c r="AT2" s="89"/>
    </row>
    <row r="3" spans="1:46" x14ac:dyDescent="0.25">
      <c r="H3" s="91"/>
      <c r="I3" s="91"/>
      <c r="J3" s="91"/>
      <c r="L3" s="61" t="s">
        <v>75</v>
      </c>
      <c r="N3" s="41" t="s">
        <v>29</v>
      </c>
      <c r="O3" s="41" t="s">
        <v>33</v>
      </c>
      <c r="P3" s="41"/>
      <c r="Q3" s="19" t="s">
        <v>30</v>
      </c>
      <c r="S3" s="41" t="s">
        <v>31</v>
      </c>
      <c r="T3" s="40"/>
      <c r="U3" s="40"/>
      <c r="V3" s="40"/>
      <c r="W3" s="83" t="s">
        <v>80</v>
      </c>
      <c r="Y3" s="89"/>
      <c r="Z3" s="89"/>
      <c r="AA3" s="89"/>
      <c r="AC3" s="89"/>
      <c r="AD3" s="89"/>
      <c r="AF3" s="89"/>
      <c r="AG3" s="89"/>
      <c r="AI3" s="40"/>
      <c r="AJ3" s="40"/>
      <c r="AK3" s="40"/>
      <c r="AL3" s="40"/>
      <c r="AM3" s="40"/>
      <c r="AN3" s="40"/>
      <c r="AO3" s="40"/>
      <c r="AQ3" s="89"/>
      <c r="AR3" s="89"/>
      <c r="AS3" s="89"/>
      <c r="AT3" s="89"/>
    </row>
    <row r="4" spans="1:46" x14ac:dyDescent="0.25">
      <c r="H4" s="47" t="s">
        <v>66</v>
      </c>
      <c r="I4" s="41" t="s">
        <v>4</v>
      </c>
      <c r="J4" s="41" t="s">
        <v>4</v>
      </c>
      <c r="L4" s="61" t="s">
        <v>76</v>
      </c>
      <c r="N4" s="41" t="s">
        <v>4</v>
      </c>
      <c r="O4" s="41" t="s">
        <v>0</v>
      </c>
      <c r="P4" s="22"/>
      <c r="Q4" s="19" t="s">
        <v>4</v>
      </c>
      <c r="R4" s="41"/>
      <c r="S4" s="41" t="s">
        <v>4</v>
      </c>
      <c r="U4" s="40"/>
      <c r="W4" s="83" t="s">
        <v>81</v>
      </c>
      <c r="X4" s="40"/>
      <c r="Y4" s="89"/>
      <c r="Z4" s="89"/>
      <c r="AA4" s="89"/>
      <c r="AB4" s="40"/>
      <c r="AC4" s="89"/>
      <c r="AD4" s="90"/>
      <c r="AE4" s="40"/>
      <c r="AF4" s="89"/>
      <c r="AG4" s="89"/>
      <c r="AH4" s="40"/>
      <c r="AI4" s="40"/>
      <c r="AK4" s="40"/>
      <c r="AM4" s="40"/>
      <c r="AO4" s="40"/>
      <c r="AP4" s="40"/>
      <c r="AQ4" s="89"/>
      <c r="AR4" s="89"/>
      <c r="AS4" s="89"/>
      <c r="AT4" s="89"/>
    </row>
    <row r="5" spans="1:46" x14ac:dyDescent="0.25">
      <c r="H5" s="12"/>
      <c r="I5" s="12" t="s">
        <v>53</v>
      </c>
      <c r="J5" s="12" t="s">
        <v>54</v>
      </c>
      <c r="L5" s="61"/>
      <c r="N5" s="41"/>
      <c r="O5" s="41"/>
      <c r="P5" s="41"/>
      <c r="R5" s="41"/>
      <c r="X5" s="40"/>
      <c r="Y5" s="40"/>
      <c r="Z5" s="40"/>
      <c r="AA5" s="40"/>
      <c r="AB5" s="40"/>
      <c r="AC5" s="32"/>
      <c r="AD5" s="32"/>
      <c r="AE5" s="40"/>
      <c r="AF5" s="40"/>
      <c r="AG5" s="40"/>
      <c r="AH5" s="40"/>
      <c r="AP5" s="40"/>
      <c r="AQ5" s="40"/>
      <c r="AR5" s="40"/>
      <c r="AS5" s="32"/>
      <c r="AT5" s="32"/>
    </row>
    <row r="6" spans="1:46" ht="15.75" x14ac:dyDescent="0.25">
      <c r="H6" s="7" t="s">
        <v>2</v>
      </c>
      <c r="I6" s="2" t="s">
        <v>3</v>
      </c>
      <c r="J6" s="2" t="s">
        <v>3</v>
      </c>
      <c r="L6" s="62" t="s">
        <v>74</v>
      </c>
      <c r="N6" s="2" t="s">
        <v>3</v>
      </c>
      <c r="O6" s="7" t="s">
        <v>2</v>
      </c>
      <c r="P6" s="2"/>
      <c r="Q6" s="20" t="s">
        <v>3</v>
      </c>
      <c r="R6" s="2"/>
      <c r="S6" s="2" t="s">
        <v>3</v>
      </c>
      <c r="T6" s="23"/>
      <c r="U6" s="23"/>
      <c r="V6" s="23"/>
      <c r="W6" s="8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 x14ac:dyDescent="0.25">
      <c r="G7" s="17" t="s">
        <v>5</v>
      </c>
    </row>
    <row r="8" spans="1:46" x14ac:dyDescent="0.25">
      <c r="G8" s="16" t="s">
        <v>1</v>
      </c>
      <c r="H8" s="6">
        <v>3.23</v>
      </c>
      <c r="I8" s="4">
        <v>9.1068999999999997E-2</v>
      </c>
      <c r="J8" s="4">
        <v>0.104699</v>
      </c>
      <c r="K8" s="69"/>
      <c r="L8" s="63">
        <f>DS!P8</f>
        <v>4.4600000000000001E-2</v>
      </c>
      <c r="M8" s="69"/>
      <c r="N8" s="69">
        <f>DS!R8</f>
        <v>-7.18E-4</v>
      </c>
      <c r="O8" s="6">
        <f>DS!S8</f>
        <v>0</v>
      </c>
      <c r="P8" s="69"/>
      <c r="Q8" s="59">
        <f>RS!$P8</f>
        <v>3.9734999999999999E-2</v>
      </c>
      <c r="R8" s="69"/>
      <c r="S8" s="4">
        <f>RS!R8</f>
        <v>8.2700000000000004E-4</v>
      </c>
      <c r="T8" s="70"/>
      <c r="U8" s="70"/>
      <c r="V8" s="70"/>
      <c r="W8" s="85">
        <f>+DS!$AA8</f>
        <v>2.5401E-2</v>
      </c>
      <c r="X8" s="14"/>
      <c r="Y8" s="9"/>
      <c r="Z8" s="9"/>
      <c r="AA8" s="9"/>
      <c r="AB8" s="14"/>
      <c r="AC8" s="14"/>
      <c r="AD8" s="14"/>
      <c r="AE8" s="14"/>
      <c r="AF8" s="10"/>
      <c r="AG8" s="10"/>
      <c r="AH8" s="14"/>
      <c r="AJ8" s="14"/>
      <c r="AN8" s="14"/>
      <c r="AP8" s="14"/>
      <c r="AQ8" s="14"/>
      <c r="AR8" s="14"/>
      <c r="AS8" s="14"/>
      <c r="AT8" s="14"/>
    </row>
    <row r="9" spans="1:46" x14ac:dyDescent="0.25">
      <c r="G9" s="16" t="s">
        <v>7</v>
      </c>
      <c r="H9" s="6">
        <v>3.23</v>
      </c>
      <c r="I9" s="4">
        <v>9.1068999999999997E-2</v>
      </c>
      <c r="J9" s="4">
        <v>0.104699</v>
      </c>
      <c r="K9" s="69"/>
      <c r="L9" s="63">
        <f>DS!P9</f>
        <v>4.8800000000000003E-2</v>
      </c>
      <c r="M9" s="69"/>
      <c r="N9" s="69">
        <f>DS!R9</f>
        <v>-7.18E-4</v>
      </c>
      <c r="O9" s="6">
        <f>DS!S9</f>
        <v>0</v>
      </c>
      <c r="P9" s="69"/>
      <c r="Q9" s="59">
        <f>RS!$P9</f>
        <v>2.8598999999999999E-2</v>
      </c>
      <c r="R9" s="69"/>
      <c r="S9" s="4">
        <f>RS!R9</f>
        <v>8.2700000000000004E-4</v>
      </c>
      <c r="T9" s="70"/>
      <c r="U9" s="70"/>
      <c r="V9" s="70"/>
      <c r="W9" s="85">
        <f>+DS!$AA9</f>
        <v>2.5401E-2</v>
      </c>
      <c r="Y9" s="9"/>
      <c r="Z9" s="9"/>
      <c r="AA9" s="9"/>
      <c r="AC9" s="14"/>
      <c r="AD9" s="14"/>
      <c r="AF9" s="10"/>
      <c r="AG9" s="10"/>
      <c r="AI9" s="31"/>
      <c r="AK9" s="14"/>
      <c r="AM9" s="14"/>
      <c r="AO9" s="31"/>
      <c r="AQ9" s="14"/>
      <c r="AR9" s="14"/>
      <c r="AS9" s="14"/>
      <c r="AT9" s="14"/>
    </row>
    <row r="10" spans="1:46" x14ac:dyDescent="0.25">
      <c r="G10" s="16" t="s">
        <v>8</v>
      </c>
      <c r="H10" s="6">
        <v>3.23</v>
      </c>
      <c r="I10" s="4">
        <v>9.1068999999999997E-2</v>
      </c>
      <c r="J10" s="4">
        <v>0.104699</v>
      </c>
      <c r="K10" s="69"/>
      <c r="L10" s="63">
        <f>DS!P10</f>
        <v>7.85E-2</v>
      </c>
      <c r="M10" s="69"/>
      <c r="N10" s="69">
        <f>DS!R10</f>
        <v>-7.18E-4</v>
      </c>
      <c r="O10" s="6">
        <f>DS!S10</f>
        <v>0</v>
      </c>
      <c r="P10" s="69"/>
      <c r="Q10" s="59">
        <f>RS!$P10</f>
        <v>-1.1869999999999999E-3</v>
      </c>
      <c r="R10" s="69"/>
      <c r="S10" s="4">
        <f>RS!R10</f>
        <v>2.31E-4</v>
      </c>
      <c r="T10" s="70"/>
      <c r="U10" s="70"/>
      <c r="V10" s="70"/>
      <c r="W10" s="85">
        <f>+DS!$AA10</f>
        <v>2.5401E-2</v>
      </c>
      <c r="Y10" s="9"/>
      <c r="Z10" s="9"/>
      <c r="AA10" s="9"/>
      <c r="AC10" s="14"/>
      <c r="AD10" s="14"/>
      <c r="AF10" s="10"/>
      <c r="AG10" s="10"/>
      <c r="AI10" s="31"/>
      <c r="AK10" s="14"/>
      <c r="AM10" s="14"/>
      <c r="AO10" s="31"/>
      <c r="AQ10" s="14"/>
      <c r="AR10" s="14"/>
      <c r="AS10" s="14"/>
      <c r="AT10" s="14"/>
    </row>
    <row r="11" spans="1:46" x14ac:dyDescent="0.25">
      <c r="A11" s="13"/>
      <c r="G11" s="16" t="s">
        <v>9</v>
      </c>
      <c r="H11" s="6">
        <v>3.23</v>
      </c>
      <c r="I11" s="4">
        <v>9.1068999999999997E-2</v>
      </c>
      <c r="J11" s="4">
        <v>0.104699</v>
      </c>
      <c r="K11" s="69"/>
      <c r="L11" s="63">
        <f>DS!P11</f>
        <v>0.1507</v>
      </c>
      <c r="M11" s="69"/>
      <c r="N11" s="69">
        <f>DS!R11</f>
        <v>-7.18E-4</v>
      </c>
      <c r="O11" s="6">
        <f>DS!S11</f>
        <v>0</v>
      </c>
      <c r="P11" s="69"/>
      <c r="Q11" s="59">
        <f>RS!$P11</f>
        <v>5.9880000000000003E-3</v>
      </c>
      <c r="R11" s="69"/>
      <c r="S11" s="4">
        <f>RS!R11</f>
        <v>2.31E-4</v>
      </c>
      <c r="T11" s="70"/>
      <c r="U11" s="70"/>
      <c r="V11" s="70"/>
      <c r="W11" s="85">
        <f>+DS!$AA11</f>
        <v>2.5401E-2</v>
      </c>
    </row>
    <row r="12" spans="1:46" x14ac:dyDescent="0.25">
      <c r="A12" s="46"/>
      <c r="G12" s="16" t="s">
        <v>10</v>
      </c>
      <c r="H12" s="6">
        <v>3.23</v>
      </c>
      <c r="I12" s="4">
        <v>9.1068999999999997E-2</v>
      </c>
      <c r="J12" s="4">
        <v>0.104699</v>
      </c>
      <c r="K12" s="69"/>
      <c r="L12" s="63">
        <f>DS!P12</f>
        <v>0.1482</v>
      </c>
      <c r="M12" s="69"/>
      <c r="N12" s="69">
        <f>DS!R12</f>
        <v>-7.18E-4</v>
      </c>
      <c r="O12" s="6">
        <f>DS!S12</f>
        <v>0</v>
      </c>
      <c r="P12" s="69"/>
      <c r="Q12" s="59">
        <f>RS!$P12</f>
        <v>5.8320000000000004E-3</v>
      </c>
      <c r="R12" s="69"/>
      <c r="S12" s="4">
        <f>RS!R12</f>
        <v>2.31E-4</v>
      </c>
      <c r="T12" s="70"/>
      <c r="U12" s="70"/>
      <c r="V12" s="70"/>
      <c r="W12" s="85">
        <f>+DS!$AA12</f>
        <v>2.5401E-2</v>
      </c>
    </row>
    <row r="13" spans="1:46" x14ac:dyDescent="0.25">
      <c r="B13" s="8"/>
      <c r="G13" s="16" t="s">
        <v>11</v>
      </c>
      <c r="H13" s="6">
        <v>3.23</v>
      </c>
      <c r="I13" s="4">
        <v>9.1068999999999997E-2</v>
      </c>
      <c r="J13" s="4">
        <v>0.104699</v>
      </c>
      <c r="K13" s="69"/>
      <c r="L13" s="63">
        <f>DS!P13</f>
        <v>0.16520000000000001</v>
      </c>
      <c r="M13" s="69"/>
      <c r="N13" s="69">
        <f>DS!R13</f>
        <v>-7.18E-4</v>
      </c>
      <c r="O13" s="6">
        <f>DS!S13</f>
        <v>0</v>
      </c>
      <c r="P13" s="69"/>
      <c r="Q13" s="59">
        <f>RS!$P13</f>
        <v>2.6634000000000001E-2</v>
      </c>
      <c r="R13" s="69"/>
      <c r="S13" s="4">
        <f>RS!R13</f>
        <v>3.3000000000000003E-5</v>
      </c>
      <c r="T13" s="70"/>
      <c r="U13" s="70"/>
      <c r="V13" s="70"/>
      <c r="W13" s="85">
        <f>+DS!$AA13</f>
        <v>2.5401E-2</v>
      </c>
    </row>
    <row r="14" spans="1:46" x14ac:dyDescent="0.25">
      <c r="G14" s="16" t="s">
        <v>12</v>
      </c>
      <c r="H14" s="6">
        <v>3.23</v>
      </c>
      <c r="I14" s="4">
        <v>9.1068999999999997E-2</v>
      </c>
      <c r="J14" s="4">
        <v>0.104699</v>
      </c>
      <c r="K14" s="69"/>
      <c r="L14" s="63">
        <f>DS!P14</f>
        <v>0.16789999999999999</v>
      </c>
      <c r="M14" s="69"/>
      <c r="N14" s="69">
        <f>DS!R14</f>
        <v>-7.18E-4</v>
      </c>
      <c r="O14" s="6">
        <f>DS!S14</f>
        <v>0</v>
      </c>
      <c r="P14" s="69"/>
      <c r="Q14" s="59">
        <f>RS!$P14</f>
        <v>1.1039E-2</v>
      </c>
      <c r="R14" s="69"/>
      <c r="S14" s="4">
        <f>RS!R14</f>
        <v>3.3000000000000003E-5</v>
      </c>
      <c r="T14" s="70"/>
      <c r="U14" s="70"/>
      <c r="V14" s="70"/>
      <c r="W14" s="85">
        <f>+DS!$AA14</f>
        <v>2.5401E-2</v>
      </c>
    </row>
    <row r="15" spans="1:46" x14ac:dyDescent="0.25">
      <c r="G15" s="16" t="s">
        <v>13</v>
      </c>
      <c r="H15" s="6">
        <v>3.23</v>
      </c>
      <c r="I15" s="4">
        <v>9.1068999999999997E-2</v>
      </c>
      <c r="J15" s="4">
        <v>0.104699</v>
      </c>
      <c r="K15" s="69"/>
      <c r="L15" s="63">
        <f>DS!P15</f>
        <v>5.7200000000000001E-2</v>
      </c>
      <c r="M15" s="69"/>
      <c r="N15" s="69">
        <f>DS!R15</f>
        <v>-7.18E-4</v>
      </c>
      <c r="O15" s="6">
        <f>DS!S15</f>
        <v>0</v>
      </c>
      <c r="P15" s="69"/>
      <c r="Q15" s="59">
        <f>RS!$P15</f>
        <v>1.3535999999999999E-2</v>
      </c>
      <c r="R15" s="69"/>
      <c r="S15" s="4">
        <f>RS!R15</f>
        <v>3.3000000000000003E-5</v>
      </c>
      <c r="T15" s="70"/>
      <c r="U15" s="70"/>
      <c r="V15" s="70"/>
      <c r="W15" s="85">
        <f>+DS!$AA15</f>
        <v>2.5401E-2</v>
      </c>
      <c r="X15" s="70"/>
    </row>
    <row r="16" spans="1:46" x14ac:dyDescent="0.25">
      <c r="G16" s="16" t="s">
        <v>14</v>
      </c>
      <c r="H16" s="6">
        <v>3.23</v>
      </c>
      <c r="I16" s="4">
        <v>9.1068999999999997E-2</v>
      </c>
      <c r="J16" s="4">
        <v>0.104699</v>
      </c>
      <c r="K16" s="69"/>
      <c r="L16" s="63">
        <f>DS!P16</f>
        <v>5.4899999999999997E-2</v>
      </c>
      <c r="M16" s="69"/>
      <c r="N16" s="69">
        <f>DS!R16</f>
        <v>-7.18E-4</v>
      </c>
      <c r="O16" s="6">
        <f>DS!S16</f>
        <v>0</v>
      </c>
      <c r="P16" s="69"/>
      <c r="Q16" s="59">
        <f>RS!$P16</f>
        <v>1.6767000000000001E-2</v>
      </c>
      <c r="R16" s="69"/>
      <c r="S16" s="4">
        <f>RS!R16</f>
        <v>4.7270000000000003E-3</v>
      </c>
      <c r="T16" s="70"/>
      <c r="U16" s="70"/>
      <c r="V16" s="70"/>
      <c r="W16" s="85">
        <f>+DS!$AA16</f>
        <v>2.5401E-2</v>
      </c>
    </row>
    <row r="17" spans="1:46" x14ac:dyDescent="0.25">
      <c r="A17" s="11" t="s">
        <v>68</v>
      </c>
      <c r="G17" s="16" t="s">
        <v>15</v>
      </c>
      <c r="H17" s="6">
        <v>3.23</v>
      </c>
      <c r="I17" s="4">
        <v>9.1068999999999997E-2</v>
      </c>
      <c r="J17" s="4">
        <v>0.104699</v>
      </c>
      <c r="K17" s="69"/>
      <c r="L17" s="63">
        <f>DS!P17</f>
        <v>7.0599999999999996E-2</v>
      </c>
      <c r="M17" s="69"/>
      <c r="N17" s="69">
        <f>DS!R17</f>
        <v>-7.18E-4</v>
      </c>
      <c r="O17" s="6">
        <f>DS!S17</f>
        <v>0</v>
      </c>
      <c r="P17" s="69"/>
      <c r="Q17" s="59">
        <f>RS!$P17</f>
        <v>5.4503999999999997E-2</v>
      </c>
      <c r="R17" s="69"/>
      <c r="S17" s="4">
        <f>RS!R17</f>
        <v>4.7270000000000003E-3</v>
      </c>
      <c r="T17" s="70"/>
      <c r="U17" s="70"/>
      <c r="V17" s="70"/>
      <c r="W17" s="85">
        <f>+DS!$AA17</f>
        <v>2.5401E-2</v>
      </c>
    </row>
    <row r="18" spans="1:46" x14ac:dyDescent="0.25">
      <c r="A18" s="11">
        <v>5</v>
      </c>
      <c r="G18" s="16" t="s">
        <v>16</v>
      </c>
      <c r="H18" s="6">
        <v>3.23</v>
      </c>
      <c r="I18" s="4">
        <v>9.1068999999999997E-2</v>
      </c>
      <c r="J18" s="4">
        <v>0.104699</v>
      </c>
      <c r="K18" s="69"/>
      <c r="L18" s="63">
        <f>DS!P18</f>
        <v>7.7999999999999996E-3</v>
      </c>
      <c r="M18" s="69"/>
      <c r="N18" s="69">
        <f>DS!R18</f>
        <v>-7.18E-4</v>
      </c>
      <c r="O18" s="6">
        <f>DS!S18</f>
        <v>0</v>
      </c>
      <c r="P18" s="69"/>
      <c r="Q18" s="59">
        <f>RS!$P18</f>
        <v>3.6070999999999999E-2</v>
      </c>
      <c r="R18" s="69"/>
      <c r="S18" s="4">
        <f>RS!R18</f>
        <v>4.7270000000000003E-3</v>
      </c>
      <c r="T18" s="70"/>
      <c r="U18" s="70"/>
      <c r="V18" s="70"/>
      <c r="W18" s="85">
        <f>+DS!$AA18</f>
        <v>2.5401E-2</v>
      </c>
    </row>
    <row r="19" spans="1:46" x14ac:dyDescent="0.25">
      <c r="A19" s="11" t="s">
        <v>67</v>
      </c>
      <c r="G19" s="16" t="s">
        <v>17</v>
      </c>
      <c r="H19" s="6">
        <v>3.23</v>
      </c>
      <c r="I19" s="4">
        <v>9.1068999999999997E-2</v>
      </c>
      <c r="J19" s="4">
        <v>0.104699</v>
      </c>
      <c r="K19" s="69"/>
      <c r="L19" s="63">
        <f>DS!P19</f>
        <v>0.14299999999999999</v>
      </c>
      <c r="M19" s="69"/>
      <c r="N19" s="69">
        <f>DS!R19</f>
        <v>-7.18E-4</v>
      </c>
      <c r="O19" s="6">
        <f>DS!S19</f>
        <v>0</v>
      </c>
      <c r="P19" s="69"/>
      <c r="Q19" s="59">
        <f>RS!$P19</f>
        <v>6.1579000000000002E-2</v>
      </c>
      <c r="R19" s="69"/>
      <c r="S19" s="4">
        <f>RS!R19</f>
        <v>4.4869999999999997E-3</v>
      </c>
      <c r="T19" s="70"/>
      <c r="U19" s="70"/>
      <c r="V19" s="70"/>
      <c r="W19" s="85">
        <f>+DS!$AA19</f>
        <v>2.5401E-2</v>
      </c>
    </row>
    <row r="20" spans="1:46" x14ac:dyDescent="0.25">
      <c r="A20" s="26">
        <v>700</v>
      </c>
      <c r="B20" s="41" t="s">
        <v>20</v>
      </c>
      <c r="C20" s="41"/>
      <c r="D20" s="41" t="s">
        <v>0</v>
      </c>
      <c r="E20" s="41" t="s">
        <v>4</v>
      </c>
    </row>
    <row r="21" spans="1:46" ht="30" x14ac:dyDescent="0.25">
      <c r="A21" s="41" t="s">
        <v>19</v>
      </c>
      <c r="B21" s="41" t="s">
        <v>30</v>
      </c>
      <c r="C21" s="12" t="s">
        <v>21</v>
      </c>
      <c r="D21" s="12"/>
      <c r="E21" s="12"/>
      <c r="G21" s="18" t="s">
        <v>26</v>
      </c>
      <c r="H21" s="24">
        <f>IF($A$20&gt;0,0,1)</f>
        <v>0</v>
      </c>
      <c r="I21" s="43">
        <f>IF($A$20&gt;=540,$A$20*$A$18,0)</f>
        <v>3500</v>
      </c>
      <c r="J21" s="43">
        <f>IF($A$20&lt;540,$A$20*$A$18,0)</f>
        <v>0</v>
      </c>
      <c r="K21" s="38"/>
      <c r="L21" s="38"/>
      <c r="M21" s="38"/>
      <c r="N21" s="36">
        <f>$A$20*$A$18</f>
        <v>3500</v>
      </c>
      <c r="O21" s="36"/>
      <c r="P21" s="36"/>
      <c r="Q21" s="39">
        <f>$A$20*$A$18</f>
        <v>3500</v>
      </c>
      <c r="R21" s="38"/>
      <c r="S21" s="36">
        <f>$A$20*$A$18</f>
        <v>3500</v>
      </c>
      <c r="W21" s="86">
        <f>+A20</f>
        <v>700</v>
      </c>
      <c r="Y21" s="23"/>
      <c r="Z21" s="23"/>
      <c r="AA21" s="23"/>
      <c r="AC21" s="23"/>
      <c r="AD21" s="23"/>
      <c r="AF21" s="23"/>
      <c r="AG21" s="23"/>
      <c r="AQ21" s="23"/>
      <c r="AR21" s="23"/>
      <c r="AS21" s="23"/>
      <c r="AT21" s="23"/>
    </row>
    <row r="22" spans="1:46" x14ac:dyDescent="0.25">
      <c r="A22" s="24">
        <f t="shared" ref="A22:A23" si="0">ROUND(SUM(H22:S22),2)</f>
        <v>465.59</v>
      </c>
      <c r="B22" s="28">
        <f>ROUND(Q22,2)</f>
        <v>139.07</v>
      </c>
      <c r="C22" s="28">
        <f>ROUND(D22+E22,2)</f>
        <v>-5.41</v>
      </c>
      <c r="D22" s="24">
        <f>H22</f>
        <v>0</v>
      </c>
      <c r="E22" s="24">
        <f>ROUND(SUM(J22:J22)+N22+S22,2)</f>
        <v>-5.41</v>
      </c>
      <c r="F22" s="6"/>
      <c r="G22" s="16" t="s">
        <v>1</v>
      </c>
      <c r="H22" s="24">
        <f t="shared" ref="H22:J22" si="1">H8*H$21</f>
        <v>0</v>
      </c>
      <c r="I22" s="24">
        <f t="shared" ref="I22" si="2">I8*I$21</f>
        <v>318.74149999999997</v>
      </c>
      <c r="J22" s="24">
        <f t="shared" si="1"/>
        <v>0</v>
      </c>
      <c r="K22" s="28"/>
      <c r="L22" s="24">
        <f>(SUM(H22:J22)+SUM(N22:S22)-Q22-W22)*L8</f>
        <v>13.181677179999996</v>
      </c>
      <c r="M22" s="28"/>
      <c r="N22" s="24">
        <f t="shared" ref="N22:N33" si="3">N8*N$21</f>
        <v>-2.5129999999999999</v>
      </c>
      <c r="O22" s="24">
        <f>O8</f>
        <v>0</v>
      </c>
      <c r="P22" s="28"/>
      <c r="Q22" s="25">
        <f>Q8*Q21</f>
        <v>139.07249999999999</v>
      </c>
      <c r="R22" s="28"/>
      <c r="S22" s="24">
        <f>-S8*S$21</f>
        <v>-2.8945000000000003</v>
      </c>
      <c r="T22" s="28"/>
      <c r="U22" s="28"/>
      <c r="V22" s="28"/>
      <c r="W22" s="87">
        <f>W8*W21</f>
        <v>17.7807</v>
      </c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1:46" x14ac:dyDescent="0.25">
      <c r="A23" s="24">
        <f t="shared" si="0"/>
        <v>427.85</v>
      </c>
      <c r="B23" s="28">
        <f t="shared" ref="B23:B33" si="4">ROUND(Q23,2)</f>
        <v>100.1</v>
      </c>
      <c r="C23" s="28">
        <f t="shared" ref="C23:C33" si="5">ROUND(D23+E23,2)</f>
        <v>-5.41</v>
      </c>
      <c r="D23" s="24">
        <f t="shared" ref="D23:D33" si="6">H23</f>
        <v>0</v>
      </c>
      <c r="E23" s="24">
        <f t="shared" ref="E23:E33" si="7">ROUND(SUM(J23:J23)+N23+S23,2)</f>
        <v>-5.41</v>
      </c>
      <c r="G23" s="16" t="s">
        <v>7</v>
      </c>
      <c r="H23" s="24">
        <f t="shared" ref="H23:J23" si="8">H9*H$21</f>
        <v>0</v>
      </c>
      <c r="I23" s="24">
        <f t="shared" ref="I23" si="9">I9*I$21</f>
        <v>318.74149999999997</v>
      </c>
      <c r="J23" s="24">
        <f t="shared" si="8"/>
        <v>0</v>
      </c>
      <c r="K23" s="24"/>
      <c r="L23" s="24">
        <f t="shared" ref="L23:L33" si="10">(SUM(H23:J23)+SUM(N23:S23)-Q23-W23)*L9</f>
        <v>14.423001039999997</v>
      </c>
      <c r="M23" s="24"/>
      <c r="N23" s="24">
        <f t="shared" si="3"/>
        <v>-2.5129999999999999</v>
      </c>
      <c r="O23" s="24">
        <f t="shared" ref="O23:O33" si="11">O9</f>
        <v>0</v>
      </c>
      <c r="P23" s="24"/>
      <c r="Q23" s="25">
        <f t="shared" ref="Q23:Q33" si="12">Q9*Q$21</f>
        <v>100.09649999999999</v>
      </c>
      <c r="R23" s="24"/>
      <c r="S23" s="24">
        <f t="shared" ref="S23:S33" si="13">-S9*S$21</f>
        <v>-2.8945000000000003</v>
      </c>
      <c r="T23" s="28"/>
      <c r="U23" s="28"/>
      <c r="V23" s="28"/>
      <c r="W23" s="87">
        <f t="shared" ref="W23:W33" si="14">W9*W$21</f>
        <v>17.7807</v>
      </c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1:46" x14ac:dyDescent="0.25">
      <c r="A24" s="24">
        <f>ROUND(SUM(H24:S24),2)</f>
        <v>334.63</v>
      </c>
      <c r="B24" s="28">
        <f t="shared" si="4"/>
        <v>-4.1500000000000004</v>
      </c>
      <c r="C24" s="28">
        <f t="shared" si="5"/>
        <v>-3.32</v>
      </c>
      <c r="D24" s="24">
        <f t="shared" si="6"/>
        <v>0</v>
      </c>
      <c r="E24" s="24">
        <f t="shared" si="7"/>
        <v>-3.32</v>
      </c>
      <c r="G24" s="16" t="s">
        <v>8</v>
      </c>
      <c r="H24" s="24">
        <f t="shared" ref="H24:J24" si="15">H10*H$21</f>
        <v>0</v>
      </c>
      <c r="I24" s="24">
        <f t="shared" ref="I24" si="16">I10*I$21</f>
        <v>318.74149999999997</v>
      </c>
      <c r="J24" s="24">
        <f t="shared" si="15"/>
        <v>0</v>
      </c>
      <c r="K24" s="24"/>
      <c r="L24" s="24">
        <f t="shared" si="10"/>
        <v>23.364685049999995</v>
      </c>
      <c r="M24" s="24"/>
      <c r="N24" s="28">
        <f t="shared" si="3"/>
        <v>-2.5129999999999999</v>
      </c>
      <c r="O24" s="24">
        <f t="shared" si="11"/>
        <v>0</v>
      </c>
      <c r="P24" s="24"/>
      <c r="Q24" s="25">
        <f t="shared" si="12"/>
        <v>-4.1544999999999996</v>
      </c>
      <c r="R24" s="24"/>
      <c r="S24" s="24">
        <f t="shared" si="13"/>
        <v>-0.8085</v>
      </c>
      <c r="T24" s="28"/>
      <c r="U24" s="28"/>
      <c r="V24" s="28"/>
      <c r="W24" s="87">
        <f t="shared" si="14"/>
        <v>17.7807</v>
      </c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1:46" x14ac:dyDescent="0.25">
      <c r="A25" s="24">
        <f t="shared" ref="A25:A33" si="17">ROUND(SUM(H25:S25),2)</f>
        <v>381.23</v>
      </c>
      <c r="B25" s="28">
        <f t="shared" si="4"/>
        <v>20.96</v>
      </c>
      <c r="C25" s="28">
        <f t="shared" si="5"/>
        <v>-3.32</v>
      </c>
      <c r="D25" s="24">
        <f t="shared" si="6"/>
        <v>0</v>
      </c>
      <c r="E25" s="24">
        <f t="shared" si="7"/>
        <v>-3.32</v>
      </c>
      <c r="G25" s="16" t="s">
        <v>9</v>
      </c>
      <c r="H25" s="24">
        <f t="shared" ref="H25:J25" si="18">H11*H$21</f>
        <v>0</v>
      </c>
      <c r="I25" s="24">
        <f t="shared" ref="I25" si="19">I11*I$21</f>
        <v>318.74149999999997</v>
      </c>
      <c r="J25" s="24">
        <f t="shared" si="18"/>
        <v>0</v>
      </c>
      <c r="K25" s="24"/>
      <c r="L25" s="24">
        <f t="shared" si="10"/>
        <v>44.854242509999992</v>
      </c>
      <c r="M25" s="24"/>
      <c r="N25" s="24">
        <f t="shared" si="3"/>
        <v>-2.5129999999999999</v>
      </c>
      <c r="O25" s="24">
        <f t="shared" si="11"/>
        <v>0</v>
      </c>
      <c r="P25" s="24"/>
      <c r="Q25" s="25">
        <f t="shared" si="12"/>
        <v>20.958000000000002</v>
      </c>
      <c r="R25" s="24"/>
      <c r="S25" s="24">
        <f t="shared" si="13"/>
        <v>-0.8085</v>
      </c>
      <c r="T25" s="28"/>
      <c r="U25" s="28"/>
      <c r="V25" s="28"/>
      <c r="W25" s="87">
        <f t="shared" si="14"/>
        <v>17.7807</v>
      </c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1:46" x14ac:dyDescent="0.25">
      <c r="A26" s="24">
        <f t="shared" si="17"/>
        <v>379.94</v>
      </c>
      <c r="B26" s="28">
        <f t="shared" si="4"/>
        <v>20.41</v>
      </c>
      <c r="C26" s="28">
        <f t="shared" si="5"/>
        <v>-3.32</v>
      </c>
      <c r="D26" s="24">
        <f t="shared" si="6"/>
        <v>0</v>
      </c>
      <c r="E26" s="24">
        <f t="shared" si="7"/>
        <v>-3.32</v>
      </c>
      <c r="G26" s="16" t="s">
        <v>10</v>
      </c>
      <c r="H26" s="24">
        <f t="shared" ref="H26:J26" si="20">H12*H$21</f>
        <v>0</v>
      </c>
      <c r="I26" s="24">
        <f t="shared" ref="I26" si="21">I12*I$21</f>
        <v>318.74149999999997</v>
      </c>
      <c r="J26" s="24">
        <f t="shared" si="20"/>
        <v>0</v>
      </c>
      <c r="K26" s="24"/>
      <c r="L26" s="24">
        <f t="shared" si="10"/>
        <v>44.110144259999998</v>
      </c>
      <c r="M26" s="24"/>
      <c r="N26" s="24">
        <f t="shared" si="3"/>
        <v>-2.5129999999999999</v>
      </c>
      <c r="O26" s="24">
        <f t="shared" si="11"/>
        <v>0</v>
      </c>
      <c r="P26" s="24"/>
      <c r="Q26" s="25">
        <f t="shared" si="12"/>
        <v>20.412000000000003</v>
      </c>
      <c r="R26" s="24"/>
      <c r="S26" s="24">
        <f t="shared" si="13"/>
        <v>-0.8085</v>
      </c>
      <c r="T26" s="28"/>
      <c r="U26" s="28"/>
      <c r="V26" s="28"/>
      <c r="W26" s="87">
        <f t="shared" si="14"/>
        <v>17.7807</v>
      </c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1:46" x14ac:dyDescent="0.25">
      <c r="A27" s="24">
        <f t="shared" si="17"/>
        <v>458.62</v>
      </c>
      <c r="B27" s="28">
        <f t="shared" si="4"/>
        <v>93.22</v>
      </c>
      <c r="C27" s="28">
        <f t="shared" si="5"/>
        <v>-2.63</v>
      </c>
      <c r="D27" s="24">
        <f t="shared" si="6"/>
        <v>0</v>
      </c>
      <c r="E27" s="24">
        <f t="shared" si="7"/>
        <v>-2.63</v>
      </c>
      <c r="G27" s="16" t="s">
        <v>11</v>
      </c>
      <c r="H27" s="24">
        <f t="shared" ref="H27:J27" si="22">H13*H$21</f>
        <v>0</v>
      </c>
      <c r="I27" s="24">
        <f t="shared" ref="I27" si="23">I13*I$21</f>
        <v>318.74149999999997</v>
      </c>
      <c r="J27" s="24">
        <f t="shared" si="22"/>
        <v>0</v>
      </c>
      <c r="K27" s="24"/>
      <c r="L27" s="24">
        <f t="shared" si="10"/>
        <v>49.284495960000001</v>
      </c>
      <c r="M27" s="24"/>
      <c r="N27" s="24">
        <f t="shared" si="3"/>
        <v>-2.5129999999999999</v>
      </c>
      <c r="O27" s="24">
        <f t="shared" si="11"/>
        <v>0</v>
      </c>
      <c r="P27" s="24"/>
      <c r="Q27" s="25">
        <f t="shared" si="12"/>
        <v>93.219000000000008</v>
      </c>
      <c r="R27" s="24"/>
      <c r="S27" s="24">
        <f t="shared" si="13"/>
        <v>-0.11550000000000001</v>
      </c>
      <c r="T27" s="28"/>
      <c r="U27" s="28"/>
      <c r="V27" s="28"/>
      <c r="W27" s="87">
        <f t="shared" si="14"/>
        <v>17.7807</v>
      </c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1:46" x14ac:dyDescent="0.25">
      <c r="A28" s="24">
        <f t="shared" si="17"/>
        <v>404.84</v>
      </c>
      <c r="B28" s="28">
        <f t="shared" si="4"/>
        <v>38.64</v>
      </c>
      <c r="C28" s="28">
        <f t="shared" si="5"/>
        <v>-2.63</v>
      </c>
      <c r="D28" s="24">
        <f t="shared" si="6"/>
        <v>0</v>
      </c>
      <c r="E28" s="24">
        <f t="shared" si="7"/>
        <v>-2.63</v>
      </c>
      <c r="G28" s="16" t="s">
        <v>12</v>
      </c>
      <c r="H28" s="24">
        <f t="shared" ref="H28:J28" si="24">H14*H$21</f>
        <v>0</v>
      </c>
      <c r="I28" s="24">
        <f t="shared" ref="I28" si="25">I14*I$21</f>
        <v>318.74149999999997</v>
      </c>
      <c r="J28" s="24">
        <f t="shared" si="24"/>
        <v>0</v>
      </c>
      <c r="K28" s="24"/>
      <c r="L28" s="24">
        <f t="shared" si="10"/>
        <v>50.089993169999985</v>
      </c>
      <c r="M28" s="24"/>
      <c r="N28" s="24">
        <f t="shared" si="3"/>
        <v>-2.5129999999999999</v>
      </c>
      <c r="O28" s="24">
        <f t="shared" si="11"/>
        <v>0</v>
      </c>
      <c r="P28" s="24"/>
      <c r="Q28" s="25">
        <f t="shared" si="12"/>
        <v>38.636499999999998</v>
      </c>
      <c r="R28" s="24"/>
      <c r="S28" s="24">
        <f t="shared" si="13"/>
        <v>-0.11550000000000001</v>
      </c>
      <c r="T28" s="28"/>
      <c r="U28" s="28"/>
      <c r="V28" s="28"/>
      <c r="W28" s="87">
        <f t="shared" si="14"/>
        <v>17.7807</v>
      </c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1:46" x14ac:dyDescent="0.25">
      <c r="A29" s="24">
        <f t="shared" si="17"/>
        <v>380.55</v>
      </c>
      <c r="B29" s="28">
        <f t="shared" si="4"/>
        <v>47.38</v>
      </c>
      <c r="C29" s="28">
        <f t="shared" si="5"/>
        <v>-2.63</v>
      </c>
      <c r="D29" s="24">
        <f t="shared" si="6"/>
        <v>0</v>
      </c>
      <c r="E29" s="24">
        <f t="shared" si="7"/>
        <v>-2.63</v>
      </c>
      <c r="G29" s="16" t="s">
        <v>13</v>
      </c>
      <c r="H29" s="24">
        <f t="shared" ref="H29:J29" si="26">H15*H$21</f>
        <v>0</v>
      </c>
      <c r="I29" s="24">
        <f t="shared" ref="I29" si="27">I15*I$21</f>
        <v>318.74149999999997</v>
      </c>
      <c r="J29" s="24">
        <f t="shared" si="26"/>
        <v>0</v>
      </c>
      <c r="K29" s="24"/>
      <c r="L29" s="24">
        <f t="shared" si="10"/>
        <v>17.064607559999999</v>
      </c>
      <c r="M29" s="24"/>
      <c r="N29" s="24">
        <f t="shared" si="3"/>
        <v>-2.5129999999999999</v>
      </c>
      <c r="O29" s="24">
        <f t="shared" si="11"/>
        <v>0</v>
      </c>
      <c r="P29" s="24"/>
      <c r="Q29" s="25">
        <f t="shared" si="12"/>
        <v>47.375999999999998</v>
      </c>
      <c r="R29" s="24"/>
      <c r="S29" s="24">
        <f t="shared" si="13"/>
        <v>-0.11550000000000001</v>
      </c>
      <c r="T29" s="28"/>
      <c r="U29" s="28"/>
      <c r="V29" s="28"/>
      <c r="W29" s="87">
        <f t="shared" si="14"/>
        <v>17.7807</v>
      </c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1:46" x14ac:dyDescent="0.25">
      <c r="A30" s="24">
        <f t="shared" si="17"/>
        <v>373.84</v>
      </c>
      <c r="B30" s="28">
        <f t="shared" si="4"/>
        <v>58.68</v>
      </c>
      <c r="C30" s="28">
        <f t="shared" si="5"/>
        <v>-19.059999999999999</v>
      </c>
      <c r="D30" s="24">
        <f t="shared" si="6"/>
        <v>0</v>
      </c>
      <c r="E30" s="24">
        <f t="shared" si="7"/>
        <v>-19.059999999999999</v>
      </c>
      <c r="G30" s="16" t="s">
        <v>14</v>
      </c>
      <c r="H30" s="24">
        <f t="shared" ref="H30:J30" si="28">H16*H$21</f>
        <v>0</v>
      </c>
      <c r="I30" s="24">
        <f t="shared" ref="I30" si="29">I16*I$21</f>
        <v>318.74149999999997</v>
      </c>
      <c r="J30" s="24">
        <f t="shared" si="28"/>
        <v>0</v>
      </c>
      <c r="K30" s="24"/>
      <c r="L30" s="24">
        <f t="shared" si="10"/>
        <v>15.476491169999996</v>
      </c>
      <c r="M30" s="24"/>
      <c r="N30" s="24">
        <f t="shared" si="3"/>
        <v>-2.5129999999999999</v>
      </c>
      <c r="O30" s="24">
        <f t="shared" si="11"/>
        <v>0</v>
      </c>
      <c r="P30" s="24"/>
      <c r="Q30" s="25">
        <f t="shared" si="12"/>
        <v>58.6845</v>
      </c>
      <c r="R30" s="24"/>
      <c r="S30" s="24">
        <f t="shared" si="13"/>
        <v>-16.544499999999999</v>
      </c>
      <c r="T30" s="28"/>
      <c r="U30" s="28"/>
      <c r="V30" s="28"/>
      <c r="W30" s="87">
        <f t="shared" si="14"/>
        <v>17.7807</v>
      </c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1:46" x14ac:dyDescent="0.25">
      <c r="A31" s="24">
        <f t="shared" si="17"/>
        <v>510.35</v>
      </c>
      <c r="B31" s="28">
        <f t="shared" si="4"/>
        <v>190.76</v>
      </c>
      <c r="C31" s="28">
        <f t="shared" si="5"/>
        <v>-19.059999999999999</v>
      </c>
      <c r="D31" s="24">
        <f t="shared" si="6"/>
        <v>0</v>
      </c>
      <c r="E31" s="24">
        <f t="shared" si="7"/>
        <v>-19.059999999999999</v>
      </c>
      <c r="G31" s="16" t="s">
        <v>15</v>
      </c>
      <c r="H31" s="24">
        <f t="shared" ref="H31:J31" si="30">H17*H$21</f>
        <v>0</v>
      </c>
      <c r="I31" s="24">
        <f t="shared" ref="I31" si="31">I17*I$21</f>
        <v>318.74149999999997</v>
      </c>
      <c r="J31" s="24">
        <f t="shared" si="30"/>
        <v>0</v>
      </c>
      <c r="K31" s="24"/>
      <c r="L31" s="24">
        <f t="shared" si="10"/>
        <v>19.902372979999996</v>
      </c>
      <c r="M31" s="24"/>
      <c r="N31" s="24">
        <f t="shared" si="3"/>
        <v>-2.5129999999999999</v>
      </c>
      <c r="O31" s="24">
        <f t="shared" si="11"/>
        <v>0</v>
      </c>
      <c r="P31" s="24"/>
      <c r="Q31" s="25">
        <f t="shared" si="12"/>
        <v>190.76399999999998</v>
      </c>
      <c r="R31" s="24"/>
      <c r="S31" s="24">
        <f t="shared" si="13"/>
        <v>-16.544499999999999</v>
      </c>
      <c r="T31" s="28"/>
      <c r="U31" s="28"/>
      <c r="V31" s="28"/>
      <c r="W31" s="87">
        <f t="shared" si="14"/>
        <v>17.7807</v>
      </c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1:46" x14ac:dyDescent="0.25">
      <c r="A32" s="24">
        <f t="shared" si="17"/>
        <v>428.13</v>
      </c>
      <c r="B32" s="28">
        <f t="shared" si="4"/>
        <v>126.25</v>
      </c>
      <c r="C32" s="28">
        <f t="shared" si="5"/>
        <v>-19.059999999999999</v>
      </c>
      <c r="D32" s="24">
        <f t="shared" si="6"/>
        <v>0</v>
      </c>
      <c r="E32" s="24">
        <f t="shared" si="7"/>
        <v>-19.059999999999999</v>
      </c>
      <c r="G32" s="16" t="s">
        <v>16</v>
      </c>
      <c r="H32" s="24">
        <f t="shared" ref="H32:J32" si="32">H18*H$21</f>
        <v>0</v>
      </c>
      <c r="I32" s="24">
        <f t="shared" ref="I32" si="33">I18*I$21</f>
        <v>318.74149999999997</v>
      </c>
      <c r="J32" s="24">
        <f t="shared" si="32"/>
        <v>0</v>
      </c>
      <c r="K32" s="24"/>
      <c r="L32" s="24">
        <f t="shared" si="10"/>
        <v>2.1988457399999994</v>
      </c>
      <c r="M32" s="24"/>
      <c r="N32" s="24">
        <f t="shared" si="3"/>
        <v>-2.5129999999999999</v>
      </c>
      <c r="O32" s="24">
        <f t="shared" si="11"/>
        <v>0</v>
      </c>
      <c r="P32" s="24"/>
      <c r="Q32" s="25">
        <f t="shared" si="12"/>
        <v>126.24849999999999</v>
      </c>
      <c r="R32" s="24"/>
      <c r="S32" s="24">
        <f t="shared" si="13"/>
        <v>-16.544499999999999</v>
      </c>
      <c r="T32" s="28"/>
      <c r="U32" s="28"/>
      <c r="V32" s="28"/>
      <c r="W32" s="87">
        <f t="shared" si="14"/>
        <v>17.7807</v>
      </c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1:46" x14ac:dyDescent="0.25">
      <c r="A33" s="24">
        <f t="shared" si="17"/>
        <v>556.48</v>
      </c>
      <c r="B33" s="28">
        <f t="shared" si="4"/>
        <v>215.53</v>
      </c>
      <c r="C33" s="28">
        <f t="shared" si="5"/>
        <v>-18.22</v>
      </c>
      <c r="D33" s="24">
        <f t="shared" si="6"/>
        <v>0</v>
      </c>
      <c r="E33" s="24">
        <f t="shared" si="7"/>
        <v>-18.22</v>
      </c>
      <c r="G33" s="16" t="s">
        <v>17</v>
      </c>
      <c r="H33" s="24">
        <f t="shared" ref="H33:J33" si="34">H19*H$21</f>
        <v>0</v>
      </c>
      <c r="I33" s="24">
        <f t="shared" ref="I33" si="35">I19*I$21</f>
        <v>318.74149999999997</v>
      </c>
      <c r="J33" s="24">
        <f t="shared" si="34"/>
        <v>0</v>
      </c>
      <c r="K33" s="24"/>
      <c r="L33" s="24">
        <f t="shared" si="10"/>
        <v>40.432291899999989</v>
      </c>
      <c r="M33" s="24"/>
      <c r="N33" s="24">
        <f t="shared" si="3"/>
        <v>-2.5129999999999999</v>
      </c>
      <c r="O33" s="24">
        <f t="shared" si="11"/>
        <v>0</v>
      </c>
      <c r="P33" s="24"/>
      <c r="Q33" s="25">
        <f t="shared" si="12"/>
        <v>215.5265</v>
      </c>
      <c r="R33" s="24"/>
      <c r="S33" s="24">
        <f t="shared" si="13"/>
        <v>-15.704499999999999</v>
      </c>
      <c r="T33" s="28"/>
      <c r="U33" s="28"/>
      <c r="V33" s="28"/>
      <c r="W33" s="87">
        <f t="shared" si="14"/>
        <v>17.7807</v>
      </c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1:46" x14ac:dyDescent="0.25">
      <c r="B34" s="8"/>
      <c r="C34" s="8"/>
      <c r="D34" s="8"/>
    </row>
    <row r="35" spans="1:46" x14ac:dyDescent="0.25">
      <c r="A35" s="27"/>
      <c r="B35" s="8"/>
      <c r="C35" s="8"/>
      <c r="D35" s="29"/>
      <c r="H35" s="91"/>
      <c r="I35" s="91"/>
    </row>
    <row r="36" spans="1:46" x14ac:dyDescent="0.25">
      <c r="H36" s="41"/>
      <c r="I36" s="41"/>
    </row>
    <row r="37" spans="1:46" x14ac:dyDescent="0.25">
      <c r="H37" s="12"/>
      <c r="I37" s="12"/>
    </row>
    <row r="38" spans="1:46" x14ac:dyDescent="0.25">
      <c r="H38" s="2"/>
      <c r="I38" s="2"/>
    </row>
    <row r="40" spans="1:46" x14ac:dyDescent="0.25">
      <c r="H40" s="4"/>
      <c r="I40" s="4"/>
    </row>
    <row r="41" spans="1:46" x14ac:dyDescent="0.25">
      <c r="H41" s="4"/>
      <c r="I41" s="4"/>
    </row>
    <row r="42" spans="1:46" x14ac:dyDescent="0.25">
      <c r="H42" s="4"/>
      <c r="I42" s="4"/>
    </row>
    <row r="43" spans="1:46" x14ac:dyDescent="0.25">
      <c r="H43" s="4"/>
      <c r="I43" s="4"/>
    </row>
    <row r="44" spans="1:46" x14ac:dyDescent="0.25">
      <c r="I44" s="6"/>
    </row>
    <row r="45" spans="1:46" x14ac:dyDescent="0.25">
      <c r="I45" s="6"/>
    </row>
    <row r="46" spans="1:46" x14ac:dyDescent="0.25">
      <c r="I46" s="6"/>
    </row>
    <row r="47" spans="1:46" x14ac:dyDescent="0.25">
      <c r="I47" s="6"/>
    </row>
    <row r="48" spans="1:46" x14ac:dyDescent="0.25">
      <c r="I48" s="6"/>
    </row>
    <row r="49" spans="8:9" x14ac:dyDescent="0.25">
      <c r="I49" s="6"/>
    </row>
    <row r="50" spans="8:9" x14ac:dyDescent="0.25">
      <c r="I50" s="6"/>
    </row>
    <row r="51" spans="8:9" x14ac:dyDescent="0.25">
      <c r="I51" s="6"/>
    </row>
    <row r="53" spans="8:9" x14ac:dyDescent="0.25">
      <c r="H53" s="43"/>
      <c r="I53" s="43"/>
    </row>
    <row r="54" spans="8:9" x14ac:dyDescent="0.25">
      <c r="H54" s="24"/>
      <c r="I54" s="24"/>
    </row>
    <row r="55" spans="8:9" x14ac:dyDescent="0.25">
      <c r="H55" s="24"/>
      <c r="I55" s="24"/>
    </row>
    <row r="56" spans="8:9" x14ac:dyDescent="0.25">
      <c r="H56" s="24"/>
      <c r="I56" s="24"/>
    </row>
    <row r="57" spans="8:9" x14ac:dyDescent="0.25">
      <c r="H57" s="24"/>
      <c r="I57" s="24"/>
    </row>
    <row r="58" spans="8:9" x14ac:dyDescent="0.25">
      <c r="H58" s="24"/>
      <c r="I58" s="24"/>
    </row>
    <row r="59" spans="8:9" x14ac:dyDescent="0.25">
      <c r="H59" s="24"/>
      <c r="I59" s="24"/>
    </row>
    <row r="60" spans="8:9" x14ac:dyDescent="0.25">
      <c r="H60" s="24"/>
      <c r="I60" s="24"/>
    </row>
    <row r="61" spans="8:9" x14ac:dyDescent="0.25">
      <c r="H61" s="24"/>
      <c r="I61" s="24"/>
    </row>
    <row r="62" spans="8:9" x14ac:dyDescent="0.25">
      <c r="H62" s="24"/>
      <c r="I62" s="24"/>
    </row>
    <row r="63" spans="8:9" x14ac:dyDescent="0.25">
      <c r="H63" s="24"/>
      <c r="I63" s="24"/>
    </row>
    <row r="64" spans="8:9" x14ac:dyDescent="0.25">
      <c r="H64" s="24"/>
      <c r="I64" s="24"/>
    </row>
    <row r="65" spans="8:9" x14ac:dyDescent="0.25">
      <c r="H65" s="24"/>
      <c r="I65" s="24"/>
    </row>
  </sheetData>
  <mergeCells count="17">
    <mergeCell ref="AQ2:AT2"/>
    <mergeCell ref="H2:J2"/>
    <mergeCell ref="N2:O2"/>
    <mergeCell ref="Y2:AA2"/>
    <mergeCell ref="AC2:AD2"/>
    <mergeCell ref="AF2:AG2"/>
    <mergeCell ref="AS4:AT4"/>
    <mergeCell ref="H35:I35"/>
    <mergeCell ref="H3:J3"/>
    <mergeCell ref="Y3:AA3"/>
    <mergeCell ref="AC3:AD3"/>
    <mergeCell ref="AF3:AG3"/>
    <mergeCell ref="AQ3:AT3"/>
    <mergeCell ref="Y4:AA4"/>
    <mergeCell ref="AC4:AD4"/>
    <mergeCell ref="AF4:AG4"/>
    <mergeCell ref="AQ4:AR4"/>
  </mergeCells>
  <pageMargins left="0.7" right="0.7" top="0.75" bottom="0.75" header="0.3" footer="0.3"/>
  <pageSetup scale="24" orientation="landscape" r:id="rId1"/>
  <headerFooter>
    <oddHeader>&amp;C&amp;"Times New Roman,Bold"&amp;10&amp;U
UNREDACTED
CONFIDENTIAL PROPRIETARY TRADE SECRET&amp;R&amp;"Times New Roman,Bold"&amp;10KyPSC Case No. 2022-00394
STAFF-DR-01-002 Confidential Attachment 2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C35"/>
  <sheetViews>
    <sheetView tabSelected="1" view="pageLayout" zoomScaleNormal="75" workbookViewId="0"/>
  </sheetViews>
  <sheetFormatPr defaultRowHeight="15" x14ac:dyDescent="0.25"/>
  <cols>
    <col min="1" max="1" width="20.85546875" customWidth="1"/>
    <col min="2" max="2" width="15.140625" customWidth="1"/>
    <col min="3" max="3" width="12.140625" customWidth="1"/>
    <col min="4" max="4" width="13.42578125" customWidth="1"/>
    <col min="5" max="5" width="11.5703125" customWidth="1"/>
    <col min="6" max="6" width="2.85546875" customWidth="1"/>
    <col min="7" max="7" width="9.140625" style="16"/>
    <col min="8" max="8" width="9.42578125" bestFit="1" customWidth="1"/>
    <col min="9" max="9" width="10.42578125" bestFit="1" customWidth="1"/>
    <col min="10" max="11" width="15.85546875" customWidth="1"/>
    <col min="12" max="12" width="2.85546875" customWidth="1"/>
    <col min="13" max="13" width="18.5703125" customWidth="1"/>
    <col min="14" max="14" width="2.85546875" customWidth="1"/>
    <col min="15" max="16" width="12.140625" customWidth="1"/>
    <col min="17" max="17" width="2.85546875" customWidth="1"/>
    <col min="18" max="18" width="18.5703125" style="15" customWidth="1"/>
    <col min="19" max="19" width="2.85546875" customWidth="1"/>
    <col min="20" max="20" width="21.42578125" customWidth="1"/>
    <col min="21" max="21" width="2.85546875" style="8" customWidth="1"/>
    <col min="22" max="22" width="12.5703125" style="8" bestFit="1" customWidth="1"/>
    <col min="23" max="23" width="2.85546875" style="8" customWidth="1"/>
    <col min="24" max="24" width="22.140625" style="82" customWidth="1"/>
    <col min="25" max="25" width="2.85546875" style="8" customWidth="1"/>
    <col min="26" max="26" width="12.140625" style="8" customWidth="1"/>
    <col min="27" max="27" width="19.140625" style="8" customWidth="1"/>
    <col min="28" max="28" width="12.42578125" style="8" customWidth="1"/>
    <col min="29" max="29" width="2.85546875" style="8" customWidth="1"/>
    <col min="30" max="30" width="12.42578125" style="8" bestFit="1" customWidth="1"/>
    <col min="31" max="31" width="12.140625" style="8" customWidth="1"/>
    <col min="32" max="32" width="2.85546875" style="8" customWidth="1"/>
    <col min="33" max="33" width="15.42578125" style="8" bestFit="1" customWidth="1"/>
    <col min="34" max="34" width="14.42578125" style="8" customWidth="1"/>
    <col min="35" max="35" width="2.85546875" style="8" customWidth="1"/>
    <col min="36" max="36" width="15.5703125" style="8" bestFit="1" customWidth="1"/>
    <col min="37" max="37" width="2.85546875" style="8" customWidth="1"/>
    <col min="38" max="38" width="15.5703125" style="8" bestFit="1" customWidth="1"/>
    <col min="39" max="39" width="2.85546875" style="8" customWidth="1"/>
    <col min="40" max="40" width="15.5703125" style="8" bestFit="1" customWidth="1"/>
    <col min="41" max="41" width="2.85546875" style="8" customWidth="1"/>
    <col min="42" max="42" width="15.5703125" style="8" bestFit="1" customWidth="1"/>
    <col min="43" max="43" width="2.85546875" style="8" customWidth="1"/>
    <col min="44" max="44" width="12.42578125" style="8" bestFit="1" customWidth="1"/>
    <col min="45" max="45" width="11.5703125" style="8" bestFit="1" customWidth="1"/>
    <col min="46" max="46" width="12.42578125" style="8" bestFit="1" customWidth="1"/>
    <col min="47" max="47" width="11.5703125" style="8" bestFit="1" customWidth="1"/>
    <col min="48" max="55" width="9.140625" style="8"/>
  </cols>
  <sheetData>
    <row r="1" spans="1:47" x14ac:dyDescent="0.25">
      <c r="A1" t="s">
        <v>27</v>
      </c>
      <c r="C1" s="13"/>
      <c r="D1" s="13"/>
      <c r="E1" s="13"/>
      <c r="F1" s="13"/>
    </row>
    <row r="2" spans="1:47" x14ac:dyDescent="0.25">
      <c r="B2" s="13"/>
      <c r="C2" s="13"/>
      <c r="D2" s="13"/>
      <c r="E2" s="13"/>
      <c r="F2" s="13"/>
      <c r="H2" s="91" t="s">
        <v>42</v>
      </c>
      <c r="I2" s="91"/>
      <c r="J2" s="91"/>
      <c r="K2" s="91"/>
      <c r="M2" s="61" t="s">
        <v>73</v>
      </c>
      <c r="O2" s="91" t="s">
        <v>32</v>
      </c>
      <c r="P2" s="91"/>
      <c r="Q2" s="21"/>
      <c r="R2" s="19" t="s">
        <v>40</v>
      </c>
      <c r="T2" s="21" t="s">
        <v>41</v>
      </c>
      <c r="U2" s="30"/>
      <c r="V2" s="30"/>
      <c r="W2" s="30"/>
      <c r="X2" s="83"/>
      <c r="Z2" s="89"/>
      <c r="AA2" s="89"/>
      <c r="AB2" s="89"/>
      <c r="AD2" s="89"/>
      <c r="AE2" s="89"/>
      <c r="AG2" s="89"/>
      <c r="AH2" s="89"/>
      <c r="AJ2" s="30"/>
      <c r="AK2" s="30"/>
      <c r="AL2" s="30"/>
      <c r="AM2" s="30"/>
      <c r="AN2" s="30"/>
      <c r="AO2" s="30"/>
      <c r="AP2" s="30"/>
      <c r="AR2" s="89"/>
      <c r="AS2" s="89"/>
      <c r="AT2" s="89"/>
      <c r="AU2" s="89"/>
    </row>
    <row r="3" spans="1:47" x14ac:dyDescent="0.25">
      <c r="H3" s="91"/>
      <c r="I3" s="91"/>
      <c r="J3" s="21"/>
      <c r="K3" s="21"/>
      <c r="M3" s="61" t="s">
        <v>75</v>
      </c>
      <c r="O3" s="21" t="s">
        <v>29</v>
      </c>
      <c r="P3" s="21" t="s">
        <v>33</v>
      </c>
      <c r="Q3" s="21"/>
      <c r="R3" s="19" t="s">
        <v>30</v>
      </c>
      <c r="T3" s="21" t="s">
        <v>31</v>
      </c>
      <c r="U3" s="30"/>
      <c r="V3" s="30"/>
      <c r="W3" s="30"/>
      <c r="X3" s="83" t="s">
        <v>80</v>
      </c>
      <c r="Z3" s="89"/>
      <c r="AA3" s="89"/>
      <c r="AB3" s="89"/>
      <c r="AD3" s="89"/>
      <c r="AE3" s="89"/>
      <c r="AG3" s="89"/>
      <c r="AH3" s="89"/>
      <c r="AJ3" s="30"/>
      <c r="AK3" s="30"/>
      <c r="AL3" s="30"/>
      <c r="AM3" s="30"/>
      <c r="AN3" s="30"/>
      <c r="AO3" s="30"/>
      <c r="AP3" s="30"/>
      <c r="AR3" s="89"/>
      <c r="AS3" s="89"/>
      <c r="AT3" s="89"/>
      <c r="AU3" s="89"/>
    </row>
    <row r="4" spans="1:47" x14ac:dyDescent="0.25">
      <c r="H4" s="21" t="s">
        <v>0</v>
      </c>
      <c r="I4" s="21" t="s">
        <v>23</v>
      </c>
      <c r="J4" s="21" t="s">
        <v>4</v>
      </c>
      <c r="K4" s="21" t="s">
        <v>4</v>
      </c>
      <c r="M4" s="61" t="s">
        <v>76</v>
      </c>
      <c r="O4" s="21" t="s">
        <v>4</v>
      </c>
      <c r="P4" s="21" t="s">
        <v>0</v>
      </c>
      <c r="Q4" s="22"/>
      <c r="R4" s="19" t="s">
        <v>4</v>
      </c>
      <c r="S4" s="21"/>
      <c r="T4" s="21" t="s">
        <v>4</v>
      </c>
      <c r="V4" s="30"/>
      <c r="X4" s="83" t="s">
        <v>81</v>
      </c>
      <c r="Y4" s="30"/>
      <c r="Z4" s="89"/>
      <c r="AA4" s="89"/>
      <c r="AB4" s="89"/>
      <c r="AC4" s="30"/>
      <c r="AD4" s="89"/>
      <c r="AE4" s="90"/>
      <c r="AF4" s="30"/>
      <c r="AG4" s="89"/>
      <c r="AH4" s="89"/>
      <c r="AI4" s="30"/>
      <c r="AJ4" s="30"/>
      <c r="AL4" s="30"/>
      <c r="AN4" s="30"/>
      <c r="AP4" s="30"/>
      <c r="AQ4" s="30"/>
      <c r="AR4" s="89"/>
      <c r="AS4" s="89"/>
      <c r="AT4" s="89"/>
      <c r="AU4" s="89"/>
    </row>
    <row r="5" spans="1:47" x14ac:dyDescent="0.25">
      <c r="H5" s="12"/>
      <c r="I5" s="21"/>
      <c r="J5" s="21" t="s">
        <v>43</v>
      </c>
      <c r="K5" s="21" t="s">
        <v>38</v>
      </c>
      <c r="M5" s="61"/>
      <c r="O5" s="21"/>
      <c r="P5" s="21"/>
      <c r="Q5" s="21"/>
      <c r="S5" s="21"/>
      <c r="Y5" s="30"/>
      <c r="Z5" s="30"/>
      <c r="AA5" s="30"/>
      <c r="AB5" s="30"/>
      <c r="AC5" s="30"/>
      <c r="AD5" s="32"/>
      <c r="AE5" s="32"/>
      <c r="AF5" s="30"/>
      <c r="AG5" s="30"/>
      <c r="AH5" s="30"/>
      <c r="AI5" s="30"/>
      <c r="AQ5" s="30"/>
      <c r="AR5" s="30"/>
      <c r="AS5" s="30"/>
      <c r="AT5" s="32"/>
      <c r="AU5" s="32"/>
    </row>
    <row r="6" spans="1:47" ht="15.75" x14ac:dyDescent="0.25">
      <c r="H6" s="7" t="s">
        <v>2</v>
      </c>
      <c r="I6" s="2" t="s">
        <v>24</v>
      </c>
      <c r="J6" s="2" t="s">
        <v>3</v>
      </c>
      <c r="K6" s="2" t="s">
        <v>3</v>
      </c>
      <c r="M6" s="62" t="s">
        <v>74</v>
      </c>
      <c r="O6" s="2" t="s">
        <v>3</v>
      </c>
      <c r="P6" s="7" t="s">
        <v>2</v>
      </c>
      <c r="Q6" s="2"/>
      <c r="R6" s="20" t="s">
        <v>3</v>
      </c>
      <c r="S6" s="2"/>
      <c r="T6" s="2" t="s">
        <v>3</v>
      </c>
      <c r="U6" s="23"/>
      <c r="V6" s="23"/>
      <c r="W6" s="23"/>
      <c r="X6" s="84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</row>
    <row r="7" spans="1:47" x14ac:dyDescent="0.25">
      <c r="G7" s="17" t="s">
        <v>5</v>
      </c>
    </row>
    <row r="8" spans="1:47" x14ac:dyDescent="0.25">
      <c r="G8" s="16" t="s">
        <v>1</v>
      </c>
      <c r="H8" s="6">
        <v>117</v>
      </c>
      <c r="I8" s="6">
        <v>8.6</v>
      </c>
      <c r="J8" s="4">
        <v>5.7053E-2</v>
      </c>
      <c r="K8" s="4">
        <v>4.8481000000000003E-2</v>
      </c>
      <c r="L8" s="69"/>
      <c r="M8" s="63">
        <f>DS!P8</f>
        <v>4.4600000000000001E-2</v>
      </c>
      <c r="N8" s="69"/>
      <c r="O8" s="69">
        <f>DS!R8</f>
        <v>-7.18E-4</v>
      </c>
      <c r="P8" s="6">
        <f>DS!S8</f>
        <v>0</v>
      </c>
      <c r="Q8" s="69"/>
      <c r="R8" s="59">
        <f>RS!$P8</f>
        <v>3.9734999999999999E-2</v>
      </c>
      <c r="S8" s="69"/>
      <c r="T8" s="4">
        <f>RS!R8</f>
        <v>8.2700000000000004E-4</v>
      </c>
      <c r="U8" s="70"/>
      <c r="V8" s="70"/>
      <c r="W8" s="70"/>
      <c r="X8" s="85">
        <f>+DS!$AA8</f>
        <v>2.5401E-2</v>
      </c>
      <c r="Y8" s="70"/>
      <c r="Z8" s="9"/>
      <c r="AA8" s="9"/>
      <c r="AB8" s="9"/>
      <c r="AC8" s="14"/>
      <c r="AD8" s="14"/>
      <c r="AE8" s="14"/>
      <c r="AF8" s="14"/>
      <c r="AG8" s="10"/>
      <c r="AH8" s="10"/>
      <c r="AI8" s="14"/>
      <c r="AK8" s="14"/>
      <c r="AO8" s="14"/>
      <c r="AQ8" s="14"/>
      <c r="AR8" s="14"/>
      <c r="AS8" s="14"/>
      <c r="AT8" s="14"/>
      <c r="AU8" s="14"/>
    </row>
    <row r="9" spans="1:47" x14ac:dyDescent="0.25">
      <c r="G9" s="16" t="s">
        <v>7</v>
      </c>
      <c r="H9" s="6">
        <v>117</v>
      </c>
      <c r="I9" s="6">
        <v>8.6</v>
      </c>
      <c r="J9" s="4">
        <v>5.7053E-2</v>
      </c>
      <c r="K9" s="4">
        <v>4.8481000000000003E-2</v>
      </c>
      <c r="L9" s="69"/>
      <c r="M9" s="63">
        <f>DS!P9</f>
        <v>4.8800000000000003E-2</v>
      </c>
      <c r="N9" s="69"/>
      <c r="O9" s="69">
        <f>DS!R9</f>
        <v>-7.18E-4</v>
      </c>
      <c r="P9" s="6">
        <f>DS!S9</f>
        <v>0</v>
      </c>
      <c r="Q9" s="69"/>
      <c r="R9" s="59">
        <f>RS!$P9</f>
        <v>2.8598999999999999E-2</v>
      </c>
      <c r="S9" s="69"/>
      <c r="T9" s="4">
        <f>RS!R9</f>
        <v>8.2700000000000004E-4</v>
      </c>
      <c r="U9" s="70"/>
      <c r="V9" s="70"/>
      <c r="W9" s="70"/>
      <c r="X9" s="85">
        <f>+DS!$AA9</f>
        <v>2.5401E-2</v>
      </c>
      <c r="Z9" s="9"/>
      <c r="AA9" s="9"/>
      <c r="AB9" s="9"/>
      <c r="AD9" s="14"/>
      <c r="AE9" s="14"/>
      <c r="AG9" s="10"/>
      <c r="AH9" s="10"/>
      <c r="AJ9" s="31"/>
      <c r="AL9" s="14"/>
      <c r="AN9" s="14"/>
      <c r="AP9" s="31"/>
      <c r="AR9" s="14"/>
      <c r="AS9" s="14"/>
      <c r="AT9" s="14"/>
      <c r="AU9" s="14"/>
    </row>
    <row r="10" spans="1:47" x14ac:dyDescent="0.25">
      <c r="G10" s="16" t="s">
        <v>8</v>
      </c>
      <c r="H10" s="6">
        <v>117</v>
      </c>
      <c r="I10" s="6">
        <v>8.6</v>
      </c>
      <c r="J10" s="4">
        <v>5.7053E-2</v>
      </c>
      <c r="K10" s="4">
        <v>4.8481000000000003E-2</v>
      </c>
      <c r="L10" s="69"/>
      <c r="M10" s="63">
        <f>DS!P10</f>
        <v>7.85E-2</v>
      </c>
      <c r="N10" s="69"/>
      <c r="O10" s="69">
        <f>DS!R10</f>
        <v>-7.18E-4</v>
      </c>
      <c r="P10" s="6">
        <f>DS!S10</f>
        <v>0</v>
      </c>
      <c r="Q10" s="69"/>
      <c r="R10" s="59">
        <f>RS!$P10</f>
        <v>-1.1869999999999999E-3</v>
      </c>
      <c r="S10" s="69"/>
      <c r="T10" s="4">
        <f>RS!R10</f>
        <v>2.31E-4</v>
      </c>
      <c r="U10" s="70"/>
      <c r="V10" s="70"/>
      <c r="W10" s="70"/>
      <c r="X10" s="85">
        <f>+DS!$AA10</f>
        <v>2.5401E-2</v>
      </c>
      <c r="Z10" s="9"/>
      <c r="AA10" s="9"/>
      <c r="AB10" s="9"/>
      <c r="AD10" s="14"/>
      <c r="AE10" s="14"/>
      <c r="AG10" s="10"/>
      <c r="AH10" s="10"/>
      <c r="AJ10" s="31"/>
      <c r="AL10" s="14"/>
      <c r="AN10" s="14"/>
      <c r="AP10" s="31"/>
      <c r="AR10" s="14"/>
      <c r="AS10" s="14"/>
      <c r="AT10" s="14"/>
      <c r="AU10" s="14"/>
    </row>
    <row r="11" spans="1:47" x14ac:dyDescent="0.25">
      <c r="G11" s="16" t="s">
        <v>9</v>
      </c>
      <c r="H11" s="6">
        <v>117</v>
      </c>
      <c r="I11" s="6">
        <v>8.6</v>
      </c>
      <c r="J11" s="4">
        <v>5.7053E-2</v>
      </c>
      <c r="K11" s="4">
        <v>4.8481000000000003E-2</v>
      </c>
      <c r="L11" s="69"/>
      <c r="M11" s="63">
        <f>DS!P11</f>
        <v>0.1507</v>
      </c>
      <c r="N11" s="69"/>
      <c r="O11" s="69">
        <f>DS!R11</f>
        <v>-7.18E-4</v>
      </c>
      <c r="P11" s="6">
        <f>DS!S11</f>
        <v>0</v>
      </c>
      <c r="Q11" s="69"/>
      <c r="R11" s="59">
        <f>RS!$P11</f>
        <v>5.9880000000000003E-3</v>
      </c>
      <c r="S11" s="69"/>
      <c r="T11" s="4">
        <f>RS!R11</f>
        <v>2.31E-4</v>
      </c>
      <c r="U11" s="70"/>
      <c r="V11" s="70"/>
      <c r="W11" s="70"/>
      <c r="X11" s="85">
        <f>+DS!$AA11</f>
        <v>2.5401E-2</v>
      </c>
    </row>
    <row r="12" spans="1:47" x14ac:dyDescent="0.25">
      <c r="G12" s="16" t="s">
        <v>10</v>
      </c>
      <c r="H12" s="6">
        <v>117</v>
      </c>
      <c r="I12" s="6">
        <v>8.6</v>
      </c>
      <c r="J12" s="4">
        <v>5.7053E-2</v>
      </c>
      <c r="K12" s="4">
        <v>4.8481000000000003E-2</v>
      </c>
      <c r="L12" s="69"/>
      <c r="M12" s="63">
        <f>DS!P12</f>
        <v>0.1482</v>
      </c>
      <c r="N12" s="69"/>
      <c r="O12" s="69">
        <f>DS!R12</f>
        <v>-7.18E-4</v>
      </c>
      <c r="P12" s="6">
        <f>DS!S12</f>
        <v>0</v>
      </c>
      <c r="Q12" s="69"/>
      <c r="R12" s="59">
        <f>RS!$P12</f>
        <v>5.8320000000000004E-3</v>
      </c>
      <c r="S12" s="69"/>
      <c r="T12" s="4">
        <f>RS!R12</f>
        <v>2.31E-4</v>
      </c>
      <c r="U12" s="70"/>
      <c r="V12" s="70"/>
      <c r="W12" s="70"/>
      <c r="X12" s="85">
        <f>+DS!$AA12</f>
        <v>2.5401E-2</v>
      </c>
    </row>
    <row r="13" spans="1:47" x14ac:dyDescent="0.25">
      <c r="A13" s="11" t="s">
        <v>65</v>
      </c>
      <c r="G13" s="16" t="s">
        <v>11</v>
      </c>
      <c r="H13" s="6">
        <v>117</v>
      </c>
      <c r="I13" s="6">
        <v>8.6</v>
      </c>
      <c r="J13" s="4">
        <v>5.7053E-2</v>
      </c>
      <c r="K13" s="4">
        <v>4.8481000000000003E-2</v>
      </c>
      <c r="L13" s="69"/>
      <c r="M13" s="63">
        <f>DS!P13</f>
        <v>0.16520000000000001</v>
      </c>
      <c r="N13" s="69"/>
      <c r="O13" s="69">
        <f>DS!R13</f>
        <v>-7.18E-4</v>
      </c>
      <c r="P13" s="6">
        <f>DS!S13</f>
        <v>0</v>
      </c>
      <c r="Q13" s="69"/>
      <c r="R13" s="59">
        <f>RS!$P13</f>
        <v>2.6634000000000001E-2</v>
      </c>
      <c r="S13" s="69"/>
      <c r="T13" s="4">
        <f>RS!R13</f>
        <v>3.3000000000000003E-5</v>
      </c>
      <c r="U13" s="70"/>
      <c r="V13" s="70"/>
      <c r="W13" s="70"/>
      <c r="X13" s="85">
        <f>+DS!$AA13</f>
        <v>2.5401E-2</v>
      </c>
    </row>
    <row r="14" spans="1:47" x14ac:dyDescent="0.25">
      <c r="A14" s="42" t="s">
        <v>57</v>
      </c>
      <c r="G14" s="16" t="s">
        <v>12</v>
      </c>
      <c r="H14" s="6">
        <v>117</v>
      </c>
      <c r="I14" s="6">
        <v>8.6</v>
      </c>
      <c r="J14" s="4">
        <v>5.7053E-2</v>
      </c>
      <c r="K14" s="4">
        <v>4.8481000000000003E-2</v>
      </c>
      <c r="L14" s="69"/>
      <c r="M14" s="63">
        <f>DS!P14</f>
        <v>0.16789999999999999</v>
      </c>
      <c r="N14" s="69"/>
      <c r="O14" s="69">
        <f>DS!R14</f>
        <v>-7.18E-4</v>
      </c>
      <c r="P14" s="6">
        <f>DS!S14</f>
        <v>0</v>
      </c>
      <c r="Q14" s="69"/>
      <c r="R14" s="59">
        <f>RS!$P14</f>
        <v>1.1039E-2</v>
      </c>
      <c r="S14" s="69"/>
      <c r="T14" s="4">
        <f>RS!R14</f>
        <v>3.3000000000000003E-5</v>
      </c>
      <c r="U14" s="70"/>
      <c r="V14" s="70"/>
      <c r="W14" s="70"/>
      <c r="X14" s="85">
        <f>+DS!$AA14</f>
        <v>2.5401E-2</v>
      </c>
    </row>
    <row r="15" spans="1:47" x14ac:dyDescent="0.25">
      <c r="A15" s="11" t="s">
        <v>25</v>
      </c>
      <c r="G15" s="16" t="s">
        <v>13</v>
      </c>
      <c r="H15" s="6">
        <v>117</v>
      </c>
      <c r="I15" s="6">
        <v>8.6</v>
      </c>
      <c r="J15" s="4">
        <v>5.7053E-2</v>
      </c>
      <c r="K15" s="4">
        <v>4.8481000000000003E-2</v>
      </c>
      <c r="L15" s="69"/>
      <c r="M15" s="63">
        <f>DS!P15</f>
        <v>5.7200000000000001E-2</v>
      </c>
      <c r="N15" s="69"/>
      <c r="O15" s="69">
        <f>DS!R15</f>
        <v>-7.18E-4</v>
      </c>
      <c r="P15" s="6">
        <f>DS!S15</f>
        <v>0</v>
      </c>
      <c r="Q15" s="69"/>
      <c r="R15" s="59">
        <f>RS!$P15</f>
        <v>1.3535999999999999E-2</v>
      </c>
      <c r="S15" s="69"/>
      <c r="T15" s="4">
        <f>RS!R15</f>
        <v>3.3000000000000003E-5</v>
      </c>
      <c r="U15" s="70"/>
      <c r="V15" s="70"/>
      <c r="W15" s="70"/>
      <c r="X15" s="85">
        <f>+DS!$AA15</f>
        <v>2.5401E-2</v>
      </c>
    </row>
    <row r="16" spans="1:47" x14ac:dyDescent="0.25">
      <c r="A16" s="11">
        <v>246.2</v>
      </c>
      <c r="G16" s="16" t="s">
        <v>14</v>
      </c>
      <c r="H16" s="6">
        <v>117</v>
      </c>
      <c r="I16" s="6">
        <v>8.6</v>
      </c>
      <c r="J16" s="4">
        <v>5.7053E-2</v>
      </c>
      <c r="K16" s="4">
        <v>4.8481000000000003E-2</v>
      </c>
      <c r="L16" s="69"/>
      <c r="M16" s="63">
        <f>DS!P16</f>
        <v>5.4899999999999997E-2</v>
      </c>
      <c r="N16" s="69"/>
      <c r="O16" s="69">
        <f>DS!R16</f>
        <v>-7.18E-4</v>
      </c>
      <c r="P16" s="6">
        <f>DS!S16</f>
        <v>0</v>
      </c>
      <c r="Q16" s="69"/>
      <c r="R16" s="59">
        <f>RS!$P16</f>
        <v>1.6767000000000001E-2</v>
      </c>
      <c r="S16" s="69"/>
      <c r="T16" s="4">
        <f>RS!R16</f>
        <v>4.7270000000000003E-3</v>
      </c>
      <c r="U16" s="70"/>
      <c r="V16" s="70"/>
      <c r="W16" s="70"/>
      <c r="X16" s="85">
        <f>+DS!$AA16</f>
        <v>2.5401E-2</v>
      </c>
    </row>
    <row r="17" spans="1:47" x14ac:dyDescent="0.25">
      <c r="A17" s="11" t="s">
        <v>18</v>
      </c>
      <c r="G17" s="16" t="s">
        <v>15</v>
      </c>
      <c r="H17" s="6">
        <v>117</v>
      </c>
      <c r="I17" s="6">
        <v>8.6</v>
      </c>
      <c r="J17" s="4">
        <v>5.7053E-2</v>
      </c>
      <c r="K17" s="4">
        <v>4.8481000000000003E-2</v>
      </c>
      <c r="L17" s="69"/>
      <c r="M17" s="63">
        <f>DS!P17</f>
        <v>7.0599999999999996E-2</v>
      </c>
      <c r="N17" s="69"/>
      <c r="O17" s="69">
        <f>DS!R17</f>
        <v>-7.18E-4</v>
      </c>
      <c r="P17" s="6">
        <f>DS!S17</f>
        <v>0</v>
      </c>
      <c r="Q17" s="69"/>
      <c r="R17" s="59">
        <f>RS!$P17</f>
        <v>5.4503999999999997E-2</v>
      </c>
      <c r="S17" s="69"/>
      <c r="T17" s="4">
        <f>RS!R17</f>
        <v>4.7270000000000003E-3</v>
      </c>
      <c r="U17" s="70"/>
      <c r="V17" s="70"/>
      <c r="W17" s="70"/>
      <c r="X17" s="85">
        <f>+DS!$AA17</f>
        <v>2.5401E-2</v>
      </c>
    </row>
    <row r="18" spans="1:47" x14ac:dyDescent="0.25">
      <c r="A18" s="26">
        <v>66667</v>
      </c>
      <c r="G18" s="16" t="s">
        <v>16</v>
      </c>
      <c r="H18" s="6">
        <v>117</v>
      </c>
      <c r="I18" s="6">
        <v>8.6</v>
      </c>
      <c r="J18" s="4">
        <v>5.7053E-2</v>
      </c>
      <c r="K18" s="4">
        <v>4.8481000000000003E-2</v>
      </c>
      <c r="L18" s="69"/>
      <c r="M18" s="63">
        <f>DS!P18</f>
        <v>7.7999999999999996E-3</v>
      </c>
      <c r="N18" s="69"/>
      <c r="O18" s="69">
        <f>DS!R18</f>
        <v>-7.18E-4</v>
      </c>
      <c r="P18" s="6">
        <f>DS!S18</f>
        <v>0</v>
      </c>
      <c r="Q18" s="69"/>
      <c r="R18" s="59">
        <f>RS!$P18</f>
        <v>3.6070999999999999E-2</v>
      </c>
      <c r="S18" s="69"/>
      <c r="T18" s="4">
        <f>RS!R18</f>
        <v>4.7270000000000003E-3</v>
      </c>
      <c r="U18" s="70"/>
      <c r="V18" s="70"/>
      <c r="W18" s="70"/>
      <c r="X18" s="85">
        <f>+DS!$AA18</f>
        <v>2.5401E-2</v>
      </c>
    </row>
    <row r="19" spans="1:47" x14ac:dyDescent="0.25">
      <c r="A19" s="33" t="s">
        <v>48</v>
      </c>
      <c r="G19" s="16" t="s">
        <v>17</v>
      </c>
      <c r="H19" s="6">
        <v>117</v>
      </c>
      <c r="I19" s="6">
        <v>8.6</v>
      </c>
      <c r="J19" s="4">
        <v>5.7053E-2</v>
      </c>
      <c r="K19" s="4">
        <v>4.8481000000000003E-2</v>
      </c>
      <c r="L19" s="69"/>
      <c r="M19" s="63">
        <f>DS!P19</f>
        <v>0.14299999999999999</v>
      </c>
      <c r="N19" s="69"/>
      <c r="O19" s="69">
        <f>DS!R19</f>
        <v>-7.18E-4</v>
      </c>
      <c r="P19" s="6">
        <f>DS!S19</f>
        <v>0</v>
      </c>
      <c r="Q19" s="69"/>
      <c r="R19" s="59">
        <f>RS!$P19</f>
        <v>6.1579000000000002E-2</v>
      </c>
      <c r="S19" s="69"/>
      <c r="T19" s="4">
        <f>RS!R19</f>
        <v>4.4869999999999997E-3</v>
      </c>
      <c r="U19" s="70"/>
      <c r="V19" s="70"/>
      <c r="W19" s="70"/>
      <c r="X19" s="85">
        <f>+DS!$AA19</f>
        <v>2.5401E-2</v>
      </c>
      <c r="Y19" s="70"/>
      <c r="Z19" s="70"/>
      <c r="AA19" s="70"/>
      <c r="AB19" s="70"/>
      <c r="AC19" s="70"/>
      <c r="AD19" s="70"/>
      <c r="AE19" s="70"/>
      <c r="AF19" s="70"/>
      <c r="AG19" s="70"/>
    </row>
    <row r="20" spans="1:47" x14ac:dyDescent="0.25">
      <c r="A20" s="34">
        <f>ROUND(IF($A$14="n",$A$18,$A$18*0.985),0)</f>
        <v>65667</v>
      </c>
      <c r="B20" s="21" t="s">
        <v>20</v>
      </c>
      <c r="C20" s="21"/>
      <c r="D20" s="21" t="s">
        <v>0</v>
      </c>
      <c r="E20" s="21" t="s">
        <v>4</v>
      </c>
      <c r="J20" s="27"/>
    </row>
    <row r="21" spans="1:47" ht="30" x14ac:dyDescent="0.25">
      <c r="A21" s="21" t="s">
        <v>19</v>
      </c>
      <c r="B21" s="21" t="s">
        <v>30</v>
      </c>
      <c r="C21" s="12" t="s">
        <v>21</v>
      </c>
      <c r="D21" s="12"/>
      <c r="E21" s="12"/>
      <c r="G21" s="18" t="s">
        <v>26</v>
      </c>
      <c r="H21" s="37"/>
      <c r="I21" s="36">
        <f>$A$16</f>
        <v>246.2</v>
      </c>
      <c r="J21" s="36">
        <f>$A$20-K21</f>
        <v>65667</v>
      </c>
      <c r="K21" s="36">
        <f>ROUND(IF($A$20&gt;($A$16*300),$A$20-($A$16*300),0),0)</f>
        <v>0</v>
      </c>
      <c r="L21" s="37"/>
      <c r="M21" s="37"/>
      <c r="N21" s="37"/>
      <c r="O21" s="36">
        <f>$A$20</f>
        <v>65667</v>
      </c>
      <c r="P21" s="36"/>
      <c r="Q21" s="36"/>
      <c r="R21" s="35">
        <f>$A$20</f>
        <v>65667</v>
      </c>
      <c r="S21" s="37"/>
      <c r="T21" s="37">
        <f>$A$20</f>
        <v>65667</v>
      </c>
      <c r="X21" s="86">
        <f>+A20</f>
        <v>65667</v>
      </c>
      <c r="Z21" s="23"/>
      <c r="AA21" s="23"/>
      <c r="AB21" s="23"/>
      <c r="AD21" s="23"/>
      <c r="AE21" s="23"/>
      <c r="AG21" s="23"/>
      <c r="AH21" s="23"/>
      <c r="AR21" s="23"/>
      <c r="AS21" s="23"/>
      <c r="AT21" s="23"/>
      <c r="AU21" s="23"/>
    </row>
    <row r="22" spans="1:47" x14ac:dyDescent="0.25">
      <c r="A22" s="24">
        <f t="shared" ref="A22:A23" si="0">ROUND(SUM(H22:T22),2)</f>
        <v>8676.4699999999993</v>
      </c>
      <c r="B22" s="28">
        <f>ROUND(R22,2)</f>
        <v>2609.2800000000002</v>
      </c>
      <c r="C22" s="28">
        <f>ROUND(H22+I22,2)</f>
        <v>2234.3200000000002</v>
      </c>
      <c r="D22" s="24">
        <f>ROUND(SUM(H22:H22)+P22,2)</f>
        <v>117</v>
      </c>
      <c r="E22" s="24">
        <f>ROUND(SUM(J22:K22)+O22+T22,2)</f>
        <v>3645.04</v>
      </c>
      <c r="F22" s="6"/>
      <c r="G22" s="16" t="s">
        <v>1</v>
      </c>
      <c r="H22" s="24">
        <f>H8</f>
        <v>117</v>
      </c>
      <c r="I22" s="24">
        <f t="shared" ref="I22:K33" si="1">I8*I$21</f>
        <v>2117.3199999999997</v>
      </c>
      <c r="J22" s="24">
        <f t="shared" si="1"/>
        <v>3746.4993509999999</v>
      </c>
      <c r="K22" s="24">
        <f t="shared" si="1"/>
        <v>0</v>
      </c>
      <c r="L22" s="28"/>
      <c r="M22" s="24">
        <f>(SUM(H22:K22)+SUM(O22:T22)-R22-X22)*M8</f>
        <v>187.82649405740005</v>
      </c>
      <c r="N22" s="28"/>
      <c r="O22" s="24">
        <f t="shared" ref="O22:O33" si="2">O8*O$21</f>
        <v>-47.148905999999997</v>
      </c>
      <c r="P22" s="24">
        <f>P8</f>
        <v>0</v>
      </c>
      <c r="Q22" s="28"/>
      <c r="R22" s="25">
        <f>R8*R21</f>
        <v>2609.278245</v>
      </c>
      <c r="S22" s="28"/>
      <c r="T22" s="24">
        <f>-T8*T$21</f>
        <v>-54.306609000000002</v>
      </c>
      <c r="U22" s="28"/>
      <c r="V22" s="28"/>
      <c r="W22" s="28"/>
      <c r="X22" s="87">
        <f>X8*X21</f>
        <v>1668.0074669999999</v>
      </c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</row>
    <row r="23" spans="1:47" x14ac:dyDescent="0.25">
      <c r="A23" s="24">
        <f t="shared" si="0"/>
        <v>7962.89</v>
      </c>
      <c r="B23" s="28">
        <f t="shared" ref="B23:B33" si="3">ROUND(R23,2)</f>
        <v>1878.01</v>
      </c>
      <c r="C23" s="28">
        <f t="shared" ref="C23:C33" si="4">ROUND(H23+I23,2)</f>
        <v>2234.3200000000002</v>
      </c>
      <c r="D23" s="24">
        <f t="shared" ref="D23:D33" si="5">ROUND(SUM(H23:H23)+P23,2)</f>
        <v>117</v>
      </c>
      <c r="E23" s="24">
        <f t="shared" ref="E23:E33" si="6">ROUND(SUM(J23:K23)+O23+T23,2)</f>
        <v>3645.04</v>
      </c>
      <c r="G23" s="16" t="s">
        <v>7</v>
      </c>
      <c r="H23" s="24">
        <f t="shared" ref="H23:H33" si="7">H9</f>
        <v>117</v>
      </c>
      <c r="I23" s="24">
        <f t="shared" si="1"/>
        <v>2117.3199999999997</v>
      </c>
      <c r="J23" s="24">
        <f t="shared" si="1"/>
        <v>3746.4993509999999</v>
      </c>
      <c r="K23" s="24">
        <f t="shared" si="1"/>
        <v>0</v>
      </c>
      <c r="L23" s="24"/>
      <c r="M23" s="24">
        <f t="shared" ref="M23:M33" si="8">(SUM(H23:K23)+SUM(O23:T23)-R23-X23)*M9</f>
        <v>205.51419080720007</v>
      </c>
      <c r="N23" s="24"/>
      <c r="O23" s="24">
        <f t="shared" si="2"/>
        <v>-47.148905999999997</v>
      </c>
      <c r="P23" s="24">
        <f t="shared" ref="P23:P33" si="9">P9</f>
        <v>0</v>
      </c>
      <c r="Q23" s="24"/>
      <c r="R23" s="25">
        <f t="shared" ref="R23:R33" si="10">R9*R$21</f>
        <v>1878.0105329999999</v>
      </c>
      <c r="S23" s="24"/>
      <c r="T23" s="24">
        <f t="shared" ref="T23:T33" si="11">-T9*T$21</f>
        <v>-54.306609000000002</v>
      </c>
      <c r="U23" s="28"/>
      <c r="V23" s="28"/>
      <c r="W23" s="28"/>
      <c r="X23" s="87">
        <f t="shared" ref="X23:X33" si="12">X9*X$21</f>
        <v>1668.0074669999999</v>
      </c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</row>
    <row r="24" spans="1:47" x14ac:dyDescent="0.25">
      <c r="A24" s="24">
        <f>ROUND(SUM(H24:T24),2)</f>
        <v>6174.22</v>
      </c>
      <c r="B24" s="28">
        <f t="shared" si="3"/>
        <v>-77.95</v>
      </c>
      <c r="C24" s="28">
        <f t="shared" si="4"/>
        <v>2234.3200000000002</v>
      </c>
      <c r="D24" s="24">
        <f t="shared" si="5"/>
        <v>117</v>
      </c>
      <c r="E24" s="24">
        <f t="shared" si="6"/>
        <v>3684.18</v>
      </c>
      <c r="G24" s="16" t="s">
        <v>8</v>
      </c>
      <c r="H24" s="24">
        <f t="shared" si="7"/>
        <v>117</v>
      </c>
      <c r="I24" s="24">
        <f t="shared" si="1"/>
        <v>2117.3199999999997</v>
      </c>
      <c r="J24" s="24">
        <f t="shared" si="1"/>
        <v>3746.4993509999999</v>
      </c>
      <c r="K24" s="24">
        <f t="shared" si="1"/>
        <v>0</v>
      </c>
      <c r="L24" s="24"/>
      <c r="M24" s="24">
        <f t="shared" si="8"/>
        <v>333.66377122849997</v>
      </c>
      <c r="N24" s="24"/>
      <c r="O24" s="28">
        <f t="shared" si="2"/>
        <v>-47.148905999999997</v>
      </c>
      <c r="P24" s="24">
        <f t="shared" si="9"/>
        <v>0</v>
      </c>
      <c r="Q24" s="24"/>
      <c r="R24" s="25">
        <f t="shared" si="10"/>
        <v>-77.946728999999991</v>
      </c>
      <c r="S24" s="24"/>
      <c r="T24" s="24">
        <f t="shared" si="11"/>
        <v>-15.169077</v>
      </c>
      <c r="U24" s="28"/>
      <c r="V24" s="28"/>
      <c r="W24" s="28"/>
      <c r="X24" s="87">
        <f t="shared" si="12"/>
        <v>1668.0074669999999</v>
      </c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</row>
    <row r="25" spans="1:47" x14ac:dyDescent="0.25">
      <c r="A25" s="24">
        <f t="shared" ref="A25:A33" si="13">ROUND(SUM(H25:T25),2)</f>
        <v>6952.26</v>
      </c>
      <c r="B25" s="28">
        <f t="shared" si="3"/>
        <v>393.21</v>
      </c>
      <c r="C25" s="28">
        <f t="shared" si="4"/>
        <v>2234.3200000000002</v>
      </c>
      <c r="D25" s="24">
        <f t="shared" si="5"/>
        <v>117</v>
      </c>
      <c r="E25" s="24">
        <f t="shared" si="6"/>
        <v>3684.18</v>
      </c>
      <c r="G25" s="16" t="s">
        <v>9</v>
      </c>
      <c r="H25" s="24">
        <f t="shared" si="7"/>
        <v>117</v>
      </c>
      <c r="I25" s="24">
        <f t="shared" si="1"/>
        <v>2117.3199999999997</v>
      </c>
      <c r="J25" s="24">
        <f t="shared" si="1"/>
        <v>3746.4993509999999</v>
      </c>
      <c r="K25" s="24">
        <f t="shared" si="1"/>
        <v>0</v>
      </c>
      <c r="L25" s="24"/>
      <c r="M25" s="24">
        <f t="shared" si="8"/>
        <v>640.54943088070002</v>
      </c>
      <c r="N25" s="24"/>
      <c r="O25" s="24">
        <f t="shared" si="2"/>
        <v>-47.148905999999997</v>
      </c>
      <c r="P25" s="24">
        <f t="shared" si="9"/>
        <v>0</v>
      </c>
      <c r="Q25" s="24"/>
      <c r="R25" s="25">
        <f t="shared" si="10"/>
        <v>393.21399600000001</v>
      </c>
      <c r="S25" s="24"/>
      <c r="T25" s="24">
        <f t="shared" si="11"/>
        <v>-15.169077</v>
      </c>
      <c r="U25" s="28"/>
      <c r="V25" s="28"/>
      <c r="W25" s="28"/>
      <c r="X25" s="87">
        <f t="shared" si="12"/>
        <v>1668.0074669999999</v>
      </c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</row>
    <row r="26" spans="1:47" x14ac:dyDescent="0.25">
      <c r="A26" s="24">
        <f t="shared" si="13"/>
        <v>6931.39</v>
      </c>
      <c r="B26" s="28">
        <f t="shared" si="3"/>
        <v>382.97</v>
      </c>
      <c r="C26" s="28">
        <f t="shared" si="4"/>
        <v>2234.3200000000002</v>
      </c>
      <c r="D26" s="24">
        <f t="shared" si="5"/>
        <v>117</v>
      </c>
      <c r="E26" s="24">
        <f t="shared" si="6"/>
        <v>3684.18</v>
      </c>
      <c r="G26" s="16" t="s">
        <v>10</v>
      </c>
      <c r="H26" s="24">
        <f t="shared" si="7"/>
        <v>117</v>
      </c>
      <c r="I26" s="24">
        <f t="shared" si="1"/>
        <v>2117.3199999999997</v>
      </c>
      <c r="J26" s="24">
        <f t="shared" si="1"/>
        <v>3746.4993509999999</v>
      </c>
      <c r="K26" s="24">
        <f t="shared" si="1"/>
        <v>0</v>
      </c>
      <c r="L26" s="24"/>
      <c r="M26" s="24">
        <f t="shared" si="8"/>
        <v>629.92319612819995</v>
      </c>
      <c r="N26" s="24"/>
      <c r="O26" s="24">
        <f t="shared" si="2"/>
        <v>-47.148905999999997</v>
      </c>
      <c r="P26" s="24">
        <f t="shared" si="9"/>
        <v>0</v>
      </c>
      <c r="Q26" s="24"/>
      <c r="R26" s="25">
        <f t="shared" si="10"/>
        <v>382.969944</v>
      </c>
      <c r="S26" s="24"/>
      <c r="T26" s="24">
        <f t="shared" si="11"/>
        <v>-15.169077</v>
      </c>
      <c r="U26" s="28"/>
      <c r="V26" s="28"/>
      <c r="W26" s="28"/>
      <c r="X26" s="87">
        <f t="shared" si="12"/>
        <v>1668.0074669999999</v>
      </c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</row>
    <row r="27" spans="1:47" x14ac:dyDescent="0.25">
      <c r="A27" s="24">
        <f t="shared" si="13"/>
        <v>8384.81</v>
      </c>
      <c r="B27" s="28">
        <f t="shared" si="3"/>
        <v>1748.97</v>
      </c>
      <c r="C27" s="28">
        <f t="shared" si="4"/>
        <v>2234.3200000000002</v>
      </c>
      <c r="D27" s="24">
        <f t="shared" si="5"/>
        <v>117</v>
      </c>
      <c r="E27" s="24">
        <f t="shared" si="6"/>
        <v>3697.18</v>
      </c>
      <c r="G27" s="16" t="s">
        <v>11</v>
      </c>
      <c r="H27" s="24">
        <f t="shared" si="7"/>
        <v>117</v>
      </c>
      <c r="I27" s="24">
        <f t="shared" si="1"/>
        <v>2117.3199999999997</v>
      </c>
      <c r="J27" s="24">
        <f t="shared" si="1"/>
        <v>3746.4993509999999</v>
      </c>
      <c r="K27" s="24">
        <f t="shared" si="1"/>
        <v>0</v>
      </c>
      <c r="L27" s="24"/>
      <c r="M27" s="24">
        <f t="shared" si="8"/>
        <v>704.32953374840019</v>
      </c>
      <c r="N27" s="24"/>
      <c r="O27" s="24">
        <f t="shared" si="2"/>
        <v>-47.148905999999997</v>
      </c>
      <c r="P27" s="24">
        <f t="shared" si="9"/>
        <v>0</v>
      </c>
      <c r="Q27" s="24"/>
      <c r="R27" s="25">
        <f t="shared" si="10"/>
        <v>1748.974878</v>
      </c>
      <c r="S27" s="24"/>
      <c r="T27" s="24">
        <f t="shared" si="11"/>
        <v>-2.167011</v>
      </c>
      <c r="U27" s="28"/>
      <c r="V27" s="28"/>
      <c r="W27" s="28"/>
      <c r="X27" s="87">
        <f t="shared" si="12"/>
        <v>1668.0074669999999</v>
      </c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</row>
    <row r="28" spans="1:47" x14ac:dyDescent="0.25">
      <c r="A28" s="24">
        <f t="shared" si="13"/>
        <v>7372.24</v>
      </c>
      <c r="B28" s="28">
        <f t="shared" si="3"/>
        <v>724.9</v>
      </c>
      <c r="C28" s="28">
        <f t="shared" si="4"/>
        <v>2234.3200000000002</v>
      </c>
      <c r="D28" s="24">
        <f t="shared" si="5"/>
        <v>117</v>
      </c>
      <c r="E28" s="24">
        <f t="shared" si="6"/>
        <v>3697.18</v>
      </c>
      <c r="G28" s="16" t="s">
        <v>12</v>
      </c>
      <c r="H28" s="24">
        <f t="shared" si="7"/>
        <v>117</v>
      </c>
      <c r="I28" s="24">
        <f t="shared" si="1"/>
        <v>2117.3199999999997</v>
      </c>
      <c r="J28" s="24">
        <f t="shared" si="1"/>
        <v>3746.4993509999999</v>
      </c>
      <c r="K28" s="24">
        <f t="shared" si="1"/>
        <v>0</v>
      </c>
      <c r="L28" s="24"/>
      <c r="M28" s="24">
        <f t="shared" si="8"/>
        <v>715.84097285930011</v>
      </c>
      <c r="N28" s="24"/>
      <c r="O28" s="24">
        <f t="shared" si="2"/>
        <v>-47.148905999999997</v>
      </c>
      <c r="P28" s="24">
        <f t="shared" si="9"/>
        <v>0</v>
      </c>
      <c r="Q28" s="24"/>
      <c r="R28" s="25">
        <f t="shared" si="10"/>
        <v>724.89801299999999</v>
      </c>
      <c r="S28" s="24"/>
      <c r="T28" s="24">
        <f t="shared" si="11"/>
        <v>-2.167011</v>
      </c>
      <c r="U28" s="28"/>
      <c r="V28" s="28"/>
      <c r="W28" s="28"/>
      <c r="X28" s="87">
        <f t="shared" si="12"/>
        <v>1668.0074669999999</v>
      </c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</row>
    <row r="29" spans="1:47" x14ac:dyDescent="0.25">
      <c r="A29" s="24">
        <f t="shared" si="13"/>
        <v>7064.24</v>
      </c>
      <c r="B29" s="28">
        <f t="shared" si="3"/>
        <v>888.87</v>
      </c>
      <c r="C29" s="28">
        <f t="shared" si="4"/>
        <v>2234.3200000000002</v>
      </c>
      <c r="D29" s="24">
        <f t="shared" si="5"/>
        <v>117</v>
      </c>
      <c r="E29" s="24">
        <f t="shared" si="6"/>
        <v>3697.18</v>
      </c>
      <c r="G29" s="16" t="s">
        <v>13</v>
      </c>
      <c r="H29" s="24">
        <f t="shared" si="7"/>
        <v>117</v>
      </c>
      <c r="I29" s="24">
        <f t="shared" si="1"/>
        <v>2117.3199999999997</v>
      </c>
      <c r="J29" s="24">
        <f t="shared" si="1"/>
        <v>3746.4993509999999</v>
      </c>
      <c r="K29" s="24">
        <f t="shared" si="1"/>
        <v>0</v>
      </c>
      <c r="L29" s="24"/>
      <c r="M29" s="24">
        <f t="shared" si="8"/>
        <v>243.87196931240004</v>
      </c>
      <c r="N29" s="24"/>
      <c r="O29" s="24">
        <f t="shared" si="2"/>
        <v>-47.148905999999997</v>
      </c>
      <c r="P29" s="24">
        <f t="shared" si="9"/>
        <v>0</v>
      </c>
      <c r="Q29" s="24"/>
      <c r="R29" s="25">
        <f t="shared" si="10"/>
        <v>888.86851200000001</v>
      </c>
      <c r="S29" s="24"/>
      <c r="T29" s="24">
        <f t="shared" si="11"/>
        <v>-2.167011</v>
      </c>
      <c r="U29" s="28"/>
      <c r="V29" s="28"/>
      <c r="W29" s="28"/>
      <c r="X29" s="87">
        <f t="shared" si="12"/>
        <v>1668.0074669999999</v>
      </c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</row>
    <row r="30" spans="1:47" x14ac:dyDescent="0.25">
      <c r="A30" s="24">
        <f t="shared" si="13"/>
        <v>6941.44</v>
      </c>
      <c r="B30" s="28">
        <f t="shared" si="3"/>
        <v>1101.04</v>
      </c>
      <c r="C30" s="28">
        <f t="shared" si="4"/>
        <v>2234.3200000000002</v>
      </c>
      <c r="D30" s="24">
        <f t="shared" si="5"/>
        <v>117</v>
      </c>
      <c r="E30" s="24">
        <f t="shared" si="6"/>
        <v>3388.94</v>
      </c>
      <c r="G30" s="16" t="s">
        <v>14</v>
      </c>
      <c r="H30" s="24">
        <f t="shared" si="7"/>
        <v>117</v>
      </c>
      <c r="I30" s="24">
        <f t="shared" si="1"/>
        <v>2117.3199999999997</v>
      </c>
      <c r="J30" s="24">
        <f t="shared" si="1"/>
        <v>3746.4993509999999</v>
      </c>
      <c r="K30" s="24">
        <f t="shared" si="1"/>
        <v>0</v>
      </c>
      <c r="L30" s="24"/>
      <c r="M30" s="24">
        <f t="shared" si="8"/>
        <v>217.14350328809999</v>
      </c>
      <c r="N30" s="24"/>
      <c r="O30" s="24">
        <f t="shared" si="2"/>
        <v>-47.148905999999997</v>
      </c>
      <c r="P30" s="24">
        <f t="shared" si="9"/>
        <v>0</v>
      </c>
      <c r="Q30" s="24"/>
      <c r="R30" s="25">
        <f t="shared" si="10"/>
        <v>1101.038589</v>
      </c>
      <c r="S30" s="24"/>
      <c r="T30" s="24">
        <f t="shared" si="11"/>
        <v>-310.40790900000002</v>
      </c>
      <c r="U30" s="28"/>
      <c r="V30" s="28"/>
      <c r="W30" s="28"/>
      <c r="X30" s="87">
        <f t="shared" si="12"/>
        <v>1668.0074669999999</v>
      </c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</row>
    <row r="31" spans="1:47" x14ac:dyDescent="0.25">
      <c r="A31" s="24">
        <f t="shared" si="13"/>
        <v>9481.6200000000008</v>
      </c>
      <c r="B31" s="28">
        <f t="shared" si="3"/>
        <v>3579.11</v>
      </c>
      <c r="C31" s="28">
        <f t="shared" si="4"/>
        <v>2234.3200000000002</v>
      </c>
      <c r="D31" s="24">
        <f t="shared" si="5"/>
        <v>117</v>
      </c>
      <c r="E31" s="24">
        <f t="shared" si="6"/>
        <v>3388.94</v>
      </c>
      <c r="G31" s="16" t="s">
        <v>15</v>
      </c>
      <c r="H31" s="24">
        <f t="shared" si="7"/>
        <v>117</v>
      </c>
      <c r="I31" s="24">
        <f t="shared" si="1"/>
        <v>2117.3199999999997</v>
      </c>
      <c r="J31" s="24">
        <f t="shared" si="1"/>
        <v>3746.4993509999999</v>
      </c>
      <c r="K31" s="24">
        <f t="shared" si="1"/>
        <v>0</v>
      </c>
      <c r="L31" s="24"/>
      <c r="M31" s="24">
        <f t="shared" si="8"/>
        <v>279.24100787140003</v>
      </c>
      <c r="N31" s="24"/>
      <c r="O31" s="24">
        <f t="shared" si="2"/>
        <v>-47.148905999999997</v>
      </c>
      <c r="P31" s="24">
        <f t="shared" si="9"/>
        <v>0</v>
      </c>
      <c r="Q31" s="24"/>
      <c r="R31" s="25">
        <f t="shared" si="10"/>
        <v>3579.1141679999996</v>
      </c>
      <c r="S31" s="24"/>
      <c r="T31" s="24">
        <f t="shared" si="11"/>
        <v>-310.40790900000002</v>
      </c>
      <c r="U31" s="28"/>
      <c r="V31" s="28"/>
      <c r="W31" s="28"/>
      <c r="X31" s="87">
        <f t="shared" si="12"/>
        <v>1668.0074669999999</v>
      </c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</row>
    <row r="32" spans="1:47" x14ac:dyDescent="0.25">
      <c r="A32" s="24">
        <f t="shared" si="13"/>
        <v>8022.79</v>
      </c>
      <c r="B32" s="28">
        <f t="shared" si="3"/>
        <v>2368.67</v>
      </c>
      <c r="C32" s="28">
        <f t="shared" si="4"/>
        <v>2234.3200000000002</v>
      </c>
      <c r="D32" s="24">
        <f t="shared" si="5"/>
        <v>117</v>
      </c>
      <c r="E32" s="24">
        <f t="shared" si="6"/>
        <v>3388.94</v>
      </c>
      <c r="G32" s="16" t="s">
        <v>16</v>
      </c>
      <c r="H32" s="24">
        <f t="shared" si="7"/>
        <v>117</v>
      </c>
      <c r="I32" s="24">
        <f t="shared" si="1"/>
        <v>2117.3199999999997</v>
      </c>
      <c r="J32" s="24">
        <f t="shared" si="1"/>
        <v>3746.4993509999999</v>
      </c>
      <c r="K32" s="24">
        <f t="shared" si="1"/>
        <v>0</v>
      </c>
      <c r="L32" s="24"/>
      <c r="M32" s="24">
        <f t="shared" si="8"/>
        <v>30.8509895382</v>
      </c>
      <c r="N32" s="24"/>
      <c r="O32" s="24">
        <f t="shared" si="2"/>
        <v>-47.148905999999997</v>
      </c>
      <c r="P32" s="24">
        <f t="shared" si="9"/>
        <v>0</v>
      </c>
      <c r="Q32" s="24"/>
      <c r="R32" s="25">
        <f t="shared" si="10"/>
        <v>2368.6743569999999</v>
      </c>
      <c r="S32" s="24"/>
      <c r="T32" s="24">
        <f t="shared" si="11"/>
        <v>-310.40790900000002</v>
      </c>
      <c r="U32" s="28"/>
      <c r="V32" s="28"/>
      <c r="W32" s="28"/>
      <c r="X32" s="87">
        <f t="shared" si="12"/>
        <v>1668.0074669999999</v>
      </c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</row>
    <row r="33" spans="1:47" x14ac:dyDescent="0.25">
      <c r="A33" s="24">
        <f t="shared" si="13"/>
        <v>10250.59</v>
      </c>
      <c r="B33" s="28">
        <f t="shared" si="3"/>
        <v>4043.71</v>
      </c>
      <c r="C33" s="28">
        <f t="shared" si="4"/>
        <v>2234.3200000000002</v>
      </c>
      <c r="D33" s="24">
        <f t="shared" si="5"/>
        <v>117</v>
      </c>
      <c r="E33" s="24">
        <f t="shared" si="6"/>
        <v>3404.7</v>
      </c>
      <c r="G33" s="16" t="s">
        <v>17</v>
      </c>
      <c r="H33" s="24">
        <f t="shared" si="7"/>
        <v>117</v>
      </c>
      <c r="I33" s="24">
        <f t="shared" si="1"/>
        <v>2117.3199999999997</v>
      </c>
      <c r="J33" s="24">
        <f t="shared" si="1"/>
        <v>3746.4993509999999</v>
      </c>
      <c r="K33" s="24">
        <f t="shared" si="1"/>
        <v>0</v>
      </c>
      <c r="L33" s="24"/>
      <c r="M33" s="24">
        <f t="shared" si="8"/>
        <v>567.85516630699999</v>
      </c>
      <c r="N33" s="24"/>
      <c r="O33" s="24">
        <f t="shared" si="2"/>
        <v>-47.148905999999997</v>
      </c>
      <c r="P33" s="24">
        <f t="shared" si="9"/>
        <v>0</v>
      </c>
      <c r="Q33" s="24"/>
      <c r="R33" s="25">
        <f t="shared" si="10"/>
        <v>4043.7081929999999</v>
      </c>
      <c r="S33" s="24"/>
      <c r="T33" s="24">
        <f t="shared" si="11"/>
        <v>-294.647829</v>
      </c>
      <c r="U33" s="28"/>
      <c r="V33" s="28"/>
      <c r="W33" s="28"/>
      <c r="X33" s="87">
        <f t="shared" si="12"/>
        <v>1668.0074669999999</v>
      </c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</row>
    <row r="34" spans="1:47" x14ac:dyDescent="0.25">
      <c r="B34" s="8"/>
      <c r="C34" s="8"/>
      <c r="D34" s="8"/>
    </row>
    <row r="35" spans="1:47" x14ac:dyDescent="0.25">
      <c r="A35" s="27"/>
      <c r="B35" s="8"/>
      <c r="C35" s="8"/>
      <c r="D35" s="29"/>
    </row>
  </sheetData>
  <mergeCells count="16">
    <mergeCell ref="AR4:AS4"/>
    <mergeCell ref="AT4:AU4"/>
    <mergeCell ref="H3:I3"/>
    <mergeCell ref="Z3:AB3"/>
    <mergeCell ref="AD3:AE3"/>
    <mergeCell ref="AG3:AH3"/>
    <mergeCell ref="AR3:AU3"/>
    <mergeCell ref="Z4:AB4"/>
    <mergeCell ref="AD4:AE4"/>
    <mergeCell ref="AG4:AH4"/>
    <mergeCell ref="AR2:AU2"/>
    <mergeCell ref="H2:K2"/>
    <mergeCell ref="O2:P2"/>
    <mergeCell ref="Z2:AB2"/>
    <mergeCell ref="AD2:AE2"/>
    <mergeCell ref="AG2:AH2"/>
  </mergeCells>
  <pageMargins left="0.7" right="0.7" top="0.75" bottom="0.75" header="0.3" footer="0.3"/>
  <pageSetup scale="24" orientation="landscape" r:id="rId1"/>
  <headerFooter>
    <oddHeader>&amp;C&amp;"Times New Roman,Bold"&amp;10&amp;U
UNREDACTED
CONFIDENTIAL PROPRIETARY TRADE SECRET&amp;R&amp;"Times New Roman,Bold"&amp;10KyPSC Case No. 2022-00394
STAFF-DR-01-002 Confidential Attachment 2
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H41"/>
  <sheetViews>
    <sheetView tabSelected="1" view="pageLayout" zoomScaleNormal="75" workbookViewId="0"/>
  </sheetViews>
  <sheetFormatPr defaultRowHeight="15" x14ac:dyDescent="0.25"/>
  <cols>
    <col min="1" max="1" width="21.5703125" customWidth="1"/>
    <col min="2" max="2" width="15.140625" customWidth="1"/>
    <col min="3" max="3" width="14.42578125" customWidth="1"/>
    <col min="4" max="4" width="13.42578125" customWidth="1"/>
    <col min="5" max="5" width="14.42578125" bestFit="1" customWidth="1"/>
    <col min="6" max="6" width="2.85546875" customWidth="1"/>
    <col min="7" max="7" width="9.140625" style="16"/>
    <col min="8" max="8" width="9.42578125" bestFit="1" customWidth="1"/>
    <col min="9" max="9" width="12.5703125" bestFit="1" customWidth="1"/>
    <col min="10" max="10" width="10.42578125" customWidth="1"/>
    <col min="11" max="11" width="12.5703125" customWidth="1"/>
    <col min="12" max="12" width="10.42578125" customWidth="1"/>
    <col min="13" max="16" width="15.85546875" customWidth="1"/>
    <col min="17" max="17" width="2.85546875" customWidth="1"/>
    <col min="18" max="18" width="18.5703125" customWidth="1"/>
    <col min="19" max="19" width="2.85546875" customWidth="1"/>
    <col min="20" max="20" width="13.42578125" customWidth="1"/>
    <col min="21" max="21" width="12.140625" customWidth="1"/>
    <col min="22" max="22" width="2.85546875" customWidth="1"/>
    <col min="23" max="23" width="18.5703125" style="15" customWidth="1"/>
    <col min="24" max="24" width="2.85546875" customWidth="1"/>
    <col min="25" max="25" width="21.42578125" customWidth="1"/>
    <col min="26" max="26" width="2.85546875" style="8" customWidth="1"/>
    <col min="27" max="27" width="12.5703125" style="8" bestFit="1" customWidth="1"/>
    <col min="28" max="28" width="2.85546875" style="8" customWidth="1"/>
    <col min="29" max="29" width="22.140625" style="82" customWidth="1"/>
    <col min="30" max="30" width="2.85546875" style="8" customWidth="1"/>
    <col min="31" max="31" width="12.140625" style="8" customWidth="1"/>
    <col min="32" max="32" width="19.140625" style="8" customWidth="1"/>
    <col min="33" max="33" width="12.42578125" style="8" customWidth="1"/>
    <col min="34" max="34" width="2.85546875" style="8" customWidth="1"/>
    <col min="35" max="35" width="12.42578125" style="8" bestFit="1" customWidth="1"/>
    <col min="36" max="36" width="12.140625" style="8" customWidth="1"/>
    <col min="37" max="37" width="2.85546875" style="8" customWidth="1"/>
    <col min="38" max="38" width="15.42578125" style="8" bestFit="1" customWidth="1"/>
    <col min="39" max="39" width="14.42578125" style="8" customWidth="1"/>
    <col min="40" max="40" width="2.85546875" style="8" customWidth="1"/>
    <col min="41" max="41" width="15.5703125" style="8" bestFit="1" customWidth="1"/>
    <col min="42" max="42" width="2.85546875" style="8" customWidth="1"/>
    <col min="43" max="43" width="15.5703125" style="8" bestFit="1" customWidth="1"/>
    <col min="44" max="44" width="2.85546875" style="8" customWidth="1"/>
    <col min="45" max="45" width="15.5703125" style="8" bestFit="1" customWidth="1"/>
    <col min="46" max="46" width="2.85546875" style="8" customWidth="1"/>
    <col min="47" max="47" width="15.5703125" style="8" bestFit="1" customWidth="1"/>
    <col min="48" max="48" width="2.85546875" style="8" customWidth="1"/>
    <col min="49" max="49" width="12.42578125" style="8" bestFit="1" customWidth="1"/>
    <col min="50" max="50" width="11.5703125" style="8" bestFit="1" customWidth="1"/>
    <col min="51" max="51" width="12.42578125" style="8" bestFit="1" customWidth="1"/>
    <col min="52" max="52" width="11.5703125" style="8" bestFit="1" customWidth="1"/>
    <col min="53" max="60" width="9.140625" style="8"/>
  </cols>
  <sheetData>
    <row r="1" spans="1:52" x14ac:dyDescent="0.25">
      <c r="A1" t="s">
        <v>27</v>
      </c>
      <c r="C1" s="13"/>
      <c r="D1" s="13"/>
      <c r="E1" s="13"/>
      <c r="F1" s="13"/>
    </row>
    <row r="2" spans="1:52" x14ac:dyDescent="0.25">
      <c r="B2" s="13"/>
      <c r="C2" s="13"/>
      <c r="D2" s="13"/>
      <c r="E2" s="13"/>
      <c r="F2" s="13"/>
      <c r="H2" s="91" t="s">
        <v>51</v>
      </c>
      <c r="I2" s="91"/>
      <c r="J2" s="91"/>
      <c r="K2" s="91"/>
      <c r="L2" s="91"/>
      <c r="M2" s="91"/>
      <c r="N2" s="60"/>
      <c r="O2" s="60"/>
      <c r="P2" s="60"/>
      <c r="R2" s="61" t="s">
        <v>73</v>
      </c>
      <c r="T2" s="91" t="s">
        <v>32</v>
      </c>
      <c r="U2" s="91"/>
      <c r="V2" s="21"/>
      <c r="W2" s="19" t="s">
        <v>40</v>
      </c>
      <c r="Y2" s="21" t="s">
        <v>41</v>
      </c>
      <c r="Z2" s="30"/>
      <c r="AA2" s="30"/>
      <c r="AB2" s="30"/>
      <c r="AC2" s="83"/>
      <c r="AE2" s="89"/>
      <c r="AF2" s="89"/>
      <c r="AG2" s="89"/>
      <c r="AI2" s="89"/>
      <c r="AJ2" s="89"/>
      <c r="AL2" s="89"/>
      <c r="AM2" s="89"/>
      <c r="AO2" s="30"/>
      <c r="AP2" s="30"/>
      <c r="AQ2" s="30"/>
      <c r="AR2" s="30"/>
      <c r="AS2" s="30"/>
      <c r="AT2" s="30"/>
      <c r="AU2" s="30"/>
      <c r="AW2" s="89"/>
      <c r="AX2" s="89"/>
      <c r="AY2" s="89"/>
      <c r="AZ2" s="89"/>
    </row>
    <row r="3" spans="1:52" x14ac:dyDescent="0.25">
      <c r="H3" s="21"/>
      <c r="I3" s="91" t="s">
        <v>23</v>
      </c>
      <c r="J3" s="91"/>
      <c r="K3" s="91"/>
      <c r="L3" s="91"/>
      <c r="M3" s="91" t="s">
        <v>4</v>
      </c>
      <c r="N3" s="91"/>
      <c r="O3" s="91"/>
      <c r="P3" s="91"/>
      <c r="R3" s="61" t="s">
        <v>75</v>
      </c>
      <c r="T3" s="21" t="s">
        <v>29</v>
      </c>
      <c r="U3" s="21" t="s">
        <v>33</v>
      </c>
      <c r="V3" s="21"/>
      <c r="W3" s="19" t="s">
        <v>30</v>
      </c>
      <c r="Y3" s="21" t="s">
        <v>31</v>
      </c>
      <c r="Z3" s="30"/>
      <c r="AA3" s="30"/>
      <c r="AB3" s="30"/>
      <c r="AC3" s="83" t="s">
        <v>80</v>
      </c>
      <c r="AE3" s="89"/>
      <c r="AF3" s="89"/>
      <c r="AG3" s="89"/>
      <c r="AI3" s="89"/>
      <c r="AJ3" s="89"/>
      <c r="AL3" s="89"/>
      <c r="AM3" s="89"/>
      <c r="AO3" s="30"/>
      <c r="AP3" s="30"/>
      <c r="AQ3" s="30"/>
      <c r="AR3" s="30"/>
      <c r="AS3" s="30"/>
      <c r="AT3" s="30"/>
      <c r="AU3" s="30"/>
      <c r="AW3" s="89"/>
      <c r="AX3" s="89"/>
      <c r="AY3" s="89"/>
      <c r="AZ3" s="89"/>
    </row>
    <row r="4" spans="1:52" x14ac:dyDescent="0.25">
      <c r="H4" s="21" t="s">
        <v>0</v>
      </c>
      <c r="I4" s="91" t="s">
        <v>44</v>
      </c>
      <c r="J4" s="91"/>
      <c r="K4" s="91" t="s">
        <v>45</v>
      </c>
      <c r="L4" s="91"/>
      <c r="M4" s="91" t="s">
        <v>44</v>
      </c>
      <c r="N4" s="91"/>
      <c r="O4" s="91" t="s">
        <v>45</v>
      </c>
      <c r="P4" s="91"/>
      <c r="R4" s="61" t="s">
        <v>76</v>
      </c>
      <c r="T4" s="21" t="s">
        <v>4</v>
      </c>
      <c r="U4" s="21" t="s">
        <v>0</v>
      </c>
      <c r="V4" s="22"/>
      <c r="W4" s="19" t="s">
        <v>4</v>
      </c>
      <c r="X4" s="21"/>
      <c r="Y4" s="21" t="s">
        <v>4</v>
      </c>
      <c r="AA4" s="30"/>
      <c r="AC4" s="83" t="s">
        <v>81</v>
      </c>
      <c r="AD4" s="30"/>
      <c r="AE4" s="89"/>
      <c r="AF4" s="89"/>
      <c r="AG4" s="89"/>
      <c r="AH4" s="30"/>
      <c r="AI4" s="89"/>
      <c r="AJ4" s="90"/>
      <c r="AK4" s="30"/>
      <c r="AL4" s="89"/>
      <c r="AM4" s="89"/>
      <c r="AN4" s="30"/>
      <c r="AO4" s="30"/>
      <c r="AQ4" s="30"/>
      <c r="AS4" s="30"/>
      <c r="AU4" s="30"/>
      <c r="AV4" s="30"/>
      <c r="AW4" s="89"/>
      <c r="AX4" s="89"/>
      <c r="AY4" s="89"/>
      <c r="AZ4" s="89"/>
    </row>
    <row r="5" spans="1:52" x14ac:dyDescent="0.25">
      <c r="H5" s="12"/>
      <c r="I5" s="21" t="s">
        <v>46</v>
      </c>
      <c r="J5" s="21" t="s">
        <v>47</v>
      </c>
      <c r="K5" s="21" t="s">
        <v>46</v>
      </c>
      <c r="L5" s="21" t="s">
        <v>47</v>
      </c>
      <c r="M5" s="60" t="s">
        <v>46</v>
      </c>
      <c r="N5" s="60" t="s">
        <v>47</v>
      </c>
      <c r="O5" s="60" t="s">
        <v>46</v>
      </c>
      <c r="P5" s="60" t="s">
        <v>47</v>
      </c>
      <c r="R5" s="61"/>
      <c r="T5" s="21"/>
      <c r="U5" s="21"/>
      <c r="V5" s="21"/>
      <c r="X5" s="21"/>
      <c r="AD5" s="30"/>
      <c r="AE5" s="30"/>
      <c r="AF5" s="30"/>
      <c r="AG5" s="30"/>
      <c r="AH5" s="30"/>
      <c r="AI5" s="32"/>
      <c r="AJ5" s="32"/>
      <c r="AK5" s="30"/>
      <c r="AL5" s="30"/>
      <c r="AM5" s="30"/>
      <c r="AN5" s="30"/>
      <c r="AV5" s="30"/>
      <c r="AW5" s="30"/>
      <c r="AX5" s="30"/>
      <c r="AY5" s="32"/>
      <c r="AZ5" s="32"/>
    </row>
    <row r="6" spans="1:52" ht="15.75" x14ac:dyDescent="0.25">
      <c r="H6" s="7" t="s">
        <v>2</v>
      </c>
      <c r="I6" s="2" t="s">
        <v>24</v>
      </c>
      <c r="J6" s="2" t="s">
        <v>24</v>
      </c>
      <c r="K6" s="2" t="s">
        <v>24</v>
      </c>
      <c r="L6" s="2" t="s">
        <v>24</v>
      </c>
      <c r="M6" s="2" t="s">
        <v>3</v>
      </c>
      <c r="N6" s="2" t="s">
        <v>3</v>
      </c>
      <c r="O6" s="2" t="s">
        <v>3</v>
      </c>
      <c r="P6" s="2" t="s">
        <v>3</v>
      </c>
      <c r="R6" s="62" t="s">
        <v>74</v>
      </c>
      <c r="T6" s="2" t="s">
        <v>3</v>
      </c>
      <c r="U6" s="7" t="s">
        <v>2</v>
      </c>
      <c r="V6" s="2"/>
      <c r="W6" s="20" t="s">
        <v>3</v>
      </c>
      <c r="X6" s="2"/>
      <c r="Y6" s="2" t="s">
        <v>3</v>
      </c>
      <c r="Z6" s="23"/>
      <c r="AA6" s="23"/>
      <c r="AB6" s="23"/>
      <c r="AC6" s="84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</row>
    <row r="7" spans="1:52" x14ac:dyDescent="0.25">
      <c r="A7" s="11" t="s">
        <v>65</v>
      </c>
      <c r="B7" s="42" t="s">
        <v>72</v>
      </c>
      <c r="G7" s="17" t="s">
        <v>5</v>
      </c>
    </row>
    <row r="8" spans="1:52" x14ac:dyDescent="0.25">
      <c r="G8" s="16" t="s">
        <v>1</v>
      </c>
      <c r="H8" s="6">
        <v>500</v>
      </c>
      <c r="I8" s="6">
        <v>8.51</v>
      </c>
      <c r="J8" s="6">
        <v>1.29</v>
      </c>
      <c r="K8" s="6">
        <v>6.98</v>
      </c>
      <c r="L8" s="6">
        <v>1.29</v>
      </c>
      <c r="M8" s="4">
        <v>5.3305999999999999E-2</v>
      </c>
      <c r="N8" s="4">
        <v>4.3936000000000003E-2</v>
      </c>
      <c r="O8" s="4">
        <v>5.0958999999999997E-2</v>
      </c>
      <c r="P8" s="4">
        <v>4.3936000000000003E-2</v>
      </c>
      <c r="Q8" s="69"/>
      <c r="R8" s="64">
        <f>DS!P8</f>
        <v>4.4600000000000001E-2</v>
      </c>
      <c r="S8" s="69"/>
      <c r="T8" s="4">
        <v>6.6000000000000005E-5</v>
      </c>
      <c r="U8" s="6">
        <v>0</v>
      </c>
      <c r="V8" s="69"/>
      <c r="W8" s="59">
        <f>RS!$P8</f>
        <v>3.9734999999999999E-2</v>
      </c>
      <c r="X8" s="69"/>
      <c r="Y8" s="4">
        <f>RS!R8</f>
        <v>8.2700000000000004E-4</v>
      </c>
      <c r="Z8" s="70"/>
      <c r="AA8" s="70"/>
      <c r="AB8" s="70"/>
      <c r="AC8" s="85">
        <f>+DS!$AA8</f>
        <v>2.5401E-2</v>
      </c>
      <c r="AD8" s="14"/>
      <c r="AE8" s="9"/>
      <c r="AF8" s="9"/>
      <c r="AG8" s="9"/>
      <c r="AH8" s="14"/>
      <c r="AI8" s="14"/>
      <c r="AJ8" s="14"/>
      <c r="AK8" s="14"/>
      <c r="AL8" s="10"/>
      <c r="AM8" s="10"/>
      <c r="AN8" s="14"/>
      <c r="AP8" s="14"/>
      <c r="AT8" s="14"/>
      <c r="AV8" s="14"/>
      <c r="AW8" s="14"/>
      <c r="AX8" s="14"/>
      <c r="AY8" s="14"/>
      <c r="AZ8" s="14"/>
    </row>
    <row r="9" spans="1:52" x14ac:dyDescent="0.25">
      <c r="A9" s="11" t="s">
        <v>25</v>
      </c>
      <c r="G9" s="16" t="s">
        <v>7</v>
      </c>
      <c r="H9" s="6">
        <v>500</v>
      </c>
      <c r="I9" s="6">
        <v>8.51</v>
      </c>
      <c r="J9" s="6">
        <v>1.29</v>
      </c>
      <c r="K9" s="6">
        <v>6.98</v>
      </c>
      <c r="L9" s="6">
        <v>1.29</v>
      </c>
      <c r="M9" s="4">
        <v>5.3305999999999999E-2</v>
      </c>
      <c r="N9" s="4">
        <v>4.3936000000000003E-2</v>
      </c>
      <c r="O9" s="4">
        <v>5.0958999999999997E-2</v>
      </c>
      <c r="P9" s="4">
        <v>4.3936000000000003E-2</v>
      </c>
      <c r="Q9" s="69"/>
      <c r="R9" s="64">
        <f>DS!P9</f>
        <v>4.8800000000000003E-2</v>
      </c>
      <c r="S9" s="69"/>
      <c r="T9" s="4">
        <v>6.6000000000000005E-5</v>
      </c>
      <c r="U9" s="6">
        <v>0</v>
      </c>
      <c r="V9" s="69"/>
      <c r="W9" s="59">
        <f>RS!$P9</f>
        <v>2.8598999999999999E-2</v>
      </c>
      <c r="X9" s="69"/>
      <c r="Y9" s="4">
        <f>RS!R9</f>
        <v>8.2700000000000004E-4</v>
      </c>
      <c r="Z9" s="70"/>
      <c r="AA9" s="70"/>
      <c r="AB9" s="70"/>
      <c r="AC9" s="85">
        <f>+DS!$AA9</f>
        <v>2.5401E-2</v>
      </c>
      <c r="AE9" s="9"/>
      <c r="AF9" s="9"/>
      <c r="AG9" s="9"/>
      <c r="AI9" s="14"/>
      <c r="AJ9" s="14"/>
      <c r="AL9" s="10"/>
      <c r="AM9" s="10"/>
      <c r="AO9" s="31"/>
      <c r="AQ9" s="14"/>
      <c r="AS9" s="14"/>
      <c r="AU9" s="31"/>
      <c r="AW9" s="14"/>
      <c r="AX9" s="14"/>
      <c r="AY9" s="14"/>
      <c r="AZ9" s="14"/>
    </row>
    <row r="10" spans="1:52" x14ac:dyDescent="0.25">
      <c r="A10" s="11" t="s">
        <v>49</v>
      </c>
      <c r="B10" s="11">
        <f>5000*0.96437</f>
        <v>4821.8499999999995</v>
      </c>
      <c r="G10" s="16" t="s">
        <v>8</v>
      </c>
      <c r="H10" s="6">
        <v>500</v>
      </c>
      <c r="I10" s="6">
        <v>8.51</v>
      </c>
      <c r="J10" s="6">
        <v>1.29</v>
      </c>
      <c r="K10" s="6">
        <v>6.98</v>
      </c>
      <c r="L10" s="6">
        <v>1.29</v>
      </c>
      <c r="M10" s="4">
        <v>5.3305999999999999E-2</v>
      </c>
      <c r="N10" s="4">
        <v>4.3936000000000003E-2</v>
      </c>
      <c r="O10" s="4">
        <v>5.0958999999999997E-2</v>
      </c>
      <c r="P10" s="4">
        <v>4.3936000000000003E-2</v>
      </c>
      <c r="Q10" s="69"/>
      <c r="R10" s="64">
        <f>DS!P10</f>
        <v>7.85E-2</v>
      </c>
      <c r="S10" s="69"/>
      <c r="T10" s="4">
        <v>6.6000000000000005E-5</v>
      </c>
      <c r="U10" s="6">
        <v>0</v>
      </c>
      <c r="V10" s="69"/>
      <c r="W10" s="59">
        <f>RS!$P10</f>
        <v>-1.1869999999999999E-3</v>
      </c>
      <c r="X10" s="69"/>
      <c r="Y10" s="4">
        <f>RS!R10</f>
        <v>2.31E-4</v>
      </c>
      <c r="Z10" s="70"/>
      <c r="AA10" s="70"/>
      <c r="AB10" s="70"/>
      <c r="AC10" s="85">
        <f>+DS!$AA10</f>
        <v>2.5401E-2</v>
      </c>
      <c r="AE10" s="9"/>
      <c r="AF10" s="9"/>
      <c r="AG10" s="9"/>
      <c r="AI10" s="14"/>
      <c r="AJ10" s="14"/>
      <c r="AL10" s="10"/>
      <c r="AM10" s="10"/>
      <c r="AO10" s="31"/>
      <c r="AQ10" s="14"/>
      <c r="AS10" s="14"/>
      <c r="AU10" s="31"/>
      <c r="AW10" s="14"/>
      <c r="AX10" s="14"/>
      <c r="AY10" s="14"/>
      <c r="AZ10" s="14"/>
    </row>
    <row r="11" spans="1:52" x14ac:dyDescent="0.25">
      <c r="A11" s="11" t="s">
        <v>50</v>
      </c>
      <c r="B11" s="11">
        <f>5000-B10</f>
        <v>178.15000000000055</v>
      </c>
      <c r="G11" s="16" t="s">
        <v>9</v>
      </c>
      <c r="H11" s="6">
        <v>500</v>
      </c>
      <c r="I11" s="6">
        <v>8.51</v>
      </c>
      <c r="J11" s="6">
        <v>1.29</v>
      </c>
      <c r="K11" s="6">
        <v>6.98</v>
      </c>
      <c r="L11" s="6">
        <v>1.29</v>
      </c>
      <c r="M11" s="4">
        <v>5.3305999999999999E-2</v>
      </c>
      <c r="N11" s="4">
        <v>4.3936000000000003E-2</v>
      </c>
      <c r="O11" s="4">
        <v>5.0958999999999997E-2</v>
      </c>
      <c r="P11" s="4">
        <v>4.3936000000000003E-2</v>
      </c>
      <c r="Q11" s="69"/>
      <c r="R11" s="64">
        <f>DS!P11</f>
        <v>0.1507</v>
      </c>
      <c r="S11" s="69"/>
      <c r="T11" s="4">
        <v>6.6000000000000005E-5</v>
      </c>
      <c r="U11" s="6">
        <v>0</v>
      </c>
      <c r="V11" s="69"/>
      <c r="W11" s="59">
        <f>RS!$P11</f>
        <v>5.9880000000000003E-3</v>
      </c>
      <c r="X11" s="69"/>
      <c r="Y11" s="4">
        <f>RS!R11</f>
        <v>2.31E-4</v>
      </c>
      <c r="Z11" s="70"/>
      <c r="AA11" s="70"/>
      <c r="AB11" s="70"/>
      <c r="AC11" s="85">
        <f>+DS!$AA11</f>
        <v>2.5401E-2</v>
      </c>
    </row>
    <row r="12" spans="1:52" x14ac:dyDescent="0.25">
      <c r="G12" s="16" t="s">
        <v>10</v>
      </c>
      <c r="H12" s="6">
        <v>500</v>
      </c>
      <c r="I12" s="6">
        <v>8.51</v>
      </c>
      <c r="J12" s="6">
        <v>1.29</v>
      </c>
      <c r="K12" s="6">
        <v>6.98</v>
      </c>
      <c r="L12" s="6">
        <v>1.29</v>
      </c>
      <c r="M12" s="4">
        <v>5.3305999999999999E-2</v>
      </c>
      <c r="N12" s="4">
        <v>4.3936000000000003E-2</v>
      </c>
      <c r="O12" s="4">
        <v>5.0958999999999997E-2</v>
      </c>
      <c r="P12" s="4">
        <v>4.3936000000000003E-2</v>
      </c>
      <c r="Q12" s="69"/>
      <c r="R12" s="64">
        <f>DS!P12</f>
        <v>0.1482</v>
      </c>
      <c r="S12" s="69"/>
      <c r="T12" s="4">
        <v>6.6000000000000005E-5</v>
      </c>
      <c r="U12" s="6">
        <v>0</v>
      </c>
      <c r="V12" s="69"/>
      <c r="W12" s="59">
        <f>RS!$P12</f>
        <v>5.8320000000000004E-3</v>
      </c>
      <c r="X12" s="69"/>
      <c r="Y12" s="4">
        <f>RS!R12</f>
        <v>2.31E-4</v>
      </c>
      <c r="Z12" s="70"/>
      <c r="AA12" s="70"/>
      <c r="AB12" s="70"/>
      <c r="AC12" s="85">
        <f>+DS!$AA12</f>
        <v>2.5401E-2</v>
      </c>
    </row>
    <row r="13" spans="1:52" x14ac:dyDescent="0.25">
      <c r="G13" s="16" t="s">
        <v>11</v>
      </c>
      <c r="H13" s="6">
        <v>500</v>
      </c>
      <c r="I13" s="6">
        <v>8.51</v>
      </c>
      <c r="J13" s="6">
        <v>1.29</v>
      </c>
      <c r="K13" s="6">
        <v>6.98</v>
      </c>
      <c r="L13" s="6">
        <v>1.29</v>
      </c>
      <c r="M13" s="4">
        <v>5.3305999999999999E-2</v>
      </c>
      <c r="N13" s="4">
        <v>4.3936000000000003E-2</v>
      </c>
      <c r="O13" s="4">
        <v>5.0958999999999997E-2</v>
      </c>
      <c r="P13" s="4">
        <v>4.3936000000000003E-2</v>
      </c>
      <c r="Q13" s="69"/>
      <c r="R13" s="64">
        <f>DS!P13</f>
        <v>0.16520000000000001</v>
      </c>
      <c r="S13" s="69"/>
      <c r="T13" s="4">
        <v>6.6000000000000005E-5</v>
      </c>
      <c r="U13" s="6">
        <v>0</v>
      </c>
      <c r="V13" s="69"/>
      <c r="W13" s="59">
        <f>RS!$P13</f>
        <v>2.6634000000000001E-2</v>
      </c>
      <c r="X13" s="69"/>
      <c r="Y13" s="4">
        <f>RS!R13</f>
        <v>3.3000000000000003E-5</v>
      </c>
      <c r="Z13" s="70"/>
      <c r="AA13" s="70"/>
      <c r="AB13" s="70"/>
      <c r="AC13" s="85">
        <f>+DS!$AA13</f>
        <v>2.5401E-2</v>
      </c>
    </row>
    <row r="14" spans="1:52" x14ac:dyDescent="0.25">
      <c r="A14" s="11" t="s">
        <v>18</v>
      </c>
      <c r="G14" s="16" t="s">
        <v>12</v>
      </c>
      <c r="H14" s="6">
        <v>500</v>
      </c>
      <c r="I14" s="6">
        <v>8.51</v>
      </c>
      <c r="J14" s="6">
        <v>1.29</v>
      </c>
      <c r="K14" s="6">
        <v>6.98</v>
      </c>
      <c r="L14" s="6">
        <v>1.29</v>
      </c>
      <c r="M14" s="4">
        <v>5.3305999999999999E-2</v>
      </c>
      <c r="N14" s="4">
        <v>4.3936000000000003E-2</v>
      </c>
      <c r="O14" s="4">
        <v>5.0958999999999997E-2</v>
      </c>
      <c r="P14" s="4">
        <v>4.3936000000000003E-2</v>
      </c>
      <c r="Q14" s="69"/>
      <c r="R14" s="64">
        <f>DS!P14</f>
        <v>0.16789999999999999</v>
      </c>
      <c r="S14" s="69"/>
      <c r="T14" s="4">
        <v>6.6000000000000005E-5</v>
      </c>
      <c r="U14" s="6">
        <v>0</v>
      </c>
      <c r="V14" s="69"/>
      <c r="W14" s="59">
        <f>RS!$P14</f>
        <v>1.1039E-2</v>
      </c>
      <c r="X14" s="69"/>
      <c r="Y14" s="4">
        <f>RS!R14</f>
        <v>3.3000000000000003E-5</v>
      </c>
      <c r="Z14" s="70"/>
      <c r="AA14" s="70"/>
      <c r="AB14" s="70"/>
      <c r="AC14" s="85">
        <f>+DS!$AA14</f>
        <v>2.5401E-2</v>
      </c>
    </row>
    <row r="15" spans="1:52" x14ac:dyDescent="0.25">
      <c r="A15" s="11" t="s">
        <v>49</v>
      </c>
      <c r="B15" s="26">
        <f>0.30698*1000000</f>
        <v>306980</v>
      </c>
      <c r="C15" s="57" t="s">
        <v>70</v>
      </c>
      <c r="D15" s="57"/>
      <c r="G15" s="16" t="s">
        <v>13</v>
      </c>
      <c r="H15" s="6">
        <v>500</v>
      </c>
      <c r="I15" s="6">
        <v>8.51</v>
      </c>
      <c r="J15" s="6">
        <v>1.29</v>
      </c>
      <c r="K15" s="6">
        <v>6.98</v>
      </c>
      <c r="L15" s="6">
        <v>1.29</v>
      </c>
      <c r="M15" s="4">
        <v>5.3305999999999999E-2</v>
      </c>
      <c r="N15" s="4">
        <v>4.3936000000000003E-2</v>
      </c>
      <c r="O15" s="4">
        <v>5.0958999999999997E-2</v>
      </c>
      <c r="P15" s="4">
        <v>4.3936000000000003E-2</v>
      </c>
      <c r="Q15" s="69"/>
      <c r="R15" s="64">
        <f>DS!P15</f>
        <v>5.7200000000000001E-2</v>
      </c>
      <c r="S15" s="69"/>
      <c r="T15" s="4">
        <v>6.6000000000000005E-5</v>
      </c>
      <c r="U15" s="6">
        <v>0</v>
      </c>
      <c r="V15" s="69"/>
      <c r="W15" s="59">
        <f>RS!$P15</f>
        <v>1.3535999999999999E-2</v>
      </c>
      <c r="X15" s="69"/>
      <c r="Y15" s="4">
        <f>RS!R15</f>
        <v>3.3000000000000003E-5</v>
      </c>
      <c r="Z15" s="70"/>
      <c r="AA15" s="70"/>
      <c r="AB15" s="70"/>
      <c r="AC15" s="85">
        <f>+DS!$AA15</f>
        <v>2.5401E-2</v>
      </c>
    </row>
    <row r="16" spans="1:52" x14ac:dyDescent="0.25">
      <c r="A16" s="11" t="s">
        <v>50</v>
      </c>
      <c r="B16" s="26">
        <f>1000000-B15</f>
        <v>693020</v>
      </c>
      <c r="C16" s="57" t="s">
        <v>71</v>
      </c>
      <c r="D16" s="57"/>
      <c r="G16" s="16" t="s">
        <v>14</v>
      </c>
      <c r="H16" s="6">
        <v>500</v>
      </c>
      <c r="I16" s="6">
        <v>8.51</v>
      </c>
      <c r="J16" s="6">
        <v>1.29</v>
      </c>
      <c r="K16" s="6">
        <v>6.98</v>
      </c>
      <c r="L16" s="6">
        <v>1.29</v>
      </c>
      <c r="M16" s="4">
        <v>5.3305999999999999E-2</v>
      </c>
      <c r="N16" s="4">
        <v>4.3936000000000003E-2</v>
      </c>
      <c r="O16" s="4">
        <v>5.0958999999999997E-2</v>
      </c>
      <c r="P16" s="4">
        <v>4.3936000000000003E-2</v>
      </c>
      <c r="Q16" s="69"/>
      <c r="R16" s="64">
        <f>DS!P16</f>
        <v>5.4899999999999997E-2</v>
      </c>
      <c r="S16" s="69"/>
      <c r="T16" s="4">
        <v>6.6000000000000005E-5</v>
      </c>
      <c r="U16" s="6">
        <v>0</v>
      </c>
      <c r="V16" s="69"/>
      <c r="W16" s="59">
        <f>RS!$P16</f>
        <v>1.6767000000000001E-2</v>
      </c>
      <c r="X16" s="69"/>
      <c r="Y16" s="4">
        <f>RS!R16</f>
        <v>4.7270000000000003E-3</v>
      </c>
      <c r="Z16" s="70"/>
      <c r="AA16" s="70"/>
      <c r="AB16" s="70"/>
      <c r="AC16" s="85">
        <f>+DS!$AA16</f>
        <v>2.5401E-2</v>
      </c>
    </row>
    <row r="17" spans="1:52" x14ac:dyDescent="0.25">
      <c r="A17" s="11" t="s">
        <v>69</v>
      </c>
      <c r="B17" s="26"/>
      <c r="C17" s="57" t="s">
        <v>78</v>
      </c>
      <c r="D17" s="58"/>
      <c r="G17" s="16" t="s">
        <v>15</v>
      </c>
      <c r="H17" s="6">
        <v>500</v>
      </c>
      <c r="I17" s="6">
        <v>8.51</v>
      </c>
      <c r="J17" s="6">
        <v>1.29</v>
      </c>
      <c r="K17" s="6">
        <v>6.98</v>
      </c>
      <c r="L17" s="6">
        <v>1.29</v>
      </c>
      <c r="M17" s="4">
        <v>5.3305999999999999E-2</v>
      </c>
      <c r="N17" s="4">
        <v>4.3936000000000003E-2</v>
      </c>
      <c r="O17" s="4">
        <v>5.0958999999999997E-2</v>
      </c>
      <c r="P17" s="4">
        <v>4.3936000000000003E-2</v>
      </c>
      <c r="Q17" s="69"/>
      <c r="R17" s="64">
        <f>DS!P17</f>
        <v>7.0599999999999996E-2</v>
      </c>
      <c r="S17" s="69"/>
      <c r="T17" s="4">
        <v>6.6000000000000005E-5</v>
      </c>
      <c r="U17" s="6">
        <v>0</v>
      </c>
      <c r="V17" s="69"/>
      <c r="W17" s="59">
        <f>RS!$P17</f>
        <v>5.4503999999999997E-2</v>
      </c>
      <c r="X17" s="69"/>
      <c r="Y17" s="4">
        <f>RS!R17</f>
        <v>4.7270000000000003E-3</v>
      </c>
      <c r="Z17" s="70"/>
      <c r="AA17" s="70"/>
      <c r="AB17" s="70"/>
      <c r="AC17" s="85">
        <f>+DS!$AA17</f>
        <v>2.5401E-2</v>
      </c>
    </row>
    <row r="18" spans="1:52" x14ac:dyDescent="0.25">
      <c r="G18" s="16" t="s">
        <v>16</v>
      </c>
      <c r="H18" s="6">
        <v>500</v>
      </c>
      <c r="I18" s="6">
        <v>8.51</v>
      </c>
      <c r="J18" s="6">
        <v>1.29</v>
      </c>
      <c r="K18" s="6">
        <v>6.98</v>
      </c>
      <c r="L18" s="6">
        <v>1.29</v>
      </c>
      <c r="M18" s="4">
        <v>5.3305999999999999E-2</v>
      </c>
      <c r="N18" s="4">
        <v>4.3936000000000003E-2</v>
      </c>
      <c r="O18" s="4">
        <v>5.0958999999999997E-2</v>
      </c>
      <c r="P18" s="4">
        <v>4.3936000000000003E-2</v>
      </c>
      <c r="Q18" s="69"/>
      <c r="R18" s="64">
        <f>DS!P18</f>
        <v>7.7999999999999996E-3</v>
      </c>
      <c r="S18" s="69"/>
      <c r="T18" s="4">
        <v>6.6000000000000005E-5</v>
      </c>
      <c r="U18" s="6">
        <v>0</v>
      </c>
      <c r="V18" s="69"/>
      <c r="W18" s="59">
        <f>RS!$P18</f>
        <v>3.6070999999999999E-2</v>
      </c>
      <c r="X18" s="69"/>
      <c r="Y18" s="4">
        <f>RS!R18</f>
        <v>4.7270000000000003E-3</v>
      </c>
      <c r="Z18" s="70"/>
      <c r="AA18" s="70"/>
      <c r="AB18" s="70"/>
      <c r="AC18" s="85">
        <f>+DS!$AA18</f>
        <v>2.5401E-2</v>
      </c>
    </row>
    <row r="19" spans="1:52" x14ac:dyDescent="0.25">
      <c r="A19" s="33" t="s">
        <v>48</v>
      </c>
      <c r="G19" s="16" t="s">
        <v>17</v>
      </c>
      <c r="H19" s="6">
        <v>500</v>
      </c>
      <c r="I19" s="6">
        <v>8.51</v>
      </c>
      <c r="J19" s="6">
        <v>1.29</v>
      </c>
      <c r="K19" s="6">
        <v>6.98</v>
      </c>
      <c r="L19" s="6">
        <v>1.29</v>
      </c>
      <c r="M19" s="4">
        <v>5.3305999999999999E-2</v>
      </c>
      <c r="N19" s="4">
        <v>4.3936000000000003E-2</v>
      </c>
      <c r="O19" s="4">
        <v>5.0958999999999997E-2</v>
      </c>
      <c r="P19" s="4">
        <v>4.3936000000000003E-2</v>
      </c>
      <c r="Q19" s="69"/>
      <c r="R19" s="64">
        <f>DS!P19</f>
        <v>0.14299999999999999</v>
      </c>
      <c r="S19" s="69"/>
      <c r="T19" s="4">
        <v>6.6000000000000005E-5</v>
      </c>
      <c r="U19" s="6">
        <v>0</v>
      </c>
      <c r="V19" s="69"/>
      <c r="W19" s="59">
        <f>RS!$P19</f>
        <v>6.1579000000000002E-2</v>
      </c>
      <c r="X19" s="69"/>
      <c r="Y19" s="4">
        <f>RS!R19</f>
        <v>4.4869999999999997E-3</v>
      </c>
      <c r="Z19" s="70"/>
      <c r="AA19" s="70"/>
      <c r="AB19" s="70"/>
      <c r="AC19" s="85">
        <f>+DS!$AA19</f>
        <v>2.5401E-2</v>
      </c>
    </row>
    <row r="20" spans="1:52" x14ac:dyDescent="0.25">
      <c r="A20" s="11" t="s">
        <v>49</v>
      </c>
      <c r="B20" s="56">
        <f>ROUND(IF($B$7="n",$B$15,$B$15*0.985),0)</f>
        <v>306980</v>
      </c>
      <c r="H20" s="6"/>
      <c r="I20" s="6"/>
      <c r="J20" s="6"/>
      <c r="K20" s="6"/>
      <c r="L20" s="6"/>
      <c r="M20" s="4"/>
      <c r="N20" s="4"/>
      <c r="O20" s="4"/>
      <c r="P20" s="4"/>
      <c r="T20" s="4"/>
      <c r="U20" s="6"/>
      <c r="W20" s="59"/>
      <c r="Y20" s="4"/>
    </row>
    <row r="21" spans="1:52" x14ac:dyDescent="0.25">
      <c r="A21" s="11" t="s">
        <v>50</v>
      </c>
      <c r="B21" s="56">
        <f>ROUND(IF($B$7="n",$B$16,$B$16*0.985),0)</f>
        <v>693020</v>
      </c>
      <c r="H21" s="6"/>
      <c r="I21" s="6"/>
      <c r="J21" s="6"/>
      <c r="K21" s="6"/>
      <c r="L21" s="6"/>
      <c r="M21" s="4"/>
      <c r="N21" s="4"/>
      <c r="O21" s="4"/>
      <c r="P21" s="4"/>
      <c r="T21" s="4"/>
      <c r="U21" s="6"/>
      <c r="W21" s="59"/>
      <c r="Y21" s="4"/>
      <c r="AC21" s="86"/>
    </row>
    <row r="22" spans="1:52" x14ac:dyDescent="0.25">
      <c r="A22" s="11" t="s">
        <v>69</v>
      </c>
      <c r="B22" s="56">
        <f>ROUND(IF($B$7="n",SUM($B$15:$B$17),SUM(B15:$B$17)*0.985),0)</f>
        <v>1000000</v>
      </c>
      <c r="H22" s="6"/>
      <c r="I22" s="6"/>
      <c r="J22" s="6"/>
      <c r="K22" s="6"/>
      <c r="L22" s="6"/>
      <c r="M22" s="4"/>
      <c r="N22" s="4"/>
      <c r="O22" s="4"/>
      <c r="P22" s="4"/>
      <c r="T22" s="4"/>
      <c r="U22" s="6"/>
      <c r="W22" s="59"/>
      <c r="Y22" s="4"/>
      <c r="AC22" s="87"/>
    </row>
    <row r="23" spans="1:52" x14ac:dyDescent="0.25">
      <c r="A23" s="34"/>
      <c r="B23" s="21" t="s">
        <v>20</v>
      </c>
      <c r="C23" s="21"/>
      <c r="D23" s="21" t="s">
        <v>0</v>
      </c>
      <c r="E23" s="21" t="s">
        <v>4</v>
      </c>
      <c r="M23" s="66" t="s">
        <v>77</v>
      </c>
      <c r="N23" s="58"/>
      <c r="O23" s="58"/>
      <c r="P23" s="66"/>
      <c r="AC23" s="87"/>
    </row>
    <row r="24" spans="1:52" ht="30" x14ac:dyDescent="0.25">
      <c r="A24" s="21" t="s">
        <v>19</v>
      </c>
      <c r="B24" s="21" t="s">
        <v>30</v>
      </c>
      <c r="C24" s="12" t="s">
        <v>21</v>
      </c>
      <c r="D24" s="12"/>
      <c r="E24" s="12"/>
      <c r="G24" s="18" t="s">
        <v>26</v>
      </c>
      <c r="H24" s="37"/>
      <c r="I24" s="36">
        <f>$B$10</f>
        <v>4821.8499999999995</v>
      </c>
      <c r="J24" s="36">
        <f>$B$11</f>
        <v>178.15000000000055</v>
      </c>
      <c r="K24" s="36">
        <f>$B$10</f>
        <v>4821.8499999999995</v>
      </c>
      <c r="L24" s="36">
        <f>$B$11</f>
        <v>178.15000000000055</v>
      </c>
      <c r="M24" s="67">
        <f>$B$20</f>
        <v>306980</v>
      </c>
      <c r="N24" s="67">
        <f>$B$21</f>
        <v>693020</v>
      </c>
      <c r="O24" s="67">
        <f>$B$20</f>
        <v>306980</v>
      </c>
      <c r="P24" s="67">
        <f>$B$21</f>
        <v>693020</v>
      </c>
      <c r="Q24" s="37"/>
      <c r="R24" s="37"/>
      <c r="S24" s="37"/>
      <c r="T24" s="36">
        <f>$B$22</f>
        <v>1000000</v>
      </c>
      <c r="U24" s="36"/>
      <c r="V24" s="36"/>
      <c r="W24" s="35">
        <f>$B$22</f>
        <v>1000000</v>
      </c>
      <c r="X24" s="37"/>
      <c r="Y24" s="37">
        <f>$B$22</f>
        <v>1000000</v>
      </c>
      <c r="AC24" s="87">
        <f>IF(B17=0,B15+B16,B17)</f>
        <v>1000000</v>
      </c>
      <c r="AE24" s="23"/>
      <c r="AF24" s="23"/>
      <c r="AG24" s="23"/>
      <c r="AI24" s="23"/>
      <c r="AJ24" s="23"/>
      <c r="AL24" s="23"/>
      <c r="AM24" s="23"/>
      <c r="AW24" s="23"/>
      <c r="AX24" s="23"/>
      <c r="AY24" s="23"/>
      <c r="AZ24" s="23"/>
    </row>
    <row r="25" spans="1:52" x14ac:dyDescent="0.25">
      <c r="A25" s="24">
        <f t="shared" ref="A25:A26" si="0">ROUND(SUM(H25:Y25),2)</f>
        <v>121874.83</v>
      </c>
      <c r="B25" s="28">
        <f>ROUND(W25,2)</f>
        <v>39735</v>
      </c>
      <c r="C25" s="28">
        <f>ROUND(H25+M25,2)</f>
        <v>500</v>
      </c>
      <c r="D25" s="24">
        <f>ROUND(SUM(H25:H25)+U25,2)</f>
        <v>500</v>
      </c>
      <c r="E25" s="24">
        <f>ROUND(SUM(M25:M25)+T25+Y25,2)</f>
        <v>-761</v>
      </c>
      <c r="F25" s="6"/>
      <c r="G25" s="16" t="s">
        <v>1</v>
      </c>
      <c r="H25" s="24">
        <f t="shared" ref="H25:H36" si="1">H8</f>
        <v>500</v>
      </c>
      <c r="I25" s="24">
        <f t="shared" ref="I25:I36" si="2">IF(K25&gt;0,0,I8*I$24)</f>
        <v>0</v>
      </c>
      <c r="J25" s="24">
        <f t="shared" ref="J25:J36" si="3">IF(L25&gt;0,0,J8*J$24)</f>
        <v>0</v>
      </c>
      <c r="K25" s="24">
        <f t="shared" ref="K25:L29" si="4">IF(OR($G25="Jun",$G25="Jul",$G25="Aug",$G25="Sep"),0,K$24*K8)</f>
        <v>33656.512999999999</v>
      </c>
      <c r="L25" s="24">
        <f t="shared" si="4"/>
        <v>229.81350000000072</v>
      </c>
      <c r="M25" s="24">
        <f>ROUND(IF(O25&gt;0,0,IF(M$24&gt;0,M$24*M8,B$22*M8*(DT!AB22/DT!AF22))),0)</f>
        <v>0</v>
      </c>
      <c r="N25" s="24">
        <f>ROUND(IF(P25&gt;0,0,IF(N$24&gt;0,N$24*M8,B$22*M8*(DT!AB22/DT!AF22))),0)</f>
        <v>0</v>
      </c>
      <c r="O25" s="24">
        <f>ROUND(IF(OR($G25="Jun",$G25="Jul",$G25="Aug",$G25="Sep"),0,IF(O$24&gt;0,O$24*O8,B$22*O8*(DT!AB22/DT!AF22))),0)</f>
        <v>15643</v>
      </c>
      <c r="P25" s="24">
        <f>ROUND(IF(OR($G25="Jun",$G25="Jul",$G25="Aug",$G25="Sep"),0,IF(P$24&gt;0,P$24*P8,P8*B$22*DT!AD22/DT!AF22)),0)</f>
        <v>30449</v>
      </c>
      <c r="Q25" s="28"/>
      <c r="R25" s="24">
        <f>(SUM(H25:P25)+SUM(T25:Y25)-W25-AC25)*R8</f>
        <v>2422.5081618999998</v>
      </c>
      <c r="S25" s="28"/>
      <c r="T25" s="24">
        <f t="shared" ref="T25:T36" si="5">T8*T$24</f>
        <v>66</v>
      </c>
      <c r="U25" s="24">
        <f t="shared" ref="U25:U36" si="6">U8</f>
        <v>0</v>
      </c>
      <c r="V25" s="28"/>
      <c r="W25" s="25">
        <f t="shared" ref="W25:W36" si="7">W8*W$24</f>
        <v>39735</v>
      </c>
      <c r="X25" s="28"/>
      <c r="Y25" s="24">
        <f t="shared" ref="Y25:Y36" si="8">-Y8*Y$24</f>
        <v>-827</v>
      </c>
      <c r="Z25" s="28"/>
      <c r="AA25" s="28"/>
      <c r="AB25" s="28"/>
      <c r="AC25" s="87">
        <f>+AC$24*AC8</f>
        <v>25401</v>
      </c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1:52" x14ac:dyDescent="0.25">
      <c r="A26" s="24">
        <f t="shared" si="0"/>
        <v>110966.96</v>
      </c>
      <c r="B26" s="28">
        <f t="shared" ref="B26:B36" si="9">ROUND(W26,2)</f>
        <v>28599</v>
      </c>
      <c r="C26" s="28">
        <f t="shared" ref="C26:C36" si="10">ROUND(H26+M26,2)</f>
        <v>500</v>
      </c>
      <c r="D26" s="24">
        <f t="shared" ref="D26:D36" si="11">ROUND(SUM(H26:H26)+U26,2)</f>
        <v>500</v>
      </c>
      <c r="E26" s="24">
        <f>ROUND(SUM(M26:M26)+T26+Y26,2)</f>
        <v>-761</v>
      </c>
      <c r="G26" s="16" t="s">
        <v>7</v>
      </c>
      <c r="H26" s="24">
        <f t="shared" si="1"/>
        <v>500</v>
      </c>
      <c r="I26" s="24">
        <f t="shared" si="2"/>
        <v>0</v>
      </c>
      <c r="J26" s="24">
        <f t="shared" si="3"/>
        <v>0</v>
      </c>
      <c r="K26" s="24">
        <f t="shared" si="4"/>
        <v>33656.512999999999</v>
      </c>
      <c r="L26" s="24">
        <f t="shared" si="4"/>
        <v>229.81350000000072</v>
      </c>
      <c r="M26" s="24">
        <f>ROUND(IF(O26&gt;0,0,IF(M$24&gt;0,M$24*M9,B$22*M9*(DT!AB23/DT!AF23))),0)</f>
        <v>0</v>
      </c>
      <c r="N26" s="24">
        <f>ROUND(IF(P26&gt;0,0,IF(N$24&gt;0,N$24*M9,B$22*M9*(DT!AB23/DT!AF23))),0)</f>
        <v>0</v>
      </c>
      <c r="O26" s="24">
        <f>ROUND(IF(OR($G26="Jun",$G26="Jul",$G26="Aug",$G26="Sep"),0,IF(O$24&gt;0,O$24*O9,B$22*O9*(DT!AB23/DT!AF23))),0)</f>
        <v>15643</v>
      </c>
      <c r="P26" s="24">
        <f>ROUND(IF(OR($G26="Jun",$G26="Jul",$G26="Aug",$G26="Sep"),0,IF(P$24&gt;0,P$24*P9,P9*B$22*DT!AD23/DT!AF23)),0)</f>
        <v>30449</v>
      </c>
      <c r="Q26" s="24"/>
      <c r="R26" s="24">
        <f t="shared" ref="R26:R36" si="12">(SUM(H26:P26)+SUM(T26:Y26)-W26-AC26)*R9</f>
        <v>2650.6367332</v>
      </c>
      <c r="S26" s="24"/>
      <c r="T26" s="24">
        <f t="shared" si="5"/>
        <v>66</v>
      </c>
      <c r="U26" s="24">
        <f t="shared" si="6"/>
        <v>0</v>
      </c>
      <c r="V26" s="24"/>
      <c r="W26" s="25">
        <f t="shared" si="7"/>
        <v>28599</v>
      </c>
      <c r="X26" s="24"/>
      <c r="Y26" s="24">
        <f t="shared" si="8"/>
        <v>-827</v>
      </c>
      <c r="Z26" s="28"/>
      <c r="AA26" s="28"/>
      <c r="AB26" s="28"/>
      <c r="AC26" s="87">
        <f t="shared" ref="AC26:AC36" si="13">+AC$24*AC9</f>
        <v>25401</v>
      </c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</row>
    <row r="27" spans="1:52" x14ac:dyDescent="0.25">
      <c r="A27" s="24">
        <f>ROUND(SUM(H27:Y27),2)</f>
        <v>83436.94</v>
      </c>
      <c r="B27" s="28">
        <f t="shared" si="9"/>
        <v>-1187</v>
      </c>
      <c r="C27" s="28">
        <f t="shared" si="10"/>
        <v>500</v>
      </c>
      <c r="D27" s="24">
        <f t="shared" si="11"/>
        <v>500</v>
      </c>
      <c r="E27" s="24">
        <f t="shared" ref="E27:E36" si="14">ROUND(SUM(M27:M27)+T27+Y27,2)</f>
        <v>-165</v>
      </c>
      <c r="G27" s="16" t="s">
        <v>8</v>
      </c>
      <c r="H27" s="24">
        <f t="shared" si="1"/>
        <v>500</v>
      </c>
      <c r="I27" s="24">
        <f t="shared" si="2"/>
        <v>0</v>
      </c>
      <c r="J27" s="24">
        <f t="shared" si="3"/>
        <v>0</v>
      </c>
      <c r="K27" s="24">
        <f t="shared" si="4"/>
        <v>33656.512999999999</v>
      </c>
      <c r="L27" s="24">
        <f t="shared" si="4"/>
        <v>229.81350000000072</v>
      </c>
      <c r="M27" s="24">
        <f>ROUND(IF(O27&gt;0,0,IF(M$24&gt;0,M$24*M10,B$22*M10*(DT!AB24/DT!AF24))),0)</f>
        <v>0</v>
      </c>
      <c r="N27" s="24">
        <f>ROUND(IF(P27&gt;0,0,IF(N$24&gt;0,N$24*M10,B$22*M10*(DT!AB24/DT!AF24))),0)</f>
        <v>0</v>
      </c>
      <c r="O27" s="24">
        <f>ROUND(IF(OR($G27="Jun",$G27="Jul",$G27="Aug",$G27="Sep"),0,IF(O$24&gt;0,O$24*O10,B$22*O10*(DT!AB24/DT!AF24))),0)</f>
        <v>15643</v>
      </c>
      <c r="P27" s="24">
        <f>ROUND(IF(OR($G27="Jun",$G27="Jul",$G27="Aug",$G27="Sep"),0,IF(P$24&gt;0,P$24*P10,P10*B$22*DT!AD24/DT!AF24)),0)</f>
        <v>30449</v>
      </c>
      <c r="Q27" s="24"/>
      <c r="R27" s="24">
        <f t="shared" ref="R27" si="15">(SUM(H27:P27)+SUM(T27:Y27)-W27-AC27)*R10</f>
        <v>4310.6176302499998</v>
      </c>
      <c r="S27" s="24"/>
      <c r="T27" s="28">
        <f t="shared" si="5"/>
        <v>66</v>
      </c>
      <c r="U27" s="24">
        <f t="shared" si="6"/>
        <v>0</v>
      </c>
      <c r="V27" s="24"/>
      <c r="W27" s="25">
        <f t="shared" si="7"/>
        <v>-1187</v>
      </c>
      <c r="X27" s="24"/>
      <c r="Y27" s="24">
        <f t="shared" si="8"/>
        <v>-231</v>
      </c>
      <c r="Z27" s="28"/>
      <c r="AA27" s="28"/>
      <c r="AB27" s="28"/>
      <c r="AC27" s="87">
        <f t="shared" si="13"/>
        <v>25401</v>
      </c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52" x14ac:dyDescent="0.25">
      <c r="A28" s="24">
        <f t="shared" ref="A28:A36" si="16">ROUND(SUM(H28:Y28),2)</f>
        <v>94576.61</v>
      </c>
      <c r="B28" s="28">
        <f t="shared" si="9"/>
        <v>5988</v>
      </c>
      <c r="C28" s="28">
        <f t="shared" si="10"/>
        <v>500</v>
      </c>
      <c r="D28" s="24">
        <f t="shared" si="11"/>
        <v>500</v>
      </c>
      <c r="E28" s="24">
        <f t="shared" si="14"/>
        <v>-165</v>
      </c>
      <c r="G28" s="16" t="s">
        <v>9</v>
      </c>
      <c r="H28" s="24">
        <f t="shared" si="1"/>
        <v>500</v>
      </c>
      <c r="I28" s="24">
        <f t="shared" si="2"/>
        <v>0</v>
      </c>
      <c r="J28" s="24">
        <f t="shared" si="3"/>
        <v>0</v>
      </c>
      <c r="K28" s="24">
        <f t="shared" si="4"/>
        <v>33656.512999999999</v>
      </c>
      <c r="L28" s="24">
        <f t="shared" si="4"/>
        <v>229.81350000000072</v>
      </c>
      <c r="M28" s="24">
        <f>ROUND(IF(O28&gt;0,0,IF(M$24&gt;0,M$24*M11,B$22*M11*(DT!AB25/DT!AF25))),0)</f>
        <v>0</v>
      </c>
      <c r="N28" s="24">
        <f>ROUND(IF(P28&gt;0,0,IF(N$24&gt;0,N$24*M11,B$22*M11*(DT!AB25/DT!AF25))),0)</f>
        <v>0</v>
      </c>
      <c r="O28" s="24">
        <f>ROUND(IF(OR($G28="Jun",$G28="Jul",$G28="Aug",$G28="Sep"),0,IF(O$24&gt;0,O$24*O11,B$22*O11*(DT!AB25/DT!AF25))),0)</f>
        <v>15643</v>
      </c>
      <c r="P28" s="24">
        <f>ROUND(IF(OR($G28="Jun",$G28="Jul",$G28="Aug",$G28="Sep"),0,IF(P$24&gt;0,P$24*P11,P11*B$22*DT!AD25/DT!AF25)),0)</f>
        <v>30449</v>
      </c>
      <c r="Q28" s="24"/>
      <c r="R28" s="24">
        <f t="shared" si="12"/>
        <v>8275.2876035499994</v>
      </c>
      <c r="S28" s="24"/>
      <c r="T28" s="24">
        <f t="shared" si="5"/>
        <v>66</v>
      </c>
      <c r="U28" s="24">
        <f t="shared" si="6"/>
        <v>0</v>
      </c>
      <c r="V28" s="24"/>
      <c r="W28" s="25">
        <f t="shared" si="7"/>
        <v>5988</v>
      </c>
      <c r="X28" s="24"/>
      <c r="Y28" s="24">
        <f t="shared" si="8"/>
        <v>-231</v>
      </c>
      <c r="Z28" s="28"/>
      <c r="AA28" s="28"/>
      <c r="AB28" s="28"/>
      <c r="AC28" s="87">
        <f t="shared" si="13"/>
        <v>25401</v>
      </c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1:52" x14ac:dyDescent="0.25">
      <c r="A29" s="24">
        <f t="shared" si="16"/>
        <v>94283.33</v>
      </c>
      <c r="B29" s="28">
        <f t="shared" si="9"/>
        <v>5832</v>
      </c>
      <c r="C29" s="28">
        <f t="shared" si="10"/>
        <v>500</v>
      </c>
      <c r="D29" s="24">
        <f t="shared" si="11"/>
        <v>500</v>
      </c>
      <c r="E29" s="24">
        <f t="shared" si="14"/>
        <v>-165</v>
      </c>
      <c r="G29" s="16" t="s">
        <v>10</v>
      </c>
      <c r="H29" s="24">
        <f t="shared" si="1"/>
        <v>500</v>
      </c>
      <c r="I29" s="24">
        <f t="shared" si="2"/>
        <v>0</v>
      </c>
      <c r="J29" s="24">
        <f t="shared" si="3"/>
        <v>0</v>
      </c>
      <c r="K29" s="24">
        <f t="shared" si="4"/>
        <v>33656.512999999999</v>
      </c>
      <c r="L29" s="24">
        <f t="shared" si="4"/>
        <v>229.81350000000072</v>
      </c>
      <c r="M29" s="24">
        <f>ROUND(IF(O29&gt;0,0,IF(M$24&gt;0,M$24*M12,B$22*M12*(DT!AB26/DT!AF26))),0)</f>
        <v>0</v>
      </c>
      <c r="N29" s="24">
        <f>ROUND(IF(P29&gt;0,0,IF(N$24&gt;0,N$24*M12,B$22*M12*(DT!AB26/DT!AF26))),0)</f>
        <v>0</v>
      </c>
      <c r="O29" s="24">
        <f>ROUND(IF(OR($G29="Jun",$G29="Jul",$G29="Aug",$G29="Sep"),0,IF(O$24&gt;0,O$24*O12,B$22*O12*(DT!AB26/DT!AF26))),0)</f>
        <v>15643</v>
      </c>
      <c r="P29" s="24">
        <f>ROUND(IF(OR($G29="Jun",$G29="Jul",$G29="Aug",$G29="Sep"),0,IF(P$24&gt;0,P$24*P12,P12*B$22*DT!AD26/DT!AF26)),0)</f>
        <v>30449</v>
      </c>
      <c r="Q29" s="24"/>
      <c r="R29" s="24">
        <f t="shared" si="12"/>
        <v>8138.0067872999989</v>
      </c>
      <c r="S29" s="24"/>
      <c r="T29" s="24">
        <f t="shared" si="5"/>
        <v>66</v>
      </c>
      <c r="U29" s="24">
        <f t="shared" si="6"/>
        <v>0</v>
      </c>
      <c r="V29" s="24"/>
      <c r="W29" s="25">
        <f t="shared" si="7"/>
        <v>5832</v>
      </c>
      <c r="X29" s="24"/>
      <c r="Y29" s="24">
        <f t="shared" si="8"/>
        <v>-231</v>
      </c>
      <c r="Z29" s="28"/>
      <c r="AA29" s="28"/>
      <c r="AB29" s="28"/>
      <c r="AC29" s="87">
        <f t="shared" si="13"/>
        <v>25401</v>
      </c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1:52" x14ac:dyDescent="0.25">
      <c r="A30" s="24">
        <f t="shared" si="16"/>
        <v>125685.84</v>
      </c>
      <c r="B30" s="28">
        <f t="shared" si="9"/>
        <v>26634</v>
      </c>
      <c r="C30" s="28">
        <f t="shared" si="10"/>
        <v>16864</v>
      </c>
      <c r="D30" s="24">
        <f t="shared" si="11"/>
        <v>500</v>
      </c>
      <c r="E30" s="24">
        <f t="shared" si="14"/>
        <v>16397</v>
      </c>
      <c r="G30" s="16" t="s">
        <v>11</v>
      </c>
      <c r="H30" s="24">
        <f t="shared" si="1"/>
        <v>500</v>
      </c>
      <c r="I30" s="24">
        <f t="shared" si="2"/>
        <v>41033.943499999994</v>
      </c>
      <c r="J30" s="24">
        <f t="shared" si="3"/>
        <v>229.81350000000072</v>
      </c>
      <c r="K30" s="24">
        <f>IF(OR($G30="Jun",$G30="Jul",$G30="Aug",$G30="Sep"),0,K$24*K13)</f>
        <v>0</v>
      </c>
      <c r="L30" s="24">
        <f>IF(OR($G30="Jun",$G30="Jul",$G30="Aug",$G30="Sep"),0,L$24*L13)</f>
        <v>0</v>
      </c>
      <c r="M30" s="24">
        <f>ROUND(IF(O30&gt;0,0,IF(M$24&gt;0,M$24*M13,B$22*M13*(DT!AB27/DT!AF27))),0)</f>
        <v>16364</v>
      </c>
      <c r="N30" s="24">
        <f>ROUND(IF($G30="Jun",IF(P$24&gt;0,P$24*P13,P13*B$22*DT!AD27/DT!AF27),0),0)</f>
        <v>30449</v>
      </c>
      <c r="O30" s="24">
        <f>ROUND(IF(OR($G30="Jun",$G30="Jul",$G30="Aug",$G30="Sep"),0,IF(O$24&gt;0,O$24*O13,B$22*O13*(DT!AB27/DT!AF27))),0)</f>
        <v>0</v>
      </c>
      <c r="P30" s="24">
        <f>ROUND(IF(OR($G30="Jun",$G30="Jul",$G30="Aug",$G30="Sep"),0,IF(P$24&gt;0,P$24*P13,P13*B$22*DT!AD27/DT!AF27)),0)</f>
        <v>0</v>
      </c>
      <c r="Q30" s="24"/>
      <c r="R30" s="24">
        <f t="shared" si="12"/>
        <v>10442.086656400001</v>
      </c>
      <c r="S30" s="24"/>
      <c r="T30" s="24">
        <f t="shared" si="5"/>
        <v>66</v>
      </c>
      <c r="U30" s="24">
        <f t="shared" si="6"/>
        <v>0</v>
      </c>
      <c r="V30" s="24"/>
      <c r="W30" s="25">
        <f t="shared" si="7"/>
        <v>26634</v>
      </c>
      <c r="X30" s="24"/>
      <c r="Y30" s="24">
        <f t="shared" si="8"/>
        <v>-33</v>
      </c>
      <c r="Z30" s="28"/>
      <c r="AA30" s="28"/>
      <c r="AB30" s="28"/>
      <c r="AC30" s="87">
        <f t="shared" si="13"/>
        <v>25401</v>
      </c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1:52" x14ac:dyDescent="0.25">
      <c r="A31" s="24">
        <f t="shared" si="16"/>
        <v>110261.51</v>
      </c>
      <c r="B31" s="28">
        <f t="shared" si="9"/>
        <v>11039</v>
      </c>
      <c r="C31" s="28">
        <f t="shared" si="10"/>
        <v>16864</v>
      </c>
      <c r="D31" s="24">
        <f t="shared" si="11"/>
        <v>500</v>
      </c>
      <c r="E31" s="24">
        <f t="shared" si="14"/>
        <v>16397</v>
      </c>
      <c r="G31" s="16" t="s">
        <v>12</v>
      </c>
      <c r="H31" s="24">
        <f t="shared" si="1"/>
        <v>500</v>
      </c>
      <c r="I31" s="24">
        <f t="shared" si="2"/>
        <v>41033.943499999994</v>
      </c>
      <c r="J31" s="24">
        <f t="shared" si="3"/>
        <v>229.81350000000072</v>
      </c>
      <c r="K31" s="24">
        <f t="shared" ref="K31:L36" si="17">IF(OR($G31="Jun",$G31="Jul",$G31="Aug",$G31="Sep"),0,K$24*K14)</f>
        <v>0</v>
      </c>
      <c r="L31" s="24">
        <f t="shared" si="17"/>
        <v>0</v>
      </c>
      <c r="M31" s="24">
        <f>ROUND(IF(O31&gt;0,0,IF(M$24&gt;0,M$24*M14,B$22*M14*(DT!AB28/DT!AF28))),0)</f>
        <v>16364</v>
      </c>
      <c r="N31" s="24">
        <f>ROUND(IF($G31="Jul",IF(P$24&gt;0,P$24*P14,P14*B$22*DT!AD28/DT!AF28),0),0)</f>
        <v>30449</v>
      </c>
      <c r="O31" s="24">
        <f>ROUND(IF(OR($G31="Jun",$G31="Jul",$G31="Aug",$G31="Sep"),0,IF(O$24&gt;0,O$24*O14,B$22*O14*(DT!AB28/DT!AF28))),0)</f>
        <v>0</v>
      </c>
      <c r="P31" s="24">
        <f>ROUND(IF(OR($G31="Jun",$G31="Jul",$G31="Aug",$G31="Sep"),0,IF(P$24&gt;0,P$24*P14,P14*B$22*DT!AD28/DT!AF28)),0)</f>
        <v>0</v>
      </c>
      <c r="Q31" s="24"/>
      <c r="R31" s="24">
        <f t="shared" si="12"/>
        <v>10612.750300299998</v>
      </c>
      <c r="S31" s="24"/>
      <c r="T31" s="24">
        <f t="shared" si="5"/>
        <v>66</v>
      </c>
      <c r="U31" s="24">
        <f t="shared" si="6"/>
        <v>0</v>
      </c>
      <c r="V31" s="24"/>
      <c r="W31" s="25">
        <f t="shared" si="7"/>
        <v>11039</v>
      </c>
      <c r="X31" s="24"/>
      <c r="Y31" s="24">
        <f t="shared" si="8"/>
        <v>-33</v>
      </c>
      <c r="Z31" s="28"/>
      <c r="AA31" s="28"/>
      <c r="AB31" s="28"/>
      <c r="AC31" s="87">
        <f t="shared" si="13"/>
        <v>25401</v>
      </c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1:52" x14ac:dyDescent="0.25">
      <c r="A32" s="24">
        <f t="shared" si="16"/>
        <v>105761.3</v>
      </c>
      <c r="B32" s="28">
        <f t="shared" si="9"/>
        <v>13536</v>
      </c>
      <c r="C32" s="28">
        <f t="shared" si="10"/>
        <v>16864</v>
      </c>
      <c r="D32" s="24">
        <f t="shared" si="11"/>
        <v>500</v>
      </c>
      <c r="E32" s="24">
        <f t="shared" si="14"/>
        <v>16397</v>
      </c>
      <c r="G32" s="16" t="s">
        <v>13</v>
      </c>
      <c r="H32" s="24">
        <f t="shared" si="1"/>
        <v>500</v>
      </c>
      <c r="I32" s="24">
        <f t="shared" si="2"/>
        <v>41033.943499999994</v>
      </c>
      <c r="J32" s="24">
        <f t="shared" si="3"/>
        <v>229.81350000000072</v>
      </c>
      <c r="K32" s="24">
        <f t="shared" si="17"/>
        <v>0</v>
      </c>
      <c r="L32" s="24">
        <f t="shared" si="17"/>
        <v>0</v>
      </c>
      <c r="M32" s="24">
        <f>ROUND(IF(O32&gt;0,0,IF(M$24&gt;0,M$24*M15,B$22*M15*(DT!AB29/DT!AF29))),0)</f>
        <v>16364</v>
      </c>
      <c r="N32" s="24">
        <f>ROUND(IF($G32="aug",IF(P$24&gt;0,P$24*P15,P15*B$22*DT!AD29/DT!AF29),0),0)</f>
        <v>30449</v>
      </c>
      <c r="O32" s="24">
        <f>ROUND(IF(OR($G32="Jun",$G32="Jul",$G32="Aug",$G32="Sep"),0,IF(O$24&gt;0,O$24*O15,B$22*O15*(DT!AB29/DT!AF29))),0)</f>
        <v>0</v>
      </c>
      <c r="P32" s="24">
        <f>ROUND(IF(OR($G32="Jun",$G32="Jul",$G32="Aug",$G32="Sep"),0,IF(P$24&gt;0,P$24*P15,P15*B$22*DT!AD29/DT!AF29)),0)</f>
        <v>0</v>
      </c>
      <c r="Q32" s="24"/>
      <c r="R32" s="24">
        <f t="shared" si="12"/>
        <v>3615.5409003999998</v>
      </c>
      <c r="S32" s="24"/>
      <c r="T32" s="24">
        <f t="shared" si="5"/>
        <v>66</v>
      </c>
      <c r="U32" s="24">
        <f t="shared" si="6"/>
        <v>0</v>
      </c>
      <c r="V32" s="24"/>
      <c r="W32" s="25">
        <f t="shared" si="7"/>
        <v>13536</v>
      </c>
      <c r="X32" s="24"/>
      <c r="Y32" s="24">
        <f t="shared" si="8"/>
        <v>-33</v>
      </c>
      <c r="Z32" s="28"/>
      <c r="AA32" s="28"/>
      <c r="AB32" s="28"/>
      <c r="AC32" s="87">
        <f t="shared" si="13"/>
        <v>25401</v>
      </c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52" x14ac:dyDescent="0.25">
      <c r="A33" s="24">
        <f t="shared" si="16"/>
        <v>103895.22</v>
      </c>
      <c r="B33" s="28">
        <f t="shared" si="9"/>
        <v>16767</v>
      </c>
      <c r="C33" s="28">
        <f t="shared" si="10"/>
        <v>16864</v>
      </c>
      <c r="D33" s="24">
        <f t="shared" si="11"/>
        <v>500</v>
      </c>
      <c r="E33" s="24">
        <f t="shared" si="14"/>
        <v>11703</v>
      </c>
      <c r="G33" s="16" t="s">
        <v>14</v>
      </c>
      <c r="H33" s="24">
        <f t="shared" si="1"/>
        <v>500</v>
      </c>
      <c r="I33" s="24">
        <f t="shared" si="2"/>
        <v>41033.943499999994</v>
      </c>
      <c r="J33" s="24">
        <f t="shared" si="3"/>
        <v>229.81350000000072</v>
      </c>
      <c r="K33" s="24">
        <f t="shared" si="17"/>
        <v>0</v>
      </c>
      <c r="L33" s="24">
        <f t="shared" si="17"/>
        <v>0</v>
      </c>
      <c r="M33" s="24">
        <f>ROUND(IF(O33&gt;0,0,IF(M$24&gt;0,M$24*M16,B$22*M16*(DT!AB30/DT!AF30))),0)</f>
        <v>16364</v>
      </c>
      <c r="N33" s="24">
        <f>ROUND(IF($G33="sep",IF(P$24&gt;0,P$24*P16,P16*B$22*DT!AD30/DT!AF30),0),0)</f>
        <v>30449</v>
      </c>
      <c r="O33" s="24">
        <f>ROUND(IF(OR($G33="Jun",$G33="Jul",$G33="Aug",$G33="Sep"),0,IF(O$24&gt;0,O$24*O16,B$22*O16*(DT!AB30/DT!AF30))),0)</f>
        <v>0</v>
      </c>
      <c r="P33" s="24">
        <f>ROUND(IF(OR($G33="Jun",$G33="Jul",$G33="Aug",$G33="Sep"),0,IF(P$24&gt;0,P$24*P16,P16*B$22*DT!AD30/DT!AF30)),0)</f>
        <v>0</v>
      </c>
      <c r="Q33" s="24"/>
      <c r="R33" s="24">
        <f t="shared" si="12"/>
        <v>3212.4601592999998</v>
      </c>
      <c r="S33" s="24"/>
      <c r="T33" s="24">
        <f t="shared" si="5"/>
        <v>66</v>
      </c>
      <c r="U33" s="24">
        <f t="shared" si="6"/>
        <v>0</v>
      </c>
      <c r="V33" s="24"/>
      <c r="W33" s="25">
        <f t="shared" si="7"/>
        <v>16767</v>
      </c>
      <c r="X33" s="24"/>
      <c r="Y33" s="24">
        <f t="shared" si="8"/>
        <v>-4727</v>
      </c>
      <c r="Z33" s="28"/>
      <c r="AA33" s="28"/>
      <c r="AB33" s="28"/>
      <c r="AC33" s="87">
        <f t="shared" si="13"/>
        <v>25401</v>
      </c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x14ac:dyDescent="0.25">
      <c r="A34" s="24">
        <f t="shared" si="16"/>
        <v>133880.72</v>
      </c>
      <c r="B34" s="28">
        <f t="shared" si="9"/>
        <v>54504</v>
      </c>
      <c r="C34" s="28">
        <f t="shared" si="10"/>
        <v>500</v>
      </c>
      <c r="D34" s="24">
        <f t="shared" si="11"/>
        <v>500</v>
      </c>
      <c r="E34" s="24">
        <f t="shared" si="14"/>
        <v>-4661</v>
      </c>
      <c r="G34" s="16" t="s">
        <v>15</v>
      </c>
      <c r="H34" s="24">
        <f t="shared" si="1"/>
        <v>500</v>
      </c>
      <c r="I34" s="24">
        <f t="shared" si="2"/>
        <v>0</v>
      </c>
      <c r="J34" s="24">
        <f t="shared" si="3"/>
        <v>0</v>
      </c>
      <c r="K34" s="24">
        <f t="shared" si="17"/>
        <v>33656.512999999999</v>
      </c>
      <c r="L34" s="24">
        <f t="shared" si="17"/>
        <v>229.81350000000072</v>
      </c>
      <c r="M34" s="24">
        <f>ROUND(IF(O34&gt;0,0,IF(M$24&gt;0,M$24*M17,B$22*M17*(DT!AB31/DT!AF31))),0)</f>
        <v>0</v>
      </c>
      <c r="N34" s="24">
        <f>ROUND(IF(P34&gt;0,0,IF(N$24&gt;0,N$24*M17,B$22*M17*(DT!AB31/DT!AF31))),0)</f>
        <v>0</v>
      </c>
      <c r="O34" s="24">
        <f>ROUND(IF(OR($G34="Jun",$G34="Jul",$G34="Aug",$G34="Sep"),0,IF(O$24&gt;0,O$24*O17,B$22*O17*(DT!AB31/DT!AF31))),0)</f>
        <v>15643</v>
      </c>
      <c r="P34" s="24">
        <f>ROUND(IF(OR($G34="Jun",$G34="Jul",$G34="Aug",$G34="Sep"),0,IF(P$24&gt;0,P$24*P17,P17*B$22*DT!AD31/DT!AF31)),0)</f>
        <v>30449</v>
      </c>
      <c r="Q34" s="24"/>
      <c r="R34" s="24">
        <f t="shared" si="12"/>
        <v>3559.3926508999994</v>
      </c>
      <c r="S34" s="24"/>
      <c r="T34" s="24">
        <f t="shared" si="5"/>
        <v>66</v>
      </c>
      <c r="U34" s="24">
        <f t="shared" si="6"/>
        <v>0</v>
      </c>
      <c r="V34" s="24"/>
      <c r="W34" s="25">
        <f t="shared" si="7"/>
        <v>54504</v>
      </c>
      <c r="X34" s="24"/>
      <c r="Y34" s="24">
        <f t="shared" si="8"/>
        <v>-4727</v>
      </c>
      <c r="Z34" s="28"/>
      <c r="AA34" s="28"/>
      <c r="AB34" s="28"/>
      <c r="AC34" s="87">
        <f t="shared" si="13"/>
        <v>25401</v>
      </c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52" x14ac:dyDescent="0.25">
      <c r="A35" s="24">
        <f t="shared" si="16"/>
        <v>112281.57</v>
      </c>
      <c r="B35" s="28">
        <f t="shared" si="9"/>
        <v>36071</v>
      </c>
      <c r="C35" s="28">
        <f t="shared" si="10"/>
        <v>500</v>
      </c>
      <c r="D35" s="24">
        <f t="shared" si="11"/>
        <v>500</v>
      </c>
      <c r="E35" s="24">
        <f t="shared" si="14"/>
        <v>-4661</v>
      </c>
      <c r="G35" s="16" t="s">
        <v>16</v>
      </c>
      <c r="H35" s="24">
        <f t="shared" si="1"/>
        <v>500</v>
      </c>
      <c r="I35" s="24">
        <f t="shared" si="2"/>
        <v>0</v>
      </c>
      <c r="J35" s="24">
        <f t="shared" si="3"/>
        <v>0</v>
      </c>
      <c r="K35" s="24">
        <f t="shared" si="17"/>
        <v>33656.512999999999</v>
      </c>
      <c r="L35" s="24">
        <f t="shared" si="17"/>
        <v>229.81350000000072</v>
      </c>
      <c r="M35" s="24">
        <f>ROUND(IF(O35&gt;0,0,IF(M$24&gt;0,M$24*M18,B$22*M18*(DT!AB32/DT!AF32))),0)</f>
        <v>0</v>
      </c>
      <c r="N35" s="24">
        <f>ROUND(IF(P35&gt;0,0,IF(N$24&gt;0,N$24*M18,B$22*M18*(DT!AB32/DT!AF32))),0)</f>
        <v>0</v>
      </c>
      <c r="O35" s="24">
        <f>ROUND(IF(OR($G35="Jun",$G35="Jul",$G35="Aug",$G35="Sep"),0,IF(O$24&gt;0,O$24*O18,B$22*O18*(DT!AB32/DT!AF32))),0)</f>
        <v>15643</v>
      </c>
      <c r="P35" s="24">
        <f>ROUND(IF(OR($G35="Jun",$G35="Jul",$G35="Aug",$G35="Sep"),0,IF(P$24&gt;0,P$24*P18,P18*B$22*DT!AD32/DT!AF32)),0)</f>
        <v>30449</v>
      </c>
      <c r="Q35" s="24"/>
      <c r="R35" s="24">
        <f t="shared" si="12"/>
        <v>393.24734669999992</v>
      </c>
      <c r="S35" s="24"/>
      <c r="T35" s="24">
        <f t="shared" si="5"/>
        <v>66</v>
      </c>
      <c r="U35" s="24">
        <f t="shared" si="6"/>
        <v>0</v>
      </c>
      <c r="V35" s="24"/>
      <c r="W35" s="25">
        <f t="shared" si="7"/>
        <v>36071</v>
      </c>
      <c r="X35" s="24"/>
      <c r="Y35" s="24">
        <f t="shared" si="8"/>
        <v>-4727</v>
      </c>
      <c r="Z35" s="28"/>
      <c r="AA35" s="28"/>
      <c r="AB35" s="28"/>
      <c r="AC35" s="87">
        <f t="shared" si="13"/>
        <v>25401</v>
      </c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x14ac:dyDescent="0.25">
      <c r="A36" s="24">
        <f t="shared" si="16"/>
        <v>144880.18</v>
      </c>
      <c r="B36" s="28">
        <f t="shared" si="9"/>
        <v>61579</v>
      </c>
      <c r="C36" s="28">
        <f t="shared" si="10"/>
        <v>500</v>
      </c>
      <c r="D36" s="24">
        <f t="shared" si="11"/>
        <v>500</v>
      </c>
      <c r="E36" s="24">
        <f t="shared" si="14"/>
        <v>-4421</v>
      </c>
      <c r="G36" s="16" t="s">
        <v>17</v>
      </c>
      <c r="H36" s="24">
        <f t="shared" si="1"/>
        <v>500</v>
      </c>
      <c r="I36" s="24">
        <f t="shared" si="2"/>
        <v>0</v>
      </c>
      <c r="J36" s="24">
        <f t="shared" si="3"/>
        <v>0</v>
      </c>
      <c r="K36" s="24">
        <f t="shared" si="17"/>
        <v>33656.512999999999</v>
      </c>
      <c r="L36" s="24">
        <f t="shared" si="17"/>
        <v>229.81350000000072</v>
      </c>
      <c r="M36" s="24">
        <f>ROUND(IF(O36&gt;0,0,IF(M$24&gt;0,M$24*M19,B$22*M19*(DT!AB33/DT!AF33))),0)</f>
        <v>0</v>
      </c>
      <c r="N36" s="24">
        <f>ROUND(IF(P36&gt;0,0,IF(N$24&gt;0,N$24*M19,B$22*M19*(DT!AB33/DT!AF33))),0)</f>
        <v>0</v>
      </c>
      <c r="O36" s="24">
        <f>ROUND(IF(OR($G36="Jun",$G36="Jul",$G36="Aug",$G36="Sep"),0,IF(O$24&gt;0,O$24*O19,B$22*O19*(DT!AB33/DT!AF33))),0)</f>
        <v>15643</v>
      </c>
      <c r="P36" s="24">
        <f>ROUND(IF(OR($G36="Jun",$G36="Jul",$G36="Aug",$G36="Sep"),0,IF(P$24&gt;0,P$24*P19,P19*B$22*DT!AD33/DT!AF33)),0)</f>
        <v>30449</v>
      </c>
      <c r="Q36" s="24"/>
      <c r="R36" s="24">
        <f t="shared" si="12"/>
        <v>7243.854689499999</v>
      </c>
      <c r="S36" s="24"/>
      <c r="T36" s="24">
        <f t="shared" si="5"/>
        <v>66</v>
      </c>
      <c r="U36" s="24">
        <f t="shared" si="6"/>
        <v>0</v>
      </c>
      <c r="V36" s="24"/>
      <c r="W36" s="25">
        <f t="shared" si="7"/>
        <v>61579</v>
      </c>
      <c r="X36" s="24"/>
      <c r="Y36" s="24">
        <f t="shared" si="8"/>
        <v>-4487</v>
      </c>
      <c r="Z36" s="28"/>
      <c r="AA36" s="28"/>
      <c r="AB36" s="28"/>
      <c r="AC36" s="87">
        <f t="shared" si="13"/>
        <v>25401</v>
      </c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x14ac:dyDescent="0.25">
      <c r="B37" s="8"/>
      <c r="C37" s="8"/>
      <c r="D37" s="8"/>
    </row>
    <row r="38" spans="1:52" x14ac:dyDescent="0.25">
      <c r="A38" s="48"/>
      <c r="B38" s="8"/>
      <c r="C38" s="8"/>
      <c r="D38" s="29"/>
    </row>
    <row r="39" spans="1:52" x14ac:dyDescent="0.25">
      <c r="A39" s="27"/>
    </row>
    <row r="40" spans="1:52" x14ac:dyDescent="0.25">
      <c r="A40" s="48"/>
    </row>
    <row r="41" spans="1:52" x14ac:dyDescent="0.25">
      <c r="A41" s="48"/>
    </row>
  </sheetData>
  <mergeCells count="21">
    <mergeCell ref="I3:L3"/>
    <mergeCell ref="I4:J4"/>
    <mergeCell ref="K4:L4"/>
    <mergeCell ref="AE3:AG3"/>
    <mergeCell ref="AI3:AJ3"/>
    <mergeCell ref="M3:P3"/>
    <mergeCell ref="M4:N4"/>
    <mergeCell ref="O4:P4"/>
    <mergeCell ref="AL3:AM3"/>
    <mergeCell ref="AW3:AZ3"/>
    <mergeCell ref="AE4:AG4"/>
    <mergeCell ref="AI4:AJ4"/>
    <mergeCell ref="AL4:AM4"/>
    <mergeCell ref="AW4:AX4"/>
    <mergeCell ref="AY4:AZ4"/>
    <mergeCell ref="AW2:AZ2"/>
    <mergeCell ref="H2:M2"/>
    <mergeCell ref="T2:U2"/>
    <mergeCell ref="AE2:AG2"/>
    <mergeCell ref="AI2:AJ2"/>
    <mergeCell ref="AL2:AM2"/>
  </mergeCells>
  <pageMargins left="0.7" right="0.7" top="0.75" bottom="0.75" header="0.3" footer="0.3"/>
  <pageSetup scale="24" orientation="landscape" r:id="rId1"/>
  <headerFooter>
    <oddHeader>&amp;C&amp;"Times New Roman,Bold"&amp;10&amp;U
UNREDACTED
CONFIDENTIAL PROPRIETARY TRADE SECRET&amp;R&amp;"Times New Roman,Bold"&amp;10KyPSC Case No. 2022-00394
STAFF-DR-01-002 Confidential Attachment 2
Page &amp;P of &amp;N</oddHeader>
  </headerFooter>
  <ignoredErrors>
    <ignoredError sqref="N24:O2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94CFF722D6F14180E5BEA8427DE730" ma:contentTypeVersion="4" ma:contentTypeDescription="Create a new document." ma:contentTypeScope="" ma:versionID="dd24ef20c181e7784c79168c02ff2e66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Sailers</Witness>
  </documentManagement>
</p:properties>
</file>

<file path=customXml/itemProps1.xml><?xml version="1.0" encoding="utf-8"?>
<ds:datastoreItem xmlns:ds="http://schemas.openxmlformats.org/officeDocument/2006/customXml" ds:itemID="{19996485-199D-4198-8527-120CAD49C4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66B018-9159-4154-9BFB-48A51AB0F0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FDB209-C8AA-456D-92EB-5855A8B0E986}">
  <ds:schemaRefs>
    <ds:schemaRef ds:uri="http://schemas.microsoft.com/office/infopath/2007/PartnerControls"/>
    <ds:schemaRef ds:uri="3c9d8c27-8a6d-4d9e-a15e-ef5d28c114af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2612a682-5ffb-4b9c-9555-017618935178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RS</vt:lpstr>
      <vt:lpstr>DS</vt:lpstr>
      <vt:lpstr>DT</vt:lpstr>
      <vt:lpstr>EH</vt:lpstr>
      <vt:lpstr>SP</vt:lpstr>
      <vt:lpstr>GSFL</vt:lpstr>
      <vt:lpstr>DP</vt:lpstr>
      <vt:lpstr>TT</vt:lpstr>
      <vt:lpstr>DP!Print_Area</vt:lpstr>
      <vt:lpstr>DS!Print_Area</vt:lpstr>
      <vt:lpstr>DT!Print_Area</vt:lpstr>
      <vt:lpstr>EH!Print_Area</vt:lpstr>
      <vt:lpstr>GSFL!Print_Area</vt:lpstr>
      <vt:lpstr>RS!Print_Area</vt:lpstr>
      <vt:lpstr>SP!Print_Area</vt:lpstr>
      <vt:lpstr>TT!Print_Area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2023 bills</dc:subject>
  <dc:creator>t67497</dc:creator>
  <cp:lastModifiedBy>Sunderman, Minna</cp:lastModifiedBy>
  <cp:lastPrinted>2022-12-19T16:34:19Z</cp:lastPrinted>
  <dcterms:created xsi:type="dcterms:W3CDTF">2011-03-01T15:26:38Z</dcterms:created>
  <dcterms:modified xsi:type="dcterms:W3CDTF">2023-07-07T18:56:17Z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0x010100AD94CFF722D6F14180E5BEA8427DE730</vt:lpwstr>
  </property>
</Properties>
</file>