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90" windowWidth="28830" windowHeight="7335" tabRatio="899" activeTab="0"/>
  </bookViews>
  <sheets>
    <sheet name="Summary" sheetId="1" r:id="rId1"/>
    <sheet name="DSM 1.0" sheetId="2" r:id="rId2"/>
    <sheet name="DSM 2.0" sheetId="3" r:id="rId3"/>
    <sheet name="Input - Program Costs" sheetId="4" r:id="rId4"/>
    <sheet name="Input - Lost Revenue" sheetId="5" r:id="rId5"/>
    <sheet name="Input - Net Lost Revenue" sheetId="6" r:id="rId6"/>
    <sheet name="Input - Incentives" sheetId="7" r:id="rId7"/>
    <sheet name="Comm Cust" sheetId="8" r:id="rId8"/>
    <sheet name="Participation" sheetId="9" r:id="rId9"/>
    <sheet name="Input" sheetId="10" r:id="rId10"/>
    <sheet name="Net Energy Impact" sheetId="11" r:id="rId11"/>
    <sheet name="Forecasted Sales - Inactive" sheetId="12" r:id="rId12"/>
    <sheet name="Revenue Collected - Inactive" sheetId="13" r:id="rId13"/>
  </sheets>
  <definedNames>
    <definedName name="_xlfn.SINGLE" hidden="1">#NAME?</definedName>
    <definedName name="_xlnm.Print_Area" localSheetId="0">'Summary'!$A$1:$I$21</definedName>
  </definedNames>
  <calcPr fullCalcOnLoad="1"/>
</workbook>
</file>

<file path=xl/comments10.xml><?xml version="1.0" encoding="utf-8"?>
<comments xmlns="http://schemas.openxmlformats.org/spreadsheetml/2006/main">
  <authors>
    <author>s007506</author>
  </authors>
  <commentList>
    <comment ref="G41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DSM Rate - Curretly on file
</t>
        </r>
      </text>
    </comment>
    <comment ref="F41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DSM rate currenty filed.
</t>
        </r>
      </text>
    </comment>
    <comment ref="K73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Oct., Nov., Dec. are estimated numbers.
</t>
        </r>
      </text>
    </comment>
  </commentList>
</comments>
</file>

<file path=xl/comments12.xml><?xml version="1.0" encoding="utf-8"?>
<comments xmlns="http://schemas.openxmlformats.org/spreadsheetml/2006/main">
  <authors>
    <author>s007506</author>
  </authors>
  <commentList>
    <comment ref="P2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DSM Rate
</t>
        </r>
      </text>
    </comment>
    <comment ref="Q2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DSM Rate
</t>
        </r>
      </text>
    </comment>
  </commentList>
</comments>
</file>

<file path=xl/comments9.xml><?xml version="1.0" encoding="utf-8"?>
<comments xmlns="http://schemas.openxmlformats.org/spreadsheetml/2006/main">
  <authors>
    <author>s007506</author>
  </authors>
  <commentList>
    <comment ref="R7" authorId="0">
      <text>
        <r>
          <rPr>
            <b/>
            <sz val="9"/>
            <rFont val="Tahoma"/>
            <family val="2"/>
          </rPr>
          <t xml:space="preserve">Bishop:  </t>
        </r>
        <r>
          <rPr>
            <sz val="9"/>
            <rFont val="Tahoma"/>
            <family val="2"/>
          </rPr>
          <t xml:space="preserve">Rates went into effect in January.  Feburary starts the count for lost revenue.
</t>
        </r>
      </text>
    </comment>
  </commentList>
</comments>
</file>

<file path=xl/sharedStrings.xml><?xml version="1.0" encoding="utf-8"?>
<sst xmlns="http://schemas.openxmlformats.org/spreadsheetml/2006/main" count="1858" uniqueCount="309">
  <si>
    <t>RESIDENTIAL PROGRAMS</t>
  </si>
  <si>
    <t>Modified Energy Fitness</t>
  </si>
  <si>
    <t xml:space="preserve">Targeted Energy Efficiency   </t>
  </si>
  <si>
    <t xml:space="preserve"> Mobile Home High - Efficiency Heat Pump</t>
  </si>
  <si>
    <t xml:space="preserve">Mobile Home New Construction  </t>
  </si>
  <si>
    <t>High Efficiency Heat Pump</t>
  </si>
  <si>
    <t>Energy Education for Student Program (NEED)</t>
  </si>
  <si>
    <t xml:space="preserve">Community Outreach Program (CFL) </t>
  </si>
  <si>
    <t>Residential Efficient Products</t>
  </si>
  <si>
    <t>New Manufactured Homes</t>
  </si>
  <si>
    <t>Whole House Efficiency</t>
  </si>
  <si>
    <t xml:space="preserve"> Res. General Administrative and Promotion</t>
  </si>
  <si>
    <t>Residential Home Performance</t>
  </si>
  <si>
    <t>Res. Appliance Recycling</t>
  </si>
  <si>
    <t xml:space="preserve">        TOTAL RESIDENTIAL PROGRAMS</t>
  </si>
  <si>
    <t>COMMERCIAL PROGRAMS</t>
  </si>
  <si>
    <t>Express Install</t>
  </si>
  <si>
    <t>Commercial Incentive</t>
  </si>
  <si>
    <t>New Construction</t>
  </si>
  <si>
    <t>Retro-Commissioning</t>
  </si>
  <si>
    <t>CI Prescriptive Custom</t>
  </si>
  <si>
    <t>School Energy Manager</t>
  </si>
  <si>
    <t>Com. General Administrative and Promotion</t>
  </si>
  <si>
    <t xml:space="preserve">        TOTAL COMMERCIAL PROGRAMS</t>
  </si>
  <si>
    <t>TOTAL PROGRAMS</t>
  </si>
  <si>
    <t>Com. Appliance Recycling</t>
  </si>
  <si>
    <t>Kentucky Power</t>
  </si>
  <si>
    <t>Program Costs</t>
  </si>
  <si>
    <t>Residential</t>
  </si>
  <si>
    <t>Commercial</t>
  </si>
  <si>
    <t>TOTAL</t>
  </si>
  <si>
    <t>Total</t>
  </si>
  <si>
    <t>Net Energy Savings (kWh)</t>
  </si>
  <si>
    <t>Incentives</t>
  </si>
  <si>
    <t>2016 Efficiency Incentive Values</t>
  </si>
  <si>
    <t>KENTUCKY POWER COMPANY</t>
  </si>
  <si>
    <t xml:space="preserve"> </t>
  </si>
  <si>
    <t>2018 Efficiency Invcentive Values</t>
  </si>
  <si>
    <t>A.</t>
  </si>
  <si>
    <t>B.</t>
  </si>
  <si>
    <t>C.</t>
  </si>
  <si>
    <t>D.</t>
  </si>
  <si>
    <t>E.</t>
  </si>
  <si>
    <t>DSM Residential Schedule</t>
  </si>
  <si>
    <t>Summary</t>
  </si>
  <si>
    <t>=</t>
  </si>
  <si>
    <t>Demand Side Management Surcharge</t>
  </si>
  <si>
    <t>Total Ultimate Sales (kWh)*</t>
  </si>
  <si>
    <t>Less Non-Metered**</t>
  </si>
  <si>
    <t>-</t>
  </si>
  <si>
    <t>Year</t>
  </si>
  <si>
    <t>Month</t>
  </si>
  <si>
    <t>July</t>
  </si>
  <si>
    <t>August</t>
  </si>
  <si>
    <t>September</t>
  </si>
  <si>
    <t>October</t>
  </si>
  <si>
    <t xml:space="preserve">Adjusted kWh </t>
  </si>
  <si>
    <t>November</t>
  </si>
  <si>
    <t>December</t>
  </si>
  <si>
    <t>January</t>
  </si>
  <si>
    <t>February</t>
  </si>
  <si>
    <t>March</t>
  </si>
  <si>
    <t>*</t>
  </si>
  <si>
    <t>April</t>
  </si>
  <si>
    <t>May</t>
  </si>
  <si>
    <t>June</t>
  </si>
  <si>
    <t>Totals</t>
  </si>
  <si>
    <t>Total Metered kWh</t>
  </si>
  <si>
    <t>Total Non-Metered kWh</t>
  </si>
  <si>
    <t>% of Non-Metered kWh</t>
  </si>
  <si>
    <t>Source: Load Forecast Compiled by AEP Corporate Planning and Budget Department</t>
  </si>
  <si>
    <t>**</t>
  </si>
  <si>
    <t>DSM Commercial Schedule</t>
  </si>
  <si>
    <t>Actual Program Costs</t>
  </si>
  <si>
    <t>Programs</t>
  </si>
  <si>
    <t>F.</t>
  </si>
  <si>
    <t>Year 2016</t>
  </si>
  <si>
    <t>Number of New Particpants</t>
  </si>
  <si>
    <t>Cumulative Particpant Number</t>
  </si>
  <si>
    <t>Decimal Equivalent</t>
  </si>
  <si>
    <t>Year 2018</t>
  </si>
  <si>
    <t>Year 2015</t>
  </si>
  <si>
    <t>Year 2017</t>
  </si>
  <si>
    <t>Cumulative Participant</t>
  </si>
  <si>
    <t>Net Lost Revenue ($/kwh)</t>
  </si>
  <si>
    <t>Actual</t>
  </si>
  <si>
    <t>Estimate</t>
  </si>
  <si>
    <t>Total Energy Savings (kWh)</t>
  </si>
  <si>
    <t>Net Lost Revenue</t>
  </si>
  <si>
    <t>Energy Rate Excluding FAC Base</t>
  </si>
  <si>
    <t>Average Number of Customers</t>
  </si>
  <si>
    <t>Non-Electric Heat Customers</t>
  </si>
  <si>
    <t>Electric Heat Customers</t>
  </si>
  <si>
    <t>kWH</t>
  </si>
  <si>
    <t>RS - LMWH</t>
  </si>
  <si>
    <t>RS</t>
  </si>
  <si>
    <t>RSW-RS</t>
  </si>
  <si>
    <t>RS-TOD</t>
  </si>
  <si>
    <t>AORH-ON</t>
  </si>
  <si>
    <t>RS LM-ON</t>
  </si>
  <si>
    <t>RSW-ON</t>
  </si>
  <si>
    <t>AORH-W-ON</t>
  </si>
  <si>
    <t>RS EMP</t>
  </si>
  <si>
    <t>RSW-B</t>
  </si>
  <si>
    <t>RSW-A</t>
  </si>
  <si>
    <t>SGS-MTRD</t>
  </si>
  <si>
    <t>SGS-UMR</t>
  </si>
  <si>
    <t>MGS-AF</t>
  </si>
  <si>
    <t>MGS SEC</t>
  </si>
  <si>
    <t>MGS PRI</t>
  </si>
  <si>
    <t>MGSCC PRI</t>
  </si>
  <si>
    <t>MGS LM ON</t>
  </si>
  <si>
    <t>SGSTOD ON</t>
  </si>
  <si>
    <t>EXPSGSTOD</t>
  </si>
  <si>
    <t>MGS-TOD</t>
  </si>
  <si>
    <t>MGSCC SUB</t>
  </si>
  <si>
    <t>LGS SEC</t>
  </si>
  <si>
    <t>LGS PRI</t>
  </si>
  <si>
    <t>LGS SUB</t>
  </si>
  <si>
    <t>LGSSECTOD</t>
  </si>
  <si>
    <t>IGS SEC</t>
  </si>
  <si>
    <t>IGS PRI</t>
  </si>
  <si>
    <t>IGS SUB</t>
  </si>
  <si>
    <t>Revenue Excl Fuel</t>
  </si>
  <si>
    <t>SGS</t>
  </si>
  <si>
    <t>Customer Charge</t>
  </si>
  <si>
    <t>Base Fuel Revenue</t>
  </si>
  <si>
    <t>Average # of Customers</t>
  </si>
  <si>
    <t>Customer Charge Revenue</t>
  </si>
  <si>
    <t>211-Commercial</t>
  </si>
  <si>
    <t>Net Realization</t>
  </si>
  <si>
    <t>kWh</t>
  </si>
  <si>
    <t>212-Commercial</t>
  </si>
  <si>
    <t>LGS M SEC</t>
  </si>
  <si>
    <t>LGS-LM-TD</t>
  </si>
  <si>
    <t>213-Public Authority</t>
  </si>
  <si>
    <t>PS SEC</t>
  </si>
  <si>
    <t>PS PRI</t>
  </si>
  <si>
    <t>216-Public Authority</t>
  </si>
  <si>
    <t>LGS M PRI</t>
  </si>
  <si>
    <t>LGS LM TOD</t>
  </si>
  <si>
    <t>MGS M SEC</t>
  </si>
  <si>
    <t>G.</t>
  </si>
  <si>
    <t>Prior Period (Over)/Under Recovery:</t>
  </si>
  <si>
    <t>1.</t>
  </si>
  <si>
    <t>2.</t>
  </si>
  <si>
    <t>3.</t>
  </si>
  <si>
    <t>4.</t>
  </si>
  <si>
    <t>Actual Residential DSM Program Costs to be Recovered/(Refunded):</t>
  </si>
  <si>
    <t>Residential DSM Program Costs To Be Recovered/(Refunded)</t>
  </si>
  <si>
    <t>Lost Revenues</t>
  </si>
  <si>
    <t>Remaining (Over)/Under Recovery:</t>
  </si>
  <si>
    <t>Actual Commercial DSM Program Costs to be Recovered/(Refunded):</t>
  </si>
  <si>
    <t>New Participants</t>
  </si>
  <si>
    <t>Forecasted</t>
  </si>
  <si>
    <t>Page 1, Line E1 of the Company's Prior DSM Filing.</t>
  </si>
  <si>
    <t>Page 2 of 2</t>
  </si>
  <si>
    <t>Page 1 of 2</t>
  </si>
  <si>
    <t>Total Lost Revenue ($)</t>
  </si>
  <si>
    <t>Net Savings (kWh)</t>
  </si>
  <si>
    <t xml:space="preserve"> Net Savings (kWh)</t>
  </si>
  <si>
    <t>Commercial No Space Heating</t>
  </si>
  <si>
    <t>Commercial Space Heating</t>
  </si>
  <si>
    <t>Public Authority - School</t>
  </si>
  <si>
    <t>Public Authority - Other</t>
  </si>
  <si>
    <t>Public Authority  School</t>
  </si>
  <si>
    <t>Public Authority Other</t>
  </si>
  <si>
    <t>Forecasted Total Incentive</t>
  </si>
  <si>
    <t>Actual Total Incentive</t>
  </si>
  <si>
    <r>
      <rPr>
        <sz val="10"/>
        <color indexed="8"/>
        <rFont val="Times New Roman"/>
        <family val="1"/>
      </rPr>
      <t>Total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(Ln. B1+Ln. B2+ Ln. B3)</t>
    </r>
  </si>
  <si>
    <t>Residential Demand Side Management Surcharge</t>
  </si>
  <si>
    <t>DSM(c)</t>
  </si>
  <si>
    <t>S(c)</t>
  </si>
  <si>
    <t>***</t>
  </si>
  <si>
    <t>349/365</t>
  </si>
  <si>
    <t>321/365</t>
  </si>
  <si>
    <t>290/365</t>
  </si>
  <si>
    <t>260/365</t>
  </si>
  <si>
    <t>229/365</t>
  </si>
  <si>
    <t>199/365</t>
  </si>
  <si>
    <t>168/365</t>
  </si>
  <si>
    <t>137/365</t>
  </si>
  <si>
    <t>107/365</t>
  </si>
  <si>
    <t>76/365</t>
  </si>
  <si>
    <t>46/365</t>
  </si>
  <si>
    <t>15/365</t>
  </si>
  <si>
    <t>Partial Month Convention</t>
  </si>
  <si>
    <t>H.</t>
  </si>
  <si>
    <t>Total DSM Commercial Revenue Collected:</t>
  </si>
  <si>
    <t>Total DSM Residential Revenue Collected:</t>
  </si>
  <si>
    <t>Lost Revenue Impact factored in the Total Ultimate Sales.</t>
  </si>
  <si>
    <t>Total (Ln. E1 + Ln. F4 - Ln. G1)</t>
  </si>
  <si>
    <t xml:space="preserve">Total </t>
  </si>
  <si>
    <t>Total (Ln. F1 + Ln. F2 + Ln. F3)</t>
  </si>
  <si>
    <t>Revenue Collected</t>
  </si>
  <si>
    <t>Forecasted Revenue</t>
  </si>
  <si>
    <t>5.</t>
  </si>
  <si>
    <t>6.</t>
  </si>
  <si>
    <t>7.</t>
  </si>
  <si>
    <t>8.</t>
  </si>
  <si>
    <r>
      <rPr>
        <sz val="10"/>
        <color indexed="8"/>
        <rFont val="Times New Roman"/>
        <family val="1"/>
      </rPr>
      <t>Total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(Ln. B5+Ln. B6+ Ln. B7)</t>
    </r>
  </si>
  <si>
    <t>9.</t>
  </si>
  <si>
    <t>Total Actual Program Costs (Ln. B4 + Ln. B8)</t>
  </si>
  <si>
    <t>Total (Ln. F5 + Ln. F6 + Ln. F7)</t>
  </si>
  <si>
    <t>Estimated Residential DSM Program Costs:</t>
  </si>
  <si>
    <t>Actual Residential DSM Program Costs:</t>
  </si>
  <si>
    <t>Estimated Commercial DSM Program Costs:</t>
  </si>
  <si>
    <t>Actual Commercial DSM Program Costs:</t>
  </si>
  <si>
    <r>
      <rPr>
        <sz val="10"/>
        <color indexed="8"/>
        <rFont val="Times New Roman"/>
        <family val="1"/>
      </rPr>
      <t>Total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(Ln. A1+ Ln. B9)</t>
    </r>
  </si>
  <si>
    <t>Estimate Program Costs</t>
  </si>
  <si>
    <t>Year 2019</t>
  </si>
  <si>
    <t>2019 Efficiency Invcentive Values</t>
  </si>
  <si>
    <t>Commercial DSM Program Costs To Be Recovered/(Refunded)</t>
  </si>
  <si>
    <t xml:space="preserve">Forecasted Sales - January 2019 thru December 2019 </t>
  </si>
  <si>
    <t>DSM Year End Date:</t>
  </si>
  <si>
    <t>Estimate Program Costs Date:</t>
  </si>
  <si>
    <t xml:space="preserve">Estimated Residential DSM Revenue To Be Collected: </t>
  </si>
  <si>
    <t xml:space="preserve">Estimated Commercial DSM Revenue To Be Collected: </t>
  </si>
  <si>
    <t>Actual Revenue Collected:</t>
  </si>
  <si>
    <t>Ending:</t>
  </si>
  <si>
    <t>(Ln. C1 - Ln. D1)</t>
  </si>
  <si>
    <t>Dates:</t>
  </si>
  <si>
    <t>Actual Program Costs Dates:</t>
  </si>
  <si>
    <t>Revenue Collected:</t>
  </si>
  <si>
    <t>Forecasted:</t>
  </si>
  <si>
    <t>Total Sales (kWh)</t>
  </si>
  <si>
    <t>Less Non-Metered</t>
  </si>
  <si>
    <t>Residential kWh</t>
  </si>
  <si>
    <t>Commercial kWh</t>
  </si>
  <si>
    <t>Actuals</t>
  </si>
  <si>
    <t>Actual/Estimate</t>
  </si>
  <si>
    <t>Program</t>
  </si>
  <si>
    <t>TEE</t>
  </si>
  <si>
    <t>Jan. 1 to Oct. 31 2018</t>
  </si>
  <si>
    <t>Dates</t>
  </si>
  <si>
    <t>Nov. 1 to Dec. 31 2018</t>
  </si>
  <si>
    <t>Jan. 1 to Dec. 31 2019</t>
  </si>
  <si>
    <t>Months Program Ongoing</t>
  </si>
  <si>
    <t>Annual Net Energy Savings (kWh)</t>
  </si>
  <si>
    <t>Time Period Net Energy Savings (kWh)</t>
  </si>
  <si>
    <t>Year 2020</t>
  </si>
  <si>
    <t>Program: TEE</t>
  </si>
  <si>
    <t>Targeted Energy Efficiency</t>
  </si>
  <si>
    <t>Prior Period Over/Under Recovery:</t>
  </si>
  <si>
    <t>Estimated Program Costs</t>
  </si>
  <si>
    <t>2017 Efficiency Incentive Values</t>
  </si>
  <si>
    <t>2018 Efficiency Incentive Values</t>
  </si>
  <si>
    <t>12 months ending September 2018**</t>
  </si>
  <si>
    <t>Whole House</t>
  </si>
  <si>
    <t>CI P/C program</t>
  </si>
  <si>
    <t>Tariff Code</t>
  </si>
  <si>
    <t>Residential Tariff</t>
  </si>
  <si>
    <t>Bill &amp; Accrued kWh</t>
  </si>
  <si>
    <t>Bill &amp; Accrued Off Peak kWh</t>
  </si>
  <si>
    <t>Bill &amp; Accrued ON peak</t>
  </si>
  <si>
    <t>ON Peak Revenue</t>
  </si>
  <si>
    <t>Off Peak Revenue</t>
  </si>
  <si>
    <t>No. of Customers</t>
  </si>
  <si>
    <t>Energy charge</t>
  </si>
  <si>
    <t>FAC Base</t>
  </si>
  <si>
    <t>RS-TOD-ON</t>
  </si>
  <si>
    <t>AORH-W ON</t>
  </si>
  <si>
    <t>RS -TOD-ON</t>
  </si>
  <si>
    <t>ON Peak Rate</t>
  </si>
  <si>
    <t>OFF Peak Rate</t>
  </si>
  <si>
    <t>The impacts are per participant.</t>
  </si>
  <si>
    <t>Forecasted Sales - November 2018 thru December 2019 (MW)</t>
  </si>
  <si>
    <t>Energy Rate Exclude FAC Base</t>
  </si>
  <si>
    <t>Estimated Total Incentive</t>
  </si>
  <si>
    <t>Line E1 from Company's prior year DSM filing</t>
  </si>
  <si>
    <t>Lost Revenue (Non-Active Section)</t>
  </si>
  <si>
    <t>Cumulative Participant (Non-Active Section)</t>
  </si>
  <si>
    <t>Incentives (Non-Active section)</t>
  </si>
  <si>
    <t>Program Costs (Non-Active section)</t>
  </si>
  <si>
    <t>Year 2021</t>
  </si>
  <si>
    <t>RSW-C</t>
  </si>
  <si>
    <t>RSW-LMWH</t>
  </si>
  <si>
    <t>Total January through September</t>
  </si>
  <si>
    <t>Total Estimated Program Costs (Ln. F4 + Ln. F8)</t>
  </si>
  <si>
    <t>October 1, 2021 to December 31, 2021</t>
  </si>
  <si>
    <t>Year 2022</t>
  </si>
  <si>
    <t>2019 through 2022 Efficiency Incentive Values</t>
  </si>
  <si>
    <t>Current Year information</t>
  </si>
  <si>
    <t>GS-SEC M</t>
  </si>
  <si>
    <t>GS-SEC m</t>
  </si>
  <si>
    <t>Base Fuel Rate</t>
  </si>
  <si>
    <t>Base Fuel Rate Change August 1</t>
  </si>
  <si>
    <t>Prior Year Numbers (October Through December)</t>
  </si>
  <si>
    <t>Forecast Information</t>
  </si>
  <si>
    <t>Estimated Revenue</t>
  </si>
  <si>
    <t>Total (Ln. E1 + Ln. F9 - Ln. G3)</t>
  </si>
  <si>
    <t>* Recoveries related to the Whole House Efficiency program ended in 2020.</t>
  </si>
  <si>
    <t>Cumulative</t>
  </si>
  <si>
    <t>September 30, 2022</t>
  </si>
  <si>
    <t>January 1, 2022 to September 30, 2022</t>
  </si>
  <si>
    <t>October 1, 2022 to December 31, 2022</t>
  </si>
  <si>
    <t>January 1, 2023 to December 31, 2023</t>
  </si>
  <si>
    <t>October 1, 2021 to September 30, 2022</t>
  </si>
  <si>
    <t>Actuals Ended: September 30, 2022</t>
  </si>
  <si>
    <t>Estimates: October 1, 2022 to December 31, 2023</t>
  </si>
  <si>
    <t>Updated 11/3/2022</t>
  </si>
  <si>
    <t>Forecasted Sales January 2023 to December 2023</t>
  </si>
  <si>
    <t>12 mos. Ending September 2022</t>
  </si>
  <si>
    <t>Year 2023</t>
  </si>
  <si>
    <t>10/1/21 through 12/31/21</t>
  </si>
  <si>
    <t>01/01/22 through 9/30/22</t>
  </si>
  <si>
    <t>10/01/22 through 12/31/22</t>
  </si>
  <si>
    <t>01/01/23 through 12/31/23</t>
  </si>
  <si>
    <t>Commercial Demand Side Management Surcharge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</si>
</sst>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0_);\(0\)"/>
    <numFmt numFmtId="170" formatCode="0.00000"/>
    <numFmt numFmtId="171" formatCode="0.0000"/>
    <numFmt numFmtId="172" formatCode="_(* #,##0_);_(* \(#,##0\);_(* &quot;-&quot;?_);_(@_)"/>
    <numFmt numFmtId="173" formatCode="_(&quot;$&quot;* #,##0.000000_);_(&quot;$&quot;* \(#,##0.000000\);_(&quot;$&quot;* &quot;-&quot;??_);_(@_)"/>
    <numFmt numFmtId="174" formatCode="0.000%"/>
    <numFmt numFmtId="175" formatCode="_(&quot;$&quot;* #,##0.0_);_(&quot;$&quot;* \(#,##0.0\);_(&quot;$&quot;* &quot;-&quot;??_);_(@_)"/>
    <numFmt numFmtId="176" formatCode="_(* #,##0.0_);_(* \(#,##0.0\);_(* &quot;-&quot;??_);_(@_)"/>
    <numFmt numFmtId="177" formatCode="0.00_);\(0.00\)"/>
    <numFmt numFmtId="178" formatCode="0.0_);\(0.0\)"/>
    <numFmt numFmtId="179" formatCode="0.0000000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_);_(* \(#,##0.00000\);_(* &quot;-&quot;?????_);_(@_)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[$-409]mmmm\ d\,\ yyyy;@"/>
    <numFmt numFmtId="193" formatCode="&quot;$&quot;#,##0"/>
    <numFmt numFmtId="194" formatCode="0.0000%"/>
    <numFmt numFmtId="195" formatCode="#,##0.00000_);\(#,##0.00000\)"/>
    <numFmt numFmtId="196" formatCode="_(* #,##0.0_);_(* \(#,##0.0\);_(* &quot;-&quot;?_);_(@_)"/>
    <numFmt numFmtId="197" formatCode="#,##0.0_);\(#,##0.0\)"/>
    <numFmt numFmtId="198" formatCode="0.000"/>
    <numFmt numFmtId="199" formatCode="0.0"/>
    <numFmt numFmtId="200" formatCode="_(* #,##0.000000_);_(* \(#,##0.000000\);_(* &quot;-&quot;??_);_(@_)"/>
    <numFmt numFmtId="201" formatCode="_(* #,##0.0000000_);_(* \(#,##0.0000000\);_(* &quot;-&quot;??_);_(@_)"/>
    <numFmt numFmtId="202" formatCode="&quot;$&quot;#,##0.0_);[Red]\(&quot;$&quot;#,##0.0\)"/>
    <numFmt numFmtId="203" formatCode="#,##0.0"/>
    <numFmt numFmtId="204" formatCode="#,##0.000"/>
    <numFmt numFmtId="205" formatCode="#,##0.0000"/>
    <numFmt numFmtId="206" formatCode="#,##0.00000"/>
    <numFmt numFmtId="207" formatCode="_(&quot;$&quot;* #,##0.00000_);_(&quot;$&quot;* \(#,##0.00000\);_(&quot;$&quot;* &quot;-&quot;?????_);_(@_)"/>
    <numFmt numFmtId="208" formatCode="_(&quot;$&quot;* #,##0.000000_);_(&quot;$&quot;* \(#,##0.000000\);_(&quot;$&quot;* &quot;-&quot;??????_);_(@_)"/>
    <numFmt numFmtId="209" formatCode="[$-409]dddd\,\ mmmm\ dd\,\ yyyy"/>
    <numFmt numFmtId="210" formatCode="[$-409]mmmmm;@"/>
    <numFmt numFmtId="211" formatCode="mmmmm"/>
    <numFmt numFmtId="212" formatCode="mmmm"/>
    <numFmt numFmtId="213" formatCode="&quot;$&quot;#,##0.00"/>
    <numFmt numFmtId="214" formatCode="&quot;$&quot;#,##0.0_);\(&quot;$&quot;#,##0.0\)"/>
    <numFmt numFmtId="215" formatCode="[$-409]dddd\,\ mmmm\ d\,\ yyyy"/>
    <numFmt numFmtId="216" formatCode="[$-409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3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7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5" fillId="0" borderId="0" xfId="0" applyNumberFormat="1" applyFont="1" applyAlignment="1">
      <alignment vertical="center"/>
    </xf>
    <xf numFmtId="192" fontId="9" fillId="0" borderId="0" xfId="287" applyNumberFormat="1" applyFont="1" applyBorder="1" applyAlignment="1">
      <alignment horizontal="center" wrapText="1"/>
      <protection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5" fontId="10" fillId="0" borderId="0" xfId="0" applyNumberFormat="1" applyFont="1" applyBorder="1" applyAlignment="1">
      <alignment horizontal="center"/>
    </xf>
    <xf numFmtId="167" fontId="4" fillId="0" borderId="0" xfId="267" applyNumberFormat="1" applyFont="1" applyAlignment="1">
      <alignment/>
    </xf>
    <xf numFmtId="193" fontId="10" fillId="0" borderId="0" xfId="0" applyNumberFormat="1" applyFont="1" applyAlignment="1">
      <alignment/>
    </xf>
    <xf numFmtId="195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vertical="center"/>
    </xf>
    <xf numFmtId="193" fontId="1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6" fontId="1" fillId="0" borderId="0" xfId="42" applyNumberFormat="1" applyFont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2" fillId="34" borderId="18" xfId="42" applyNumberFormat="1" applyFont="1" applyFill="1" applyBorder="1" applyAlignment="1">
      <alignment horizontal="center"/>
    </xf>
    <xf numFmtId="166" fontId="2" fillId="34" borderId="19" xfId="42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4" fontId="14" fillId="0" borderId="0" xfId="267" applyFont="1" applyAlignment="1">
      <alignment/>
    </xf>
    <xf numFmtId="167" fontId="14" fillId="0" borderId="0" xfId="267" applyNumberFormat="1" applyFont="1" applyAlignment="1">
      <alignment/>
    </xf>
    <xf numFmtId="0" fontId="12" fillId="0" borderId="0" xfId="0" applyFont="1" applyAlignment="1">
      <alignment/>
    </xf>
    <xf numFmtId="167" fontId="14" fillId="0" borderId="0" xfId="0" applyNumberFormat="1" applyFont="1" applyAlignment="1">
      <alignment/>
    </xf>
    <xf numFmtId="8" fontId="14" fillId="0" borderId="0" xfId="267" applyNumberFormat="1" applyFont="1" applyAlignment="1">
      <alignment/>
    </xf>
    <xf numFmtId="167" fontId="14" fillId="0" borderId="10" xfId="267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 wrapText="1"/>
    </xf>
    <xf numFmtId="44" fontId="6" fillId="0" borderId="17" xfId="267" applyFont="1" applyFill="1" applyBorder="1" applyAlignment="1">
      <alignment/>
    </xf>
    <xf numFmtId="44" fontId="13" fillId="0" borderId="17" xfId="267" applyFont="1" applyFill="1" applyBorder="1" applyAlignment="1">
      <alignment/>
    </xf>
    <xf numFmtId="44" fontId="14" fillId="0" borderId="17" xfId="267" applyFont="1" applyFill="1" applyBorder="1" applyAlignment="1">
      <alignment/>
    </xf>
    <xf numFmtId="0" fontId="14" fillId="0" borderId="14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44" fontId="12" fillId="0" borderId="17" xfId="267" applyFont="1" applyBorder="1" applyAlignment="1">
      <alignment/>
    </xf>
    <xf numFmtId="44" fontId="12" fillId="0" borderId="20" xfId="267" applyFont="1" applyBorder="1" applyAlignment="1">
      <alignment/>
    </xf>
    <xf numFmtId="167" fontId="13" fillId="0" borderId="0" xfId="267" applyNumberFormat="1" applyFont="1" applyAlignment="1">
      <alignment/>
    </xf>
    <xf numFmtId="0" fontId="14" fillId="0" borderId="14" xfId="0" applyFont="1" applyFill="1" applyBorder="1" applyAlignment="1">
      <alignment/>
    </xf>
    <xf numFmtId="44" fontId="14" fillId="0" borderId="17" xfId="267" applyFont="1" applyFill="1" applyBorder="1" applyAlignment="1">
      <alignment/>
    </xf>
    <xf numFmtId="0" fontId="14" fillId="0" borderId="21" xfId="0" applyFont="1" applyBorder="1" applyAlignment="1">
      <alignment/>
    </xf>
    <xf numFmtId="44" fontId="14" fillId="0" borderId="16" xfId="267" applyFont="1" applyBorder="1" applyAlignment="1">
      <alignment/>
    </xf>
    <xf numFmtId="0" fontId="0" fillId="0" borderId="0" xfId="0" applyAlignment="1">
      <alignment/>
    </xf>
    <xf numFmtId="0" fontId="5" fillId="0" borderId="17" xfId="0" applyFont="1" applyBorder="1" applyAlignment="1">
      <alignment/>
    </xf>
    <xf numFmtId="0" fontId="2" fillId="35" borderId="22" xfId="0" applyFont="1" applyFill="1" applyBorder="1" applyAlignment="1">
      <alignment horizontal="center" vertical="center" wrapText="1"/>
    </xf>
    <xf numFmtId="166" fontId="2" fillId="35" borderId="0" xfId="54" applyNumberFormat="1" applyFont="1" applyFill="1" applyAlignment="1">
      <alignment horizontal="center"/>
    </xf>
    <xf numFmtId="0" fontId="3" fillId="0" borderId="23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 wrapText="1"/>
    </xf>
    <xf numFmtId="166" fontId="0" fillId="0" borderId="0" xfId="42" applyNumberFormat="1" applyFont="1" applyAlignment="1">
      <alignment/>
    </xf>
    <xf numFmtId="166" fontId="0" fillId="0" borderId="24" xfId="42" applyNumberFormat="1" applyFont="1" applyBorder="1" applyAlignment="1">
      <alignment/>
    </xf>
    <xf numFmtId="0" fontId="6" fillId="0" borderId="25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166" fontId="0" fillId="0" borderId="28" xfId="42" applyNumberFormat="1" applyFont="1" applyBorder="1" applyAlignment="1">
      <alignment/>
    </xf>
    <xf numFmtId="0" fontId="0" fillId="0" borderId="28" xfId="0" applyBorder="1" applyAlignment="1">
      <alignment/>
    </xf>
    <xf numFmtId="44" fontId="0" fillId="0" borderId="29" xfId="267" applyFont="1" applyBorder="1" applyAlignment="1">
      <alignment horizontal="center"/>
    </xf>
    <xf numFmtId="44" fontId="0" fillId="0" borderId="30" xfId="267" applyFont="1" applyBorder="1" applyAlignment="1">
      <alignment horizontal="center"/>
    </xf>
    <xf numFmtId="44" fontId="0" fillId="0" borderId="25" xfId="267" applyFont="1" applyBorder="1" applyAlignment="1">
      <alignment horizontal="center"/>
    </xf>
    <xf numFmtId="44" fontId="0" fillId="0" borderId="31" xfId="267" applyFont="1" applyBorder="1" applyAlignment="1">
      <alignment horizontal="center"/>
    </xf>
    <xf numFmtId="44" fontId="0" fillId="0" borderId="0" xfId="267" applyFont="1" applyBorder="1" applyAlignment="1">
      <alignment horizontal="center"/>
    </xf>
    <xf numFmtId="44" fontId="0" fillId="0" borderId="23" xfId="267" applyFont="1" applyBorder="1" applyAlignment="1">
      <alignment horizontal="center"/>
    </xf>
    <xf numFmtId="44" fontId="0" fillId="0" borderId="0" xfId="267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3" fillId="0" borderId="28" xfId="0" applyFont="1" applyBorder="1" applyAlignment="1">
      <alignment/>
    </xf>
    <xf numFmtId="166" fontId="3" fillId="0" borderId="28" xfId="42" applyNumberFormat="1" applyFont="1" applyBorder="1" applyAlignment="1">
      <alignment horizontal="center"/>
    </xf>
    <xf numFmtId="166" fontId="3" fillId="0" borderId="24" xfId="42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49" fontId="7" fillId="0" borderId="23" xfId="0" applyNumberFormat="1" applyFont="1" applyFill="1" applyBorder="1" applyAlignment="1">
      <alignment wrapText="1"/>
    </xf>
    <xf numFmtId="0" fontId="6" fillId="0" borderId="23" xfId="0" applyFont="1" applyFill="1" applyBorder="1" applyAlignment="1">
      <alignment/>
    </xf>
    <xf numFmtId="0" fontId="0" fillId="0" borderId="23" xfId="0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44" fontId="0" fillId="0" borderId="0" xfId="267" applyFont="1" applyFill="1" applyBorder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30" xfId="0" applyNumberFormat="1" applyBorder="1" applyAlignment="1">
      <alignment/>
    </xf>
    <xf numFmtId="0" fontId="0" fillId="0" borderId="0" xfId="0" applyAlignment="1">
      <alignment horizontal="center" vertical="center"/>
    </xf>
    <xf numFmtId="44" fontId="0" fillId="0" borderId="31" xfId="0" applyNumberFormat="1" applyBorder="1" applyAlignment="1">
      <alignment/>
    </xf>
    <xf numFmtId="44" fontId="0" fillId="0" borderId="29" xfId="0" applyNumberFormat="1" applyBorder="1" applyAlignment="1">
      <alignment/>
    </xf>
    <xf numFmtId="44" fontId="0" fillId="0" borderId="28" xfId="0" applyNumberFormat="1" applyBorder="1" applyAlignment="1">
      <alignment/>
    </xf>
    <xf numFmtId="44" fontId="0" fillId="0" borderId="24" xfId="0" applyNumberFormat="1" applyBorder="1" applyAlignment="1">
      <alignment/>
    </xf>
    <xf numFmtId="167" fontId="14" fillId="0" borderId="0" xfId="267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66" fontId="6" fillId="0" borderId="31" xfId="42" applyNumberFormat="1" applyFont="1" applyFill="1" applyBorder="1" applyAlignment="1">
      <alignment vertical="center"/>
    </xf>
    <xf numFmtId="166" fontId="0" fillId="0" borderId="0" xfId="42" applyNumberFormat="1" applyFont="1" applyBorder="1" applyAlignment="1">
      <alignment/>
    </xf>
    <xf numFmtId="166" fontId="0" fillId="0" borderId="31" xfId="42" applyNumberFormat="1" applyFont="1" applyBorder="1" applyAlignment="1">
      <alignment/>
    </xf>
    <xf numFmtId="166" fontId="0" fillId="0" borderId="31" xfId="42" applyNumberFormat="1" applyFont="1" applyFill="1" applyBorder="1" applyAlignment="1">
      <alignment vertical="center"/>
    </xf>
    <xf numFmtId="166" fontId="0" fillId="0" borderId="31" xfId="42" applyNumberFormat="1" applyFont="1" applyBorder="1" applyAlignment="1">
      <alignment vertical="center"/>
    </xf>
    <xf numFmtId="166" fontId="3" fillId="0" borderId="31" xfId="42" applyNumberFormat="1" applyFont="1" applyBorder="1" applyAlignment="1">
      <alignment vertical="center"/>
    </xf>
    <xf numFmtId="0" fontId="61" fillId="34" borderId="16" xfId="0" applyFont="1" applyFill="1" applyBorder="1" applyAlignment="1">
      <alignment horizontal="center"/>
    </xf>
    <xf numFmtId="0" fontId="61" fillId="34" borderId="26" xfId="0" applyFont="1" applyFill="1" applyBorder="1" applyAlignment="1">
      <alignment horizontal="center"/>
    </xf>
    <xf numFmtId="0" fontId="12" fillId="15" borderId="34" xfId="0" applyFont="1" applyFill="1" applyBorder="1" applyAlignment="1">
      <alignment horizontal="center"/>
    </xf>
    <xf numFmtId="44" fontId="12" fillId="15" borderId="34" xfId="267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2" fillId="36" borderId="11" xfId="0" applyFont="1" applyFill="1" applyBorder="1" applyAlignment="1">
      <alignment/>
    </xf>
    <xf numFmtId="44" fontId="12" fillId="36" borderId="34" xfId="267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7" fontId="5" fillId="0" borderId="0" xfId="0" applyNumberFormat="1" applyFont="1" applyBorder="1" applyAlignment="1">
      <alignment vertical="center"/>
    </xf>
    <xf numFmtId="167" fontId="5" fillId="0" borderId="31" xfId="0" applyNumberFormat="1" applyFont="1" applyBorder="1" applyAlignment="1">
      <alignment vertical="center"/>
    </xf>
    <xf numFmtId="167" fontId="0" fillId="0" borderId="0" xfId="267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 wrapText="1"/>
    </xf>
    <xf numFmtId="5" fontId="10" fillId="0" borderId="0" xfId="0" applyNumberFormat="1" applyFont="1" applyBorder="1" applyAlignment="1">
      <alignment horizontal="center" vertical="center"/>
    </xf>
    <xf numFmtId="0" fontId="2" fillId="37" borderId="32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15" fillId="37" borderId="35" xfId="0" applyFont="1" applyFill="1" applyBorder="1" applyAlignment="1">
      <alignment/>
    </xf>
    <xf numFmtId="0" fontId="15" fillId="38" borderId="36" xfId="0" applyFont="1" applyFill="1" applyBorder="1" applyAlignment="1">
      <alignment/>
    </xf>
    <xf numFmtId="0" fontId="15" fillId="38" borderId="35" xfId="0" applyFont="1" applyFill="1" applyBorder="1" applyAlignment="1">
      <alignment/>
    </xf>
    <xf numFmtId="0" fontId="15" fillId="38" borderId="32" xfId="0" applyFont="1" applyFill="1" applyBorder="1" applyAlignment="1">
      <alignment horizontal="center"/>
    </xf>
    <xf numFmtId="0" fontId="15" fillId="38" borderId="33" xfId="0" applyFont="1" applyFill="1" applyBorder="1" applyAlignment="1">
      <alignment horizontal="center"/>
    </xf>
    <xf numFmtId="0" fontId="15" fillId="38" borderId="27" xfId="0" applyFont="1" applyFill="1" applyBorder="1" applyAlignment="1">
      <alignment horizontal="center"/>
    </xf>
    <xf numFmtId="0" fontId="0" fillId="14" borderId="36" xfId="0" applyFill="1" applyBorder="1" applyAlignment="1">
      <alignment/>
    </xf>
    <xf numFmtId="0" fontId="0" fillId="14" borderId="37" xfId="0" applyFill="1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0" fillId="8" borderId="32" xfId="0" applyFill="1" applyBorder="1" applyAlignment="1">
      <alignment/>
    </xf>
    <xf numFmtId="0" fontId="3" fillId="8" borderId="38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/>
    </xf>
    <xf numFmtId="0" fontId="3" fillId="8" borderId="24" xfId="0" applyFont="1" applyFill="1" applyBorder="1" applyAlignment="1">
      <alignment horizontal="center" vertical="center" wrapText="1"/>
    </xf>
    <xf numFmtId="0" fontId="0" fillId="39" borderId="33" xfId="0" applyFill="1" applyBorder="1" applyAlignment="1">
      <alignment/>
    </xf>
    <xf numFmtId="0" fontId="0" fillId="39" borderId="27" xfId="0" applyFill="1" applyBorder="1" applyAlignment="1">
      <alignment/>
    </xf>
    <xf numFmtId="166" fontId="46" fillId="40" borderId="38" xfId="42" applyNumberFormat="1" applyFont="1" applyFill="1" applyBorder="1" applyAlignment="1">
      <alignment horizontal="center" vertical="center" wrapText="1"/>
    </xf>
    <xf numFmtId="0" fontId="43" fillId="40" borderId="33" xfId="0" applyFont="1" applyFill="1" applyBorder="1" applyAlignment="1">
      <alignment horizontal="center" vertical="center"/>
    </xf>
    <xf numFmtId="0" fontId="43" fillId="40" borderId="27" xfId="0" applyFont="1" applyFill="1" applyBorder="1" applyAlignment="1">
      <alignment horizontal="center" vertical="center"/>
    </xf>
    <xf numFmtId="0" fontId="46" fillId="40" borderId="32" xfId="0" applyFont="1" applyFill="1" applyBorder="1" applyAlignment="1">
      <alignment horizontal="center" vertical="center"/>
    </xf>
    <xf numFmtId="166" fontId="0" fillId="8" borderId="29" xfId="42" applyNumberFormat="1" applyFont="1" applyFill="1" applyBorder="1" applyAlignment="1">
      <alignment/>
    </xf>
    <xf numFmtId="0" fontId="43" fillId="40" borderId="27" xfId="0" applyFont="1" applyFill="1" applyBorder="1" applyAlignment="1">
      <alignment/>
    </xf>
    <xf numFmtId="0" fontId="46" fillId="15" borderId="32" xfId="0" applyFont="1" applyFill="1" applyBorder="1" applyAlignment="1">
      <alignment horizontal="center" vertical="center"/>
    </xf>
    <xf numFmtId="166" fontId="46" fillId="15" borderId="38" xfId="42" applyNumberFormat="1" applyFont="1" applyFill="1" applyBorder="1" applyAlignment="1">
      <alignment horizontal="center" vertical="center" wrapText="1"/>
    </xf>
    <xf numFmtId="0" fontId="46" fillId="15" borderId="33" xfId="0" applyFont="1" applyFill="1" applyBorder="1" applyAlignment="1">
      <alignment horizontal="center" vertical="center"/>
    </xf>
    <xf numFmtId="0" fontId="46" fillId="15" borderId="27" xfId="0" applyFont="1" applyFill="1" applyBorder="1" applyAlignment="1">
      <alignment horizontal="center" vertical="center"/>
    </xf>
    <xf numFmtId="0" fontId="0" fillId="9" borderId="32" xfId="0" applyFill="1" applyBorder="1" applyAlignment="1">
      <alignment vertical="center"/>
    </xf>
    <xf numFmtId="166" fontId="0" fillId="9" borderId="38" xfId="42" applyNumberFormat="1" applyFont="1" applyFill="1" applyBorder="1" applyAlignment="1">
      <alignment/>
    </xf>
    <xf numFmtId="170" fontId="0" fillId="9" borderId="33" xfId="0" applyNumberFormat="1" applyFill="1" applyBorder="1" applyAlignment="1">
      <alignment/>
    </xf>
    <xf numFmtId="170" fontId="0" fillId="9" borderId="27" xfId="0" applyNumberFormat="1" applyFill="1" applyBorder="1" applyAlignment="1">
      <alignment/>
    </xf>
    <xf numFmtId="0" fontId="0" fillId="9" borderId="25" xfId="0" applyFill="1" applyBorder="1" applyAlignment="1">
      <alignment vertical="center"/>
    </xf>
    <xf numFmtId="166" fontId="0" fillId="9" borderId="24" xfId="42" applyNumberFormat="1" applyFont="1" applyFill="1" applyBorder="1" applyAlignment="1">
      <alignment/>
    </xf>
    <xf numFmtId="166" fontId="0" fillId="9" borderId="30" xfId="42" applyNumberFormat="1" applyFont="1" applyFill="1" applyBorder="1" applyAlignment="1">
      <alignment/>
    </xf>
    <xf numFmtId="166" fontId="0" fillId="9" borderId="29" xfId="42" applyNumberFormat="1" applyFont="1" applyFill="1" applyBorder="1" applyAlignment="1">
      <alignment/>
    </xf>
    <xf numFmtId="0" fontId="46" fillId="40" borderId="38" xfId="0" applyFont="1" applyFill="1" applyBorder="1" applyAlignment="1">
      <alignment horizontal="center" vertical="center"/>
    </xf>
    <xf numFmtId="188" fontId="0" fillId="0" borderId="24" xfId="0" applyNumberFormat="1" applyBorder="1" applyAlignment="1">
      <alignment/>
    </xf>
    <xf numFmtId="0" fontId="46" fillId="40" borderId="39" xfId="0" applyFont="1" applyFill="1" applyBorder="1" applyAlignment="1">
      <alignment horizontal="center" vertical="center"/>
    </xf>
    <xf numFmtId="166" fontId="46" fillId="39" borderId="39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39" borderId="38" xfId="0" applyFill="1" applyBorder="1" applyAlignment="1">
      <alignment/>
    </xf>
    <xf numFmtId="170" fontId="0" fillId="9" borderId="38" xfId="0" applyNumberFormat="1" applyFill="1" applyBorder="1" applyAlignment="1">
      <alignment/>
    </xf>
    <xf numFmtId="0" fontId="46" fillId="15" borderId="39" xfId="0" applyFont="1" applyFill="1" applyBorder="1" applyAlignment="1">
      <alignment horizontal="center" vertical="center"/>
    </xf>
    <xf numFmtId="44" fontId="0" fillId="0" borderId="28" xfId="267" applyFont="1" applyBorder="1" applyAlignment="1">
      <alignment horizontal="center"/>
    </xf>
    <xf numFmtId="44" fontId="0" fillId="0" borderId="24" xfId="267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 wrapText="1"/>
    </xf>
    <xf numFmtId="166" fontId="0" fillId="0" borderId="31" xfId="42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166" fontId="0" fillId="0" borderId="29" xfId="42" applyNumberFormat="1" applyFont="1" applyBorder="1" applyAlignment="1">
      <alignment/>
    </xf>
    <xf numFmtId="0" fontId="3" fillId="0" borderId="32" xfId="0" applyFont="1" applyBorder="1" applyAlignment="1">
      <alignment horizontal="left" vertical="center"/>
    </xf>
    <xf numFmtId="166" fontId="0" fillId="0" borderId="27" xfId="42" applyNumberFormat="1" applyFont="1" applyBorder="1" applyAlignment="1">
      <alignment/>
    </xf>
    <xf numFmtId="166" fontId="0" fillId="0" borderId="28" xfId="42" applyNumberFormat="1" applyFont="1" applyFill="1" applyBorder="1" applyAlignment="1">
      <alignment/>
    </xf>
    <xf numFmtId="166" fontId="0" fillId="0" borderId="38" xfId="42" applyNumberFormat="1" applyFont="1" applyBorder="1" applyAlignment="1">
      <alignment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5" xfId="0" applyFill="1" applyBorder="1" applyAlignment="1">
      <alignment/>
    </xf>
    <xf numFmtId="0" fontId="0" fillId="12" borderId="36" xfId="0" applyFill="1" applyBorder="1" applyAlignment="1">
      <alignment horizontal="left"/>
    </xf>
    <xf numFmtId="0" fontId="3" fillId="12" borderId="39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4" borderId="39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/>
    </xf>
    <xf numFmtId="0" fontId="0" fillId="14" borderId="35" xfId="0" applyFill="1" applyBorder="1" applyAlignment="1">
      <alignment horizontal="center" vertical="center" wrapText="1"/>
    </xf>
    <xf numFmtId="0" fontId="0" fillId="8" borderId="27" xfId="0" applyFill="1" applyBorder="1" applyAlignment="1">
      <alignment/>
    </xf>
    <xf numFmtId="170" fontId="0" fillId="0" borderId="31" xfId="0" applyNumberFormat="1" applyBorder="1" applyAlignment="1">
      <alignment/>
    </xf>
    <xf numFmtId="170" fontId="0" fillId="0" borderId="29" xfId="0" applyNumberFormat="1" applyBorder="1" applyAlignment="1">
      <alignment/>
    </xf>
    <xf numFmtId="0" fontId="2" fillId="37" borderId="39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0" fillId="14" borderId="39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166" fontId="0" fillId="8" borderId="24" xfId="42" applyNumberFormat="1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vertical="center"/>
    </xf>
    <xf numFmtId="0" fontId="46" fillId="40" borderId="33" xfId="0" applyFont="1" applyFill="1" applyBorder="1" applyAlignment="1">
      <alignment horizontal="center" vertical="center" wrapText="1"/>
    </xf>
    <xf numFmtId="0" fontId="46" fillId="40" borderId="27" xfId="0" applyFont="1" applyFill="1" applyBorder="1" applyAlignment="1">
      <alignment horizontal="center" vertical="center" wrapText="1"/>
    </xf>
    <xf numFmtId="0" fontId="46" fillId="40" borderId="32" xfId="0" applyFont="1" applyFill="1" applyBorder="1" applyAlignment="1">
      <alignment horizontal="center" vertical="center"/>
    </xf>
    <xf numFmtId="0" fontId="43" fillId="40" borderId="33" xfId="0" applyFont="1" applyFill="1" applyBorder="1" applyAlignment="1">
      <alignment horizontal="center"/>
    </xf>
    <xf numFmtId="0" fontId="43" fillId="40" borderId="27" xfId="0" applyFont="1" applyFill="1" applyBorder="1" applyAlignment="1">
      <alignment horizontal="center"/>
    </xf>
    <xf numFmtId="0" fontId="43" fillId="40" borderId="38" xfId="0" applyFont="1" applyFill="1" applyBorder="1" applyAlignment="1">
      <alignment horizontal="center"/>
    </xf>
    <xf numFmtId="0" fontId="43" fillId="40" borderId="38" xfId="0" applyFont="1" applyFill="1" applyBorder="1" applyAlignment="1">
      <alignment horizontal="center" vertical="center"/>
    </xf>
    <xf numFmtId="0" fontId="0" fillId="39" borderId="37" xfId="0" applyFill="1" applyBorder="1" applyAlignment="1">
      <alignment/>
    </xf>
    <xf numFmtId="0" fontId="0" fillId="39" borderId="35" xfId="0" applyFill="1" applyBorder="1" applyAlignment="1">
      <alignment/>
    </xf>
    <xf numFmtId="0" fontId="43" fillId="39" borderId="36" xfId="0" applyFont="1" applyFill="1" applyBorder="1" applyAlignment="1">
      <alignment/>
    </xf>
    <xf numFmtId="0" fontId="43" fillId="41" borderId="21" xfId="0" applyFont="1" applyFill="1" applyBorder="1" applyAlignment="1">
      <alignment/>
    </xf>
    <xf numFmtId="0" fontId="43" fillId="41" borderId="14" xfId="0" applyFont="1" applyFill="1" applyBorder="1" applyAlignment="1">
      <alignment vertical="center"/>
    </xf>
    <xf numFmtId="0" fontId="46" fillId="41" borderId="23" xfId="0" applyFont="1" applyFill="1" applyBorder="1" applyAlignment="1">
      <alignment horizontal="center"/>
    </xf>
    <xf numFmtId="166" fontId="0" fillId="11" borderId="36" xfId="42" applyNumberFormat="1" applyFont="1" applyFill="1" applyBorder="1" applyAlignment="1">
      <alignment/>
    </xf>
    <xf numFmtId="166" fontId="0" fillId="11" borderId="37" xfId="42" applyNumberFormat="1" applyFont="1" applyFill="1" applyBorder="1" applyAlignment="1">
      <alignment/>
    </xf>
    <xf numFmtId="166" fontId="3" fillId="11" borderId="35" xfId="42" applyNumberFormat="1" applyFont="1" applyFill="1" applyBorder="1" applyAlignment="1">
      <alignment vertical="center"/>
    </xf>
    <xf numFmtId="8" fontId="5" fillId="0" borderId="0" xfId="288" applyNumberFormat="1" applyFont="1" applyFill="1" applyBorder="1" applyAlignment="1">
      <alignment horizontal="right"/>
      <protection/>
    </xf>
    <xf numFmtId="8" fontId="5" fillId="0" borderId="31" xfId="288" applyNumberFormat="1" applyFont="1" applyFill="1" applyBorder="1" applyAlignment="1">
      <alignment horizontal="right"/>
      <protection/>
    </xf>
    <xf numFmtId="8" fontId="40" fillId="0" borderId="23" xfId="288" applyNumberFormat="1" applyFont="1" applyFill="1" applyBorder="1" applyAlignment="1">
      <alignment horizontal="right"/>
      <protection/>
    </xf>
    <xf numFmtId="167" fontId="5" fillId="0" borderId="0" xfId="0" applyNumberFormat="1" applyFont="1" applyBorder="1" applyAlignment="1">
      <alignment vertical="center"/>
    </xf>
    <xf numFmtId="167" fontId="5" fillId="0" borderId="31" xfId="0" applyNumberFormat="1" applyFont="1" applyBorder="1" applyAlignment="1">
      <alignment vertical="center"/>
    </xf>
    <xf numFmtId="8" fontId="40" fillId="11" borderId="36" xfId="288" applyNumberFormat="1" applyFont="1" applyFill="1" applyBorder="1" applyAlignment="1">
      <alignment horizontal="right"/>
      <protection/>
    </xf>
    <xf numFmtId="167" fontId="5" fillId="11" borderId="37" xfId="267" applyNumberFormat="1" applyFont="1" applyFill="1" applyBorder="1" applyAlignment="1">
      <alignment vertical="center"/>
    </xf>
    <xf numFmtId="167" fontId="5" fillId="11" borderId="35" xfId="267" applyNumberFormat="1" applyFont="1" applyFill="1" applyBorder="1" applyAlignment="1">
      <alignment vertical="center"/>
    </xf>
    <xf numFmtId="0" fontId="46" fillId="41" borderId="0" xfId="0" applyFont="1" applyFill="1" applyBorder="1" applyAlignment="1">
      <alignment horizontal="center"/>
    </xf>
    <xf numFmtId="0" fontId="46" fillId="41" borderId="31" xfId="0" applyFont="1" applyFill="1" applyBorder="1" applyAlignment="1">
      <alignment horizontal="center"/>
    </xf>
    <xf numFmtId="0" fontId="18" fillId="0" borderId="0" xfId="0" applyFont="1" applyAlignment="1">
      <alignment/>
    </xf>
    <xf numFmtId="167" fontId="14" fillId="0" borderId="10" xfId="267" applyNumberFormat="1" applyFont="1" applyBorder="1" applyAlignment="1">
      <alignment/>
    </xf>
    <xf numFmtId="0" fontId="46" fillId="17" borderId="35" xfId="0" applyFont="1" applyFill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center" vertical="center" wrapText="1"/>
    </xf>
    <xf numFmtId="37" fontId="10" fillId="0" borderId="0" xfId="42" applyNumberFormat="1" applyFont="1" applyBorder="1" applyAlignment="1">
      <alignment horizontal="center" vertical="center"/>
    </xf>
    <xf numFmtId="192" fontId="9" fillId="0" borderId="0" xfId="287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43" fontId="0" fillId="0" borderId="0" xfId="42" applyFont="1" applyAlignment="1">
      <alignment/>
    </xf>
    <xf numFmtId="166" fontId="0" fillId="0" borderId="31" xfId="42" applyNumberFormat="1" applyFont="1" applyBorder="1" applyAlignment="1">
      <alignment/>
    </xf>
    <xf numFmtId="0" fontId="2" fillId="42" borderId="3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39" borderId="0" xfId="0" applyFill="1" applyAlignment="1">
      <alignment/>
    </xf>
    <xf numFmtId="0" fontId="2" fillId="42" borderId="38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 vertical="center" wrapText="1"/>
    </xf>
    <xf numFmtId="199" fontId="0" fillId="0" borderId="41" xfId="0" applyNumberFormat="1" applyBorder="1" applyAlignment="1">
      <alignment/>
    </xf>
    <xf numFmtId="199" fontId="0" fillId="0" borderId="20" xfId="0" applyNumberFormat="1" applyBorder="1" applyAlignment="1">
      <alignment/>
    </xf>
    <xf numFmtId="199" fontId="0" fillId="0" borderId="15" xfId="0" applyNumberFormat="1" applyBorder="1" applyAlignment="1">
      <alignment/>
    </xf>
    <xf numFmtId="166" fontId="0" fillId="0" borderId="23" xfId="42" applyNumberFormat="1" applyFont="1" applyBorder="1" applyAlignment="1">
      <alignment/>
    </xf>
    <xf numFmtId="167" fontId="14" fillId="0" borderId="10" xfId="270" applyNumberFormat="1" applyFont="1" applyBorder="1" applyAlignment="1">
      <alignment/>
    </xf>
    <xf numFmtId="167" fontId="14" fillId="0" borderId="0" xfId="270" applyNumberFormat="1" applyFont="1" applyAlignment="1">
      <alignment/>
    </xf>
    <xf numFmtId="167" fontId="12" fillId="0" borderId="44" xfId="270" applyNumberFormat="1" applyFont="1" applyBorder="1" applyAlignment="1">
      <alignment/>
    </xf>
    <xf numFmtId="0" fontId="59" fillId="11" borderId="37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 horizontal="center"/>
    </xf>
    <xf numFmtId="43" fontId="0" fillId="0" borderId="30" xfId="58" applyFont="1" applyBorder="1" applyAlignment="1">
      <alignment/>
    </xf>
    <xf numFmtId="43" fontId="0" fillId="0" borderId="24" xfId="67" applyFont="1" applyBorder="1" applyAlignment="1">
      <alignment/>
    </xf>
    <xf numFmtId="43" fontId="0" fillId="0" borderId="38" xfId="69" applyFont="1" applyBorder="1" applyAlignment="1">
      <alignment/>
    </xf>
    <xf numFmtId="43" fontId="0" fillId="0" borderId="28" xfId="69" applyFont="1" applyBorder="1" applyAlignment="1">
      <alignment/>
    </xf>
    <xf numFmtId="43" fontId="0" fillId="0" borderId="28" xfId="71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44" fontId="0" fillId="0" borderId="15" xfId="267" applyFont="1" applyBorder="1" applyAlignment="1">
      <alignment/>
    </xf>
    <xf numFmtId="44" fontId="0" fillId="0" borderId="26" xfId="267" applyFont="1" applyBorder="1" applyAlignment="1">
      <alignment/>
    </xf>
    <xf numFmtId="0" fontId="59" fillId="11" borderId="36" xfId="0" applyFont="1" applyFill="1" applyBorder="1" applyAlignment="1">
      <alignment horizontal="center"/>
    </xf>
    <xf numFmtId="0" fontId="59" fillId="11" borderId="37" xfId="0" applyFont="1" applyFill="1" applyBorder="1" applyAlignment="1">
      <alignment/>
    </xf>
    <xf numFmtId="0" fontId="59" fillId="11" borderId="35" xfId="0" applyFont="1" applyFill="1" applyBorder="1" applyAlignment="1">
      <alignment horizontal="center"/>
    </xf>
    <xf numFmtId="0" fontId="0" fillId="0" borderId="28" xfId="0" applyBorder="1" applyAlignment="1">
      <alignment/>
    </xf>
    <xf numFmtId="43" fontId="0" fillId="0" borderId="0" xfId="61" applyFont="1" applyBorder="1" applyAlignment="1">
      <alignment/>
    </xf>
    <xf numFmtId="43" fontId="0" fillId="0" borderId="0" xfId="65" applyFont="1" applyFill="1" applyBorder="1" applyAlignment="1">
      <alignment/>
    </xf>
    <xf numFmtId="43" fontId="0" fillId="0" borderId="0" xfId="65" applyFont="1" applyBorder="1" applyAlignment="1">
      <alignment/>
    </xf>
    <xf numFmtId="0" fontId="43" fillId="21" borderId="11" xfId="0" applyFont="1" applyFill="1" applyBorder="1" applyAlignment="1">
      <alignment/>
    </xf>
    <xf numFmtId="0" fontId="43" fillId="21" borderId="12" xfId="0" applyFont="1" applyFill="1" applyBorder="1" applyAlignment="1">
      <alignment/>
    </xf>
    <xf numFmtId="0" fontId="43" fillId="21" borderId="13" xfId="0" applyFont="1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6" fontId="0" fillId="0" borderId="0" xfId="0" applyNumberFormat="1" applyFill="1" applyBorder="1" applyAlignment="1">
      <alignment/>
    </xf>
    <xf numFmtId="0" fontId="5" fillId="0" borderId="40" xfId="0" applyFont="1" applyBorder="1" applyAlignment="1">
      <alignment/>
    </xf>
    <xf numFmtId="199" fontId="5" fillId="0" borderId="41" xfId="0" applyNumberFormat="1" applyFont="1" applyBorder="1" applyAlignment="1">
      <alignment/>
    </xf>
    <xf numFmtId="199" fontId="5" fillId="0" borderId="20" xfId="0" applyNumberFormat="1" applyFont="1" applyBorder="1" applyAlignment="1">
      <alignment/>
    </xf>
    <xf numFmtId="167" fontId="14" fillId="0" borderId="10" xfId="0" applyNumberFormat="1" applyFont="1" applyBorder="1" applyAlignment="1">
      <alignment/>
    </xf>
    <xf numFmtId="44" fontId="0" fillId="0" borderId="0" xfId="267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8" fontId="5" fillId="0" borderId="23" xfId="288" applyNumberFormat="1" applyFont="1" applyFill="1" applyBorder="1" applyAlignment="1">
      <alignment horizontal="right"/>
      <protection/>
    </xf>
    <xf numFmtId="0" fontId="46" fillId="17" borderId="36" xfId="0" applyFont="1" applyFill="1" applyBorder="1" applyAlignment="1">
      <alignment horizontal="center" vertical="center" wrapText="1"/>
    </xf>
    <xf numFmtId="0" fontId="46" fillId="17" borderId="3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44" fontId="13" fillId="0" borderId="17" xfId="27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166" fontId="2" fillId="35" borderId="0" xfId="54" applyNumberFormat="1" applyFont="1" applyFill="1" applyAlignment="1">
      <alignment horizontal="center"/>
    </xf>
    <xf numFmtId="0" fontId="0" fillId="0" borderId="42" xfId="0" applyBorder="1" applyAlignment="1">
      <alignment/>
    </xf>
    <xf numFmtId="0" fontId="0" fillId="39" borderId="0" xfId="0" applyFill="1" applyAlignment="1">
      <alignment/>
    </xf>
    <xf numFmtId="0" fontId="2" fillId="35" borderId="4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199" fontId="0" fillId="0" borderId="41" xfId="0" applyNumberFormat="1" applyBorder="1" applyAlignment="1">
      <alignment/>
    </xf>
    <xf numFmtId="199" fontId="0" fillId="0" borderId="20" xfId="0" applyNumberFormat="1" applyBorder="1" applyAlignment="1">
      <alignment/>
    </xf>
    <xf numFmtId="199" fontId="0" fillId="0" borderId="15" xfId="0" applyNumberFormat="1" applyBorder="1" applyAlignment="1">
      <alignment/>
    </xf>
    <xf numFmtId="44" fontId="0" fillId="0" borderId="0" xfId="0" applyNumberFormat="1" applyAlignment="1">
      <alignment/>
    </xf>
    <xf numFmtId="43" fontId="0" fillId="0" borderId="28" xfId="42" applyFont="1" applyBorder="1" applyAlignment="1">
      <alignment/>
    </xf>
    <xf numFmtId="17" fontId="61" fillId="34" borderId="26" xfId="0" applyNumberFormat="1" applyFont="1" applyFill="1" applyBorder="1" applyAlignment="1" quotePrefix="1">
      <alignment horizontal="center"/>
    </xf>
    <xf numFmtId="43" fontId="0" fillId="0" borderId="33" xfId="61" applyFont="1" applyBorder="1" applyAlignment="1">
      <alignment/>
    </xf>
    <xf numFmtId="43" fontId="0" fillId="0" borderId="24" xfId="65" applyFont="1" applyFill="1" applyBorder="1" applyAlignment="1">
      <alignment/>
    </xf>
    <xf numFmtId="43" fontId="0" fillId="0" borderId="30" xfId="58" applyFont="1" applyBorder="1" applyAlignment="1">
      <alignment horizontal="left" indent="7"/>
    </xf>
    <xf numFmtId="0" fontId="12" fillId="0" borderId="16" xfId="0" applyFont="1" applyFill="1" applyBorder="1" applyAlignment="1">
      <alignment horizontal="center"/>
    </xf>
    <xf numFmtId="43" fontId="0" fillId="0" borderId="0" xfId="58" applyFont="1" applyBorder="1" applyAlignment="1">
      <alignment/>
    </xf>
    <xf numFmtId="43" fontId="0" fillId="0" borderId="28" xfId="67" applyFont="1" applyBorder="1" applyAlignment="1">
      <alignment/>
    </xf>
    <xf numFmtId="0" fontId="0" fillId="0" borderId="25" xfId="0" applyBorder="1" applyAlignment="1">
      <alignment horizontal="center"/>
    </xf>
    <xf numFmtId="17" fontId="14" fillId="0" borderId="0" xfId="0" applyNumberFormat="1" applyFont="1" applyAlignment="1" quotePrefix="1">
      <alignment/>
    </xf>
    <xf numFmtId="0" fontId="59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9" fillId="0" borderId="0" xfId="0" applyFont="1" applyAlignment="1">
      <alignment/>
    </xf>
    <xf numFmtId="15" fontId="0" fillId="0" borderId="0" xfId="0" applyNumberFormat="1" applyAlignment="1" quotePrefix="1">
      <alignment/>
    </xf>
    <xf numFmtId="0" fontId="12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14" fillId="0" borderId="0" xfId="0" applyFont="1" applyBorder="1" applyAlignment="1">
      <alignment/>
    </xf>
    <xf numFmtId="17" fontId="18" fillId="0" borderId="0" xfId="0" applyNumberFormat="1" applyFont="1" applyAlignment="1" quotePrefix="1">
      <alignment/>
    </xf>
    <xf numFmtId="15" fontId="18" fillId="0" borderId="0" xfId="0" applyNumberFormat="1" applyFont="1" applyAlignment="1" quotePrefix="1">
      <alignment horizontal="left"/>
    </xf>
    <xf numFmtId="0" fontId="62" fillId="0" borderId="0" xfId="0" applyFont="1" applyAlignment="1">
      <alignment horizontal="left"/>
    </xf>
    <xf numFmtId="43" fontId="0" fillId="0" borderId="0" xfId="71" applyFont="1" applyBorder="1" applyAlignment="1">
      <alignment/>
    </xf>
    <xf numFmtId="0" fontId="0" fillId="4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44" fontId="0" fillId="0" borderId="15" xfId="267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0" fontId="5" fillId="0" borderId="34" xfId="0" applyFont="1" applyFill="1" applyBorder="1" applyAlignment="1">
      <alignment/>
    </xf>
    <xf numFmtId="44" fontId="0" fillId="0" borderId="20" xfId="267" applyFont="1" applyFill="1" applyBorder="1" applyAlignment="1">
      <alignment/>
    </xf>
    <xf numFmtId="44" fontId="0" fillId="0" borderId="10" xfId="267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3" fillId="0" borderId="11" xfId="0" applyFont="1" applyFill="1" applyBorder="1" applyAlignment="1">
      <alignment/>
    </xf>
    <xf numFmtId="0" fontId="59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0" borderId="4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9" fillId="44" borderId="11" xfId="0" applyFont="1" applyFill="1" applyBorder="1" applyAlignment="1">
      <alignment horizontal="center" vertical="center"/>
    </xf>
    <xf numFmtId="0" fontId="59" fillId="44" borderId="12" xfId="0" applyFont="1" applyFill="1" applyBorder="1" applyAlignment="1">
      <alignment horizontal="center" vertical="center" wrapText="1"/>
    </xf>
    <xf numFmtId="166" fontId="59" fillId="44" borderId="12" xfId="42" applyNumberFormat="1" applyFont="1" applyFill="1" applyBorder="1" applyAlignment="1">
      <alignment horizontal="center" vertical="center" wrapText="1"/>
    </xf>
    <xf numFmtId="0" fontId="59" fillId="44" borderId="13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21" fillId="44" borderId="22" xfId="0" applyFont="1" applyFill="1" applyBorder="1" applyAlignment="1">
      <alignment horizontal="center" vertical="center" wrapText="1"/>
    </xf>
    <xf numFmtId="0" fontId="21" fillId="44" borderId="43" xfId="0" applyFont="1" applyFill="1" applyBorder="1" applyAlignment="1">
      <alignment horizontal="center" vertical="center" wrapText="1"/>
    </xf>
    <xf numFmtId="0" fontId="21" fillId="44" borderId="16" xfId="0" applyFont="1" applyFill="1" applyBorder="1" applyAlignment="1">
      <alignment horizontal="center" vertical="center" wrapText="1"/>
    </xf>
    <xf numFmtId="166" fontId="21" fillId="44" borderId="11" xfId="54" applyNumberFormat="1" applyFont="1" applyFill="1" applyBorder="1" applyAlignment="1">
      <alignment horizontal="center"/>
    </xf>
    <xf numFmtId="166" fontId="21" fillId="44" borderId="12" xfId="54" applyNumberFormat="1" applyFont="1" applyFill="1" applyBorder="1" applyAlignment="1">
      <alignment horizontal="center"/>
    </xf>
    <xf numFmtId="166" fontId="21" fillId="44" borderId="13" xfId="54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1" fillId="44" borderId="40" xfId="0" applyFont="1" applyFill="1" applyBorder="1" applyAlignment="1">
      <alignment horizontal="center" vertical="center"/>
    </xf>
    <xf numFmtId="0" fontId="21" fillId="44" borderId="0" xfId="0" applyFont="1" applyFill="1" applyBorder="1" applyAlignment="1">
      <alignment horizontal="center" vertical="center"/>
    </xf>
    <xf numFmtId="6" fontId="0" fillId="0" borderId="12" xfId="0" applyNumberFormat="1" applyFill="1" applyBorder="1" applyAlignment="1">
      <alignment/>
    </xf>
    <xf numFmtId="0" fontId="21" fillId="44" borderId="41" xfId="0" applyFont="1" applyFill="1" applyBorder="1" applyAlignment="1">
      <alignment horizontal="center" vertical="center"/>
    </xf>
    <xf numFmtId="0" fontId="21" fillId="44" borderId="2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21" fillId="44" borderId="21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center" vertical="center"/>
    </xf>
    <xf numFmtId="0" fontId="59" fillId="44" borderId="11" xfId="0" applyFont="1" applyFill="1" applyBorder="1" applyAlignment="1">
      <alignment horizontal="center"/>
    </xf>
    <xf numFmtId="0" fontId="59" fillId="44" borderId="12" xfId="0" applyFont="1" applyFill="1" applyBorder="1" applyAlignment="1">
      <alignment horizontal="center"/>
    </xf>
    <xf numFmtId="0" fontId="59" fillId="44" borderId="1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44" fontId="5" fillId="0" borderId="0" xfId="267" applyFont="1" applyFill="1" applyBorder="1" applyAlignment="1">
      <alignment horizontal="right"/>
    </xf>
    <xf numFmtId="166" fontId="21" fillId="0" borderId="0" xfId="54" applyNumberFormat="1" applyFont="1" applyFill="1" applyBorder="1" applyAlignment="1">
      <alignment horizontal="center"/>
    </xf>
    <xf numFmtId="0" fontId="21" fillId="44" borderId="16" xfId="0" applyFont="1" applyFill="1" applyBorder="1" applyAlignment="1">
      <alignment horizontal="center"/>
    </xf>
    <xf numFmtId="0" fontId="21" fillId="44" borderId="26" xfId="0" applyFont="1" applyFill="1" applyBorder="1" applyAlignment="1">
      <alignment horizontal="center"/>
    </xf>
    <xf numFmtId="0" fontId="46" fillId="41" borderId="46" xfId="0" applyFont="1" applyFill="1" applyBorder="1" applyAlignment="1">
      <alignment horizontal="center"/>
    </xf>
    <xf numFmtId="0" fontId="46" fillId="41" borderId="40" xfId="0" applyFont="1" applyFill="1" applyBorder="1" applyAlignment="1">
      <alignment horizontal="center"/>
    </xf>
    <xf numFmtId="0" fontId="46" fillId="41" borderId="47" xfId="0" applyFont="1" applyFill="1" applyBorder="1" applyAlignment="1">
      <alignment horizontal="center"/>
    </xf>
    <xf numFmtId="0" fontId="0" fillId="17" borderId="48" xfId="0" applyFill="1" applyBorder="1" applyAlignment="1">
      <alignment vertical="center"/>
    </xf>
    <xf numFmtId="0" fontId="46" fillId="17" borderId="4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49" fontId="7" fillId="0" borderId="50" xfId="0" applyNumberFormat="1" applyFont="1" applyFill="1" applyBorder="1" applyAlignment="1">
      <alignment vertical="center" wrapText="1"/>
    </xf>
    <xf numFmtId="8" fontId="5" fillId="0" borderId="51" xfId="288" applyNumberFormat="1" applyFont="1" applyFill="1" applyBorder="1" applyAlignment="1">
      <alignment horizontal="right"/>
      <protection/>
    </xf>
    <xf numFmtId="49" fontId="6" fillId="0" borderId="50" xfId="0" applyNumberFormat="1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167" fontId="5" fillId="0" borderId="51" xfId="0" applyNumberFormat="1" applyFont="1" applyBorder="1" applyAlignment="1">
      <alignment vertical="center"/>
    </xf>
    <xf numFmtId="0" fontId="3" fillId="11" borderId="52" xfId="0" applyFont="1" applyFill="1" applyBorder="1" applyAlignment="1">
      <alignment vertical="center"/>
    </xf>
    <xf numFmtId="167" fontId="59" fillId="11" borderId="53" xfId="267" applyNumberFormat="1" applyFont="1" applyFill="1" applyBorder="1" applyAlignment="1">
      <alignment/>
    </xf>
    <xf numFmtId="0" fontId="0" fillId="0" borderId="50" xfId="0" applyBorder="1" applyAlignment="1">
      <alignment vertical="center"/>
    </xf>
    <xf numFmtId="0" fontId="1" fillId="0" borderId="50" xfId="0" applyFont="1" applyBorder="1" applyAlignment="1">
      <alignment vertical="center"/>
    </xf>
    <xf numFmtId="167" fontId="5" fillId="0" borderId="51" xfId="0" applyNumberFormat="1" applyFont="1" applyBorder="1" applyAlignment="1">
      <alignment vertical="center"/>
    </xf>
    <xf numFmtId="0" fontId="3" fillId="11" borderId="54" xfId="0" applyFont="1" applyFill="1" applyBorder="1" applyAlignment="1">
      <alignment vertical="center"/>
    </xf>
    <xf numFmtId="166" fontId="0" fillId="11" borderId="55" xfId="42" applyNumberFormat="1" applyFont="1" applyFill="1" applyBorder="1" applyAlignment="1">
      <alignment/>
    </xf>
    <xf numFmtId="166" fontId="0" fillId="11" borderId="18" xfId="42" applyNumberFormat="1" applyFont="1" applyFill="1" applyBorder="1" applyAlignment="1">
      <alignment/>
    </xf>
    <xf numFmtId="166" fontId="3" fillId="11" borderId="18" xfId="42" applyNumberFormat="1" applyFont="1" applyFill="1" applyBorder="1" applyAlignment="1">
      <alignment vertical="center"/>
    </xf>
    <xf numFmtId="166" fontId="3" fillId="11" borderId="56" xfId="42" applyNumberFormat="1" applyFont="1" applyFill="1" applyBorder="1" applyAlignment="1">
      <alignment vertical="center"/>
    </xf>
    <xf numFmtId="0" fontId="3" fillId="11" borderId="55" xfId="0" applyFont="1" applyFill="1" applyBorder="1" applyAlignment="1">
      <alignment vertical="center"/>
    </xf>
    <xf numFmtId="167" fontId="5" fillId="11" borderId="18" xfId="267" applyNumberFormat="1" applyFont="1" applyFill="1" applyBorder="1" applyAlignment="1">
      <alignment vertical="center"/>
    </xf>
    <xf numFmtId="167" fontId="5" fillId="11" borderId="56" xfId="267" applyNumberFormat="1" applyFont="1" applyFill="1" applyBorder="1" applyAlignment="1">
      <alignment vertical="center"/>
    </xf>
    <xf numFmtId="167" fontId="59" fillId="11" borderId="19" xfId="267" applyNumberFormat="1" applyFont="1" applyFill="1" applyBorder="1" applyAlignment="1">
      <alignment/>
    </xf>
    <xf numFmtId="0" fontId="0" fillId="0" borderId="11" xfId="0" applyBorder="1" applyAlignment="1">
      <alignment/>
    </xf>
    <xf numFmtId="0" fontId="59" fillId="43" borderId="0" xfId="0" applyFont="1" applyFill="1" applyAlignment="1">
      <alignment horizontal="left"/>
    </xf>
    <xf numFmtId="0" fontId="18" fillId="43" borderId="0" xfId="0" applyFont="1" applyFill="1" applyAlignment="1">
      <alignment/>
    </xf>
    <xf numFmtId="0" fontId="59" fillId="43" borderId="0" xfId="0" applyFont="1" applyFill="1" applyAlignment="1">
      <alignment/>
    </xf>
    <xf numFmtId="0" fontId="59" fillId="44" borderId="21" xfId="0" applyFont="1" applyFill="1" applyBorder="1" applyAlignment="1">
      <alignment horizontal="left"/>
    </xf>
    <xf numFmtId="0" fontId="59" fillId="44" borderId="42" xfId="0" applyFont="1" applyFill="1" applyBorder="1" applyAlignment="1">
      <alignment horizontal="left"/>
    </xf>
    <xf numFmtId="1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/>
    </xf>
    <xf numFmtId="166" fontId="0" fillId="0" borderId="11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7" fontId="0" fillId="0" borderId="12" xfId="267" applyNumberFormat="1" applyFont="1" applyFill="1" applyBorder="1" applyAlignment="1">
      <alignment/>
    </xf>
    <xf numFmtId="167" fontId="0" fillId="0" borderId="13" xfId="267" applyNumberFormat="1" applyFont="1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44" fontId="5" fillId="45" borderId="11" xfId="267" applyFont="1" applyFill="1" applyBorder="1" applyAlignment="1">
      <alignment horizontal="right"/>
    </xf>
    <xf numFmtId="44" fontId="5" fillId="45" borderId="13" xfId="267" applyFont="1" applyFill="1" applyBorder="1" applyAlignment="1">
      <alignment horizontal="right"/>
    </xf>
    <xf numFmtId="0" fontId="5" fillId="45" borderId="21" xfId="0" applyFont="1" applyFill="1" applyBorder="1" applyAlignment="1">
      <alignment/>
    </xf>
    <xf numFmtId="0" fontId="5" fillId="45" borderId="14" xfId="0" applyFont="1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42" xfId="0" applyFill="1" applyBorder="1" applyAlignment="1">
      <alignment/>
    </xf>
    <xf numFmtId="0" fontId="0" fillId="45" borderId="40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3" fontId="0" fillId="45" borderId="40" xfId="0" applyNumberFormat="1" applyFill="1" applyBorder="1" applyAlignment="1">
      <alignment horizontal="center" vertical="center"/>
    </xf>
    <xf numFmtId="3" fontId="0" fillId="45" borderId="0" xfId="0" applyNumberFormat="1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0" fontId="0" fillId="45" borderId="40" xfId="0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10" xfId="0" applyFill="1" applyBorder="1" applyAlignment="1">
      <alignment/>
    </xf>
    <xf numFmtId="166" fontId="0" fillId="45" borderId="0" xfId="0" applyNumberFormat="1" applyFill="1" applyBorder="1" applyAlignment="1">
      <alignment horizontal="center"/>
    </xf>
    <xf numFmtId="166" fontId="0" fillId="45" borderId="20" xfId="0" applyNumberFormat="1" applyFill="1" applyBorder="1" applyAlignment="1">
      <alignment horizontal="center"/>
    </xf>
    <xf numFmtId="173" fontId="5" fillId="45" borderId="12" xfId="267" applyNumberFormat="1" applyFont="1" applyFill="1" applyBorder="1" applyAlignment="1">
      <alignment/>
    </xf>
    <xf numFmtId="173" fontId="5" fillId="45" borderId="13" xfId="267" applyNumberFormat="1" applyFont="1" applyFill="1" applyBorder="1" applyAlignment="1">
      <alignment/>
    </xf>
    <xf numFmtId="3" fontId="0" fillId="45" borderId="0" xfId="0" applyNumberFormat="1" applyFill="1" applyBorder="1" applyAlignment="1">
      <alignment horizontal="center"/>
    </xf>
    <xf numFmtId="3" fontId="0" fillId="45" borderId="10" xfId="0" applyNumberFormat="1" applyFill="1" applyBorder="1" applyAlignment="1">
      <alignment horizontal="center"/>
    </xf>
    <xf numFmtId="44" fontId="59" fillId="45" borderId="16" xfId="267" applyFont="1" applyFill="1" applyBorder="1" applyAlignment="1">
      <alignment horizontal="left"/>
    </xf>
    <xf numFmtId="44" fontId="59" fillId="45" borderId="26" xfId="267" applyFont="1" applyFill="1" applyBorder="1" applyAlignment="1">
      <alignment horizontal="left"/>
    </xf>
    <xf numFmtId="43" fontId="0" fillId="45" borderId="0" xfId="58" applyFont="1" applyFill="1" applyBorder="1" applyAlignment="1">
      <alignment/>
    </xf>
    <xf numFmtId="43" fontId="0" fillId="45" borderId="0" xfId="67" applyFont="1" applyFill="1" applyBorder="1" applyAlignment="1">
      <alignment/>
    </xf>
    <xf numFmtId="43" fontId="0" fillId="45" borderId="10" xfId="58" applyFont="1" applyFill="1" applyBorder="1" applyAlignment="1">
      <alignment/>
    </xf>
    <xf numFmtId="43" fontId="0" fillId="45" borderId="10" xfId="67" applyFont="1" applyFill="1" applyBorder="1" applyAlignment="1">
      <alignment/>
    </xf>
    <xf numFmtId="43" fontId="0" fillId="45" borderId="0" xfId="61" applyFont="1" applyFill="1" applyBorder="1" applyAlignment="1">
      <alignment/>
    </xf>
    <xf numFmtId="43" fontId="0" fillId="45" borderId="0" xfId="69" applyFont="1" applyFill="1" applyBorder="1" applyAlignment="1">
      <alignment/>
    </xf>
    <xf numFmtId="43" fontId="0" fillId="45" borderId="0" xfId="65" applyFont="1" applyFill="1" applyBorder="1" applyAlignment="1">
      <alignment/>
    </xf>
    <xf numFmtId="43" fontId="0" fillId="45" borderId="0" xfId="71" applyFont="1" applyFill="1" applyBorder="1" applyAlignment="1">
      <alignment/>
    </xf>
    <xf numFmtId="0" fontId="0" fillId="0" borderId="34" xfId="0" applyBorder="1" applyAlignment="1">
      <alignment/>
    </xf>
    <xf numFmtId="3" fontId="0" fillId="36" borderId="0" xfId="0" applyNumberFormat="1" applyFon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3" fontId="0" fillId="36" borderId="20" xfId="0" applyNumberFormat="1" applyFont="1" applyFill="1" applyBorder="1" applyAlignment="1">
      <alignment horizontal="center"/>
    </xf>
    <xf numFmtId="3" fontId="0" fillId="36" borderId="20" xfId="0" applyNumberForma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167" fontId="13" fillId="0" borderId="0" xfId="267" applyNumberFormat="1" applyFont="1" applyFill="1" applyAlignment="1">
      <alignment/>
    </xf>
    <xf numFmtId="4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66" fontId="0" fillId="0" borderId="20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213" fontId="0" fillId="0" borderId="0" xfId="0" applyNumberFormat="1" applyFill="1" applyAlignment="1">
      <alignment/>
    </xf>
    <xf numFmtId="213" fontId="0" fillId="0" borderId="0" xfId="267" applyNumberFormat="1" applyFont="1" applyFill="1" applyAlignment="1">
      <alignment/>
    </xf>
    <xf numFmtId="213" fontId="0" fillId="0" borderId="0" xfId="0" applyNumberFormat="1" applyAlignment="1">
      <alignment/>
    </xf>
    <xf numFmtId="166" fontId="1" fillId="0" borderId="57" xfId="42" applyNumberFormat="1" applyFon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6" fontId="0" fillId="45" borderId="16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6" fontId="0" fillId="0" borderId="0" xfId="4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6" fontId="0" fillId="0" borderId="0" xfId="42" applyNumberFormat="1" applyFont="1" applyBorder="1" applyAlignment="1">
      <alignment horizontal="center"/>
    </xf>
    <xf numFmtId="166" fontId="0" fillId="0" borderId="31" xfId="0" applyNumberFormat="1" applyBorder="1" applyAlignment="1">
      <alignment/>
    </xf>
    <xf numFmtId="0" fontId="3" fillId="0" borderId="23" xfId="0" applyFont="1" applyFill="1" applyBorder="1" applyAlignment="1">
      <alignment vertical="center"/>
    </xf>
    <xf numFmtId="166" fontId="3" fillId="0" borderId="31" xfId="42" applyNumberFormat="1" applyFont="1" applyBorder="1" applyAlignment="1">
      <alignment/>
    </xf>
    <xf numFmtId="0" fontId="3" fillId="0" borderId="23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0" fillId="0" borderId="30" xfId="0" applyBorder="1" applyAlignment="1">
      <alignment/>
    </xf>
    <xf numFmtId="166" fontId="3" fillId="0" borderId="30" xfId="42" applyNumberFormat="1" applyFont="1" applyBorder="1" applyAlignment="1">
      <alignment/>
    </xf>
    <xf numFmtId="166" fontId="3" fillId="0" borderId="29" xfId="42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0" fillId="45" borderId="34" xfId="0" applyFill="1" applyBorder="1" applyAlignment="1">
      <alignment/>
    </xf>
    <xf numFmtId="166" fontId="0" fillId="45" borderId="17" xfId="42" applyNumberFormat="1" applyFont="1" applyFill="1" applyBorder="1" applyAlignment="1">
      <alignment/>
    </xf>
    <xf numFmtId="167" fontId="14" fillId="0" borderId="10" xfId="267" applyNumberFormat="1" applyFont="1" applyFill="1" applyBorder="1" applyAlignment="1">
      <alignment/>
    </xf>
    <xf numFmtId="0" fontId="59" fillId="44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31" xfId="0" applyBorder="1" applyAlignment="1">
      <alignment horizontal="center" wrapText="1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3" fontId="0" fillId="0" borderId="30" xfId="0" applyNumberFormat="1" applyBorder="1" applyAlignment="1">
      <alignment/>
    </xf>
    <xf numFmtId="1" fontId="0" fillId="0" borderId="30" xfId="0" applyNumberFormat="1" applyBorder="1" applyAlignment="1">
      <alignment/>
    </xf>
    <xf numFmtId="170" fontId="0" fillId="0" borderId="30" xfId="0" applyNumberFormat="1" applyBorder="1" applyAlignment="1">
      <alignment/>
    </xf>
    <xf numFmtId="0" fontId="0" fillId="0" borderId="29" xfId="0" applyBorder="1" applyAlignment="1">
      <alignment/>
    </xf>
    <xf numFmtId="166" fontId="0" fillId="45" borderId="25" xfId="42" applyNumberFormat="1" applyFont="1" applyFill="1" applyBorder="1" applyAlignment="1">
      <alignment horizontal="center" vertical="center"/>
    </xf>
    <xf numFmtId="166" fontId="0" fillId="45" borderId="30" xfId="42" applyNumberFormat="1" applyFont="1" applyFill="1" applyBorder="1" applyAlignment="1">
      <alignment horizontal="center" vertical="center"/>
    </xf>
    <xf numFmtId="166" fontId="0" fillId="45" borderId="29" xfId="42" applyNumberFormat="1" applyFont="1" applyFill="1" applyBorder="1" applyAlignment="1">
      <alignment horizontal="center" vertical="center"/>
    </xf>
    <xf numFmtId="166" fontId="3" fillId="0" borderId="0" xfId="42" applyNumberFormat="1" applyFont="1" applyBorder="1" applyAlignment="1">
      <alignment horizontal="center"/>
    </xf>
    <xf numFmtId="17" fontId="3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4" fontId="0" fillId="0" borderId="0" xfId="267" applyFont="1" applyFill="1" applyAlignment="1">
      <alignment/>
    </xf>
    <xf numFmtId="168" fontId="0" fillId="0" borderId="0" xfId="267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3" fillId="0" borderId="30" xfId="0" applyFont="1" applyFill="1" applyBorder="1" applyAlignment="1">
      <alignment/>
    </xf>
    <xf numFmtId="166" fontId="0" fillId="0" borderId="30" xfId="42" applyNumberFormat="1" applyFont="1" applyFill="1" applyBorder="1" applyAlignment="1">
      <alignment/>
    </xf>
    <xf numFmtId="0" fontId="18" fillId="0" borderId="0" xfId="0" applyFont="1" applyFill="1" applyAlignment="1">
      <alignment/>
    </xf>
    <xf numFmtId="199" fontId="0" fillId="0" borderId="41" xfId="0" applyNumberFormat="1" applyFill="1" applyBorder="1" applyAlignment="1">
      <alignment/>
    </xf>
    <xf numFmtId="199" fontId="0" fillId="0" borderId="20" xfId="0" applyNumberFormat="1" applyFill="1" applyBorder="1" applyAlignment="1">
      <alignment/>
    </xf>
    <xf numFmtId="199" fontId="0" fillId="0" borderId="15" xfId="0" applyNumberFormat="1" applyFill="1" applyBorder="1" applyAlignment="1">
      <alignment/>
    </xf>
    <xf numFmtId="0" fontId="5" fillId="0" borderId="17" xfId="0" applyFont="1" applyFill="1" applyBorder="1" applyAlignment="1">
      <alignment/>
    </xf>
    <xf numFmtId="3" fontId="5" fillId="45" borderId="0" xfId="0" applyNumberFormat="1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/>
    </xf>
    <xf numFmtId="0" fontId="0" fillId="46" borderId="36" xfId="0" applyFill="1" applyBorder="1" applyAlignment="1">
      <alignment horizontal="center" vertical="center"/>
    </xf>
    <xf numFmtId="0" fontId="0" fillId="46" borderId="37" xfId="0" applyFill="1" applyBorder="1" applyAlignment="1">
      <alignment horizontal="center" vertical="center"/>
    </xf>
    <xf numFmtId="0" fontId="0" fillId="46" borderId="35" xfId="0" applyFill="1" applyBorder="1" applyAlignment="1">
      <alignment horizontal="center" vertical="center"/>
    </xf>
    <xf numFmtId="0" fontId="0" fillId="46" borderId="39" xfId="0" applyFill="1" applyBorder="1" applyAlignment="1">
      <alignment horizontal="center" vertical="center"/>
    </xf>
    <xf numFmtId="166" fontId="0" fillId="0" borderId="31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166" fontId="3" fillId="0" borderId="30" xfId="42" applyNumberFormat="1" applyFont="1" applyFill="1" applyBorder="1" applyAlignment="1">
      <alignment/>
    </xf>
    <xf numFmtId="166" fontId="3" fillId="0" borderId="29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4" fontId="5" fillId="0" borderId="0" xfId="267" applyNumberFormat="1" applyFont="1" applyFill="1" applyBorder="1" applyAlignment="1">
      <alignment/>
    </xf>
    <xf numFmtId="44" fontId="5" fillId="0" borderId="20" xfId="267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6" fontId="14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47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20" xfId="42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0" fontId="0" fillId="0" borderId="30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30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 horizontal="center" wrapText="1"/>
    </xf>
    <xf numFmtId="0" fontId="0" fillId="0" borderId="29" xfId="0" applyFill="1" applyBorder="1" applyAlignment="1">
      <alignment/>
    </xf>
    <xf numFmtId="0" fontId="21" fillId="0" borderId="32" xfId="0" applyFont="1" applyFill="1" applyBorder="1" applyAlignment="1">
      <alignment vertical="center"/>
    </xf>
    <xf numFmtId="3" fontId="0" fillId="45" borderId="30" xfId="0" applyNumberFormat="1" applyFill="1" applyBorder="1" applyAlignment="1">
      <alignment/>
    </xf>
    <xf numFmtId="3" fontId="0" fillId="45" borderId="0" xfId="0" applyNumberFormat="1" applyFill="1" applyBorder="1" applyAlignment="1">
      <alignment/>
    </xf>
    <xf numFmtId="0" fontId="0" fillId="45" borderId="29" xfId="0" applyFill="1" applyBorder="1" applyAlignment="1">
      <alignment/>
    </xf>
    <xf numFmtId="0" fontId="0" fillId="45" borderId="31" xfId="0" applyFill="1" applyBorder="1" applyAlignment="1">
      <alignment/>
    </xf>
    <xf numFmtId="0" fontId="0" fillId="0" borderId="23" xfId="0" applyFill="1" applyBorder="1" applyAlignment="1">
      <alignment horizontal="center" wrapText="1"/>
    </xf>
    <xf numFmtId="170" fontId="0" fillId="0" borderId="23" xfId="0" applyNumberFormat="1" applyFill="1" applyBorder="1" applyAlignment="1">
      <alignment/>
    </xf>
    <xf numFmtId="170" fontId="0" fillId="45" borderId="30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170" fontId="0" fillId="45" borderId="0" xfId="0" applyNumberFormat="1" applyFill="1" applyBorder="1" applyAlignment="1">
      <alignment/>
    </xf>
    <xf numFmtId="3" fontId="0" fillId="45" borderId="0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7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0" fillId="45" borderId="0" xfId="0" applyNumberFormat="1" applyFill="1" applyBorder="1" applyAlignment="1">
      <alignment wrapText="1"/>
    </xf>
    <xf numFmtId="1" fontId="0" fillId="45" borderId="0" xfId="0" applyNumberFormat="1" applyFill="1" applyBorder="1" applyAlignment="1">
      <alignment/>
    </xf>
    <xf numFmtId="1" fontId="0" fillId="45" borderId="30" xfId="0" applyNumberFormat="1" applyFill="1" applyBorder="1" applyAlignment="1">
      <alignment/>
    </xf>
    <xf numFmtId="44" fontId="0" fillId="45" borderId="0" xfId="267" applyFon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44" fontId="14" fillId="0" borderId="17" xfId="267" applyNumberFormat="1" applyFont="1" applyFill="1" applyBorder="1" applyAlignment="1">
      <alignment wrapText="1"/>
    </xf>
    <xf numFmtId="44" fontId="13" fillId="0" borderId="17" xfId="267" applyNumberFormat="1" applyFont="1" applyFill="1" applyBorder="1" applyAlignment="1">
      <alignment wrapText="1"/>
    </xf>
    <xf numFmtId="44" fontId="13" fillId="0" borderId="17" xfId="267" applyNumberFormat="1" applyFont="1" applyFill="1" applyBorder="1" applyAlignment="1">
      <alignment/>
    </xf>
    <xf numFmtId="44" fontId="14" fillId="0" borderId="17" xfId="267" applyNumberFormat="1" applyFont="1" applyBorder="1" applyAlignment="1">
      <alignment/>
    </xf>
    <xf numFmtId="44" fontId="13" fillId="0" borderId="0" xfId="0" applyNumberFormat="1" applyFont="1" applyFill="1" applyAlignment="1">
      <alignment horizontal="right"/>
    </xf>
    <xf numFmtId="44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 vertical="center"/>
    </xf>
    <xf numFmtId="8" fontId="0" fillId="0" borderId="20" xfId="0" applyNumberFormat="1" applyFill="1" applyBorder="1" applyAlignment="1">
      <alignment/>
    </xf>
    <xf numFmtId="0" fontId="59" fillId="0" borderId="0" xfId="0" applyFont="1" applyFill="1" applyAlignment="1">
      <alignment/>
    </xf>
    <xf numFmtId="168" fontId="10" fillId="0" borderId="0" xfId="267" applyNumberFormat="1" applyFont="1" applyFill="1" applyAlignment="1">
      <alignment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Alignment="1">
      <alignment/>
    </xf>
    <xf numFmtId="170" fontId="0" fillId="0" borderId="28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170" fontId="0" fillId="45" borderId="29" xfId="0" applyNumberFormat="1" applyFill="1" applyBorder="1" applyAlignment="1">
      <alignment/>
    </xf>
    <xf numFmtId="0" fontId="0" fillId="45" borderId="33" xfId="0" applyFill="1" applyBorder="1" applyAlignment="1">
      <alignment/>
    </xf>
    <xf numFmtId="44" fontId="0" fillId="0" borderId="0" xfId="267" applyFont="1" applyFill="1" applyBorder="1" applyAlignment="1">
      <alignment wrapText="1"/>
    </xf>
    <xf numFmtId="44" fontId="0" fillId="45" borderId="30" xfId="267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7" fontId="14" fillId="0" borderId="0" xfId="0" applyNumberFormat="1" applyFont="1" applyFill="1" applyAlignment="1">
      <alignment/>
    </xf>
    <xf numFmtId="167" fontId="14" fillId="0" borderId="0" xfId="270" applyNumberFormat="1" applyFont="1" applyBorder="1" applyAlignment="1">
      <alignment/>
    </xf>
    <xf numFmtId="193" fontId="10" fillId="0" borderId="10" xfId="0" applyNumberFormat="1" applyFont="1" applyFill="1" applyBorder="1" applyAlignment="1">
      <alignment horizontal="center" vertical="center"/>
    </xf>
    <xf numFmtId="37" fontId="10" fillId="0" borderId="0" xfId="42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167" fontId="14" fillId="0" borderId="0" xfId="267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45" borderId="38" xfId="0" applyFill="1" applyBorder="1" applyAlignment="1">
      <alignment horizontal="center" vertical="center"/>
    </xf>
    <xf numFmtId="166" fontId="0" fillId="45" borderId="24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0" fillId="36" borderId="0" xfId="54" applyNumberFormat="1" applyFont="1" applyFill="1" applyAlignment="1">
      <alignment/>
    </xf>
    <xf numFmtId="166" fontId="0" fillId="0" borderId="0" xfId="54" applyNumberFormat="1" applyFont="1" applyFill="1" applyAlignment="1">
      <alignment/>
    </xf>
    <xf numFmtId="44" fontId="0" fillId="0" borderId="0" xfId="270" applyFont="1" applyFill="1" applyAlignment="1">
      <alignment/>
    </xf>
    <xf numFmtId="44" fontId="0" fillId="45" borderId="0" xfId="270" applyFont="1" applyFill="1" applyBorder="1" applyAlignment="1">
      <alignment/>
    </xf>
    <xf numFmtId="44" fontId="0" fillId="0" borderId="0" xfId="270" applyFont="1" applyAlignment="1">
      <alignment/>
    </xf>
    <xf numFmtId="166" fontId="0" fillId="0" borderId="0" xfId="54" applyNumberFormat="1" applyFont="1" applyAlignment="1">
      <alignment/>
    </xf>
    <xf numFmtId="17" fontId="63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44" fontId="0" fillId="0" borderId="0" xfId="270" applyFont="1" applyFill="1" applyBorder="1" applyAlignment="1">
      <alignment/>
    </xf>
    <xf numFmtId="167" fontId="14" fillId="0" borderId="44" xfId="270" applyNumberFormat="1" applyFont="1" applyBorder="1" applyAlignment="1">
      <alignment/>
    </xf>
    <xf numFmtId="0" fontId="0" fillId="45" borderId="30" xfId="0" applyFill="1" applyBorder="1" applyAlignment="1">
      <alignment/>
    </xf>
    <xf numFmtId="3" fontId="0" fillId="0" borderId="30" xfId="0" applyNumberFormat="1" applyFill="1" applyBorder="1" applyAlignment="1">
      <alignment wrapText="1"/>
    </xf>
    <xf numFmtId="44" fontId="0" fillId="0" borderId="30" xfId="267" applyFont="1" applyFill="1" applyBorder="1" applyAlignment="1">
      <alignment wrapText="1"/>
    </xf>
    <xf numFmtId="166" fontId="0" fillId="0" borderId="23" xfId="42" applyNumberFormat="1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1" fontId="0" fillId="0" borderId="0" xfId="267" applyNumberFormat="1" applyFont="1" applyFill="1" applyBorder="1" applyAlignment="1">
      <alignment/>
    </xf>
    <xf numFmtId="1" fontId="0" fillId="0" borderId="0" xfId="267" applyNumberFormat="1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37" fontId="10" fillId="0" borderId="0" xfId="0" applyNumberFormat="1" applyFont="1" applyBorder="1" applyAlignment="1">
      <alignment horizontal="center" vertical="center" wrapText="1"/>
    </xf>
    <xf numFmtId="173" fontId="10" fillId="0" borderId="0" xfId="267" applyNumberFormat="1" applyFont="1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92" fontId="9" fillId="0" borderId="0" xfId="287" applyNumberFormat="1" applyFont="1" applyBorder="1" applyAlignment="1">
      <alignment horizontal="center" wrapText="1"/>
      <protection/>
    </xf>
    <xf numFmtId="5" fontId="1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61" fillId="34" borderId="21" xfId="0" applyFont="1" applyFill="1" applyBorder="1" applyAlignment="1">
      <alignment horizontal="center" vertical="center"/>
    </xf>
    <xf numFmtId="0" fontId="61" fillId="34" borderId="4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7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7" fontId="3" fillId="0" borderId="55" xfId="0" applyNumberFormat="1" applyFont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46" fillId="41" borderId="41" xfId="0" applyFont="1" applyFill="1" applyBorder="1" applyAlignment="1">
      <alignment horizontal="center" wrapText="1"/>
    </xf>
    <xf numFmtId="0" fontId="46" fillId="41" borderId="58" xfId="0" applyFont="1" applyFill="1" applyBorder="1" applyAlignment="1">
      <alignment horizontal="center" wrapText="1"/>
    </xf>
    <xf numFmtId="0" fontId="46" fillId="41" borderId="40" xfId="0" applyFont="1" applyFill="1" applyBorder="1" applyAlignment="1">
      <alignment horizontal="center" vertical="center" wrapText="1"/>
    </xf>
    <xf numFmtId="0" fontId="46" fillId="41" borderId="0" xfId="0" applyFont="1" applyFill="1" applyBorder="1" applyAlignment="1">
      <alignment horizontal="center" vertical="center" wrapText="1"/>
    </xf>
    <xf numFmtId="0" fontId="46" fillId="41" borderId="46" xfId="0" applyFont="1" applyFill="1" applyBorder="1" applyAlignment="1">
      <alignment horizontal="center" vertical="center" wrapText="1"/>
    </xf>
    <xf numFmtId="0" fontId="46" fillId="41" borderId="23" xfId="0" applyFont="1" applyFill="1" applyBorder="1" applyAlignment="1">
      <alignment horizontal="center" vertical="center" wrapText="1"/>
    </xf>
    <xf numFmtId="0" fontId="46" fillId="41" borderId="47" xfId="0" applyFont="1" applyFill="1" applyBorder="1" applyAlignment="1">
      <alignment horizontal="center" vertical="center" wrapText="1"/>
    </xf>
    <xf numFmtId="0" fontId="46" fillId="41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" fontId="6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44" borderId="16" xfId="0" applyFont="1" applyFill="1" applyBorder="1" applyAlignment="1">
      <alignment horizontal="center" vertical="center"/>
    </xf>
    <xf numFmtId="0" fontId="59" fillId="44" borderId="26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21" fillId="44" borderId="21" xfId="0" applyFont="1" applyFill="1" applyBorder="1" applyAlignment="1">
      <alignment horizontal="center" vertical="center" wrapText="1"/>
    </xf>
    <xf numFmtId="0" fontId="21" fillId="44" borderId="14" xfId="0" applyFont="1" applyFill="1" applyBorder="1" applyAlignment="1">
      <alignment horizontal="center" vertical="center" wrapText="1"/>
    </xf>
    <xf numFmtId="0" fontId="21" fillId="44" borderId="41" xfId="0" applyFont="1" applyFill="1" applyBorder="1" applyAlignment="1">
      <alignment horizontal="center" vertical="center" wrapText="1"/>
    </xf>
    <xf numFmtId="0" fontId="21" fillId="44" borderId="20" xfId="0" applyFont="1" applyFill="1" applyBorder="1" applyAlignment="1">
      <alignment horizontal="center" vertical="center" wrapText="1"/>
    </xf>
    <xf numFmtId="0" fontId="59" fillId="44" borderId="17" xfId="0" applyFont="1" applyFill="1" applyBorder="1" applyAlignment="1">
      <alignment horizontal="center" vertical="center"/>
    </xf>
    <xf numFmtId="0" fontId="21" fillId="44" borderId="40" xfId="0" applyFont="1" applyFill="1" applyBorder="1" applyAlignment="1">
      <alignment horizontal="center" vertical="center" wrapText="1"/>
    </xf>
    <xf numFmtId="0" fontId="21" fillId="44" borderId="3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21" fillId="44" borderId="0" xfId="0" applyFont="1" applyFill="1" applyBorder="1" applyAlignment="1">
      <alignment horizontal="center" vertical="center" wrapText="1"/>
    </xf>
    <xf numFmtId="0" fontId="59" fillId="44" borderId="16" xfId="0" applyFont="1" applyFill="1" applyBorder="1" applyAlignment="1">
      <alignment horizontal="center" vertical="center" wrapText="1"/>
    </xf>
    <xf numFmtId="0" fontId="59" fillId="44" borderId="17" xfId="0" applyFont="1" applyFill="1" applyBorder="1" applyAlignment="1">
      <alignment horizontal="center" vertical="center" wrapText="1"/>
    </xf>
    <xf numFmtId="0" fontId="59" fillId="44" borderId="26" xfId="0" applyFont="1" applyFill="1" applyBorder="1" applyAlignment="1">
      <alignment horizontal="center" vertical="center" wrapText="1"/>
    </xf>
    <xf numFmtId="0" fontId="59" fillId="44" borderId="21" xfId="0" applyFont="1" applyFill="1" applyBorder="1" applyAlignment="1">
      <alignment horizontal="center" vertical="center" wrapText="1"/>
    </xf>
    <xf numFmtId="0" fontId="59" fillId="44" borderId="41" xfId="0" applyFont="1" applyFill="1" applyBorder="1" applyAlignment="1">
      <alignment horizontal="center" vertical="center" wrapText="1"/>
    </xf>
    <xf numFmtId="0" fontId="59" fillId="44" borderId="14" xfId="0" applyFont="1" applyFill="1" applyBorder="1" applyAlignment="1">
      <alignment horizontal="center" vertical="center" wrapText="1"/>
    </xf>
    <xf numFmtId="0" fontId="59" fillId="44" borderId="20" xfId="0" applyFont="1" applyFill="1" applyBorder="1" applyAlignment="1">
      <alignment horizontal="center" vertical="center" wrapText="1"/>
    </xf>
    <xf numFmtId="0" fontId="59" fillId="44" borderId="42" xfId="0" applyFont="1" applyFill="1" applyBorder="1" applyAlignment="1">
      <alignment horizontal="center" vertical="center" wrapText="1"/>
    </xf>
    <xf numFmtId="0" fontId="59" fillId="44" borderId="1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48" borderId="36" xfId="0" applyFont="1" applyFill="1" applyBorder="1" applyAlignment="1">
      <alignment horizontal="center"/>
    </xf>
    <xf numFmtId="0" fontId="2" fillId="48" borderId="37" xfId="0" applyFont="1" applyFill="1" applyBorder="1" applyAlignment="1">
      <alignment horizontal="center"/>
    </xf>
    <xf numFmtId="0" fontId="2" fillId="48" borderId="35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46" fillId="23" borderId="33" xfId="0" applyFont="1" applyFill="1" applyBorder="1" applyAlignment="1">
      <alignment horizontal="center"/>
    </xf>
    <xf numFmtId="0" fontId="46" fillId="23" borderId="27" xfId="0" applyFont="1" applyFill="1" applyBorder="1" applyAlignment="1">
      <alignment horizontal="center"/>
    </xf>
    <xf numFmtId="0" fontId="59" fillId="23" borderId="36" xfId="0" applyFont="1" applyFill="1" applyBorder="1" applyAlignment="1">
      <alignment horizontal="center"/>
    </xf>
    <xf numFmtId="0" fontId="59" fillId="23" borderId="37" xfId="0" applyFont="1" applyFill="1" applyBorder="1" applyAlignment="1">
      <alignment horizontal="center"/>
    </xf>
    <xf numFmtId="0" fontId="62" fillId="0" borderId="33" xfId="0" applyFont="1" applyFill="1" applyBorder="1" applyAlignment="1">
      <alignment/>
    </xf>
    <xf numFmtId="0" fontId="59" fillId="0" borderId="32" xfId="0" applyFont="1" applyFill="1" applyBorder="1" applyAlignment="1">
      <alignment/>
    </xf>
    <xf numFmtId="0" fontId="62" fillId="0" borderId="23" xfId="0" applyFont="1" applyFill="1" applyBorder="1" applyAlignment="1">
      <alignment/>
    </xf>
    <xf numFmtId="170" fontId="0" fillId="45" borderId="33" xfId="0" applyNumberFormat="1" applyFill="1" applyBorder="1" applyAlignment="1">
      <alignment horizontal="center" vertical="center"/>
    </xf>
    <xf numFmtId="170" fontId="0" fillId="45" borderId="27" xfId="0" applyNumberFormat="1" applyFill="1" applyBorder="1" applyAlignment="1">
      <alignment horizontal="center" vertic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00" xfId="46"/>
    <cellStyle name="Comma 101" xfId="47"/>
    <cellStyle name="Comma 102" xfId="48"/>
    <cellStyle name="Comma 103" xfId="49"/>
    <cellStyle name="Comma 104" xfId="50"/>
    <cellStyle name="Comma 105" xfId="51"/>
    <cellStyle name="Comma 106" xfId="52"/>
    <cellStyle name="Comma 107" xfId="53"/>
    <cellStyle name="Comma 107 2" xfId="54"/>
    <cellStyle name="Comma 108" xfId="55"/>
    <cellStyle name="Comma 108 2" xfId="56"/>
    <cellStyle name="Comma 109" xfId="57"/>
    <cellStyle name="Comma 109 2" xfId="58"/>
    <cellStyle name="Comma 11" xfId="59"/>
    <cellStyle name="Comma 110" xfId="60"/>
    <cellStyle name="Comma 110 2" xfId="61"/>
    <cellStyle name="Comma 111" xfId="62"/>
    <cellStyle name="Comma 111 2" xfId="63"/>
    <cellStyle name="Comma 112" xfId="64"/>
    <cellStyle name="Comma 112 2" xfId="65"/>
    <cellStyle name="Comma 113" xfId="66"/>
    <cellStyle name="Comma 113 2" xfId="67"/>
    <cellStyle name="Comma 114" xfId="68"/>
    <cellStyle name="Comma 114 2" xfId="69"/>
    <cellStyle name="Comma 115" xfId="70"/>
    <cellStyle name="Comma 115 2" xfId="71"/>
    <cellStyle name="Comma 116" xfId="72"/>
    <cellStyle name="Comma 116 2" xfId="73"/>
    <cellStyle name="Comma 117" xfId="74"/>
    <cellStyle name="Comma 117 2" xfId="75"/>
    <cellStyle name="Comma 118" xfId="76"/>
    <cellStyle name="Comma 118 2" xfId="77"/>
    <cellStyle name="Comma 119" xfId="78"/>
    <cellStyle name="Comma 119 2" xfId="79"/>
    <cellStyle name="Comma 12" xfId="80"/>
    <cellStyle name="Comma 120" xfId="81"/>
    <cellStyle name="Comma 120 2" xfId="82"/>
    <cellStyle name="Comma 121" xfId="83"/>
    <cellStyle name="Comma 121 2" xfId="84"/>
    <cellStyle name="Comma 122" xfId="85"/>
    <cellStyle name="Comma 122 2" xfId="86"/>
    <cellStyle name="Comma 123" xfId="87"/>
    <cellStyle name="Comma 123 2" xfId="88"/>
    <cellStyle name="Comma 124" xfId="89"/>
    <cellStyle name="Comma 124 2" xfId="90"/>
    <cellStyle name="Comma 125" xfId="91"/>
    <cellStyle name="Comma 125 2" xfId="92"/>
    <cellStyle name="Comma 126" xfId="93"/>
    <cellStyle name="Comma 126 2" xfId="94"/>
    <cellStyle name="Comma 127" xfId="95"/>
    <cellStyle name="Comma 127 2" xfId="96"/>
    <cellStyle name="Comma 128" xfId="97"/>
    <cellStyle name="Comma 128 2" xfId="98"/>
    <cellStyle name="Comma 129" xfId="99"/>
    <cellStyle name="Comma 129 2" xfId="100"/>
    <cellStyle name="Comma 13" xfId="101"/>
    <cellStyle name="Comma 130" xfId="102"/>
    <cellStyle name="Comma 130 2" xfId="103"/>
    <cellStyle name="Comma 131" xfId="104"/>
    <cellStyle name="Comma 131 2" xfId="105"/>
    <cellStyle name="Comma 132" xfId="106"/>
    <cellStyle name="Comma 132 2" xfId="107"/>
    <cellStyle name="Comma 133" xfId="108"/>
    <cellStyle name="Comma 133 2" xfId="109"/>
    <cellStyle name="Comma 134" xfId="110"/>
    <cellStyle name="Comma 135" xfId="111"/>
    <cellStyle name="Comma 136" xfId="112"/>
    <cellStyle name="Comma 136 2" xfId="113"/>
    <cellStyle name="Comma 137" xfId="114"/>
    <cellStyle name="Comma 137 2" xfId="115"/>
    <cellStyle name="Comma 138" xfId="116"/>
    <cellStyle name="Comma 138 2" xfId="117"/>
    <cellStyle name="Comma 139" xfId="118"/>
    <cellStyle name="Comma 139 2" xfId="119"/>
    <cellStyle name="Comma 14" xfId="120"/>
    <cellStyle name="Comma 140" xfId="121"/>
    <cellStyle name="Comma 140 2" xfId="122"/>
    <cellStyle name="Comma 141" xfId="123"/>
    <cellStyle name="Comma 141 2" xfId="124"/>
    <cellStyle name="Comma 142" xfId="125"/>
    <cellStyle name="Comma 143" xfId="126"/>
    <cellStyle name="Comma 144" xfId="127"/>
    <cellStyle name="Comma 145" xfId="128"/>
    <cellStyle name="Comma 146" xfId="129"/>
    <cellStyle name="Comma 147" xfId="130"/>
    <cellStyle name="Comma 148" xfId="131"/>
    <cellStyle name="Comma 149" xfId="132"/>
    <cellStyle name="Comma 15" xfId="133"/>
    <cellStyle name="Comma 150" xfId="134"/>
    <cellStyle name="Comma 151" xfId="135"/>
    <cellStyle name="Comma 152" xfId="136"/>
    <cellStyle name="Comma 153" xfId="137"/>
    <cellStyle name="Comma 154" xfId="138"/>
    <cellStyle name="Comma 155" xfId="139"/>
    <cellStyle name="Comma 156" xfId="140"/>
    <cellStyle name="Comma 157" xfId="141"/>
    <cellStyle name="Comma 158" xfId="142"/>
    <cellStyle name="Comma 159" xfId="143"/>
    <cellStyle name="Comma 16" xfId="144"/>
    <cellStyle name="Comma 160" xfId="145"/>
    <cellStyle name="Comma 161" xfId="146"/>
    <cellStyle name="Comma 162" xfId="147"/>
    <cellStyle name="Comma 163" xfId="148"/>
    <cellStyle name="Comma 164" xfId="149"/>
    <cellStyle name="Comma 165" xfId="150"/>
    <cellStyle name="Comma 166" xfId="151"/>
    <cellStyle name="Comma 167" xfId="152"/>
    <cellStyle name="Comma 168" xfId="153"/>
    <cellStyle name="Comma 169" xfId="154"/>
    <cellStyle name="Comma 17" xfId="155"/>
    <cellStyle name="Comma 170" xfId="156"/>
    <cellStyle name="Comma 171" xfId="157"/>
    <cellStyle name="Comma 172" xfId="158"/>
    <cellStyle name="Comma 173" xfId="159"/>
    <cellStyle name="Comma 174" xfId="160"/>
    <cellStyle name="Comma 175" xfId="161"/>
    <cellStyle name="Comma 176" xfId="162"/>
    <cellStyle name="Comma 177" xfId="163"/>
    <cellStyle name="Comma 178" xfId="164"/>
    <cellStyle name="Comma 179" xfId="165"/>
    <cellStyle name="Comma 18" xfId="166"/>
    <cellStyle name="Comma 180" xfId="167"/>
    <cellStyle name="Comma 181" xfId="168"/>
    <cellStyle name="Comma 182" xfId="169"/>
    <cellStyle name="Comma 183" xfId="170"/>
    <cellStyle name="Comma 184" xfId="171"/>
    <cellStyle name="Comma 185" xfId="172"/>
    <cellStyle name="Comma 186" xfId="173"/>
    <cellStyle name="Comma 187" xfId="174"/>
    <cellStyle name="Comma 188" xfId="175"/>
    <cellStyle name="Comma 19" xfId="176"/>
    <cellStyle name="Comma 2" xfId="177"/>
    <cellStyle name="Comma 2 2" xfId="178"/>
    <cellStyle name="Comma 20" xfId="179"/>
    <cellStyle name="Comma 21" xfId="180"/>
    <cellStyle name="Comma 22" xfId="181"/>
    <cellStyle name="Comma 23" xfId="182"/>
    <cellStyle name="Comma 24" xfId="183"/>
    <cellStyle name="Comma 25" xfId="184"/>
    <cellStyle name="Comma 26" xfId="185"/>
    <cellStyle name="Comma 27" xfId="186"/>
    <cellStyle name="Comma 28" xfId="187"/>
    <cellStyle name="Comma 29" xfId="188"/>
    <cellStyle name="Comma 3" xfId="189"/>
    <cellStyle name="Comma 30" xfId="190"/>
    <cellStyle name="Comma 31" xfId="191"/>
    <cellStyle name="Comma 32" xfId="192"/>
    <cellStyle name="Comma 33" xfId="193"/>
    <cellStyle name="Comma 34" xfId="194"/>
    <cellStyle name="Comma 35" xfId="195"/>
    <cellStyle name="Comma 36" xfId="196"/>
    <cellStyle name="Comma 37" xfId="197"/>
    <cellStyle name="Comma 38" xfId="198"/>
    <cellStyle name="Comma 39" xfId="199"/>
    <cellStyle name="Comma 4" xfId="200"/>
    <cellStyle name="Comma 4 2" xfId="201"/>
    <cellStyle name="Comma 40" xfId="202"/>
    <cellStyle name="Comma 41" xfId="203"/>
    <cellStyle name="Comma 42" xfId="204"/>
    <cellStyle name="Comma 43" xfId="205"/>
    <cellStyle name="Comma 44" xfId="206"/>
    <cellStyle name="Comma 45" xfId="207"/>
    <cellStyle name="Comma 46" xfId="208"/>
    <cellStyle name="Comma 47" xfId="209"/>
    <cellStyle name="Comma 48" xfId="210"/>
    <cellStyle name="Comma 49" xfId="211"/>
    <cellStyle name="Comma 5" xfId="212"/>
    <cellStyle name="Comma 50" xfId="213"/>
    <cellStyle name="Comma 51" xfId="214"/>
    <cellStyle name="Comma 52" xfId="215"/>
    <cellStyle name="Comma 53" xfId="216"/>
    <cellStyle name="Comma 54" xfId="217"/>
    <cellStyle name="Comma 55" xfId="218"/>
    <cellStyle name="Comma 56" xfId="219"/>
    <cellStyle name="Comma 57" xfId="220"/>
    <cellStyle name="Comma 58" xfId="221"/>
    <cellStyle name="Comma 59" xfId="222"/>
    <cellStyle name="Comma 6" xfId="223"/>
    <cellStyle name="Comma 60" xfId="224"/>
    <cellStyle name="Comma 61" xfId="225"/>
    <cellStyle name="Comma 62" xfId="226"/>
    <cellStyle name="Comma 63" xfId="227"/>
    <cellStyle name="Comma 64" xfId="228"/>
    <cellStyle name="Comma 65" xfId="229"/>
    <cellStyle name="Comma 66" xfId="230"/>
    <cellStyle name="Comma 67" xfId="231"/>
    <cellStyle name="Comma 68" xfId="232"/>
    <cellStyle name="Comma 69" xfId="233"/>
    <cellStyle name="Comma 7" xfId="234"/>
    <cellStyle name="Comma 70" xfId="235"/>
    <cellStyle name="Comma 71" xfId="236"/>
    <cellStyle name="Comma 72" xfId="237"/>
    <cellStyle name="Comma 73" xfId="238"/>
    <cellStyle name="Comma 74" xfId="239"/>
    <cellStyle name="Comma 75" xfId="240"/>
    <cellStyle name="Comma 76" xfId="241"/>
    <cellStyle name="Comma 77" xfId="242"/>
    <cellStyle name="Comma 78" xfId="243"/>
    <cellStyle name="Comma 79" xfId="244"/>
    <cellStyle name="Comma 8" xfId="245"/>
    <cellStyle name="Comma 80" xfId="246"/>
    <cellStyle name="Comma 81" xfId="247"/>
    <cellStyle name="Comma 82" xfId="248"/>
    <cellStyle name="Comma 83" xfId="249"/>
    <cellStyle name="Comma 84" xfId="250"/>
    <cellStyle name="Comma 85" xfId="251"/>
    <cellStyle name="Comma 86" xfId="252"/>
    <cellStyle name="Comma 87" xfId="253"/>
    <cellStyle name="Comma 88" xfId="254"/>
    <cellStyle name="Comma 89" xfId="255"/>
    <cellStyle name="Comma 9" xfId="256"/>
    <cellStyle name="Comma 90" xfId="257"/>
    <cellStyle name="Comma 91" xfId="258"/>
    <cellStyle name="Comma 92" xfId="259"/>
    <cellStyle name="Comma 93" xfId="260"/>
    <cellStyle name="Comma 94" xfId="261"/>
    <cellStyle name="Comma 95" xfId="262"/>
    <cellStyle name="Comma 96" xfId="263"/>
    <cellStyle name="Comma 97" xfId="264"/>
    <cellStyle name="Comma 98" xfId="265"/>
    <cellStyle name="Comma 99" xfId="266"/>
    <cellStyle name="Currency" xfId="267"/>
    <cellStyle name="Currency [0]" xfId="268"/>
    <cellStyle name="Currency 2" xfId="269"/>
    <cellStyle name="Currency 2 2" xfId="270"/>
    <cellStyle name="Currency 3" xfId="271"/>
    <cellStyle name="Currency 3 2" xfId="272"/>
    <cellStyle name="Currency 4" xfId="273"/>
    <cellStyle name="Currency 5" xfId="274"/>
    <cellStyle name="Explanatory Text" xfId="275"/>
    <cellStyle name="Followed Hyperlink" xfId="276"/>
    <cellStyle name="Good" xfId="277"/>
    <cellStyle name="Heading 1" xfId="278"/>
    <cellStyle name="Heading 2" xfId="279"/>
    <cellStyle name="Heading 3" xfId="280"/>
    <cellStyle name="Heading 4" xfId="281"/>
    <cellStyle name="Hyperlink" xfId="282"/>
    <cellStyle name="Input" xfId="283"/>
    <cellStyle name="Linked Cell" xfId="284"/>
    <cellStyle name="Neutral" xfId="285"/>
    <cellStyle name="Normal 2" xfId="286"/>
    <cellStyle name="Normal 3" xfId="287"/>
    <cellStyle name="Normal 4" xfId="288"/>
    <cellStyle name="Normal 4 2" xfId="289"/>
    <cellStyle name="Normal 5" xfId="290"/>
    <cellStyle name="Normal 5 2" xfId="291"/>
    <cellStyle name="Note" xfId="292"/>
    <cellStyle name="Output" xfId="293"/>
    <cellStyle name="Percent" xfId="294"/>
    <cellStyle name="Percent 2" xfId="295"/>
    <cellStyle name="Percent 2 2" xfId="296"/>
    <cellStyle name="Percent 3" xfId="297"/>
    <cellStyle name="Percent 3 2" xfId="298"/>
    <cellStyle name="Percent 4" xfId="299"/>
    <cellStyle name="Title" xfId="300"/>
    <cellStyle name="Total" xfId="301"/>
    <cellStyle name="Warning Text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.7109375" style="4" customWidth="1"/>
    <col min="2" max="2" width="21.57421875" style="4" customWidth="1"/>
    <col min="3" max="3" width="4.00390625" style="121" customWidth="1"/>
    <col min="4" max="4" width="8.7109375" style="156" customWidth="1"/>
    <col min="5" max="5" width="4.00390625" style="145" customWidth="1"/>
    <col min="6" max="6" width="15.28125" style="4" customWidth="1"/>
    <col min="7" max="7" width="4.00390625" style="4" customWidth="1"/>
    <col min="8" max="8" width="10.7109375" style="4" bestFit="1" customWidth="1"/>
    <col min="9" max="9" width="3.7109375" style="4" customWidth="1"/>
    <col min="10" max="16384" width="9.140625" style="4" customWidth="1"/>
  </cols>
  <sheetData>
    <row r="1" spans="1:8" ht="15">
      <c r="A1" s="701" t="s">
        <v>36</v>
      </c>
      <c r="B1" s="701"/>
      <c r="C1" s="701"/>
      <c r="D1" s="701"/>
      <c r="E1" s="701"/>
      <c r="F1" s="701"/>
      <c r="H1" s="10"/>
    </row>
    <row r="2" spans="1:8" ht="15">
      <c r="A2" s="9"/>
      <c r="B2" s="9"/>
      <c r="C2" s="268"/>
      <c r="D2" s="9"/>
      <c r="E2" s="9"/>
      <c r="F2" s="9"/>
      <c r="H2" s="10"/>
    </row>
    <row r="3" spans="2:8" ht="18.75">
      <c r="B3" s="703" t="s">
        <v>35</v>
      </c>
      <c r="C3" s="703"/>
      <c r="D3" s="703"/>
      <c r="E3" s="703"/>
      <c r="F3" s="703"/>
      <c r="G3" s="703"/>
      <c r="H3" s="703"/>
    </row>
    <row r="4" spans="2:8" ht="15.75">
      <c r="B4" s="704" t="s">
        <v>46</v>
      </c>
      <c r="C4" s="704"/>
      <c r="D4" s="704"/>
      <c r="E4" s="704"/>
      <c r="F4" s="704"/>
      <c r="G4" s="704"/>
      <c r="H4" s="704"/>
    </row>
    <row r="5" spans="2:10" ht="15.75">
      <c r="B5" s="704" t="s">
        <v>44</v>
      </c>
      <c r="C5" s="704"/>
      <c r="D5" s="704"/>
      <c r="E5" s="704"/>
      <c r="F5" s="704"/>
      <c r="G5" s="704"/>
      <c r="H5" s="704"/>
      <c r="J5" s="155"/>
    </row>
    <row r="6" spans="2:10" ht="15">
      <c r="B6" s="694" t="s">
        <v>298</v>
      </c>
      <c r="C6" s="694"/>
      <c r="D6" s="694"/>
      <c r="E6" s="694"/>
      <c r="F6" s="694"/>
      <c r="G6" s="694"/>
      <c r="H6" s="694"/>
      <c r="J6" s="155"/>
    </row>
    <row r="7" spans="2:10" ht="15">
      <c r="B7" s="694" t="s">
        <v>299</v>
      </c>
      <c r="C7" s="694"/>
      <c r="D7" s="694"/>
      <c r="E7" s="694"/>
      <c r="F7" s="694"/>
      <c r="G7" s="694"/>
      <c r="H7" s="694"/>
      <c r="J7" s="155"/>
    </row>
    <row r="8" spans="2:18" s="156" customFormat="1" ht="15">
      <c r="B8" s="269"/>
      <c r="C8" s="269"/>
      <c r="D8" s="269"/>
      <c r="E8" s="269"/>
      <c r="F8" s="269"/>
      <c r="G8" s="269"/>
      <c r="H8" s="269"/>
      <c r="J8" s="155"/>
      <c r="L8"/>
      <c r="M8"/>
      <c r="N8"/>
      <c r="O8"/>
      <c r="P8"/>
      <c r="Q8"/>
      <c r="R8"/>
    </row>
    <row r="9" spans="2:18" ht="12.75" customHeight="1">
      <c r="B9" s="11" t="s">
        <v>36</v>
      </c>
      <c r="C9" s="160" t="s">
        <v>36</v>
      </c>
      <c r="D9" s="12"/>
      <c r="E9" s="12"/>
      <c r="F9" s="11"/>
      <c r="G9" s="12"/>
      <c r="H9" s="19"/>
      <c r="I9" s="13"/>
      <c r="L9"/>
      <c r="M9"/>
      <c r="N9"/>
      <c r="O9"/>
      <c r="P9"/>
      <c r="Q9"/>
      <c r="R9"/>
    </row>
    <row r="10" spans="2:18" ht="12.75" customHeight="1">
      <c r="B10" s="698" t="s">
        <v>170</v>
      </c>
      <c r="C10" s="696" t="s">
        <v>45</v>
      </c>
      <c r="D10" s="266" t="s">
        <v>171</v>
      </c>
      <c r="E10" s="696" t="s">
        <v>45</v>
      </c>
      <c r="F10" s="20">
        <f>'DSM 1.0'!I54</f>
        <v>479489.2733729109</v>
      </c>
      <c r="G10" s="702" t="s">
        <v>45</v>
      </c>
      <c r="H10" s="697">
        <f>ROUND(F10/F11,6)</f>
        <v>0.000247</v>
      </c>
      <c r="I10" s="155"/>
      <c r="J10" s="650"/>
      <c r="K10" s="155"/>
      <c r="L10" s="155"/>
      <c r="M10" s="155"/>
      <c r="N10" s="155"/>
      <c r="O10" s="155"/>
      <c r="P10" s="155"/>
      <c r="Q10"/>
      <c r="R10"/>
    </row>
    <row r="11" spans="2:18" ht="15" customHeight="1">
      <c r="B11" s="698"/>
      <c r="C11" s="696"/>
      <c r="D11" s="159" t="s">
        <v>172</v>
      </c>
      <c r="E11" s="696"/>
      <c r="F11" s="267">
        <f>Input!D49</f>
        <v>1943627965.2683675</v>
      </c>
      <c r="G11" s="702"/>
      <c r="H11" s="697"/>
      <c r="I11" s="155"/>
      <c r="J11" s="155"/>
      <c r="K11" s="155"/>
      <c r="L11" s="155"/>
      <c r="M11" s="155"/>
      <c r="N11" s="155"/>
      <c r="O11" s="155"/>
      <c r="P11" s="155"/>
      <c r="Q11"/>
      <c r="R11"/>
    </row>
    <row r="12" spans="2:18" ht="15" customHeight="1">
      <c r="B12" s="11"/>
      <c r="C12" s="158"/>
      <c r="D12" s="11"/>
      <c r="E12" s="17"/>
      <c r="F12" s="14"/>
      <c r="G12" s="11"/>
      <c r="H12" s="651"/>
      <c r="I12" s="155"/>
      <c r="J12" s="155"/>
      <c r="K12" s="155"/>
      <c r="L12" s="155"/>
      <c r="M12" s="155"/>
      <c r="N12" s="155"/>
      <c r="O12" s="155"/>
      <c r="P12" s="155"/>
      <c r="Q12"/>
      <c r="R12"/>
    </row>
    <row r="13" spans="2:18" s="156" customFormat="1" ht="15" customHeight="1">
      <c r="B13" s="11"/>
      <c r="C13" s="158"/>
      <c r="D13" s="11"/>
      <c r="E13" s="17"/>
      <c r="F13" s="14"/>
      <c r="G13" s="11"/>
      <c r="H13" s="651"/>
      <c r="I13" s="155"/>
      <c r="J13" s="155"/>
      <c r="K13" s="155"/>
      <c r="L13" s="155"/>
      <c r="M13" s="155"/>
      <c r="N13" s="155"/>
      <c r="O13" s="155"/>
      <c r="P13" s="155"/>
      <c r="Q13"/>
      <c r="R13"/>
    </row>
    <row r="14" spans="6:18" ht="12.75" customHeight="1">
      <c r="F14" s="14"/>
      <c r="G14" s="11"/>
      <c r="H14" s="651"/>
      <c r="I14" s="155"/>
      <c r="J14" s="155"/>
      <c r="K14" s="155"/>
      <c r="L14" s="155"/>
      <c r="M14" s="155"/>
      <c r="N14" s="155"/>
      <c r="O14" s="155"/>
      <c r="P14" s="155"/>
      <c r="Q14"/>
      <c r="R14"/>
    </row>
    <row r="15" spans="2:18" ht="12.75" customHeight="1">
      <c r="B15" s="698" t="s">
        <v>308</v>
      </c>
      <c r="C15" s="699" t="s">
        <v>45</v>
      </c>
      <c r="D15" s="266" t="s">
        <v>171</v>
      </c>
      <c r="E15" s="696" t="s">
        <v>45</v>
      </c>
      <c r="F15" s="668">
        <f>'DSM 2.0'!I54</f>
        <v>181893.01</v>
      </c>
      <c r="G15" s="700" t="s">
        <v>45</v>
      </c>
      <c r="H15" s="697">
        <f>ROUND(F15/F16,6)</f>
        <v>0.000126</v>
      </c>
      <c r="I15" s="155"/>
      <c r="J15" s="155"/>
      <c r="K15" s="155"/>
      <c r="L15" s="155"/>
      <c r="M15" s="155"/>
      <c r="N15" s="155"/>
      <c r="O15" s="155"/>
      <c r="P15" s="155"/>
      <c r="Q15"/>
      <c r="R15"/>
    </row>
    <row r="16" spans="2:18" ht="15">
      <c r="B16" s="698"/>
      <c r="C16" s="699"/>
      <c r="D16" s="159" t="s">
        <v>172</v>
      </c>
      <c r="E16" s="696"/>
      <c r="F16" s="669">
        <f>Input!E49</f>
        <v>1448924337.81836</v>
      </c>
      <c r="G16" s="700"/>
      <c r="H16" s="697"/>
      <c r="I16" s="155"/>
      <c r="J16" s="155"/>
      <c r="K16" s="155"/>
      <c r="L16" s="155"/>
      <c r="M16" s="155"/>
      <c r="N16" s="155"/>
      <c r="O16" s="155"/>
      <c r="P16" s="155"/>
      <c r="Q16"/>
      <c r="R16"/>
    </row>
    <row r="17" spans="2:18" ht="19.5" customHeight="1">
      <c r="B17" s="11"/>
      <c r="C17" s="158"/>
      <c r="D17" s="11"/>
      <c r="E17" s="17"/>
      <c r="F17" s="14"/>
      <c r="G17" s="15"/>
      <c r="H17" s="16"/>
      <c r="I17" s="5"/>
      <c r="L17"/>
      <c r="M17"/>
      <c r="N17"/>
      <c r="O17"/>
      <c r="P17"/>
      <c r="Q17"/>
      <c r="R17"/>
    </row>
    <row r="18" spans="2:18" ht="29.25" customHeight="1">
      <c r="B18" s="695"/>
      <c r="C18" s="695"/>
      <c r="D18" s="695"/>
      <c r="E18" s="695"/>
      <c r="F18" s="695"/>
      <c r="G18" s="695"/>
      <c r="H18" s="695"/>
      <c r="I18" s="5"/>
      <c r="L18"/>
      <c r="M18"/>
      <c r="N18"/>
      <c r="O18"/>
      <c r="P18"/>
      <c r="Q18"/>
      <c r="R18"/>
    </row>
    <row r="19" spans="2:18" ht="15">
      <c r="B19" s="11"/>
      <c r="C19" s="158"/>
      <c r="D19" s="11"/>
      <c r="E19" s="17"/>
      <c r="F19" s="11"/>
      <c r="L19"/>
      <c r="M19"/>
      <c r="N19"/>
      <c r="O19"/>
      <c r="P19"/>
      <c r="Q19"/>
      <c r="R19"/>
    </row>
    <row r="20" spans="2:18" ht="15">
      <c r="B20" s="11"/>
      <c r="C20" s="158"/>
      <c r="D20" s="11"/>
      <c r="E20" s="17"/>
      <c r="F20" s="11"/>
      <c r="G20" s="11"/>
      <c r="L20"/>
      <c r="M20"/>
      <c r="N20"/>
      <c r="O20"/>
      <c r="P20"/>
      <c r="Q20"/>
      <c r="R20"/>
    </row>
    <row r="21" spans="2:18" ht="15">
      <c r="B21"/>
      <c r="F21"/>
      <c r="G21"/>
      <c r="H21"/>
      <c r="I21"/>
      <c r="J21"/>
      <c r="L21"/>
      <c r="M21"/>
      <c r="N21"/>
      <c r="O21"/>
      <c r="P21"/>
      <c r="Q21"/>
      <c r="R21"/>
    </row>
    <row r="22" spans="2:10" ht="15">
      <c r="B22"/>
      <c r="F22"/>
      <c r="G22"/>
      <c r="H22"/>
      <c r="I22"/>
      <c r="J22"/>
    </row>
    <row r="23" spans="2:10" ht="15" customHeight="1">
      <c r="B23"/>
      <c r="F23"/>
      <c r="G23"/>
      <c r="H23"/>
      <c r="I23"/>
      <c r="J23"/>
    </row>
    <row r="24" spans="2:10" ht="15">
      <c r="B24"/>
      <c r="F24"/>
      <c r="G24"/>
      <c r="H24"/>
      <c r="I24"/>
      <c r="J24"/>
    </row>
    <row r="25" spans="2:10" ht="15">
      <c r="B25"/>
      <c r="F25"/>
      <c r="G25"/>
      <c r="H25"/>
      <c r="I25"/>
      <c r="J25"/>
    </row>
    <row r="26" spans="2:10" ht="15">
      <c r="B26"/>
      <c r="F26"/>
      <c r="G26"/>
      <c r="H26"/>
      <c r="I26"/>
      <c r="J26"/>
    </row>
    <row r="27" spans="2:10" ht="15">
      <c r="B27"/>
      <c r="F27"/>
      <c r="G27"/>
      <c r="H27"/>
      <c r="I27"/>
      <c r="J27"/>
    </row>
    <row r="28" spans="2:10" ht="15">
      <c r="B28"/>
      <c r="F28"/>
      <c r="G28"/>
      <c r="H28"/>
      <c r="I28"/>
      <c r="J28"/>
    </row>
    <row r="29" spans="2:10" ht="15">
      <c r="B29"/>
      <c r="F29"/>
      <c r="G29"/>
      <c r="H29"/>
      <c r="I29"/>
      <c r="J29"/>
    </row>
    <row r="30" spans="2:10" ht="15">
      <c r="B30"/>
      <c r="F30"/>
      <c r="G30"/>
      <c r="H30"/>
      <c r="I30"/>
      <c r="J30"/>
    </row>
    <row r="31" spans="2:10" ht="15">
      <c r="B31"/>
      <c r="F31"/>
      <c r="G31"/>
      <c r="H31"/>
      <c r="I31"/>
      <c r="J31"/>
    </row>
    <row r="32" spans="2:15" ht="15">
      <c r="B32"/>
      <c r="F32"/>
      <c r="G32"/>
      <c r="H32"/>
      <c r="I32"/>
      <c r="J32"/>
      <c r="O32" s="18"/>
    </row>
    <row r="33" spans="2:10" ht="15">
      <c r="B33"/>
      <c r="F33"/>
      <c r="G33"/>
      <c r="H33"/>
      <c r="I33"/>
      <c r="J33"/>
    </row>
    <row r="34" spans="2:10" ht="18.75" customHeight="1">
      <c r="B34"/>
      <c r="F34"/>
      <c r="G34"/>
      <c r="H34"/>
      <c r="I34"/>
      <c r="J34"/>
    </row>
    <row r="35" spans="2:10" ht="15">
      <c r="B35"/>
      <c r="F35"/>
      <c r="G35"/>
      <c r="H35"/>
      <c r="I35"/>
      <c r="J35"/>
    </row>
    <row r="36" spans="2:10" ht="15">
      <c r="B36"/>
      <c r="F36"/>
      <c r="G36"/>
      <c r="H36"/>
      <c r="I36"/>
      <c r="J36"/>
    </row>
    <row r="37" spans="2:10" ht="15">
      <c r="B37"/>
      <c r="F37"/>
      <c r="G37"/>
      <c r="H37"/>
      <c r="I37"/>
      <c r="J37"/>
    </row>
    <row r="38" spans="2:10" ht="15">
      <c r="B38"/>
      <c r="F38"/>
      <c r="G38"/>
      <c r="H38"/>
      <c r="I38"/>
      <c r="J38"/>
    </row>
    <row r="39" spans="2:10" ht="15">
      <c r="B39"/>
      <c r="F39"/>
      <c r="G39"/>
      <c r="H39"/>
      <c r="I39"/>
      <c r="J39"/>
    </row>
  </sheetData>
  <sheetProtection/>
  <mergeCells count="17">
    <mergeCell ref="A1:F1"/>
    <mergeCell ref="B10:B11"/>
    <mergeCell ref="C10:C11"/>
    <mergeCell ref="G10:G11"/>
    <mergeCell ref="H10:H11"/>
    <mergeCell ref="B3:H3"/>
    <mergeCell ref="B4:H4"/>
    <mergeCell ref="B5:H5"/>
    <mergeCell ref="B6:H6"/>
    <mergeCell ref="E10:E11"/>
    <mergeCell ref="B7:H7"/>
    <mergeCell ref="B18:H18"/>
    <mergeCell ref="E15:E16"/>
    <mergeCell ref="H15:H16"/>
    <mergeCell ref="B15:B16"/>
    <mergeCell ref="C15:C16"/>
    <mergeCell ref="G15:G16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94"/>
  <sheetViews>
    <sheetView zoomScalePageLayoutView="0" workbookViewId="0" topLeftCell="A1">
      <selection activeCell="D26" sqref="D26:E34"/>
    </sheetView>
  </sheetViews>
  <sheetFormatPr defaultColWidth="9.140625" defaultRowHeight="15"/>
  <cols>
    <col min="1" max="1" width="18.421875" style="0" customWidth="1"/>
    <col min="2" max="2" width="24.7109375" style="0" customWidth="1"/>
    <col min="3" max="10" width="22.7109375" style="0" customWidth="1"/>
    <col min="11" max="12" width="18.421875" style="0" customWidth="1"/>
  </cols>
  <sheetData>
    <row r="1" spans="1:12" ht="15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4" ht="15">
      <c r="A2" s="733" t="s">
        <v>221</v>
      </c>
      <c r="B2" s="734"/>
      <c r="C2" s="734"/>
      <c r="D2" s="735"/>
    </row>
    <row r="3" spans="2:6" ht="15">
      <c r="B3" s="743" t="s">
        <v>214</v>
      </c>
      <c r="C3" s="743"/>
      <c r="D3" s="365" t="s">
        <v>293</v>
      </c>
      <c r="F3" s="155"/>
    </row>
    <row r="4" spans="2:6" s="340" customFormat="1" ht="15">
      <c r="B4" s="364"/>
      <c r="D4" s="365"/>
      <c r="F4" s="155"/>
    </row>
    <row r="5" spans="2:6" ht="15">
      <c r="B5" s="743" t="s">
        <v>222</v>
      </c>
      <c r="C5" s="743"/>
      <c r="D5" t="s">
        <v>279</v>
      </c>
      <c r="F5" s="155"/>
    </row>
    <row r="6" spans="4:6" ht="15">
      <c r="D6" t="s">
        <v>294</v>
      </c>
      <c r="F6" s="155"/>
    </row>
    <row r="7" ht="15">
      <c r="F7" s="155"/>
    </row>
    <row r="8" spans="2:6" ht="15">
      <c r="B8" s="743" t="s">
        <v>215</v>
      </c>
      <c r="C8" s="743"/>
      <c r="D8" s="340" t="s">
        <v>295</v>
      </c>
      <c r="F8" s="155"/>
    </row>
    <row r="9" spans="4:6" ht="15">
      <c r="D9" s="340" t="s">
        <v>296</v>
      </c>
      <c r="F9" s="155"/>
    </row>
    <row r="10" ht="15">
      <c r="F10" s="155"/>
    </row>
    <row r="11" spans="2:7" ht="15">
      <c r="B11" s="743" t="s">
        <v>218</v>
      </c>
      <c r="C11" s="743"/>
      <c r="D11" s="263" t="s">
        <v>297</v>
      </c>
      <c r="F11" s="155"/>
      <c r="G11" s="364"/>
    </row>
    <row r="12" spans="2:7" s="340" customFormat="1" ht="15">
      <c r="B12" s="367"/>
      <c r="C12" s="367"/>
      <c r="D12" s="263"/>
      <c r="G12" s="364"/>
    </row>
    <row r="13" spans="1:12" s="340" customFormat="1" ht="15">
      <c r="A13" s="373"/>
      <c r="B13" s="454"/>
      <c r="C13" s="454"/>
      <c r="D13" s="455"/>
      <c r="E13" s="373"/>
      <c r="F13" s="373"/>
      <c r="G13" s="456"/>
      <c r="H13" s="373"/>
      <c r="I13" s="373"/>
      <c r="J13" s="373"/>
      <c r="K13" s="373"/>
      <c r="L13" s="373"/>
    </row>
    <row r="14" spans="1:7" s="340" customFormat="1" ht="15">
      <c r="A14" s="733" t="s">
        <v>243</v>
      </c>
      <c r="B14" s="734"/>
      <c r="C14" s="734"/>
      <c r="D14" s="735"/>
      <c r="G14" s="364"/>
    </row>
    <row r="15" spans="2:7" s="340" customFormat="1" ht="15">
      <c r="B15" s="367"/>
      <c r="C15" s="367"/>
      <c r="D15" s="263"/>
      <c r="G15" s="364"/>
    </row>
    <row r="16" spans="2:7" s="340" customFormat="1" ht="15">
      <c r="B16" s="457" t="s">
        <v>28</v>
      </c>
      <c r="C16" s="495">
        <v>-58376</v>
      </c>
      <c r="D16" s="575" t="s">
        <v>269</v>
      </c>
      <c r="F16" s="155" t="s">
        <v>300</v>
      </c>
      <c r="G16" s="364"/>
    </row>
    <row r="17" spans="2:7" s="340" customFormat="1" ht="15">
      <c r="B17" s="458" t="s">
        <v>29</v>
      </c>
      <c r="C17" s="496">
        <v>2367</v>
      </c>
      <c r="D17" s="575" t="s">
        <v>269</v>
      </c>
      <c r="F17" s="155" t="s">
        <v>300</v>
      </c>
      <c r="G17" s="364"/>
    </row>
    <row r="18" spans="2:7" s="340" customFormat="1" ht="15">
      <c r="B18" s="367"/>
      <c r="C18" s="367"/>
      <c r="D18" s="263"/>
      <c r="G18" s="364"/>
    </row>
    <row r="19" spans="1:12" ht="1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</row>
    <row r="20" spans="1:4" ht="15">
      <c r="A20" s="733" t="s">
        <v>223</v>
      </c>
      <c r="B20" s="734"/>
      <c r="C20" s="734"/>
      <c r="D20" s="735"/>
    </row>
    <row r="21" spans="1:4" s="340" customFormat="1" ht="15">
      <c r="A21" s="371"/>
      <c r="B21" s="371"/>
      <c r="C21" s="371"/>
      <c r="D21" s="371"/>
    </row>
    <row r="22" spans="2:5" ht="15">
      <c r="B22" s="418" t="s">
        <v>50</v>
      </c>
      <c r="C22" s="419" t="s">
        <v>51</v>
      </c>
      <c r="D22" s="419" t="s">
        <v>28</v>
      </c>
      <c r="E22" s="420" t="s">
        <v>29</v>
      </c>
    </row>
    <row r="23" spans="2:7" s="340" customFormat="1" ht="15">
      <c r="B23" s="598">
        <v>2021</v>
      </c>
      <c r="C23" s="599" t="s">
        <v>55</v>
      </c>
      <c r="D23" s="497">
        <v>15205.22</v>
      </c>
      <c r="E23" s="498">
        <v>1636.78</v>
      </c>
      <c r="F23" s="155"/>
      <c r="G23" s="155"/>
    </row>
    <row r="24" spans="1:7" ht="15">
      <c r="A24" s="340"/>
      <c r="B24" s="324"/>
      <c r="C24" s="322" t="s">
        <v>57</v>
      </c>
      <c r="D24" s="497">
        <v>16350.05</v>
      </c>
      <c r="E24" s="498">
        <v>1500.23</v>
      </c>
      <c r="F24" s="155"/>
      <c r="G24" s="155"/>
    </row>
    <row r="25" spans="2:7" ht="15">
      <c r="B25" s="363" t="s">
        <v>36</v>
      </c>
      <c r="C25" s="25" t="s">
        <v>58</v>
      </c>
      <c r="D25" s="499">
        <v>25938.22</v>
      </c>
      <c r="E25" s="500">
        <v>1783.25</v>
      </c>
      <c r="F25" s="155"/>
      <c r="G25" s="155"/>
    </row>
    <row r="26" spans="2:7" ht="15">
      <c r="B26" s="324">
        <v>2022</v>
      </c>
      <c r="C26" s="322" t="s">
        <v>59</v>
      </c>
      <c r="D26" s="501">
        <v>29427.36</v>
      </c>
      <c r="E26" s="502">
        <v>1120.54</v>
      </c>
      <c r="F26" s="155"/>
      <c r="G26" s="155"/>
    </row>
    <row r="27" spans="2:7" ht="15">
      <c r="B27" s="324"/>
      <c r="C27" s="322" t="s">
        <v>60</v>
      </c>
      <c r="D27" s="501">
        <v>34720.8</v>
      </c>
      <c r="E27" s="502">
        <v>7.9</v>
      </c>
      <c r="F27" s="155"/>
      <c r="G27" s="155"/>
    </row>
    <row r="28" spans="2:7" ht="15">
      <c r="B28" s="324"/>
      <c r="C28" s="322" t="s">
        <v>61</v>
      </c>
      <c r="D28" s="501">
        <v>25260.26</v>
      </c>
      <c r="E28" s="502">
        <v>0.16</v>
      </c>
      <c r="F28" s="155"/>
      <c r="G28" s="155"/>
    </row>
    <row r="29" spans="2:7" ht="15">
      <c r="B29" s="324"/>
      <c r="C29" s="322" t="s">
        <v>63</v>
      </c>
      <c r="D29" s="501">
        <v>20191.49</v>
      </c>
      <c r="E29" s="502">
        <v>-0.04</v>
      </c>
      <c r="F29" s="155"/>
      <c r="G29" s="155"/>
    </row>
    <row r="30" spans="2:7" ht="15">
      <c r="B30" s="324"/>
      <c r="C30" s="322" t="s">
        <v>64</v>
      </c>
      <c r="D30" s="501">
        <v>16064.24</v>
      </c>
      <c r="E30" s="502">
        <v>0.03</v>
      </c>
      <c r="F30" s="155"/>
      <c r="G30" s="155"/>
    </row>
    <row r="31" spans="2:7" ht="15">
      <c r="B31" s="324"/>
      <c r="C31" s="322" t="s">
        <v>65</v>
      </c>
      <c r="D31" s="501">
        <v>18401.61</v>
      </c>
      <c r="E31" s="502">
        <v>0</v>
      </c>
      <c r="F31" s="155"/>
      <c r="G31" s="155"/>
    </row>
    <row r="32" spans="2:7" ht="15">
      <c r="B32" s="324"/>
      <c r="C32" s="322" t="s">
        <v>52</v>
      </c>
      <c r="D32" s="503">
        <v>22045.52</v>
      </c>
      <c r="E32" s="504">
        <v>0.02</v>
      </c>
      <c r="F32" s="155"/>
      <c r="G32" s="155"/>
    </row>
    <row r="33" spans="2:7" ht="15">
      <c r="B33" s="324"/>
      <c r="C33" s="322" t="s">
        <v>53</v>
      </c>
      <c r="D33" s="503">
        <v>22153.89</v>
      </c>
      <c r="E33" s="504">
        <v>0.12</v>
      </c>
      <c r="F33" s="155"/>
      <c r="G33" s="155"/>
    </row>
    <row r="34" spans="2:7" ht="15">
      <c r="B34" s="324"/>
      <c r="C34" s="322" t="s">
        <v>54</v>
      </c>
      <c r="D34" s="503">
        <v>19735.62</v>
      </c>
      <c r="E34" s="504">
        <v>0</v>
      </c>
      <c r="F34" s="155"/>
      <c r="G34" s="155"/>
    </row>
    <row r="35" spans="2:5" s="340" customFormat="1" ht="15">
      <c r="B35" s="324"/>
      <c r="C35" s="327" t="s">
        <v>31</v>
      </c>
      <c r="D35" s="307">
        <f>SUM(D23:D34)</f>
        <v>265494.27999999997</v>
      </c>
      <c r="E35" s="307">
        <f>SUM(E23:E34)</f>
        <v>6048.99</v>
      </c>
    </row>
    <row r="36" spans="2:5" s="340" customFormat="1" ht="15">
      <c r="B36" s="324"/>
      <c r="C36" s="322"/>
      <c r="D36" s="307"/>
      <c r="E36" s="372"/>
    </row>
    <row r="37" spans="1:12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</row>
    <row r="38" spans="1:4" ht="15">
      <c r="A38" s="733" t="s">
        <v>224</v>
      </c>
      <c r="B38" s="734"/>
      <c r="C38" s="734"/>
      <c r="D38" s="735"/>
    </row>
    <row r="40" spans="1:7" ht="15">
      <c r="A40" s="748" t="s">
        <v>195</v>
      </c>
      <c r="B40" s="749"/>
      <c r="C40" s="374"/>
      <c r="D40" s="375"/>
      <c r="E40" s="375"/>
      <c r="F40" s="390" t="s">
        <v>28</v>
      </c>
      <c r="G40" s="391" t="s">
        <v>29</v>
      </c>
    </row>
    <row r="41" spans="1:8" ht="15">
      <c r="A41" s="750"/>
      <c r="B41" s="751"/>
      <c r="C41" s="384"/>
      <c r="D41" s="392" t="s">
        <v>227</v>
      </c>
      <c r="E41" s="393" t="s">
        <v>228</v>
      </c>
      <c r="F41" s="491">
        <v>0.000139</v>
      </c>
      <c r="G41" s="492">
        <v>0</v>
      </c>
      <c r="H41" s="155"/>
    </row>
    <row r="42" spans="1:8" s="340" customFormat="1" ht="15">
      <c r="A42" s="750"/>
      <c r="B42" s="751"/>
      <c r="C42" s="579" t="s">
        <v>55</v>
      </c>
      <c r="D42" s="580">
        <f>(109400.288239904*1000)</f>
        <v>109400288.239904</v>
      </c>
      <c r="E42" s="580">
        <f>(112901.495082187*1000)</f>
        <v>112901495.082187</v>
      </c>
      <c r="F42" s="591">
        <f>F41*D42</f>
        <v>15206.640065346655</v>
      </c>
      <c r="G42" s="592">
        <f>G41*E42</f>
        <v>0</v>
      </c>
      <c r="H42" s="155"/>
    </row>
    <row r="43" spans="1:8" ht="15">
      <c r="A43" s="750"/>
      <c r="B43" s="751"/>
      <c r="C43" s="376" t="s">
        <v>57</v>
      </c>
      <c r="D43" s="493">
        <f>(154571.330786337*1000)</f>
        <v>154571330.786337</v>
      </c>
      <c r="E43" s="493">
        <f>(115896.514911917*1000)</f>
        <v>115896514.911917</v>
      </c>
      <c r="F43" s="113">
        <f>F41*D43</f>
        <v>21485.41497930084</v>
      </c>
      <c r="G43" s="385">
        <f>G41*E43</f>
        <v>0</v>
      </c>
      <c r="H43" s="155"/>
    </row>
    <row r="44" spans="1:8" ht="15">
      <c r="A44" s="752"/>
      <c r="B44" s="753"/>
      <c r="C44" s="378" t="s">
        <v>58</v>
      </c>
      <c r="D44" s="494">
        <f>(219273.176852098*1000)</f>
        <v>219273176.852098</v>
      </c>
      <c r="E44" s="494">
        <f>(110040.384341646*1000)</f>
        <v>110040384.341646</v>
      </c>
      <c r="F44" s="386">
        <f>D44*F41</f>
        <v>30478.97158244162</v>
      </c>
      <c r="G44" s="377">
        <f>G41*E44</f>
        <v>0</v>
      </c>
      <c r="H44" s="155"/>
    </row>
    <row r="45" ht="15">
      <c r="H45" s="155"/>
    </row>
    <row r="46" spans="1:5" ht="15" customHeight="1">
      <c r="A46" s="748" t="s">
        <v>301</v>
      </c>
      <c r="B46" s="749"/>
      <c r="C46" s="389"/>
      <c r="D46" s="379" t="s">
        <v>28</v>
      </c>
      <c r="E46" s="380" t="s">
        <v>29</v>
      </c>
    </row>
    <row r="47" spans="1:10" ht="15" customHeight="1">
      <c r="A47" s="750"/>
      <c r="B47" s="751"/>
      <c r="C47" s="387" t="s">
        <v>225</v>
      </c>
      <c r="D47" s="489">
        <v>1958637334.4876301</v>
      </c>
      <c r="E47" s="490">
        <v>1460113434.057819</v>
      </c>
      <c r="F47" s="155"/>
      <c r="G47" s="745" t="s">
        <v>302</v>
      </c>
      <c r="H47" s="87" t="s">
        <v>67</v>
      </c>
      <c r="I47" s="523">
        <v>5177024566</v>
      </c>
      <c r="J47" s="155"/>
    </row>
    <row r="48" spans="1:10" ht="15">
      <c r="A48" s="750"/>
      <c r="B48" s="751"/>
      <c r="C48" s="387" t="s">
        <v>226</v>
      </c>
      <c r="D48" s="652">
        <f>I49*D47</f>
        <v>15009369.219262667</v>
      </c>
      <c r="E48" s="600">
        <f>E47*I49</f>
        <v>11189096.239458896</v>
      </c>
      <c r="G48" s="746"/>
      <c r="H48" s="331" t="s">
        <v>68</v>
      </c>
      <c r="I48" s="549">
        <v>39672415</v>
      </c>
      <c r="J48" s="155"/>
    </row>
    <row r="49" spans="1:9" ht="15" customHeight="1">
      <c r="A49" s="752"/>
      <c r="B49" s="753"/>
      <c r="C49" s="388" t="s">
        <v>56</v>
      </c>
      <c r="D49" s="382">
        <f>D47-D48</f>
        <v>1943627965.2683675</v>
      </c>
      <c r="E49" s="383">
        <f>E47-E48</f>
        <v>1448924337.81836</v>
      </c>
      <c r="G49" s="747"/>
      <c r="H49" s="332" t="s">
        <v>69</v>
      </c>
      <c r="I49" s="378">
        <f>I48/I47</f>
        <v>0.007663169161017266</v>
      </c>
    </row>
    <row r="50" spans="1:9" s="155" customFormat="1" ht="15" customHeight="1">
      <c r="A50" s="421"/>
      <c r="B50" s="421"/>
      <c r="C50" s="327"/>
      <c r="D50" s="381"/>
      <c r="E50" s="381"/>
      <c r="G50" s="421"/>
      <c r="H50" s="327"/>
      <c r="I50" s="327"/>
    </row>
    <row r="51" spans="1:12" ht="15">
      <c r="A51" s="373"/>
      <c r="B51" s="373"/>
      <c r="C51" s="394"/>
      <c r="D51" s="394"/>
      <c r="E51" s="394"/>
      <c r="F51" s="394"/>
      <c r="G51" s="373"/>
      <c r="H51" s="373"/>
      <c r="I51" s="373"/>
      <c r="J51" s="373"/>
      <c r="K51" s="373"/>
      <c r="L51" s="373"/>
    </row>
    <row r="52" spans="1:4" ht="15" hidden="1">
      <c r="A52" s="733" t="s">
        <v>270</v>
      </c>
      <c r="B52" s="734"/>
      <c r="C52" s="734"/>
      <c r="D52" s="735"/>
    </row>
    <row r="53" ht="15" hidden="1"/>
    <row r="54" spans="1:12" s="1" customFormat="1" ht="30" hidden="1">
      <c r="A54" s="397" t="s">
        <v>231</v>
      </c>
      <c r="B54" s="398" t="s">
        <v>230</v>
      </c>
      <c r="C54" s="398" t="s">
        <v>234</v>
      </c>
      <c r="D54" s="398" t="s">
        <v>237</v>
      </c>
      <c r="E54" s="398" t="s">
        <v>238</v>
      </c>
      <c r="F54" s="398" t="s">
        <v>239</v>
      </c>
      <c r="G54" s="399" t="s">
        <v>83</v>
      </c>
      <c r="H54" s="398" t="s">
        <v>87</v>
      </c>
      <c r="I54" s="398" t="s">
        <v>84</v>
      </c>
      <c r="J54" s="400" t="s">
        <v>158</v>
      </c>
      <c r="L54" s="551"/>
    </row>
    <row r="55" spans="1:11" ht="15" hidden="1">
      <c r="A55" s="333" t="s">
        <v>232</v>
      </c>
      <c r="B55" s="395" t="s">
        <v>229</v>
      </c>
      <c r="C55" s="480" t="s">
        <v>233</v>
      </c>
      <c r="D55" s="480">
        <v>10</v>
      </c>
      <c r="E55" s="483">
        <v>2531</v>
      </c>
      <c r="F55" s="459">
        <f>$E$55*(D55/12)</f>
        <v>2109.166666666667</v>
      </c>
      <c r="G55" s="459">
        <f>SUM(F64:F73)</f>
        <v>34.33150684931507</v>
      </c>
      <c r="H55" s="460">
        <f>F55*G55</f>
        <v>72410.86986301371</v>
      </c>
      <c r="I55" s="486"/>
      <c r="J55" s="461">
        <f>H55*I55</f>
        <v>0</v>
      </c>
      <c r="K55" s="155"/>
    </row>
    <row r="56" spans="1:11" ht="15" hidden="1">
      <c r="A56" s="342" t="s">
        <v>232</v>
      </c>
      <c r="B56" s="324" t="s">
        <v>86</v>
      </c>
      <c r="C56" s="481" t="s">
        <v>235</v>
      </c>
      <c r="D56" s="481">
        <v>2</v>
      </c>
      <c r="E56" s="484">
        <v>2531</v>
      </c>
      <c r="F56" s="462">
        <f>$E$56*(D56/12)</f>
        <v>421.8333333333333</v>
      </c>
      <c r="G56" s="462">
        <f>SUM(F64:F75)</f>
        <v>35.12602739726028</v>
      </c>
      <c r="H56" s="35">
        <f>F56*G56</f>
        <v>14817.329223744295</v>
      </c>
      <c r="I56" s="487"/>
      <c r="J56" s="463">
        <f>H56*I56</f>
        <v>0</v>
      </c>
      <c r="K56" s="155"/>
    </row>
    <row r="57" spans="1:11" ht="15" hidden="1">
      <c r="A57" s="344" t="s">
        <v>232</v>
      </c>
      <c r="B57" s="363" t="s">
        <v>86</v>
      </c>
      <c r="C57" s="482" t="s">
        <v>236</v>
      </c>
      <c r="D57" s="482">
        <v>12</v>
      </c>
      <c r="E57" s="485">
        <v>2531</v>
      </c>
      <c r="F57" s="464">
        <f>$E$56*(D57/12)</f>
        <v>2531</v>
      </c>
      <c r="G57" s="464">
        <f>SUM(H64:H75)+SUM(E64:E75)</f>
        <v>106.52876712328766</v>
      </c>
      <c r="H57" s="465">
        <f>F57*G57</f>
        <v>269624.3095890411</v>
      </c>
      <c r="I57" s="488"/>
      <c r="J57" s="466">
        <f>H57*I57</f>
        <v>0</v>
      </c>
      <c r="K57" s="155"/>
    </row>
    <row r="58" spans="1:11" s="340" customFormat="1" ht="15" hidden="1">
      <c r="A58" s="322"/>
      <c r="B58" s="324"/>
      <c r="C58" s="324"/>
      <c r="D58" s="324"/>
      <c r="E58" s="401"/>
      <c r="F58" s="396"/>
      <c r="G58" s="396"/>
      <c r="H58" s="324"/>
      <c r="I58" s="322"/>
      <c r="J58" s="322"/>
      <c r="K58" s="155"/>
    </row>
    <row r="59" s="155" customFormat="1" ht="15" hidden="1"/>
    <row r="60" spans="1:4" ht="15" hidden="1">
      <c r="A60" s="733" t="s">
        <v>271</v>
      </c>
      <c r="B60" s="734"/>
      <c r="C60" s="734"/>
      <c r="D60" s="735"/>
    </row>
    <row r="61" ht="15.75" hidden="1" thickBot="1"/>
    <row r="62" spans="1:10" ht="15.75" hidden="1" thickBot="1">
      <c r="A62" t="s">
        <v>241</v>
      </c>
      <c r="B62" s="340"/>
      <c r="C62" s="340"/>
      <c r="D62" s="340"/>
      <c r="E62" s="341"/>
      <c r="F62" s="281" t="s">
        <v>80</v>
      </c>
      <c r="G62" s="341"/>
      <c r="H62" s="281" t="s">
        <v>210</v>
      </c>
      <c r="I62" s="341"/>
      <c r="J62" s="281" t="s">
        <v>240</v>
      </c>
    </row>
    <row r="63" spans="2:10" ht="30.75" hidden="1" thickBot="1">
      <c r="B63" s="402" t="s">
        <v>51</v>
      </c>
      <c r="C63" s="402" t="s">
        <v>186</v>
      </c>
      <c r="D63" s="402" t="s">
        <v>79</v>
      </c>
      <c r="E63" s="403" t="s">
        <v>77</v>
      </c>
      <c r="F63" s="404" t="s">
        <v>78</v>
      </c>
      <c r="G63" s="403" t="s">
        <v>77</v>
      </c>
      <c r="H63" s="404" t="s">
        <v>78</v>
      </c>
      <c r="I63" s="403" t="s">
        <v>77</v>
      </c>
      <c r="J63" s="404" t="s">
        <v>78</v>
      </c>
    </row>
    <row r="64" spans="2:11" ht="15" hidden="1">
      <c r="B64" s="274" t="s">
        <v>59</v>
      </c>
      <c r="C64" s="275" t="s">
        <v>174</v>
      </c>
      <c r="D64" s="276">
        <f>349/365</f>
        <v>0.9561643835616438</v>
      </c>
      <c r="E64" s="476">
        <v>5</v>
      </c>
      <c r="F64" s="576">
        <f>$D64*E64</f>
        <v>4.780821917808219</v>
      </c>
      <c r="G64" s="476">
        <v>4</v>
      </c>
      <c r="H64" s="576">
        <f>$D64*G64</f>
        <v>3.824657534246575</v>
      </c>
      <c r="I64" s="329">
        <v>0</v>
      </c>
      <c r="J64" s="348">
        <f aca="true" t="shared" si="0" ref="J64:J75">$D64*I64</f>
        <v>0</v>
      </c>
      <c r="K64" s="155"/>
    </row>
    <row r="65" spans="2:11" ht="15" hidden="1">
      <c r="B65" s="277" t="s">
        <v>60</v>
      </c>
      <c r="C65" s="322" t="s">
        <v>175</v>
      </c>
      <c r="D65" s="278">
        <f>321/365</f>
        <v>0.8794520547945206</v>
      </c>
      <c r="E65" s="477">
        <v>7</v>
      </c>
      <c r="F65" s="577">
        <f aca="true" t="shared" si="1" ref="F65:H75">$D65*E65</f>
        <v>6.156164383561644</v>
      </c>
      <c r="G65" s="477">
        <v>5</v>
      </c>
      <c r="H65" s="577">
        <f t="shared" si="1"/>
        <v>4.397260273972603</v>
      </c>
      <c r="I65" s="328">
        <v>0</v>
      </c>
      <c r="J65" s="349">
        <f t="shared" si="0"/>
        <v>0</v>
      </c>
      <c r="K65" s="155"/>
    </row>
    <row r="66" spans="2:11" ht="15" hidden="1">
      <c r="B66" s="277" t="s">
        <v>61</v>
      </c>
      <c r="C66" s="322" t="s">
        <v>176</v>
      </c>
      <c r="D66" s="278">
        <f>290/365</f>
        <v>0.7945205479452054</v>
      </c>
      <c r="E66" s="477">
        <v>2</v>
      </c>
      <c r="F66" s="577">
        <f t="shared" si="1"/>
        <v>1.5890410958904109</v>
      </c>
      <c r="G66" s="477">
        <v>9</v>
      </c>
      <c r="H66" s="577">
        <f t="shared" si="1"/>
        <v>7.150684931506849</v>
      </c>
      <c r="I66" s="328">
        <v>0</v>
      </c>
      <c r="J66" s="349">
        <f t="shared" si="0"/>
        <v>0</v>
      </c>
      <c r="K66" s="155"/>
    </row>
    <row r="67" spans="2:11" ht="15" hidden="1">
      <c r="B67" s="277" t="s">
        <v>63</v>
      </c>
      <c r="C67" s="322" t="s">
        <v>177</v>
      </c>
      <c r="D67" s="278">
        <f>260/365</f>
        <v>0.7123287671232876</v>
      </c>
      <c r="E67" s="477">
        <v>9</v>
      </c>
      <c r="F67" s="577">
        <f t="shared" si="1"/>
        <v>6.410958904109589</v>
      </c>
      <c r="G67" s="477">
        <v>7</v>
      </c>
      <c r="H67" s="577">
        <f t="shared" si="1"/>
        <v>4.986301369863013</v>
      </c>
      <c r="I67" s="328">
        <v>0</v>
      </c>
      <c r="J67" s="349">
        <f t="shared" si="0"/>
        <v>0</v>
      </c>
      <c r="K67" s="155"/>
    </row>
    <row r="68" spans="2:11" ht="15" hidden="1">
      <c r="B68" s="277" t="s">
        <v>64</v>
      </c>
      <c r="C68" s="322" t="s">
        <v>178</v>
      </c>
      <c r="D68" s="278">
        <f>229/365</f>
        <v>0.6273972602739726</v>
      </c>
      <c r="E68" s="477">
        <v>7</v>
      </c>
      <c r="F68" s="577">
        <f t="shared" si="1"/>
        <v>4.391780821917808</v>
      </c>
      <c r="G68" s="477">
        <v>6</v>
      </c>
      <c r="H68" s="577">
        <f t="shared" si="1"/>
        <v>3.7643835616438355</v>
      </c>
      <c r="I68" s="328">
        <v>0</v>
      </c>
      <c r="J68" s="349">
        <f t="shared" si="0"/>
        <v>0</v>
      </c>
      <c r="K68" s="155"/>
    </row>
    <row r="69" spans="2:11" ht="15" hidden="1">
      <c r="B69" s="277" t="s">
        <v>65</v>
      </c>
      <c r="C69" s="322" t="s">
        <v>179</v>
      </c>
      <c r="D69" s="278">
        <f>199/365</f>
        <v>0.5452054794520548</v>
      </c>
      <c r="E69" s="477">
        <v>6</v>
      </c>
      <c r="F69" s="577">
        <f t="shared" si="1"/>
        <v>3.271232876712329</v>
      </c>
      <c r="G69" s="477">
        <v>13</v>
      </c>
      <c r="H69" s="577">
        <f t="shared" si="1"/>
        <v>7.087671232876712</v>
      </c>
      <c r="I69" s="328">
        <v>0</v>
      </c>
      <c r="J69" s="349">
        <f t="shared" si="0"/>
        <v>0</v>
      </c>
      <c r="K69" s="155"/>
    </row>
    <row r="70" spans="2:11" ht="15" hidden="1">
      <c r="B70" s="277" t="s">
        <v>52</v>
      </c>
      <c r="C70" s="322" t="s">
        <v>180</v>
      </c>
      <c r="D70" s="278">
        <f>168/365</f>
        <v>0.4602739726027397</v>
      </c>
      <c r="E70" s="478">
        <v>7</v>
      </c>
      <c r="F70" s="577">
        <f t="shared" si="1"/>
        <v>3.221917808219178</v>
      </c>
      <c r="G70" s="478">
        <v>7</v>
      </c>
      <c r="H70" s="577">
        <f t="shared" si="1"/>
        <v>3.221917808219178</v>
      </c>
      <c r="I70" s="342">
        <v>0</v>
      </c>
      <c r="J70" s="349">
        <f t="shared" si="0"/>
        <v>0</v>
      </c>
      <c r="K70" s="155"/>
    </row>
    <row r="71" spans="2:11" ht="15" hidden="1">
      <c r="B71" s="277" t="s">
        <v>53</v>
      </c>
      <c r="C71" s="322" t="s">
        <v>181</v>
      </c>
      <c r="D71" s="278">
        <f>137/365</f>
        <v>0.37534246575342467</v>
      </c>
      <c r="E71" s="478">
        <v>7</v>
      </c>
      <c r="F71" s="577">
        <f t="shared" si="1"/>
        <v>2.627397260273973</v>
      </c>
      <c r="G71" s="478">
        <v>7</v>
      </c>
      <c r="H71" s="577">
        <f t="shared" si="1"/>
        <v>2.627397260273973</v>
      </c>
      <c r="I71" s="342">
        <v>0</v>
      </c>
      <c r="J71" s="349">
        <f t="shared" si="0"/>
        <v>0</v>
      </c>
      <c r="K71" s="155"/>
    </row>
    <row r="72" spans="2:11" ht="15" hidden="1">
      <c r="B72" s="277" t="s">
        <v>54</v>
      </c>
      <c r="C72" s="322" t="s">
        <v>182</v>
      </c>
      <c r="D72" s="278">
        <f>107/365</f>
        <v>0.29315068493150687</v>
      </c>
      <c r="E72" s="478">
        <v>5</v>
      </c>
      <c r="F72" s="577">
        <f t="shared" si="1"/>
        <v>1.4657534246575343</v>
      </c>
      <c r="G72" s="478">
        <v>4</v>
      </c>
      <c r="H72" s="577">
        <f>$D72*G72</f>
        <v>1.1726027397260275</v>
      </c>
      <c r="I72" s="342">
        <v>0</v>
      </c>
      <c r="J72" s="349">
        <f t="shared" si="0"/>
        <v>0</v>
      </c>
      <c r="K72" s="155"/>
    </row>
    <row r="73" spans="2:11" ht="15" hidden="1">
      <c r="B73" s="277" t="s">
        <v>55</v>
      </c>
      <c r="C73" s="322" t="s">
        <v>183</v>
      </c>
      <c r="D73" s="278">
        <f>76/365</f>
        <v>0.20821917808219179</v>
      </c>
      <c r="E73" s="478">
        <v>2</v>
      </c>
      <c r="F73" s="577">
        <f t="shared" si="1"/>
        <v>0.41643835616438357</v>
      </c>
      <c r="G73" s="478">
        <v>5</v>
      </c>
      <c r="H73" s="577">
        <f t="shared" si="1"/>
        <v>1.0410958904109588</v>
      </c>
      <c r="I73" s="342">
        <v>0</v>
      </c>
      <c r="J73" s="349">
        <f t="shared" si="0"/>
        <v>0</v>
      </c>
      <c r="K73" s="155"/>
    </row>
    <row r="74" spans="2:11" ht="15" hidden="1">
      <c r="B74" s="277" t="s">
        <v>57</v>
      </c>
      <c r="C74" s="322" t="s">
        <v>184</v>
      </c>
      <c r="D74" s="278">
        <f>46/365</f>
        <v>0.12602739726027398</v>
      </c>
      <c r="E74" s="478">
        <v>5</v>
      </c>
      <c r="F74" s="577">
        <f t="shared" si="1"/>
        <v>0.6301369863013699</v>
      </c>
      <c r="G74" s="478">
        <v>8</v>
      </c>
      <c r="H74" s="577">
        <f t="shared" si="1"/>
        <v>1.0082191780821919</v>
      </c>
      <c r="I74" s="342">
        <v>0</v>
      </c>
      <c r="J74" s="349">
        <f t="shared" si="0"/>
        <v>0</v>
      </c>
      <c r="K74" s="155"/>
    </row>
    <row r="75" spans="2:11" ht="15" hidden="1">
      <c r="B75" s="279" t="s">
        <v>58</v>
      </c>
      <c r="C75" s="25" t="s">
        <v>185</v>
      </c>
      <c r="D75" s="31">
        <f>15/365</f>
        <v>0.0410958904109589</v>
      </c>
      <c r="E75" s="479">
        <v>4</v>
      </c>
      <c r="F75" s="578">
        <f t="shared" si="1"/>
        <v>0.1643835616438356</v>
      </c>
      <c r="G75" s="479">
        <v>6</v>
      </c>
      <c r="H75" s="578">
        <f t="shared" si="1"/>
        <v>0.2465753424657534</v>
      </c>
      <c r="I75" s="344">
        <v>0</v>
      </c>
      <c r="J75" s="350">
        <f t="shared" si="0"/>
        <v>0</v>
      </c>
      <c r="K75" s="155"/>
    </row>
    <row r="76" spans="2:10" ht="15" hidden="1">
      <c r="B76" s="405"/>
      <c r="C76" s="406"/>
      <c r="D76" s="406"/>
      <c r="E76" s="406">
        <f aca="true" t="shared" si="2" ref="E76:J76">SUM(E64:E75)</f>
        <v>66</v>
      </c>
      <c r="F76" s="406">
        <f t="shared" si="2"/>
        <v>35.12602739726028</v>
      </c>
      <c r="G76" s="406">
        <f t="shared" si="2"/>
        <v>81</v>
      </c>
      <c r="H76" s="406">
        <f t="shared" si="2"/>
        <v>40.528767123287665</v>
      </c>
      <c r="I76" s="406">
        <f t="shared" si="2"/>
        <v>0</v>
      </c>
      <c r="J76" s="407">
        <f t="shared" si="2"/>
        <v>0</v>
      </c>
    </row>
    <row r="77" spans="2:10" s="155" customFormat="1" ht="15" hidden="1">
      <c r="B77" s="423"/>
      <c r="C77" s="423"/>
      <c r="D77" s="423"/>
      <c r="E77" s="423"/>
      <c r="F77" s="423"/>
      <c r="G77" s="423"/>
      <c r="H77" s="423"/>
      <c r="I77" s="423"/>
      <c r="J77" s="423"/>
    </row>
    <row r="78" spans="1:12" ht="15" hidden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</row>
    <row r="79" spans="1:4" ht="15" hidden="1">
      <c r="A79" s="733" t="s">
        <v>272</v>
      </c>
      <c r="B79" s="734"/>
      <c r="C79" s="734"/>
      <c r="D79" s="735"/>
    </row>
    <row r="80" ht="15" hidden="1"/>
    <row r="81" spans="1:9" ht="15" customHeight="1" hidden="1">
      <c r="A81" s="731" t="s">
        <v>231</v>
      </c>
      <c r="B81" s="416" t="s">
        <v>85</v>
      </c>
      <c r="C81" s="410" t="s">
        <v>154</v>
      </c>
      <c r="D81" s="413" t="s">
        <v>154</v>
      </c>
      <c r="E81" s="736" t="s">
        <v>37</v>
      </c>
      <c r="F81" s="738" t="s">
        <v>211</v>
      </c>
      <c r="G81" s="741" t="s">
        <v>168</v>
      </c>
      <c r="H81" s="741" t="s">
        <v>167</v>
      </c>
      <c r="I81" s="738" t="s">
        <v>167</v>
      </c>
    </row>
    <row r="82" spans="1:9" ht="15.75" hidden="1" thickBot="1">
      <c r="A82" s="740"/>
      <c r="B82" s="417" t="s">
        <v>153</v>
      </c>
      <c r="C82" s="411" t="s">
        <v>153</v>
      </c>
      <c r="D82" s="414" t="s">
        <v>153</v>
      </c>
      <c r="E82" s="737"/>
      <c r="F82" s="739"/>
      <c r="G82" s="742"/>
      <c r="H82" s="744"/>
      <c r="I82" s="739"/>
    </row>
    <row r="83" spans="1:9" s="1" customFormat="1" ht="15" hidden="1">
      <c r="A83" s="732"/>
      <c r="B83" s="415" t="str">
        <f>C55</f>
        <v>Jan. 1 to Oct. 31 2018</v>
      </c>
      <c r="C83" s="408" t="str">
        <f>C56</f>
        <v>Nov. 1 to Dec. 31 2018</v>
      </c>
      <c r="D83" s="409" t="str">
        <f>C57</f>
        <v>Jan. 1 to Dec. 31 2019</v>
      </c>
      <c r="E83" s="415"/>
      <c r="F83" s="409"/>
      <c r="G83" s="408" t="str">
        <f>B83</f>
        <v>Jan. 1 to Oct. 31 2018</v>
      </c>
      <c r="H83" s="408" t="str">
        <f>C83</f>
        <v>Nov. 1 to Dec. 31 2018</v>
      </c>
      <c r="I83" s="409" t="str">
        <f>D83</f>
        <v>Jan. 1 to Dec. 31 2019</v>
      </c>
    </row>
    <row r="84" spans="1:11" ht="15" hidden="1">
      <c r="A84" s="505" t="s">
        <v>232</v>
      </c>
      <c r="B84" s="467">
        <f>SUM(E64:E73)</f>
        <v>57</v>
      </c>
      <c r="C84" s="468">
        <f>E74+E75</f>
        <v>9</v>
      </c>
      <c r="D84" s="469">
        <f>SUM(G64:G75)</f>
        <v>81</v>
      </c>
      <c r="E84" s="474">
        <v>27.1</v>
      </c>
      <c r="F84" s="475">
        <v>27.1</v>
      </c>
      <c r="G84" s="412">
        <f>B84*E84</f>
        <v>1544.7</v>
      </c>
      <c r="H84" s="470">
        <f>E84*C84</f>
        <v>243.9</v>
      </c>
      <c r="I84" s="471">
        <f>F84*D84</f>
        <v>2195.1</v>
      </c>
      <c r="J84" s="155"/>
      <c r="K84" s="597"/>
    </row>
    <row r="85" spans="2:9" s="340" customFormat="1" ht="15" hidden="1">
      <c r="B85" s="135"/>
      <c r="C85" s="135"/>
      <c r="D85" s="135"/>
      <c r="E85" s="422"/>
      <c r="F85" s="422"/>
      <c r="G85" s="315"/>
      <c r="H85" s="153"/>
      <c r="I85" s="153"/>
    </row>
    <row r="86" spans="1:12" ht="15" hidden="1">
      <c r="A86" s="373"/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</row>
    <row r="87" spans="1:4" ht="15" hidden="1">
      <c r="A87" s="733" t="s">
        <v>273</v>
      </c>
      <c r="B87" s="734"/>
      <c r="C87" s="734"/>
      <c r="D87" s="735"/>
    </row>
    <row r="88" ht="15" hidden="1"/>
    <row r="89" spans="2:5" ht="15" hidden="1">
      <c r="B89" s="731" t="s">
        <v>231</v>
      </c>
      <c r="C89" s="424" t="s">
        <v>73</v>
      </c>
      <c r="D89" s="424" t="s">
        <v>209</v>
      </c>
      <c r="E89" s="424" t="s">
        <v>209</v>
      </c>
    </row>
    <row r="90" spans="2:5" ht="15" hidden="1">
      <c r="B90" s="732"/>
      <c r="C90" s="425" t="str">
        <f>B83</f>
        <v>Jan. 1 to Oct. 31 2018</v>
      </c>
      <c r="D90" s="425" t="str">
        <f>C83</f>
        <v>Nov. 1 to Dec. 31 2018</v>
      </c>
      <c r="E90" s="425" t="str">
        <f>D83</f>
        <v>Jan. 1 to Dec. 31 2019</v>
      </c>
    </row>
    <row r="91" spans="2:6" ht="15" hidden="1">
      <c r="B91" s="453" t="s">
        <v>242</v>
      </c>
      <c r="C91" s="472"/>
      <c r="D91" s="472"/>
      <c r="E91" s="473"/>
      <c r="F91" s="597"/>
    </row>
    <row r="92" spans="2:6" ht="15" hidden="1">
      <c r="B92" s="505" t="s">
        <v>248</v>
      </c>
      <c r="C92" s="548"/>
      <c r="D92" s="548"/>
      <c r="E92" s="548"/>
      <c r="F92" s="597"/>
    </row>
    <row r="93" spans="2:6" ht="15" hidden="1">
      <c r="B93" s="505" t="s">
        <v>18</v>
      </c>
      <c r="C93" s="548"/>
      <c r="D93" s="548"/>
      <c r="E93" s="548"/>
      <c r="F93" s="597"/>
    </row>
    <row r="94" spans="2:6" ht="15" hidden="1">
      <c r="B94" s="505" t="s">
        <v>249</v>
      </c>
      <c r="C94" s="548"/>
      <c r="D94" s="548"/>
      <c r="E94" s="548"/>
      <c r="F94" s="597"/>
    </row>
  </sheetData>
  <sheetProtection/>
  <mergeCells count="22">
    <mergeCell ref="B3:C3"/>
    <mergeCell ref="A2:D2"/>
    <mergeCell ref="A20:D20"/>
    <mergeCell ref="A40:B44"/>
    <mergeCell ref="A46:B49"/>
    <mergeCell ref="B11:C11"/>
    <mergeCell ref="G81:G82"/>
    <mergeCell ref="B8:C8"/>
    <mergeCell ref="H81:H82"/>
    <mergeCell ref="I81:I82"/>
    <mergeCell ref="B5:C5"/>
    <mergeCell ref="G47:G49"/>
    <mergeCell ref="A52:D52"/>
    <mergeCell ref="B89:B90"/>
    <mergeCell ref="A87:D87"/>
    <mergeCell ref="A14:D14"/>
    <mergeCell ref="A79:D79"/>
    <mergeCell ref="E81:E82"/>
    <mergeCell ref="F81:F82"/>
    <mergeCell ref="A38:D38"/>
    <mergeCell ref="A81:A83"/>
    <mergeCell ref="A60:D6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6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43.57421875" style="0" customWidth="1"/>
    <col min="3" max="5" width="12.7109375" style="0" customWidth="1"/>
    <col min="6" max="6" width="12.7109375" style="340" customWidth="1"/>
    <col min="9" max="9" width="10.57421875" style="0" bestFit="1" customWidth="1"/>
    <col min="10" max="11" width="11.57421875" style="0" bestFit="1" customWidth="1"/>
  </cols>
  <sheetData>
    <row r="1" ht="15.75" thickBot="1">
      <c r="B1" t="s">
        <v>265</v>
      </c>
    </row>
    <row r="2" spans="2:9" ht="15.75" thickBot="1">
      <c r="B2" s="219" t="s">
        <v>131</v>
      </c>
      <c r="C2" s="220"/>
      <c r="D2" s="220"/>
      <c r="E2" s="221"/>
      <c r="F2" s="221"/>
      <c r="G2" s="221"/>
      <c r="H2" s="221"/>
      <c r="I2" s="221"/>
    </row>
    <row r="3" spans="2:9" ht="15.75" thickBot="1">
      <c r="B3" s="222"/>
      <c r="C3" s="223">
        <v>2016</v>
      </c>
      <c r="D3" s="223">
        <v>2017</v>
      </c>
      <c r="E3" s="224">
        <v>2018</v>
      </c>
      <c r="F3" s="224">
        <v>2019</v>
      </c>
      <c r="G3" s="224">
        <v>2020</v>
      </c>
      <c r="H3" s="224">
        <v>2021</v>
      </c>
      <c r="I3" s="224">
        <v>2022</v>
      </c>
    </row>
    <row r="4" spans="2:9" ht="15">
      <c r="B4" s="215" t="s">
        <v>0</v>
      </c>
      <c r="C4" s="200"/>
      <c r="D4" s="200"/>
      <c r="E4" s="91"/>
      <c r="F4" s="91"/>
      <c r="G4" s="91"/>
      <c r="H4" s="91"/>
      <c r="I4" s="91"/>
    </row>
    <row r="5" spans="2:13" ht="15.75">
      <c r="B5" s="206" t="s">
        <v>1</v>
      </c>
      <c r="C5" s="92">
        <v>798</v>
      </c>
      <c r="D5" s="92">
        <v>798</v>
      </c>
      <c r="E5" s="136">
        <v>0</v>
      </c>
      <c r="F5" s="271">
        <v>0</v>
      </c>
      <c r="G5" s="271">
        <v>0</v>
      </c>
      <c r="H5" s="271">
        <v>0</v>
      </c>
      <c r="I5" s="271">
        <v>0</v>
      </c>
      <c r="M5" s="157"/>
    </row>
    <row r="6" spans="2:9" ht="15.75">
      <c r="B6" s="207" t="s">
        <v>2</v>
      </c>
      <c r="C6" s="92">
        <v>2534</v>
      </c>
      <c r="D6" s="92">
        <v>2531</v>
      </c>
      <c r="E6" s="136">
        <v>2531</v>
      </c>
      <c r="F6" s="271">
        <v>2531</v>
      </c>
      <c r="G6" s="271">
        <v>2531</v>
      </c>
      <c r="H6" s="271">
        <v>2531</v>
      </c>
      <c r="I6" s="271">
        <v>2531</v>
      </c>
    </row>
    <row r="7" spans="2:9" ht="15.75">
      <c r="B7" s="206" t="s">
        <v>3</v>
      </c>
      <c r="C7" s="92">
        <v>1818</v>
      </c>
      <c r="D7" s="92">
        <v>1818</v>
      </c>
      <c r="E7" s="136">
        <v>0</v>
      </c>
      <c r="F7" s="271">
        <v>0</v>
      </c>
      <c r="G7" s="271">
        <v>0</v>
      </c>
      <c r="H7" s="271">
        <v>0</v>
      </c>
      <c r="I7" s="271">
        <v>0</v>
      </c>
    </row>
    <row r="8" spans="2:9" ht="15.75">
      <c r="B8" s="208" t="s">
        <v>4</v>
      </c>
      <c r="C8" s="92">
        <v>1438</v>
      </c>
      <c r="D8" s="92">
        <v>1438</v>
      </c>
      <c r="E8" s="136">
        <v>0</v>
      </c>
      <c r="F8" s="271">
        <v>0</v>
      </c>
      <c r="G8" s="271">
        <v>0</v>
      </c>
      <c r="H8" s="271">
        <v>0</v>
      </c>
      <c r="I8" s="271">
        <v>0</v>
      </c>
    </row>
    <row r="9" spans="2:9" ht="15.75">
      <c r="B9" s="208" t="s">
        <v>5</v>
      </c>
      <c r="C9" s="92">
        <v>1278</v>
      </c>
      <c r="D9" s="92">
        <v>1278</v>
      </c>
      <c r="E9" s="136">
        <v>0</v>
      </c>
      <c r="F9" s="271">
        <v>0</v>
      </c>
      <c r="G9" s="271">
        <v>0</v>
      </c>
      <c r="H9" s="271">
        <v>0</v>
      </c>
      <c r="I9" s="271">
        <v>0</v>
      </c>
    </row>
    <row r="10" spans="2:9" ht="15.75">
      <c r="B10" s="209" t="s">
        <v>6</v>
      </c>
      <c r="C10" s="92">
        <v>15</v>
      </c>
      <c r="D10" s="92">
        <v>15</v>
      </c>
      <c r="E10" s="136">
        <v>15</v>
      </c>
      <c r="F10" s="271">
        <v>15</v>
      </c>
      <c r="G10" s="271">
        <v>15</v>
      </c>
      <c r="H10" s="271">
        <v>15</v>
      </c>
      <c r="I10" s="271">
        <v>15</v>
      </c>
    </row>
    <row r="11" spans="2:9" ht="15.75">
      <c r="B11" s="207" t="s">
        <v>7</v>
      </c>
      <c r="C11" s="92">
        <v>20</v>
      </c>
      <c r="D11" s="92">
        <v>20</v>
      </c>
      <c r="E11" s="136">
        <v>20</v>
      </c>
      <c r="F11" s="271">
        <v>20</v>
      </c>
      <c r="G11" s="271">
        <v>20</v>
      </c>
      <c r="H11" s="271">
        <v>20</v>
      </c>
      <c r="I11" s="271">
        <v>20</v>
      </c>
    </row>
    <row r="12" spans="2:9" ht="15.75">
      <c r="B12" s="207" t="s">
        <v>8</v>
      </c>
      <c r="C12" s="217">
        <v>18</v>
      </c>
      <c r="D12" s="217">
        <v>18</v>
      </c>
      <c r="E12" s="210">
        <v>18</v>
      </c>
      <c r="F12" s="210">
        <v>18</v>
      </c>
      <c r="G12" s="210">
        <v>18</v>
      </c>
      <c r="H12" s="210">
        <v>18</v>
      </c>
      <c r="I12" s="210">
        <v>18</v>
      </c>
    </row>
    <row r="13" spans="2:9" ht="15.75">
      <c r="B13" s="209" t="s">
        <v>9</v>
      </c>
      <c r="C13" s="92">
        <v>2015</v>
      </c>
      <c r="D13" s="92">
        <v>2007</v>
      </c>
      <c r="E13" s="136">
        <v>2000</v>
      </c>
      <c r="F13" s="271">
        <v>2000</v>
      </c>
      <c r="G13" s="271">
        <v>2000</v>
      </c>
      <c r="H13" s="271">
        <v>2000</v>
      </c>
      <c r="I13" s="271">
        <v>2000</v>
      </c>
    </row>
    <row r="14" spans="2:9" ht="15.75">
      <c r="B14" s="206" t="s">
        <v>10</v>
      </c>
      <c r="C14" s="92">
        <v>1040</v>
      </c>
      <c r="D14" s="92">
        <v>1050</v>
      </c>
      <c r="E14" s="136">
        <v>1052</v>
      </c>
      <c r="F14" s="271">
        <v>1052</v>
      </c>
      <c r="G14" s="271">
        <v>1052</v>
      </c>
      <c r="H14" s="271">
        <v>1052</v>
      </c>
      <c r="I14" s="271">
        <v>1052</v>
      </c>
    </row>
    <row r="15" spans="2:9" ht="15.75">
      <c r="B15" s="206" t="s">
        <v>12</v>
      </c>
      <c r="C15" s="92">
        <v>160</v>
      </c>
      <c r="D15" s="92">
        <v>181</v>
      </c>
      <c r="E15" s="136">
        <v>181</v>
      </c>
      <c r="F15" s="271">
        <v>181</v>
      </c>
      <c r="G15" s="271">
        <v>181</v>
      </c>
      <c r="H15" s="271">
        <v>181</v>
      </c>
      <c r="I15" s="271">
        <v>181</v>
      </c>
    </row>
    <row r="16" spans="2:9" ht="16.5" thickBot="1">
      <c r="B16" s="213" t="s">
        <v>13</v>
      </c>
      <c r="C16" s="84">
        <v>560</v>
      </c>
      <c r="D16" s="84">
        <v>561</v>
      </c>
      <c r="E16" s="214">
        <v>561</v>
      </c>
      <c r="F16" s="214">
        <v>561</v>
      </c>
      <c r="G16" s="214">
        <v>561</v>
      </c>
      <c r="H16" s="214">
        <v>561</v>
      </c>
      <c r="I16" s="214">
        <v>561</v>
      </c>
    </row>
    <row r="17" spans="2:9" ht="15.75" thickBot="1">
      <c r="B17" s="211"/>
      <c r="C17" s="92"/>
      <c r="D17" s="92"/>
      <c r="E17" s="136"/>
      <c r="F17" s="271"/>
      <c r="G17" s="271"/>
      <c r="H17" s="271"/>
      <c r="I17" s="271"/>
    </row>
    <row r="18" spans="2:9" ht="15">
      <c r="B18" s="215" t="s">
        <v>15</v>
      </c>
      <c r="C18" s="218"/>
      <c r="D18" s="218"/>
      <c r="E18" s="216"/>
      <c r="F18" s="216"/>
      <c r="G18" s="216"/>
      <c r="H18" s="216"/>
      <c r="I18" s="216"/>
    </row>
    <row r="19" spans="2:9" ht="15.75">
      <c r="B19" s="206" t="s">
        <v>25</v>
      </c>
      <c r="C19" s="92">
        <v>0</v>
      </c>
      <c r="D19" s="92">
        <v>0</v>
      </c>
      <c r="E19" s="136">
        <v>0</v>
      </c>
      <c r="F19" s="271">
        <v>0</v>
      </c>
      <c r="G19" s="271">
        <v>0</v>
      </c>
      <c r="H19" s="271">
        <v>0</v>
      </c>
      <c r="I19" s="271">
        <v>0</v>
      </c>
    </row>
    <row r="20" spans="2:9" ht="15.75">
      <c r="B20" s="207" t="s">
        <v>16</v>
      </c>
      <c r="C20" s="92">
        <v>17771</v>
      </c>
      <c r="D20" s="92">
        <v>17778</v>
      </c>
      <c r="E20" s="136">
        <v>17780</v>
      </c>
      <c r="F20" s="271">
        <v>17780</v>
      </c>
      <c r="G20" s="271">
        <v>17780</v>
      </c>
      <c r="H20" s="271">
        <v>17780</v>
      </c>
      <c r="I20" s="271">
        <v>17780</v>
      </c>
    </row>
    <row r="21" spans="2:9" ht="15.75">
      <c r="B21" s="207" t="s">
        <v>17</v>
      </c>
      <c r="C21" s="92">
        <v>18813</v>
      </c>
      <c r="D21" s="92">
        <v>18813</v>
      </c>
      <c r="E21" s="271" t="s">
        <v>36</v>
      </c>
      <c r="F21" s="271" t="s">
        <v>36</v>
      </c>
      <c r="G21" s="271" t="s">
        <v>36</v>
      </c>
      <c r="H21" s="271" t="s">
        <v>36</v>
      </c>
      <c r="I21" s="271" t="s">
        <v>36</v>
      </c>
    </row>
    <row r="22" spans="2:9" ht="15.75">
      <c r="B22" s="206" t="s">
        <v>18</v>
      </c>
      <c r="C22" s="92">
        <v>27111</v>
      </c>
      <c r="D22" s="92">
        <v>27125</v>
      </c>
      <c r="E22" s="136">
        <v>27125</v>
      </c>
      <c r="F22" s="271">
        <v>27125</v>
      </c>
      <c r="G22" s="271">
        <v>27125</v>
      </c>
      <c r="H22" s="271">
        <v>27125</v>
      </c>
      <c r="I22" s="271">
        <v>27125</v>
      </c>
    </row>
    <row r="23" spans="2:9" ht="15">
      <c r="B23" s="212" t="s">
        <v>19</v>
      </c>
      <c r="C23" s="92">
        <v>138804</v>
      </c>
      <c r="D23" s="92">
        <v>138800</v>
      </c>
      <c r="E23" s="136">
        <v>138800</v>
      </c>
      <c r="F23" s="271">
        <v>138800</v>
      </c>
      <c r="G23" s="271">
        <v>138800</v>
      </c>
      <c r="H23" s="271">
        <v>138800</v>
      </c>
      <c r="I23" s="271">
        <v>138800</v>
      </c>
    </row>
    <row r="24" spans="2:9" ht="15.75">
      <c r="B24" s="207" t="s">
        <v>20</v>
      </c>
      <c r="C24" s="92">
        <v>17818</v>
      </c>
      <c r="D24" s="92">
        <v>17972</v>
      </c>
      <c r="E24" s="136">
        <v>18005</v>
      </c>
      <c r="F24" s="271">
        <v>18005</v>
      </c>
      <c r="G24" s="271">
        <v>18005</v>
      </c>
      <c r="H24" s="271">
        <v>18005</v>
      </c>
      <c r="I24" s="271">
        <v>18005</v>
      </c>
    </row>
    <row r="25" spans="2:9" ht="16.5" thickBot="1">
      <c r="B25" s="213" t="s">
        <v>21</v>
      </c>
      <c r="C25" s="84">
        <v>27910</v>
      </c>
      <c r="D25" s="84">
        <v>29400</v>
      </c>
      <c r="E25" s="214">
        <v>29400</v>
      </c>
      <c r="F25" s="214">
        <v>29400</v>
      </c>
      <c r="G25" s="214">
        <v>29400</v>
      </c>
      <c r="H25" s="214">
        <v>29400</v>
      </c>
      <c r="I25" s="214">
        <v>29400</v>
      </c>
    </row>
    <row r="26" ht="15.75">
      <c r="B26" s="11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2:U39"/>
  <sheetViews>
    <sheetView zoomScalePageLayoutView="0" workbookViewId="0" topLeftCell="A1">
      <selection activeCell="J42" sqref="J42"/>
    </sheetView>
  </sheetViews>
  <sheetFormatPr defaultColWidth="9.140625" defaultRowHeight="15"/>
  <cols>
    <col min="1" max="1" width="1.57421875" style="156" customWidth="1"/>
    <col min="2" max="2" width="3.7109375" style="3" customWidth="1"/>
    <col min="3" max="3" width="54.00390625" style="4" customWidth="1"/>
    <col min="4" max="4" width="2.7109375" style="3" customWidth="1"/>
    <col min="5" max="6" width="16.421875" style="4" customWidth="1"/>
    <col min="7" max="9" width="2.57421875" style="4" customWidth="1"/>
    <col min="10" max="11" width="16.00390625" style="4" customWidth="1"/>
    <col min="12" max="13" width="16.00390625" style="3" customWidth="1"/>
    <col min="14" max="14" width="6.00390625" style="4" customWidth="1"/>
    <col min="15" max="15" width="18.7109375" style="4" customWidth="1"/>
    <col min="16" max="16" width="14.28125" style="4" bestFit="1" customWidth="1"/>
    <col min="17" max="17" width="12.421875" style="4" customWidth="1"/>
    <col min="18" max="19" width="9.140625" style="4" customWidth="1"/>
    <col min="20" max="20" width="16.8515625" style="4" bestFit="1" customWidth="1"/>
    <col min="21" max="16384" width="9.140625" style="4" customWidth="1"/>
  </cols>
  <sheetData>
    <row r="1" ht="15"/>
    <row r="2" spans="15:17" ht="15">
      <c r="O2" s="309"/>
      <c r="P2" s="310">
        <v>-0.001206</v>
      </c>
      <c r="Q2" s="311">
        <v>0.002017</v>
      </c>
    </row>
    <row r="3" spans="2:17" ht="15">
      <c r="B3" s="36"/>
      <c r="C3" s="37" t="s">
        <v>213</v>
      </c>
      <c r="D3" s="38"/>
      <c r="E3" s="39" t="s">
        <v>28</v>
      </c>
      <c r="F3" s="40" t="s">
        <v>29</v>
      </c>
      <c r="J3" s="754" t="s">
        <v>266</v>
      </c>
      <c r="K3" s="755"/>
      <c r="L3" s="755"/>
      <c r="M3" s="756"/>
      <c r="O3" s="312" t="s">
        <v>195</v>
      </c>
      <c r="P3" s="313" t="s">
        <v>28</v>
      </c>
      <c r="Q3" s="314" t="s">
        <v>29</v>
      </c>
    </row>
    <row r="4" spans="2:17" ht="15">
      <c r="B4" s="41">
        <v>1</v>
      </c>
      <c r="C4" s="116" t="s">
        <v>47</v>
      </c>
      <c r="D4" s="21"/>
      <c r="E4" s="381">
        <f>SUM(L7:L18)*1000</f>
        <v>2011016000</v>
      </c>
      <c r="F4" s="516">
        <f>SUM(M7:M18)*1000</f>
        <v>1257692000</v>
      </c>
      <c r="J4" s="22" t="s">
        <v>50</v>
      </c>
      <c r="K4" s="23" t="s">
        <v>51</v>
      </c>
      <c r="L4" s="23" t="s">
        <v>28</v>
      </c>
      <c r="M4" s="24" t="s">
        <v>29</v>
      </c>
      <c r="O4" s="331" t="s">
        <v>57</v>
      </c>
      <c r="P4" s="301">
        <f>P2*L5*1000</f>
        <v>-200362.42799999999</v>
      </c>
      <c r="Q4" s="301">
        <f>Q2*M5*1000</f>
        <v>218366.47100000002</v>
      </c>
    </row>
    <row r="5" spans="2:17" ht="15">
      <c r="B5" s="42">
        <v>2</v>
      </c>
      <c r="C5" s="116" t="s">
        <v>48</v>
      </c>
      <c r="D5" s="21" t="s">
        <v>49</v>
      </c>
      <c r="E5" s="381">
        <f>ROUND(E4*L26,0)</f>
        <v>14278214</v>
      </c>
      <c r="F5" s="517">
        <f>F4*L26</f>
        <v>8929613.200000001</v>
      </c>
      <c r="J5" s="362">
        <v>2018</v>
      </c>
      <c r="K5" s="324" t="s">
        <v>57</v>
      </c>
      <c r="L5" s="507">
        <v>166138</v>
      </c>
      <c r="M5" s="509">
        <v>108263</v>
      </c>
      <c r="O5" s="332" t="s">
        <v>58</v>
      </c>
      <c r="P5" s="301">
        <f>P2*L6*1000</f>
        <v>-280967.85</v>
      </c>
      <c r="Q5" s="300">
        <f>Q2*M6*1000</f>
        <v>208422.661</v>
      </c>
    </row>
    <row r="6" spans="2:16" ht="15">
      <c r="B6" s="131">
        <v>3</v>
      </c>
      <c r="C6" s="25" t="s">
        <v>56</v>
      </c>
      <c r="D6" s="28"/>
      <c r="E6" s="382">
        <f>E4-E5</f>
        <v>1996737786</v>
      </c>
      <c r="F6" s="383">
        <f>F4-F5</f>
        <v>1248762386.8</v>
      </c>
      <c r="J6" s="338"/>
      <c r="K6" s="326" t="s">
        <v>58</v>
      </c>
      <c r="L6" s="510">
        <v>232975</v>
      </c>
      <c r="M6" s="511">
        <v>103333</v>
      </c>
      <c r="P6" s="320"/>
    </row>
    <row r="7" spans="10:16" ht="15">
      <c r="J7" s="130">
        <v>2019</v>
      </c>
      <c r="K7" s="35" t="s">
        <v>59</v>
      </c>
      <c r="L7" s="506">
        <v>257992</v>
      </c>
      <c r="M7" s="508">
        <v>116701</v>
      </c>
      <c r="P7" s="320"/>
    </row>
    <row r="8" spans="10:16" ht="15">
      <c r="J8" s="26"/>
      <c r="K8" s="21" t="s">
        <v>60</v>
      </c>
      <c r="L8" s="507">
        <v>206708</v>
      </c>
      <c r="M8" s="509">
        <v>100448</v>
      </c>
      <c r="P8" s="320"/>
    </row>
    <row r="9" spans="2:16" ht="15">
      <c r="B9" s="3" t="s">
        <v>62</v>
      </c>
      <c r="C9" s="32" t="s">
        <v>70</v>
      </c>
      <c r="D9" s="33"/>
      <c r="J9" s="27"/>
      <c r="K9" s="21" t="s">
        <v>61</v>
      </c>
      <c r="L9" s="507">
        <v>181542</v>
      </c>
      <c r="M9" s="509">
        <v>96959</v>
      </c>
      <c r="P9" s="320"/>
    </row>
    <row r="10" spans="2:16" ht="15">
      <c r="B10" s="3" t="s">
        <v>71</v>
      </c>
      <c r="C10" s="32" t="str">
        <f>"Non-Metered (OL) percent determined from Billed Jurisdictional Tariff Summary for "&amp;J23</f>
        <v>Non-Metered (OL) percent determined from Billed Jurisdictional Tariff Summary for 12 months ending September 2018**</v>
      </c>
      <c r="D10" s="33"/>
      <c r="F10" s="34"/>
      <c r="J10" s="27"/>
      <c r="K10" s="21" t="s">
        <v>63</v>
      </c>
      <c r="L10" s="507">
        <v>135879</v>
      </c>
      <c r="M10" s="509">
        <v>92636</v>
      </c>
      <c r="P10" s="320"/>
    </row>
    <row r="11" spans="2:16" ht="15">
      <c r="B11" s="3" t="s">
        <v>173</v>
      </c>
      <c r="C11" s="32" t="s">
        <v>190</v>
      </c>
      <c r="J11" s="27"/>
      <c r="K11" s="21" t="s">
        <v>64</v>
      </c>
      <c r="L11" s="507">
        <v>133271</v>
      </c>
      <c r="M11" s="509">
        <v>111841</v>
      </c>
      <c r="P11" s="320"/>
    </row>
    <row r="12" spans="10:16" ht="15">
      <c r="J12" s="27"/>
      <c r="K12" s="21" t="s">
        <v>65</v>
      </c>
      <c r="L12" s="507">
        <v>129822</v>
      </c>
      <c r="M12" s="509">
        <v>102295</v>
      </c>
      <c r="O12" s="6"/>
      <c r="P12" s="320"/>
    </row>
    <row r="13" spans="10:21" ht="15">
      <c r="J13" s="27"/>
      <c r="K13" s="21" t="s">
        <v>52</v>
      </c>
      <c r="L13" s="507">
        <v>166292</v>
      </c>
      <c r="M13" s="509">
        <v>112347</v>
      </c>
      <c r="P13" s="320"/>
      <c r="T13"/>
      <c r="U13"/>
    </row>
    <row r="14" spans="10:21" ht="15">
      <c r="J14" s="27"/>
      <c r="K14" s="21" t="s">
        <v>53</v>
      </c>
      <c r="L14" s="507">
        <v>163517</v>
      </c>
      <c r="M14" s="509">
        <v>113061</v>
      </c>
      <c r="O14" s="29"/>
      <c r="P14" s="320"/>
      <c r="T14"/>
      <c r="U14"/>
    </row>
    <row r="15" spans="10:21" ht="15">
      <c r="J15" s="27"/>
      <c r="K15" s="21" t="s">
        <v>54</v>
      </c>
      <c r="L15" s="507">
        <v>124574</v>
      </c>
      <c r="M15" s="509">
        <v>99879</v>
      </c>
      <c r="P15" s="320"/>
      <c r="T15"/>
      <c r="U15"/>
    </row>
    <row r="16" spans="10:21" ht="15">
      <c r="J16" s="27"/>
      <c r="K16" s="21" t="s">
        <v>55</v>
      </c>
      <c r="L16" s="507">
        <v>113076</v>
      </c>
      <c r="M16" s="509">
        <v>99140</v>
      </c>
      <c r="P16" s="320"/>
      <c r="T16"/>
      <c r="U16"/>
    </row>
    <row r="17" spans="4:21" ht="15">
      <c r="D17" s="4"/>
      <c r="J17" s="27"/>
      <c r="K17" s="21" t="s">
        <v>57</v>
      </c>
      <c r="L17" s="507">
        <v>167629</v>
      </c>
      <c r="M17" s="509">
        <v>110064</v>
      </c>
      <c r="P17" s="320"/>
      <c r="T17"/>
      <c r="U17"/>
    </row>
    <row r="18" spans="2:21" ht="15.75" thickBot="1">
      <c r="B18" s="4"/>
      <c r="D18" s="4"/>
      <c r="J18" s="27"/>
      <c r="K18" s="21" t="s">
        <v>58</v>
      </c>
      <c r="L18" s="507">
        <v>230714</v>
      </c>
      <c r="M18" s="509">
        <v>102321</v>
      </c>
      <c r="T18"/>
      <c r="U18"/>
    </row>
    <row r="19" spans="2:21" ht="15">
      <c r="B19" s="4"/>
      <c r="J19" s="757" t="s">
        <v>66</v>
      </c>
      <c r="K19" s="758"/>
      <c r="L19" s="43">
        <f>SUM(L7:L18)</f>
        <v>2011016</v>
      </c>
      <c r="M19" s="44">
        <f>SUM(M7:M18)</f>
        <v>1257692</v>
      </c>
      <c r="T19"/>
      <c r="U19"/>
    </row>
    <row r="20" spans="20:21" ht="15">
      <c r="T20"/>
      <c r="U20"/>
    </row>
    <row r="21" spans="20:21" ht="15">
      <c r="T21"/>
      <c r="U21"/>
    </row>
    <row r="22" spans="20:21" ht="15.75" thickBot="1">
      <c r="T22"/>
      <c r="U22"/>
    </row>
    <row r="23" spans="10:21" ht="15.75" thickBot="1">
      <c r="J23" s="759" t="s">
        <v>247</v>
      </c>
      <c r="K23" s="760"/>
      <c r="L23" s="761"/>
      <c r="M23" s="4"/>
      <c r="P23" s="351"/>
      <c r="T23"/>
      <c r="U23"/>
    </row>
    <row r="24" spans="10:21" ht="15.75" customHeight="1">
      <c r="J24" s="762" t="s">
        <v>67</v>
      </c>
      <c r="K24" s="763"/>
      <c r="L24" s="521">
        <v>5827233929</v>
      </c>
      <c r="O24" s="30"/>
      <c r="T24"/>
      <c r="U24"/>
    </row>
    <row r="25" spans="10:21" ht="15">
      <c r="J25" s="764" t="s">
        <v>68</v>
      </c>
      <c r="K25" s="765"/>
      <c r="L25" s="522">
        <v>41627422</v>
      </c>
      <c r="O25" s="30"/>
      <c r="T25"/>
      <c r="U25"/>
    </row>
    <row r="26" spans="10:21" ht="15">
      <c r="J26" s="766" t="s">
        <v>69</v>
      </c>
      <c r="K26" s="767"/>
      <c r="L26" s="31">
        <f>ROUND(L25/L24,4)</f>
        <v>0.0071</v>
      </c>
      <c r="O26" s="30"/>
      <c r="T26"/>
      <c r="U26"/>
    </row>
    <row r="27" spans="15:21" ht="15">
      <c r="O27" s="30"/>
      <c r="T27"/>
      <c r="U27"/>
    </row>
    <row r="28" spans="10:21" ht="15">
      <c r="J28"/>
      <c r="K28"/>
      <c r="L28"/>
      <c r="M28"/>
      <c r="O28" s="30"/>
      <c r="T28"/>
      <c r="U28"/>
    </row>
    <row r="29" spans="10:21" ht="15">
      <c r="J29"/>
      <c r="K29"/>
      <c r="L29"/>
      <c r="M29"/>
      <c r="O29" s="30"/>
      <c r="T29"/>
      <c r="U29"/>
    </row>
    <row r="30" spans="10:21" ht="15">
      <c r="J30"/>
      <c r="K30"/>
      <c r="L30"/>
      <c r="M30"/>
      <c r="O30" s="30"/>
      <c r="T30"/>
      <c r="U30"/>
    </row>
    <row r="31" spans="10:21" ht="15">
      <c r="J31"/>
      <c r="K31"/>
      <c r="L31"/>
      <c r="M31"/>
      <c r="O31" s="30"/>
      <c r="T31"/>
      <c r="U31"/>
    </row>
    <row r="32" spans="10:21" ht="15">
      <c r="J32"/>
      <c r="K32"/>
      <c r="L32"/>
      <c r="M32"/>
      <c r="O32" s="30"/>
      <c r="T32"/>
      <c r="U32"/>
    </row>
    <row r="33" spans="10:21" ht="15">
      <c r="J33"/>
      <c r="K33"/>
      <c r="L33"/>
      <c r="M33"/>
      <c r="O33" s="30"/>
      <c r="T33"/>
      <c r="U33"/>
    </row>
    <row r="34" spans="15:21" ht="15">
      <c r="O34" s="30"/>
      <c r="T34"/>
      <c r="U34"/>
    </row>
    <row r="35" spans="12:21" ht="15">
      <c r="L35" s="4"/>
      <c r="M35" s="4"/>
      <c r="O35" s="30"/>
      <c r="T35"/>
      <c r="U35"/>
    </row>
    <row r="36" spans="12:21" ht="15">
      <c r="L36" s="4"/>
      <c r="M36" s="4"/>
      <c r="O36" s="30"/>
      <c r="T36"/>
      <c r="U36"/>
    </row>
    <row r="37" spans="15:21" ht="15">
      <c r="O37" s="30"/>
      <c r="T37"/>
      <c r="U37"/>
    </row>
    <row r="38" spans="15:20" ht="15">
      <c r="O38" s="30"/>
      <c r="T38" s="6"/>
    </row>
    <row r="39" ht="15">
      <c r="O39" s="7"/>
    </row>
  </sheetData>
  <sheetProtection/>
  <mergeCells count="6">
    <mergeCell ref="J3:M3"/>
    <mergeCell ref="J19:K19"/>
    <mergeCell ref="J23:L23"/>
    <mergeCell ref="J24:K24"/>
    <mergeCell ref="J25:K25"/>
    <mergeCell ref="J26:K26"/>
  </mergeCells>
  <printOptions/>
  <pageMargins left="0.7" right="0.7" top="0.75" bottom="0.75" header="0.3" footer="0.3"/>
  <pageSetup horizontalDpi="600" verticalDpi="600" orientation="landscape" scale="6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D17"/>
  <sheetViews>
    <sheetView zoomScalePageLayoutView="0" workbookViewId="0" topLeftCell="A1">
      <selection activeCell="H42" sqref="H42"/>
    </sheetView>
  </sheetViews>
  <sheetFormatPr defaultColWidth="9.140625" defaultRowHeight="15"/>
  <cols>
    <col min="2" max="2" width="18.140625" style="0" customWidth="1"/>
    <col min="3" max="4" width="22.7109375" style="0" customWidth="1"/>
  </cols>
  <sheetData>
    <row r="1" ht="15.75" thickBot="1"/>
    <row r="2" spans="1:4" ht="15.75" thickBot="1">
      <c r="A2" s="770"/>
      <c r="B2" s="771"/>
      <c r="C2" s="768" t="s">
        <v>194</v>
      </c>
      <c r="D2" s="769"/>
    </row>
    <row r="3" spans="1:4" ht="15.75" thickBot="1">
      <c r="A3" s="302" t="s">
        <v>50</v>
      </c>
      <c r="B3" s="303" t="s">
        <v>51</v>
      </c>
      <c r="C3" s="290" t="s">
        <v>28</v>
      </c>
      <c r="D3" s="304" t="s">
        <v>29</v>
      </c>
    </row>
    <row r="4" spans="1:4" s="340" customFormat="1" ht="15">
      <c r="A4" s="292">
        <v>2017</v>
      </c>
      <c r="B4" s="305" t="s">
        <v>57</v>
      </c>
      <c r="C4" s="358">
        <v>1028789.85</v>
      </c>
      <c r="D4" s="359">
        <v>387185.75</v>
      </c>
    </row>
    <row r="5" spans="1:4" ht="15.75" thickBot="1">
      <c r="A5" s="360" t="s">
        <v>36</v>
      </c>
      <c r="B5" s="298" t="s">
        <v>58</v>
      </c>
      <c r="C5" s="293">
        <v>1661257</v>
      </c>
      <c r="D5" s="294">
        <v>450411.12</v>
      </c>
    </row>
    <row r="6" spans="1:4" ht="15">
      <c r="A6" s="292">
        <v>2018</v>
      </c>
      <c r="B6" s="200" t="s">
        <v>59</v>
      </c>
      <c r="C6" s="354">
        <v>1304686</v>
      </c>
      <c r="D6" s="295">
        <v>437656.55</v>
      </c>
    </row>
    <row r="7" spans="1:4" ht="15">
      <c r="A7" s="299"/>
      <c r="B7" s="305" t="s">
        <v>60</v>
      </c>
      <c r="C7" s="306">
        <v>-271621.6</v>
      </c>
      <c r="D7" s="296">
        <v>233892.03</v>
      </c>
    </row>
    <row r="8" spans="1:4" ht="15">
      <c r="A8" s="299"/>
      <c r="B8" s="305" t="s">
        <v>61</v>
      </c>
      <c r="C8" s="306">
        <v>-204634.93</v>
      </c>
      <c r="D8" s="296">
        <v>196842.32</v>
      </c>
    </row>
    <row r="9" spans="1:4" ht="15">
      <c r="A9" s="299"/>
      <c r="B9" s="305" t="s">
        <v>63</v>
      </c>
      <c r="C9" s="306">
        <v>-209232.14</v>
      </c>
      <c r="D9" s="296">
        <v>200175.18</v>
      </c>
    </row>
    <row r="10" spans="1:4" ht="15">
      <c r="A10" s="299"/>
      <c r="B10" s="305" t="s">
        <v>64</v>
      </c>
      <c r="C10" s="306">
        <v>-150269.63</v>
      </c>
      <c r="D10" s="296">
        <v>184175.29</v>
      </c>
    </row>
    <row r="11" spans="1:4" ht="15">
      <c r="A11" s="299"/>
      <c r="B11" s="305" t="s">
        <v>65</v>
      </c>
      <c r="C11" s="306">
        <v>-180073.2</v>
      </c>
      <c r="D11" s="296">
        <v>219524.16</v>
      </c>
    </row>
    <row r="12" spans="1:4" ht="15">
      <c r="A12" s="299"/>
      <c r="B12" s="305" t="s">
        <v>52</v>
      </c>
      <c r="C12" s="308">
        <v>-205494.39</v>
      </c>
      <c r="D12" s="297">
        <v>224934.41</v>
      </c>
    </row>
    <row r="13" spans="1:4" ht="15">
      <c r="A13" s="299"/>
      <c r="B13" s="305" t="s">
        <v>53</v>
      </c>
      <c r="C13" s="308">
        <v>-191862.89</v>
      </c>
      <c r="D13" s="297">
        <v>216751.56</v>
      </c>
    </row>
    <row r="14" spans="1:4" ht="15">
      <c r="A14" s="299"/>
      <c r="B14" s="305" t="s">
        <v>54</v>
      </c>
      <c r="C14" s="308">
        <v>-192043.08</v>
      </c>
      <c r="D14" s="297">
        <v>226418.11</v>
      </c>
    </row>
    <row r="15" spans="1:4" ht="15">
      <c r="A15" s="299"/>
      <c r="B15" s="305" t="s">
        <v>55</v>
      </c>
      <c r="C15" s="307">
        <v>-157101.44</v>
      </c>
      <c r="D15" s="297">
        <v>204566.28</v>
      </c>
    </row>
    <row r="16" spans="1:4" ht="15">
      <c r="A16" s="299"/>
      <c r="B16" s="305" t="s">
        <v>57</v>
      </c>
      <c r="C16" s="307"/>
      <c r="D16" s="352"/>
    </row>
    <row r="17" spans="1:4" ht="15.75" thickBot="1">
      <c r="A17" s="291"/>
      <c r="B17" s="298" t="s">
        <v>58</v>
      </c>
      <c r="C17" s="356"/>
      <c r="D17" s="355"/>
    </row>
  </sheetData>
  <sheetProtection/>
  <mergeCells count="2">
    <mergeCell ref="C2:D2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6">
      <selection activeCell="I19" sqref="I19"/>
    </sheetView>
  </sheetViews>
  <sheetFormatPr defaultColWidth="9.140625" defaultRowHeight="15"/>
  <cols>
    <col min="1" max="1" width="3.28125" style="45" customWidth="1"/>
    <col min="2" max="2" width="3.28125" style="46" customWidth="1"/>
    <col min="3" max="3" width="3.8515625" style="46" customWidth="1"/>
    <col min="4" max="7" width="12.8515625" style="45" customWidth="1"/>
    <col min="8" max="8" width="41.28125" style="45" customWidth="1"/>
    <col min="9" max="9" width="15.8515625" style="45" customWidth="1"/>
    <col min="10" max="13" width="9.140625" style="45" customWidth="1"/>
    <col min="14" max="14" width="12.140625" style="45" bestFit="1" customWidth="1"/>
    <col min="15" max="23" width="9.140625" style="45" customWidth="1"/>
    <col min="24" max="16384" width="9.140625" style="45" customWidth="1"/>
  </cols>
  <sheetData>
    <row r="1" ht="15">
      <c r="I1" s="154" t="s">
        <v>157</v>
      </c>
    </row>
    <row r="2" spans="2:9" ht="15">
      <c r="B2" s="705" t="s">
        <v>26</v>
      </c>
      <c r="C2" s="705"/>
      <c r="D2" s="705"/>
      <c r="E2" s="705"/>
      <c r="F2" s="705"/>
      <c r="G2" s="705"/>
      <c r="H2" s="705"/>
      <c r="I2" s="705"/>
    </row>
    <row r="3" spans="2:9" ht="15">
      <c r="B3" s="705" t="s">
        <v>43</v>
      </c>
      <c r="C3" s="705"/>
      <c r="D3" s="705"/>
      <c r="E3" s="705"/>
      <c r="F3" s="705"/>
      <c r="G3" s="705"/>
      <c r="H3" s="705"/>
      <c r="I3" s="705"/>
    </row>
    <row r="4" spans="2:9" ht="15">
      <c r="B4" s="706" t="s">
        <v>219</v>
      </c>
      <c r="C4" s="705"/>
      <c r="D4" s="705"/>
      <c r="E4" s="705"/>
      <c r="F4" s="705"/>
      <c r="G4" s="705"/>
      <c r="H4" s="705"/>
      <c r="I4" s="705"/>
    </row>
    <row r="5" spans="2:9" ht="15">
      <c r="B5" s="707" t="str">
        <f>Input!D3</f>
        <v>September 30, 2022</v>
      </c>
      <c r="C5" s="706"/>
      <c r="D5" s="706"/>
      <c r="E5" s="706"/>
      <c r="F5" s="706"/>
      <c r="G5" s="706"/>
      <c r="H5" s="706"/>
      <c r="I5" s="706"/>
    </row>
    <row r="7" spans="2:3" ht="15">
      <c r="B7" s="46" t="s">
        <v>38</v>
      </c>
      <c r="C7" s="55" t="s">
        <v>143</v>
      </c>
    </row>
    <row r="8" spans="3:9" ht="15">
      <c r="C8" s="129" t="s">
        <v>144</v>
      </c>
      <c r="D8" s="263" t="s">
        <v>155</v>
      </c>
      <c r="I8" s="550">
        <f>Input!C16</f>
        <v>-58376</v>
      </c>
    </row>
    <row r="9" spans="3:9" ht="15">
      <c r="C9" s="665"/>
      <c r="D9" s="670"/>
      <c r="E9" s="514"/>
      <c r="F9" s="514"/>
      <c r="G9" s="514"/>
      <c r="H9" s="514"/>
      <c r="I9" s="671"/>
    </row>
    <row r="10" spans="2:8" ht="15">
      <c r="B10" s="46" t="s">
        <v>39</v>
      </c>
      <c r="C10" s="47" t="s">
        <v>205</v>
      </c>
      <c r="G10" s="48"/>
      <c r="H10" s="48"/>
    </row>
    <row r="11" spans="3:8" ht="15">
      <c r="C11" s="263" t="str">
        <f>Input!D5</f>
        <v>October 1, 2021 to December 31, 2021</v>
      </c>
      <c r="G11" s="48"/>
      <c r="H11" s="48"/>
    </row>
    <row r="12" spans="3:9" ht="15">
      <c r="C12" s="129" t="s">
        <v>144</v>
      </c>
      <c r="D12" s="263" t="s">
        <v>27</v>
      </c>
      <c r="I12" s="49">
        <f>'Input - Program Costs'!C20</f>
        <v>69423.78</v>
      </c>
    </row>
    <row r="13" spans="3:9" ht="15">
      <c r="C13" s="129" t="s">
        <v>145</v>
      </c>
      <c r="D13" s="263" t="s">
        <v>150</v>
      </c>
      <c r="I13" s="49">
        <f>'Input - Lost Revenue'!G17</f>
        <v>3368</v>
      </c>
    </row>
    <row r="14" spans="3:9" ht="15">
      <c r="C14" s="129" t="s">
        <v>146</v>
      </c>
      <c r="D14" s="263" t="s">
        <v>33</v>
      </c>
      <c r="I14" s="49">
        <f>'Input - Incentives'!K14</f>
        <v>325.20000000000005</v>
      </c>
    </row>
    <row r="15" spans="3:9" ht="15">
      <c r="C15" s="129" t="s">
        <v>147</v>
      </c>
      <c r="D15" s="127" t="s">
        <v>169</v>
      </c>
      <c r="I15" s="264">
        <f>I12+I13+I14</f>
        <v>73116.98</v>
      </c>
    </row>
    <row r="16" spans="2:9" ht="15">
      <c r="B16" s="45"/>
      <c r="C16" s="45"/>
      <c r="I16" s="49"/>
    </row>
    <row r="17" spans="3:8" ht="15">
      <c r="C17" s="263" t="str">
        <f>Input!D6</f>
        <v>January 1, 2022 to September 30, 2022</v>
      </c>
      <c r="G17" s="48"/>
      <c r="H17" s="48"/>
    </row>
    <row r="18" spans="3:9" ht="15">
      <c r="C18" s="129" t="s">
        <v>196</v>
      </c>
      <c r="D18" s="263" t="s">
        <v>27</v>
      </c>
      <c r="I18" s="49">
        <f>'Input - Program Costs'!D20</f>
        <v>175890.66</v>
      </c>
    </row>
    <row r="19" spans="3:9" ht="15">
      <c r="C19" s="129" t="s">
        <v>197</v>
      </c>
      <c r="D19" s="263" t="s">
        <v>150</v>
      </c>
      <c r="I19" s="49">
        <f>'Input - Lost Revenue'!G44</f>
        <v>16411</v>
      </c>
    </row>
    <row r="20" spans="3:9" ht="15">
      <c r="C20" s="129" t="s">
        <v>198</v>
      </c>
      <c r="D20" s="263" t="s">
        <v>33</v>
      </c>
      <c r="I20" s="49">
        <f>'Input - Incentives'!L14</f>
        <v>1653.1000000000001</v>
      </c>
    </row>
    <row r="21" spans="3:9" ht="15">
      <c r="C21" s="129" t="s">
        <v>199</v>
      </c>
      <c r="D21" s="127" t="s">
        <v>200</v>
      </c>
      <c r="I21" s="264">
        <f>I18+I19+I20</f>
        <v>193954.76</v>
      </c>
    </row>
    <row r="22" spans="2:9" ht="15">
      <c r="B22" s="45"/>
      <c r="C22" s="45"/>
      <c r="I22" s="49"/>
    </row>
    <row r="23" spans="2:9" ht="15">
      <c r="B23" s="45"/>
      <c r="C23" s="129" t="s">
        <v>201</v>
      </c>
      <c r="D23" s="263" t="s">
        <v>202</v>
      </c>
      <c r="I23" s="53">
        <f>I15+I21</f>
        <v>267071.74</v>
      </c>
    </row>
    <row r="24" spans="2:11" ht="15">
      <c r="B24" s="45"/>
      <c r="C24" s="45"/>
      <c r="I24" s="49"/>
      <c r="K24" s="514"/>
    </row>
    <row r="25" spans="2:11" ht="15">
      <c r="B25" s="47" t="s">
        <v>40</v>
      </c>
      <c r="C25" s="47" t="s">
        <v>148</v>
      </c>
      <c r="K25" s="514"/>
    </row>
    <row r="26" spans="2:11" ht="15">
      <c r="B26" s="45"/>
      <c r="C26" s="129" t="s">
        <v>144</v>
      </c>
      <c r="D26" s="127" t="s">
        <v>208</v>
      </c>
      <c r="I26" s="53">
        <f>I23+I8</f>
        <v>208695.74</v>
      </c>
      <c r="K26" s="514"/>
    </row>
    <row r="27" spans="2:11" ht="15">
      <c r="B27" s="45"/>
      <c r="C27" s="45"/>
      <c r="I27" s="49"/>
      <c r="K27" s="514"/>
    </row>
    <row r="28" spans="2:11" ht="15">
      <c r="B28" s="128" t="s">
        <v>41</v>
      </c>
      <c r="C28" s="47" t="s">
        <v>189</v>
      </c>
      <c r="K28" s="514"/>
    </row>
    <row r="29" spans="2:11" ht="15">
      <c r="B29" s="128"/>
      <c r="C29" s="129" t="s">
        <v>144</v>
      </c>
      <c r="D29" s="263" t="str">
        <f>Input!D11</f>
        <v>October 1, 2021 to September 30, 2022</v>
      </c>
      <c r="I29" s="53">
        <f>Input!D35</f>
        <v>265494.27999999997</v>
      </c>
      <c r="K29" s="514"/>
    </row>
    <row r="30" spans="2:11" ht="15">
      <c r="B30" s="128"/>
      <c r="C30" s="128"/>
      <c r="D30" s="47"/>
      <c r="I30" s="126"/>
      <c r="K30" s="514"/>
    </row>
    <row r="31" spans="2:18" ht="15">
      <c r="B31" s="128" t="s">
        <v>42</v>
      </c>
      <c r="C31" s="47" t="s">
        <v>151</v>
      </c>
      <c r="K31" s="514"/>
      <c r="L31" s="514"/>
      <c r="M31" s="514"/>
      <c r="N31" s="594"/>
      <c r="O31" s="514"/>
      <c r="P31" s="514"/>
      <c r="Q31" s="514"/>
      <c r="R31" s="514"/>
    </row>
    <row r="32" spans="3:18" ht="15">
      <c r="C32" s="129" t="s">
        <v>144</v>
      </c>
      <c r="D32" s="263" t="s">
        <v>220</v>
      </c>
      <c r="E32" s="370"/>
      <c r="I32" s="53">
        <f>I26-I29</f>
        <v>-56798.53999999998</v>
      </c>
      <c r="K32" s="514"/>
      <c r="L32" s="514"/>
      <c r="M32" s="514"/>
      <c r="N32" s="595"/>
      <c r="O32" s="514"/>
      <c r="P32" s="514"/>
      <c r="Q32" s="514"/>
      <c r="R32" s="514"/>
    </row>
    <row r="33" spans="9:18" ht="15">
      <c r="I33" s="49"/>
      <c r="K33" s="514"/>
      <c r="L33" s="514"/>
      <c r="M33" s="514"/>
      <c r="N33" s="595"/>
      <c r="O33" s="514"/>
      <c r="P33" s="514"/>
      <c r="Q33" s="514"/>
      <c r="R33" s="514"/>
    </row>
    <row r="34" spans="1:18" s="127" customFormat="1" ht="15">
      <c r="A34" s="45"/>
      <c r="B34" s="128" t="s">
        <v>75</v>
      </c>
      <c r="C34" s="47" t="s">
        <v>204</v>
      </c>
      <c r="D34" s="45"/>
      <c r="E34" s="45"/>
      <c r="F34" s="45"/>
      <c r="G34" s="51"/>
      <c r="H34" s="51"/>
      <c r="I34" s="45"/>
      <c r="K34" s="593"/>
      <c r="L34" s="593"/>
      <c r="M34" s="155"/>
      <c r="N34" s="596"/>
      <c r="O34" s="155"/>
      <c r="P34" s="155"/>
      <c r="Q34" s="155"/>
      <c r="R34" s="593"/>
    </row>
    <row r="35" spans="1:18" s="127" customFormat="1" ht="15">
      <c r="A35" s="45"/>
      <c r="B35" s="128"/>
      <c r="C35" s="369" t="str">
        <f>Input!D8</f>
        <v>October 1, 2022 to December 31, 2022</v>
      </c>
      <c r="D35" s="45"/>
      <c r="E35" s="45"/>
      <c r="F35" s="45"/>
      <c r="G35" s="51"/>
      <c r="H35" s="51"/>
      <c r="I35" s="45"/>
      <c r="K35" s="593"/>
      <c r="L35" s="593"/>
      <c r="M35" s="155"/>
      <c r="N35" s="596"/>
      <c r="O35" s="155"/>
      <c r="P35" s="155"/>
      <c r="Q35" s="155"/>
      <c r="R35" s="593"/>
    </row>
    <row r="36" spans="1:18" s="127" customFormat="1" ht="15">
      <c r="A36" s="45"/>
      <c r="B36" s="46"/>
      <c r="C36" s="129" t="s">
        <v>144</v>
      </c>
      <c r="D36" s="263" t="s">
        <v>27</v>
      </c>
      <c r="E36" s="45"/>
      <c r="F36" s="45"/>
      <c r="G36" s="45"/>
      <c r="H36" s="45"/>
      <c r="I36" s="49">
        <f>'Input - Program Costs'!E20</f>
        <v>105109.34</v>
      </c>
      <c r="K36" s="593"/>
      <c r="L36" s="593"/>
      <c r="M36" s="155"/>
      <c r="N36" s="381"/>
      <c r="O36" s="155"/>
      <c r="P36" s="155"/>
      <c r="Q36" s="155"/>
      <c r="R36" s="593"/>
    </row>
    <row r="37" spans="1:18" s="127" customFormat="1" ht="15">
      <c r="A37" s="45"/>
      <c r="B37" s="46"/>
      <c r="C37" s="129" t="s">
        <v>145</v>
      </c>
      <c r="D37" s="263" t="s">
        <v>150</v>
      </c>
      <c r="E37" s="45"/>
      <c r="F37" s="45"/>
      <c r="G37" s="45"/>
      <c r="H37" s="45"/>
      <c r="I37" s="49">
        <f>'Input - Lost Revenue'!G71</f>
        <v>5470</v>
      </c>
      <c r="K37" s="593"/>
      <c r="L37" s="593"/>
      <c r="M37" s="155"/>
      <c r="N37" s="155"/>
      <c r="O37" s="155"/>
      <c r="P37" s="155"/>
      <c r="Q37" s="155"/>
      <c r="R37" s="593"/>
    </row>
    <row r="38" spans="1:18" s="127" customFormat="1" ht="15">
      <c r="A38" s="45"/>
      <c r="B38" s="46"/>
      <c r="C38" s="129" t="s">
        <v>146</v>
      </c>
      <c r="D38" s="263" t="s">
        <v>33</v>
      </c>
      <c r="E38" s="45"/>
      <c r="F38" s="45"/>
      <c r="G38" s="45"/>
      <c r="H38" s="45"/>
      <c r="I38" s="49">
        <f>'Input - Incentives'!M14</f>
        <v>731.7</v>
      </c>
      <c r="K38" s="593"/>
      <c r="L38" s="593"/>
      <c r="M38" s="593"/>
      <c r="N38" s="593"/>
      <c r="O38" s="593"/>
      <c r="P38" s="593"/>
      <c r="Q38" s="593"/>
      <c r="R38" s="593"/>
    </row>
    <row r="39" spans="1:18" s="127" customFormat="1" ht="15">
      <c r="A39" s="45"/>
      <c r="B39" s="46"/>
      <c r="C39" s="129" t="s">
        <v>147</v>
      </c>
      <c r="D39" s="263" t="s">
        <v>193</v>
      </c>
      <c r="E39" s="45"/>
      <c r="F39" s="45"/>
      <c r="G39" s="45"/>
      <c r="H39" s="45"/>
      <c r="I39" s="264">
        <f>SUM(I36:I38)</f>
        <v>111311.04</v>
      </c>
      <c r="K39" s="593"/>
      <c r="L39" s="593"/>
      <c r="M39" s="593"/>
      <c r="N39" s="593"/>
      <c r="O39" s="593"/>
      <c r="P39" s="593"/>
      <c r="Q39" s="593"/>
      <c r="R39" s="593"/>
    </row>
    <row r="40" spans="9:18" ht="15">
      <c r="I40" s="49"/>
      <c r="K40" s="514"/>
      <c r="L40" s="514"/>
      <c r="M40" s="514"/>
      <c r="N40" s="514"/>
      <c r="O40" s="514"/>
      <c r="P40" s="514"/>
      <c r="Q40" s="514"/>
      <c r="R40" s="514"/>
    </row>
    <row r="41" spans="3:18" ht="15">
      <c r="C41" s="263" t="str">
        <f>Input!D9</f>
        <v>January 1, 2023 to December 31, 2023</v>
      </c>
      <c r="I41" s="49"/>
      <c r="K41" s="514"/>
      <c r="L41" s="514"/>
      <c r="M41" s="514"/>
      <c r="N41" s="514"/>
      <c r="O41" s="514"/>
      <c r="P41" s="514"/>
      <c r="Q41" s="514"/>
      <c r="R41" s="514"/>
    </row>
    <row r="42" spans="1:18" s="127" customFormat="1" ht="15">
      <c r="A42" s="45"/>
      <c r="B42" s="46"/>
      <c r="C42" s="129" t="s">
        <v>196</v>
      </c>
      <c r="D42" s="263" t="s">
        <v>27</v>
      </c>
      <c r="E42" s="45"/>
      <c r="F42" s="45"/>
      <c r="G42" s="45"/>
      <c r="H42" s="45"/>
      <c r="I42" s="49">
        <f>'Input - Program Costs'!F20</f>
        <v>466575</v>
      </c>
      <c r="K42" s="593"/>
      <c r="L42" s="593"/>
      <c r="M42" s="155"/>
      <c r="N42" s="155"/>
      <c r="O42" s="155"/>
      <c r="P42" s="155"/>
      <c r="Q42" s="155"/>
      <c r="R42" s="593"/>
    </row>
    <row r="43" spans="1:18" s="127" customFormat="1" ht="15">
      <c r="A43" s="45"/>
      <c r="B43" s="46"/>
      <c r="C43" s="129" t="s">
        <v>197</v>
      </c>
      <c r="D43" s="263" t="s">
        <v>150</v>
      </c>
      <c r="E43" s="45"/>
      <c r="F43" s="45"/>
      <c r="G43" s="45"/>
      <c r="H43" s="45"/>
      <c r="I43" s="49">
        <f>'Input - Lost Revenue'!G98</f>
        <v>22917</v>
      </c>
      <c r="K43" s="593"/>
      <c r="L43" s="593"/>
      <c r="M43" s="155"/>
      <c r="N43" s="155"/>
      <c r="O43" s="155"/>
      <c r="P43" s="155"/>
      <c r="Q43" s="155"/>
      <c r="R43" s="593"/>
    </row>
    <row r="44" spans="1:18" s="127" customFormat="1" ht="15">
      <c r="A44" s="45"/>
      <c r="B44" s="46"/>
      <c r="C44" s="129" t="s">
        <v>198</v>
      </c>
      <c r="D44" s="263" t="s">
        <v>33</v>
      </c>
      <c r="E44" s="45"/>
      <c r="F44" s="45"/>
      <c r="G44" s="45"/>
      <c r="H44" s="45"/>
      <c r="I44" s="49">
        <f>'Input - Incentives'!N14</f>
        <v>2655.8</v>
      </c>
      <c r="K44" s="593"/>
      <c r="L44" s="593"/>
      <c r="M44" s="593"/>
      <c r="N44" s="593"/>
      <c r="O44" s="593"/>
      <c r="P44" s="593"/>
      <c r="Q44" s="593"/>
      <c r="R44" s="593"/>
    </row>
    <row r="45" spans="1:18" s="127" customFormat="1" ht="15">
      <c r="A45" s="45"/>
      <c r="B45" s="46"/>
      <c r="C45" s="129" t="s">
        <v>199</v>
      </c>
      <c r="D45" s="263" t="s">
        <v>203</v>
      </c>
      <c r="E45" s="45"/>
      <c r="F45" s="45"/>
      <c r="G45" s="45"/>
      <c r="H45" s="45"/>
      <c r="I45" s="264">
        <f>SUM(I42:I44)</f>
        <v>492147.8</v>
      </c>
      <c r="K45" s="593"/>
      <c r="L45" s="593"/>
      <c r="M45" s="593"/>
      <c r="N45" s="593"/>
      <c r="O45" s="593"/>
      <c r="P45" s="593"/>
      <c r="Q45" s="593"/>
      <c r="R45" s="593"/>
    </row>
    <row r="46" spans="9:18" ht="15">
      <c r="I46" s="49"/>
      <c r="K46" s="514"/>
      <c r="L46" s="514"/>
      <c r="M46" s="514"/>
      <c r="N46" s="514"/>
      <c r="O46" s="514"/>
      <c r="P46" s="514"/>
      <c r="Q46" s="514"/>
      <c r="R46" s="514"/>
    </row>
    <row r="47" spans="2:18" ht="15">
      <c r="B47" s="45"/>
      <c r="C47" s="129" t="s">
        <v>201</v>
      </c>
      <c r="D47" s="263" t="s">
        <v>278</v>
      </c>
      <c r="I47" s="53">
        <f>I39+I45</f>
        <v>603458.84</v>
      </c>
      <c r="K47" s="514"/>
      <c r="L47" s="514"/>
      <c r="M47" s="514"/>
      <c r="N47" s="514"/>
      <c r="O47" s="514"/>
      <c r="P47" s="514"/>
      <c r="Q47" s="514"/>
      <c r="R47" s="514"/>
    </row>
    <row r="48" spans="2:18" ht="15">
      <c r="B48" s="45"/>
      <c r="C48" s="45"/>
      <c r="I48" s="49"/>
      <c r="K48" s="514"/>
      <c r="L48" s="514"/>
      <c r="M48" s="514"/>
      <c r="N48" s="514"/>
      <c r="O48" s="514"/>
      <c r="P48" s="514"/>
      <c r="Q48" s="514"/>
      <c r="R48" s="514"/>
    </row>
    <row r="49" spans="1:18" ht="15">
      <c r="A49" s="127"/>
      <c r="B49" s="128" t="s">
        <v>142</v>
      </c>
      <c r="C49" s="55" t="s">
        <v>216</v>
      </c>
      <c r="D49" s="127"/>
      <c r="E49" s="127"/>
      <c r="F49" s="127"/>
      <c r="G49" s="127"/>
      <c r="I49" s="156"/>
      <c r="K49" s="514"/>
      <c r="L49" s="514"/>
      <c r="M49" s="514"/>
      <c r="N49" s="514"/>
      <c r="O49" s="514"/>
      <c r="P49" s="514"/>
      <c r="Q49" s="514"/>
      <c r="R49" s="514"/>
    </row>
    <row r="50" spans="1:18" ht="15">
      <c r="A50" s="127"/>
      <c r="B50" s="128"/>
      <c r="C50" s="672" t="str">
        <f>Input!D8</f>
        <v>October 1, 2022 to December 31, 2022</v>
      </c>
      <c r="D50" s="127"/>
      <c r="E50" s="127"/>
      <c r="F50" s="127"/>
      <c r="G50" s="127"/>
      <c r="H50" s="368"/>
      <c r="I50" s="340"/>
      <c r="K50" s="514"/>
      <c r="L50" s="514"/>
      <c r="M50" s="514"/>
      <c r="N50" s="514"/>
      <c r="O50" s="514"/>
      <c r="P50" s="514"/>
      <c r="Q50" s="514"/>
      <c r="R50" s="514"/>
    </row>
    <row r="51" spans="1:18" ht="15">
      <c r="A51" s="127"/>
      <c r="B51" s="128"/>
      <c r="C51" s="129" t="s">
        <v>144</v>
      </c>
      <c r="D51" s="263" t="s">
        <v>289</v>
      </c>
      <c r="E51" s="127"/>
      <c r="F51" s="127"/>
      <c r="G51" s="127"/>
      <c r="H51" s="127"/>
      <c r="I51" s="667">
        <f>Input!F42+Input!F43+Input!F44</f>
        <v>67171.02662708912</v>
      </c>
      <c r="K51" s="514"/>
      <c r="L51" s="514"/>
      <c r="M51" s="514"/>
      <c r="N51" s="514"/>
      <c r="O51" s="514"/>
      <c r="P51" s="514"/>
      <c r="Q51" s="514"/>
      <c r="R51" s="514"/>
    </row>
    <row r="52" spans="1:18" ht="15">
      <c r="A52" s="127"/>
      <c r="B52" s="128"/>
      <c r="C52" s="128"/>
      <c r="D52" s="127"/>
      <c r="E52" s="127"/>
      <c r="F52" s="127"/>
      <c r="G52" s="127"/>
      <c r="H52" s="127"/>
      <c r="I52" s="288"/>
      <c r="K52" s="514"/>
      <c r="L52" s="514"/>
      <c r="M52" s="514"/>
      <c r="N52" s="514"/>
      <c r="O52" s="514"/>
      <c r="P52" s="514"/>
      <c r="Q52" s="514"/>
      <c r="R52" s="514"/>
    </row>
    <row r="53" spans="1:18" ht="15">
      <c r="A53" s="127"/>
      <c r="B53" s="128" t="s">
        <v>187</v>
      </c>
      <c r="C53" s="47" t="s">
        <v>149</v>
      </c>
      <c r="D53" s="127"/>
      <c r="E53" s="127"/>
      <c r="F53" s="127"/>
      <c r="G53" s="127"/>
      <c r="H53" s="127"/>
      <c r="I53" s="127"/>
      <c r="K53" s="514"/>
      <c r="L53" s="514"/>
      <c r="M53" s="514"/>
      <c r="N53" s="514"/>
      <c r="O53" s="514"/>
      <c r="P53" s="514"/>
      <c r="Q53" s="514"/>
      <c r="R53" s="514"/>
    </row>
    <row r="54" spans="1:18" ht="15.75" thickBot="1">
      <c r="A54" s="127"/>
      <c r="B54" s="128"/>
      <c r="C54" s="129" t="s">
        <v>144</v>
      </c>
      <c r="D54" s="263" t="s">
        <v>290</v>
      </c>
      <c r="E54" s="127"/>
      <c r="F54" s="127"/>
      <c r="G54" s="127"/>
      <c r="H54" s="127"/>
      <c r="I54" s="289">
        <f>I32+I47-I51</f>
        <v>479489.2733729109</v>
      </c>
      <c r="K54" s="514"/>
      <c r="L54" s="514"/>
      <c r="M54" s="514"/>
      <c r="N54" s="514"/>
      <c r="O54" s="514"/>
      <c r="P54" s="514"/>
      <c r="Q54" s="514"/>
      <c r="R54" s="514"/>
    </row>
    <row r="55" spans="9:18" ht="15.75" thickTop="1">
      <c r="I55" s="48"/>
      <c r="K55" s="514"/>
      <c r="L55" s="514"/>
      <c r="M55" s="514"/>
      <c r="N55" s="514"/>
      <c r="O55" s="514"/>
      <c r="P55" s="514"/>
      <c r="Q55" s="514"/>
      <c r="R55" s="514"/>
    </row>
    <row r="56" spans="7:9" ht="15">
      <c r="G56" s="127"/>
      <c r="I56" s="48"/>
    </row>
    <row r="57" ht="15">
      <c r="I57" s="48"/>
    </row>
    <row r="58" ht="15">
      <c r="I58" s="48"/>
    </row>
    <row r="59" ht="15">
      <c r="I59" s="48"/>
    </row>
    <row r="60" ht="15">
      <c r="I60" s="48"/>
    </row>
    <row r="61" ht="15">
      <c r="I61" s="48"/>
    </row>
    <row r="62" ht="15">
      <c r="I62" s="48"/>
    </row>
    <row r="63" ht="15">
      <c r="I63" s="48"/>
    </row>
    <row r="64" ht="15">
      <c r="I64" s="48"/>
    </row>
    <row r="65" ht="15">
      <c r="I65" s="48"/>
    </row>
    <row r="66" ht="15">
      <c r="I66" s="48"/>
    </row>
    <row r="67" ht="15">
      <c r="I67" s="48"/>
    </row>
    <row r="68" spans="4:9" ht="15">
      <c r="D68" s="47"/>
      <c r="I68" s="48"/>
    </row>
    <row r="69" ht="15">
      <c r="I69" s="48"/>
    </row>
    <row r="70" ht="15">
      <c r="I70" s="48"/>
    </row>
    <row r="71" ht="15">
      <c r="I71" s="52"/>
    </row>
    <row r="72" ht="15">
      <c r="I72" s="48"/>
    </row>
    <row r="73" ht="15">
      <c r="I73" s="48"/>
    </row>
    <row r="74" ht="15">
      <c r="I74" s="48"/>
    </row>
  </sheetData>
  <sheetProtection/>
  <mergeCells count="4">
    <mergeCell ref="B2:I2"/>
    <mergeCell ref="B3:I3"/>
    <mergeCell ref="B4:I4"/>
    <mergeCell ref="B5:I5"/>
  </mergeCells>
  <printOptions/>
  <pageMargins left="0.7" right="0.7" top="0.75" bottom="0.75" header="0.3" footer="0.3"/>
  <pageSetup fitToHeight="1" fitToWidth="1" horizontalDpi="600" verticalDpi="600" orientation="portrait" scale="76" r:id="rId1"/>
  <ignoredErrors>
    <ignoredError sqref="C12:C16 C8 C26:C27 C33 C36:C39 C29:C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4">
      <selection activeCell="I32" sqref="I32"/>
    </sheetView>
  </sheetViews>
  <sheetFormatPr defaultColWidth="9.140625" defaultRowHeight="15"/>
  <cols>
    <col min="1" max="1" width="3.28125" style="45" customWidth="1"/>
    <col min="2" max="2" width="3.28125" style="46" customWidth="1"/>
    <col min="3" max="3" width="3.8515625" style="46" customWidth="1"/>
    <col min="4" max="7" width="12.8515625" style="45" customWidth="1"/>
    <col min="8" max="8" width="40.28125" style="45" customWidth="1"/>
    <col min="9" max="9" width="15.8515625" style="45" customWidth="1"/>
    <col min="10" max="16384" width="9.140625" style="45" customWidth="1"/>
  </cols>
  <sheetData>
    <row r="1" ht="15">
      <c r="I1" s="154" t="s">
        <v>156</v>
      </c>
    </row>
    <row r="2" spans="2:9" ht="15">
      <c r="B2" s="705" t="s">
        <v>26</v>
      </c>
      <c r="C2" s="705"/>
      <c r="D2" s="705"/>
      <c r="E2" s="705"/>
      <c r="F2" s="705"/>
      <c r="G2" s="705"/>
      <c r="H2" s="705"/>
      <c r="I2" s="705"/>
    </row>
    <row r="3" spans="2:9" ht="15">
      <c r="B3" s="705" t="s">
        <v>72</v>
      </c>
      <c r="C3" s="705"/>
      <c r="D3" s="705"/>
      <c r="E3" s="705"/>
      <c r="F3" s="705"/>
      <c r="G3" s="705"/>
      <c r="H3" s="705"/>
      <c r="I3" s="705"/>
    </row>
    <row r="4" spans="2:9" ht="15">
      <c r="B4" s="706" t="s">
        <v>219</v>
      </c>
      <c r="C4" s="705"/>
      <c r="D4" s="705"/>
      <c r="E4" s="705"/>
      <c r="F4" s="705"/>
      <c r="G4" s="705"/>
      <c r="H4" s="705"/>
      <c r="I4" s="705"/>
    </row>
    <row r="5" spans="2:9" ht="15">
      <c r="B5" s="707" t="str">
        <f>Input!D3</f>
        <v>September 30, 2022</v>
      </c>
      <c r="C5" s="706"/>
      <c r="D5" s="706"/>
      <c r="E5" s="706"/>
      <c r="F5" s="706"/>
      <c r="G5" s="706"/>
      <c r="H5" s="706"/>
      <c r="I5" s="706"/>
    </row>
    <row r="7" spans="2:3" ht="15">
      <c r="B7" s="46" t="s">
        <v>38</v>
      </c>
      <c r="C7" s="55" t="s">
        <v>143</v>
      </c>
    </row>
    <row r="8" spans="3:9" ht="15">
      <c r="C8" s="129" t="s">
        <v>144</v>
      </c>
      <c r="D8" s="263" t="s">
        <v>155</v>
      </c>
      <c r="I8" s="550">
        <f>Input!C17</f>
        <v>2367</v>
      </c>
    </row>
    <row r="9" spans="4:9" ht="15">
      <c r="D9" s="50"/>
      <c r="I9" s="126"/>
    </row>
    <row r="10" spans="2:8" ht="15">
      <c r="B10" s="46" t="s">
        <v>39</v>
      </c>
      <c r="C10" s="47" t="s">
        <v>207</v>
      </c>
      <c r="G10" s="48"/>
      <c r="H10" s="48"/>
    </row>
    <row r="11" spans="3:8" ht="15">
      <c r="C11" s="127" t="str">
        <f>Input!D5</f>
        <v>October 1, 2021 to December 31, 2021</v>
      </c>
      <c r="G11" s="48"/>
      <c r="H11" s="48"/>
    </row>
    <row r="12" spans="3:9" ht="15">
      <c r="C12" s="129" t="s">
        <v>144</v>
      </c>
      <c r="D12" s="263" t="s">
        <v>27</v>
      </c>
      <c r="I12" s="49">
        <f>'Input - Program Costs'!C32</f>
        <v>0</v>
      </c>
    </row>
    <row r="13" spans="3:9" ht="15">
      <c r="C13" s="129" t="s">
        <v>145</v>
      </c>
      <c r="D13" s="263" t="s">
        <v>150</v>
      </c>
      <c r="I13" s="49">
        <f>'Input - Lost Revenue'!G27</f>
        <v>0</v>
      </c>
    </row>
    <row r="14" spans="3:9" ht="15">
      <c r="C14" s="129" t="s">
        <v>146</v>
      </c>
      <c r="D14" s="263" t="s">
        <v>33</v>
      </c>
      <c r="I14" s="49">
        <f>'Input - Incentives'!K24</f>
        <v>0</v>
      </c>
    </row>
    <row r="15" spans="3:9" ht="15">
      <c r="C15" s="129" t="s">
        <v>147</v>
      </c>
      <c r="D15" s="127" t="s">
        <v>169</v>
      </c>
      <c r="I15" s="264">
        <f>I12+I13+I14</f>
        <v>0</v>
      </c>
    </row>
    <row r="16" spans="2:3" ht="15">
      <c r="B16" s="45"/>
      <c r="C16" s="45"/>
    </row>
    <row r="17" spans="3:22" ht="15">
      <c r="C17" s="127" t="str">
        <f>Input!D6</f>
        <v>January 1, 2022 to September 30, 2022</v>
      </c>
      <c r="G17" s="48"/>
      <c r="H17" s="48"/>
      <c r="R17"/>
      <c r="S17"/>
      <c r="T17"/>
      <c r="U17"/>
      <c r="V17"/>
    </row>
    <row r="18" spans="3:22" ht="15">
      <c r="C18" s="129" t="s">
        <v>196</v>
      </c>
      <c r="D18" s="263" t="s">
        <v>27</v>
      </c>
      <c r="I18" s="49">
        <f>'Input - Program Costs'!D32</f>
        <v>0</v>
      </c>
      <c r="R18"/>
      <c r="S18"/>
      <c r="T18"/>
      <c r="U18"/>
      <c r="V18"/>
    </row>
    <row r="19" spans="3:22" ht="15">
      <c r="C19" s="129" t="s">
        <v>197</v>
      </c>
      <c r="D19" s="263" t="s">
        <v>150</v>
      </c>
      <c r="I19" s="49">
        <f>'Input - Lost Revenue'!G54</f>
        <v>0</v>
      </c>
      <c r="R19"/>
      <c r="S19"/>
      <c r="T19"/>
      <c r="U19"/>
      <c r="V19"/>
    </row>
    <row r="20" spans="3:22" ht="15">
      <c r="C20" s="129" t="s">
        <v>198</v>
      </c>
      <c r="D20" s="263" t="s">
        <v>33</v>
      </c>
      <c r="I20" s="49">
        <f>'Input - Incentives'!L24</f>
        <v>0</v>
      </c>
      <c r="R20"/>
      <c r="S20"/>
      <c r="T20"/>
      <c r="U20"/>
      <c r="V20"/>
    </row>
    <row r="21" spans="3:22" ht="15">
      <c r="C21" s="129" t="s">
        <v>199</v>
      </c>
      <c r="D21" s="127" t="s">
        <v>200</v>
      </c>
      <c r="I21" s="264">
        <f>I18+I19+I20</f>
        <v>0</v>
      </c>
      <c r="R21"/>
      <c r="S21"/>
      <c r="T21"/>
      <c r="U21"/>
      <c r="V21"/>
    </row>
    <row r="22" spans="2:22" ht="15">
      <c r="B22" s="45"/>
      <c r="C22" s="45"/>
      <c r="R22"/>
      <c r="S22"/>
      <c r="T22"/>
      <c r="U22"/>
      <c r="V22"/>
    </row>
    <row r="23" spans="2:22" ht="15">
      <c r="B23" s="45"/>
      <c r="C23" s="129" t="s">
        <v>201</v>
      </c>
      <c r="D23" s="263" t="s">
        <v>202</v>
      </c>
      <c r="I23" s="319">
        <f>I21+I15</f>
        <v>0</v>
      </c>
      <c r="R23"/>
      <c r="S23"/>
      <c r="T23"/>
      <c r="U23"/>
      <c r="V23"/>
    </row>
    <row r="24" spans="2:9" ht="15">
      <c r="B24" s="45"/>
      <c r="C24" s="45"/>
      <c r="I24" s="49"/>
    </row>
    <row r="25" spans="2:3" ht="15">
      <c r="B25" s="47" t="s">
        <v>40</v>
      </c>
      <c r="C25" s="47" t="s">
        <v>152</v>
      </c>
    </row>
    <row r="26" spans="2:9" ht="15">
      <c r="B26" s="45"/>
      <c r="C26" s="129" t="s">
        <v>144</v>
      </c>
      <c r="D26" s="127" t="s">
        <v>208</v>
      </c>
      <c r="I26" s="53">
        <f>I23+I8</f>
        <v>2367</v>
      </c>
    </row>
    <row r="27" spans="2:3" ht="15">
      <c r="B27" s="45"/>
      <c r="C27" s="45"/>
    </row>
    <row r="28" spans="2:3" ht="15">
      <c r="B28" s="128" t="s">
        <v>41</v>
      </c>
      <c r="C28" s="47" t="s">
        <v>188</v>
      </c>
    </row>
    <row r="29" spans="2:9" ht="15">
      <c r="B29" s="128"/>
      <c r="C29" s="129" t="s">
        <v>144</v>
      </c>
      <c r="D29" s="263" t="str">
        <f>Input!D11</f>
        <v>October 1, 2021 to September 30, 2022</v>
      </c>
      <c r="I29" s="53">
        <f>Input!E35</f>
        <v>6048.99</v>
      </c>
    </row>
    <row r="30" spans="2:9" ht="15">
      <c r="B30" s="128"/>
      <c r="C30" s="128"/>
      <c r="D30" s="47"/>
      <c r="I30" s="49"/>
    </row>
    <row r="31" spans="1:17" s="127" customFormat="1" ht="15">
      <c r="A31" s="45"/>
      <c r="B31" s="128" t="s">
        <v>42</v>
      </c>
      <c r="C31" s="47" t="s">
        <v>151</v>
      </c>
      <c r="D31" s="45"/>
      <c r="E31" s="45"/>
      <c r="F31" s="45"/>
      <c r="G31" s="45"/>
      <c r="H31" s="45"/>
      <c r="I31" s="156"/>
      <c r="L31" s="156"/>
      <c r="M31" s="156"/>
      <c r="N31" s="156"/>
      <c r="O31" s="156"/>
      <c r="P31" s="156"/>
      <c r="Q31" s="156"/>
    </row>
    <row r="32" spans="1:17" s="127" customFormat="1" ht="15">
      <c r="A32" s="45"/>
      <c r="B32" s="46"/>
      <c r="C32" s="129" t="s">
        <v>144</v>
      </c>
      <c r="D32" s="263" t="s">
        <v>220</v>
      </c>
      <c r="E32" s="45"/>
      <c r="F32" s="45"/>
      <c r="G32" s="45"/>
      <c r="H32" s="45"/>
      <c r="I32" s="53">
        <f>I26-I29</f>
        <v>-3681.99</v>
      </c>
      <c r="L32" s="156"/>
      <c r="M32" s="156"/>
      <c r="N32" s="156"/>
      <c r="O32" s="156"/>
      <c r="P32" s="156"/>
      <c r="Q32" s="156"/>
    </row>
    <row r="33" spans="1:17" s="127" customFormat="1" ht="15">
      <c r="A33" s="45"/>
      <c r="B33" s="46"/>
      <c r="C33" s="46"/>
      <c r="D33" s="45"/>
      <c r="E33" s="45"/>
      <c r="F33" s="45"/>
      <c r="G33" s="45"/>
      <c r="H33" s="45"/>
      <c r="I33" s="288"/>
      <c r="L33" s="156"/>
      <c r="M33" s="156"/>
      <c r="N33" s="156"/>
      <c r="O33" s="156"/>
      <c r="P33" s="156"/>
      <c r="Q33" s="156"/>
    </row>
    <row r="34" spans="1:15" s="127" customFormat="1" ht="15">
      <c r="A34" s="45"/>
      <c r="B34" s="128" t="s">
        <v>75</v>
      </c>
      <c r="C34" s="47" t="s">
        <v>206</v>
      </c>
      <c r="D34" s="45"/>
      <c r="E34" s="45"/>
      <c r="F34" s="45"/>
      <c r="G34" s="51"/>
      <c r="H34" s="51"/>
      <c r="L34" s="156"/>
      <c r="M34" s="156"/>
      <c r="N34" s="156"/>
      <c r="O34" s="156"/>
    </row>
    <row r="35" spans="1:8" s="127" customFormat="1" ht="15">
      <c r="A35" s="45"/>
      <c r="B35" s="128"/>
      <c r="C35" s="361" t="str">
        <f>Input!D8</f>
        <v>October 1, 2022 to December 31, 2022</v>
      </c>
      <c r="D35" s="45"/>
      <c r="E35" s="45"/>
      <c r="F35" s="45"/>
      <c r="G35" s="51"/>
      <c r="H35" s="51"/>
    </row>
    <row r="36" spans="3:9" ht="15">
      <c r="C36" s="129" t="s">
        <v>144</v>
      </c>
      <c r="D36" s="263" t="s">
        <v>27</v>
      </c>
      <c r="I36" s="49">
        <f>'Input - Program Costs'!E32</f>
        <v>0</v>
      </c>
    </row>
    <row r="37" spans="3:9" ht="15">
      <c r="C37" s="129" t="s">
        <v>145</v>
      </c>
      <c r="D37" s="263" t="s">
        <v>150</v>
      </c>
      <c r="I37" s="49">
        <f>'Input - Lost Revenue'!G81</f>
        <v>0</v>
      </c>
    </row>
    <row r="38" spans="3:9" ht="15">
      <c r="C38" s="129" t="s">
        <v>146</v>
      </c>
      <c r="D38" s="263" t="s">
        <v>33</v>
      </c>
      <c r="I38" s="49">
        <f>'Input - Incentives'!M24</f>
        <v>0</v>
      </c>
    </row>
    <row r="39" spans="3:9" ht="15">
      <c r="C39" s="129" t="s">
        <v>147</v>
      </c>
      <c r="D39" s="263" t="s">
        <v>193</v>
      </c>
      <c r="I39" s="264">
        <f>SUM(I36:I38)</f>
        <v>0</v>
      </c>
    </row>
    <row r="41" ht="15">
      <c r="C41" s="127" t="str">
        <f>Input!D9</f>
        <v>January 1, 2023 to December 31, 2023</v>
      </c>
    </row>
    <row r="42" spans="3:9" ht="15">
      <c r="C42" s="129" t="s">
        <v>196</v>
      </c>
      <c r="D42" s="263" t="s">
        <v>27</v>
      </c>
      <c r="I42" s="49">
        <f>'Input - Program Costs'!F32</f>
        <v>185575</v>
      </c>
    </row>
    <row r="43" spans="3:9" ht="15">
      <c r="C43" s="129" t="s">
        <v>197</v>
      </c>
      <c r="D43" s="263" t="s">
        <v>150</v>
      </c>
      <c r="I43" s="49">
        <f>'Input - Lost Revenue'!G108</f>
        <v>0</v>
      </c>
    </row>
    <row r="44" spans="3:9" ht="15">
      <c r="C44" s="129" t="s">
        <v>198</v>
      </c>
      <c r="D44" s="263" t="s">
        <v>33</v>
      </c>
      <c r="I44" s="49">
        <f>'Input - Incentives'!N24</f>
        <v>0</v>
      </c>
    </row>
    <row r="45" spans="3:9" ht="15">
      <c r="C45" s="129" t="s">
        <v>199</v>
      </c>
      <c r="D45" s="263" t="s">
        <v>203</v>
      </c>
      <c r="I45" s="264">
        <f>SUM(I42:I44)</f>
        <v>185575</v>
      </c>
    </row>
    <row r="47" spans="2:9" ht="15">
      <c r="B47" s="45"/>
      <c r="C47" s="129" t="s">
        <v>201</v>
      </c>
      <c r="D47" s="263" t="s">
        <v>278</v>
      </c>
      <c r="I47" s="319">
        <f>I39+I45</f>
        <v>185575</v>
      </c>
    </row>
    <row r="48" spans="2:3" ht="15">
      <c r="B48" s="45"/>
      <c r="C48" s="45"/>
    </row>
    <row r="49" spans="1:7" ht="15">
      <c r="A49" s="127"/>
      <c r="B49" s="128" t="s">
        <v>142</v>
      </c>
      <c r="C49" s="55" t="s">
        <v>217</v>
      </c>
      <c r="D49" s="127"/>
      <c r="E49" s="127"/>
      <c r="F49" s="127"/>
      <c r="G49" s="127"/>
    </row>
    <row r="50" spans="1:8" ht="15">
      <c r="A50" s="127"/>
      <c r="B50" s="128"/>
      <c r="C50" s="368" t="str">
        <f>Input!D8</f>
        <v>October 1, 2022 to December 31, 2022</v>
      </c>
      <c r="D50" s="127"/>
      <c r="E50" s="127"/>
      <c r="F50" s="127"/>
      <c r="G50" s="127"/>
      <c r="H50" s="366"/>
    </row>
    <row r="51" spans="1:9" ht="15">
      <c r="A51" s="127"/>
      <c r="B51" s="128"/>
      <c r="C51" s="129" t="s">
        <v>144</v>
      </c>
      <c r="D51" s="263" t="s">
        <v>192</v>
      </c>
      <c r="E51" s="127"/>
      <c r="F51" s="127"/>
      <c r="G51" s="127"/>
      <c r="H51" s="127"/>
      <c r="I51" s="287">
        <f>Input!G42+Input!G43+Input!G44</f>
        <v>0</v>
      </c>
    </row>
    <row r="52" spans="1:8" ht="15">
      <c r="A52" s="127"/>
      <c r="B52" s="128"/>
      <c r="C52" s="128"/>
      <c r="D52" s="127"/>
      <c r="E52" s="127"/>
      <c r="F52" s="127"/>
      <c r="G52" s="127"/>
      <c r="H52" s="127"/>
    </row>
    <row r="53" spans="1:8" ht="15">
      <c r="A53" s="127"/>
      <c r="B53" s="128" t="s">
        <v>187</v>
      </c>
      <c r="C53" s="47" t="s">
        <v>212</v>
      </c>
      <c r="D53" s="127"/>
      <c r="E53" s="127"/>
      <c r="F53" s="127"/>
      <c r="G53" s="127"/>
      <c r="H53" s="127"/>
    </row>
    <row r="54" spans="1:9" ht="15.75" thickBot="1">
      <c r="A54" s="127"/>
      <c r="B54" s="128"/>
      <c r="C54" s="129" t="s">
        <v>144</v>
      </c>
      <c r="D54" s="263" t="s">
        <v>191</v>
      </c>
      <c r="E54" s="127"/>
      <c r="F54" s="127"/>
      <c r="G54" s="127"/>
      <c r="H54" s="127"/>
      <c r="I54" s="685">
        <f>I32+I47-I51</f>
        <v>181893.01</v>
      </c>
    </row>
    <row r="55" ht="15.75" thickTop="1"/>
    <row r="56" spans="2:9" ht="15">
      <c r="B56" s="663"/>
      <c r="C56" s="664"/>
      <c r="D56" s="514"/>
      <c r="E56" s="514"/>
      <c r="F56" s="514"/>
      <c r="G56" s="514"/>
      <c r="H56" s="514"/>
      <c r="I56" s="514"/>
    </row>
    <row r="57" spans="2:9" ht="15">
      <c r="B57" s="665"/>
      <c r="C57" s="129"/>
      <c r="D57" s="593"/>
      <c r="E57" s="514"/>
      <c r="F57" s="514"/>
      <c r="G57" s="514"/>
      <c r="H57" s="514"/>
      <c r="I57" s="671"/>
    </row>
    <row r="58" spans="2:9" ht="15">
      <c r="B58" s="665"/>
      <c r="C58" s="665"/>
      <c r="D58" s="514"/>
      <c r="E58" s="514"/>
      <c r="F58" s="514"/>
      <c r="G58" s="514"/>
      <c r="H58" s="514"/>
      <c r="I58" s="514"/>
    </row>
    <row r="59" spans="2:9" ht="15">
      <c r="B59" s="663"/>
      <c r="C59" s="664"/>
      <c r="D59" s="514"/>
      <c r="E59" s="514"/>
      <c r="F59" s="514"/>
      <c r="G59" s="514"/>
      <c r="H59" s="514"/>
      <c r="I59" s="666"/>
    </row>
    <row r="60" spans="2:9" ht="15">
      <c r="B60" s="665"/>
      <c r="C60" s="129"/>
      <c r="D60" s="593"/>
      <c r="E60" s="514"/>
      <c r="F60" s="514"/>
      <c r="G60" s="514"/>
      <c r="H60" s="514"/>
      <c r="I60" s="690"/>
    </row>
    <row r="68" ht="15">
      <c r="D68" s="47"/>
    </row>
  </sheetData>
  <sheetProtection/>
  <mergeCells count="4">
    <mergeCell ref="B2:I2"/>
    <mergeCell ref="B3:I3"/>
    <mergeCell ref="B4:I4"/>
    <mergeCell ref="B5:I5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G34"/>
  <sheetViews>
    <sheetView zoomScalePageLayoutView="0" workbookViewId="0" topLeftCell="A16">
      <selection activeCell="F31" sqref="F31"/>
    </sheetView>
  </sheetViews>
  <sheetFormatPr defaultColWidth="9.140625" defaultRowHeight="15"/>
  <cols>
    <col min="1" max="1" width="3.00390625" style="45" customWidth="1"/>
    <col min="2" max="2" width="43.57421875" style="45" customWidth="1"/>
    <col min="3" max="4" width="42.57421875" style="45" customWidth="1"/>
    <col min="5" max="5" width="40.57421875" style="45" bestFit="1" customWidth="1"/>
    <col min="6" max="6" width="38.00390625" style="45" bestFit="1" customWidth="1"/>
    <col min="7" max="7" width="15.140625" style="45" customWidth="1"/>
    <col min="8" max="16384" width="9.140625" style="45" customWidth="1"/>
  </cols>
  <sheetData>
    <row r="2" spans="2:7" ht="15">
      <c r="B2" s="708" t="s">
        <v>74</v>
      </c>
      <c r="C2" s="140" t="s">
        <v>73</v>
      </c>
      <c r="D2" s="140" t="s">
        <v>73</v>
      </c>
      <c r="E2" s="140" t="s">
        <v>244</v>
      </c>
      <c r="F2" s="140" t="s">
        <v>244</v>
      </c>
      <c r="G2" s="514"/>
    </row>
    <row r="3" spans="2:7" ht="15">
      <c r="B3" s="709"/>
      <c r="C3" s="353" t="str">
        <f>Input!D5</f>
        <v>October 1, 2021 to December 31, 2021</v>
      </c>
      <c r="D3" s="141" t="str">
        <f>Input!D6</f>
        <v>January 1, 2022 to September 30, 2022</v>
      </c>
      <c r="E3" s="141" t="str">
        <f>Input!D8</f>
        <v>October 1, 2022 to December 31, 2022</v>
      </c>
      <c r="F3" s="141" t="str">
        <f>Input!D9</f>
        <v>January 1, 2023 to December 31, 2023</v>
      </c>
      <c r="G3" s="514"/>
    </row>
    <row r="4" spans="2:5" ht="15">
      <c r="B4" s="64"/>
      <c r="C4" s="357"/>
      <c r="D4" s="65"/>
      <c r="E4" s="54"/>
    </row>
    <row r="5" spans="2:6" ht="15">
      <c r="B5" s="66" t="s">
        <v>0</v>
      </c>
      <c r="C5" s="67"/>
      <c r="D5" s="68"/>
      <c r="E5" s="515"/>
      <c r="F5" s="514"/>
    </row>
    <row r="6" spans="2:6" ht="15.75">
      <c r="B6" s="56" t="s">
        <v>1</v>
      </c>
      <c r="C6" s="61"/>
      <c r="D6" s="339"/>
      <c r="E6" s="512"/>
      <c r="F6" s="514"/>
    </row>
    <row r="7" spans="2:6" ht="15.75">
      <c r="B7" s="57" t="s">
        <v>2</v>
      </c>
      <c r="C7" s="640">
        <v>69423.78</v>
      </c>
      <c r="D7" s="339">
        <v>175890.66</v>
      </c>
      <c r="E7" s="644">
        <v>105109.34</v>
      </c>
      <c r="F7" s="513">
        <v>281000</v>
      </c>
    </row>
    <row r="8" spans="2:6" ht="15.75">
      <c r="B8" s="56" t="s">
        <v>3</v>
      </c>
      <c r="C8" s="641">
        <v>0</v>
      </c>
      <c r="D8" s="339">
        <v>0</v>
      </c>
      <c r="E8" s="512">
        <v>0</v>
      </c>
      <c r="F8" s="513">
        <v>0</v>
      </c>
    </row>
    <row r="9" spans="2:6" ht="15.75">
      <c r="B9" s="58" t="s">
        <v>4</v>
      </c>
      <c r="C9" s="641">
        <v>0</v>
      </c>
      <c r="D9" s="339">
        <v>0</v>
      </c>
      <c r="E9" s="512">
        <v>0</v>
      </c>
      <c r="F9" s="513">
        <v>0</v>
      </c>
    </row>
    <row r="10" spans="2:6" ht="15.75">
      <c r="B10" s="58" t="s">
        <v>5</v>
      </c>
      <c r="C10" s="641">
        <v>0</v>
      </c>
      <c r="D10" s="339">
        <v>0</v>
      </c>
      <c r="E10" s="512">
        <v>0</v>
      </c>
      <c r="F10" s="513">
        <v>0</v>
      </c>
    </row>
    <row r="11" spans="2:6" ht="15.75">
      <c r="B11" s="59" t="s">
        <v>6</v>
      </c>
      <c r="C11" s="641">
        <v>0</v>
      </c>
      <c r="D11" s="339">
        <v>0</v>
      </c>
      <c r="E11" s="512">
        <v>0</v>
      </c>
      <c r="F11" s="513">
        <v>0</v>
      </c>
    </row>
    <row r="12" spans="2:6" ht="15.75">
      <c r="B12" s="57" t="s">
        <v>7</v>
      </c>
      <c r="C12" s="640">
        <v>0</v>
      </c>
      <c r="D12" s="339">
        <v>0</v>
      </c>
      <c r="E12" s="512">
        <v>0</v>
      </c>
      <c r="F12" s="513">
        <v>0</v>
      </c>
    </row>
    <row r="13" spans="2:6" ht="15.75">
      <c r="B13" s="57" t="s">
        <v>8</v>
      </c>
      <c r="C13" s="640">
        <v>0</v>
      </c>
      <c r="D13" s="339">
        <v>0</v>
      </c>
      <c r="E13" s="512">
        <v>0</v>
      </c>
      <c r="F13" s="513">
        <v>0</v>
      </c>
    </row>
    <row r="14" spans="2:6" ht="15.75">
      <c r="B14" s="59" t="s">
        <v>9</v>
      </c>
      <c r="C14" s="641">
        <v>0</v>
      </c>
      <c r="D14" s="339">
        <v>0</v>
      </c>
      <c r="E14" s="512">
        <v>0</v>
      </c>
      <c r="F14" s="513">
        <v>0</v>
      </c>
    </row>
    <row r="15" spans="2:6" ht="15.75">
      <c r="B15" s="56" t="s">
        <v>10</v>
      </c>
      <c r="C15" s="642">
        <v>0</v>
      </c>
      <c r="D15" s="339">
        <v>0</v>
      </c>
      <c r="E15" s="512">
        <v>0</v>
      </c>
      <c r="F15" s="513">
        <v>0</v>
      </c>
    </row>
    <row r="16" spans="2:6" ht="15.75">
      <c r="B16" s="56" t="s">
        <v>12</v>
      </c>
      <c r="C16" s="642">
        <v>0</v>
      </c>
      <c r="D16" s="339">
        <v>0</v>
      </c>
      <c r="E16" s="512">
        <v>0</v>
      </c>
      <c r="F16" s="513">
        <v>0</v>
      </c>
    </row>
    <row r="17" spans="2:6" ht="15.75">
      <c r="B17" s="56" t="s">
        <v>13</v>
      </c>
      <c r="C17" s="642">
        <v>0</v>
      </c>
      <c r="D17" s="339">
        <v>0</v>
      </c>
      <c r="E17" s="512">
        <v>0</v>
      </c>
      <c r="F17" s="513">
        <v>0</v>
      </c>
    </row>
    <row r="18" spans="2:6" ht="15.75">
      <c r="B18" s="58" t="s">
        <v>11</v>
      </c>
      <c r="C18" s="62">
        <v>0</v>
      </c>
      <c r="D18" s="339">
        <v>0</v>
      </c>
      <c r="E18" s="512">
        <v>0</v>
      </c>
      <c r="F18" s="513">
        <v>185575</v>
      </c>
    </row>
    <row r="19" spans="2:5" ht="15">
      <c r="B19" s="70"/>
      <c r="C19" s="71"/>
      <c r="D19" s="71"/>
      <c r="E19" s="69"/>
    </row>
    <row r="20" spans="2:6" ht="15">
      <c r="B20" s="147" t="s">
        <v>14</v>
      </c>
      <c r="C20" s="148">
        <f>SUM(C6:C18)</f>
        <v>69423.78</v>
      </c>
      <c r="D20" s="148">
        <f>SUM(D6:D18)</f>
        <v>175890.66</v>
      </c>
      <c r="E20" s="148">
        <f>SUM(E6:E18)</f>
        <v>105109.34</v>
      </c>
      <c r="F20" s="148">
        <f>SUM(F6:F18)</f>
        <v>466575</v>
      </c>
    </row>
    <row r="21" spans="2:5" ht="15">
      <c r="B21" s="72"/>
      <c r="C21" s="73"/>
      <c r="D21" s="73"/>
      <c r="E21" s="69"/>
    </row>
    <row r="22" spans="2:6" ht="15">
      <c r="B22" s="66" t="s">
        <v>15</v>
      </c>
      <c r="C22" s="67"/>
      <c r="D22" s="67"/>
      <c r="E22" s="512"/>
      <c r="F22" s="514"/>
    </row>
    <row r="23" spans="2:6" ht="15.75">
      <c r="B23" s="56" t="s">
        <v>25</v>
      </c>
      <c r="C23" s="61">
        <v>0</v>
      </c>
      <c r="D23" s="339">
        <v>0</v>
      </c>
      <c r="E23" s="512">
        <v>0</v>
      </c>
      <c r="F23" s="513">
        <v>0</v>
      </c>
    </row>
    <row r="24" spans="2:6" ht="15.75">
      <c r="B24" s="57" t="s">
        <v>16</v>
      </c>
      <c r="C24" s="640">
        <v>0</v>
      </c>
      <c r="D24" s="339">
        <v>0</v>
      </c>
      <c r="E24" s="512">
        <v>0</v>
      </c>
      <c r="F24" s="513">
        <v>0</v>
      </c>
    </row>
    <row r="25" spans="2:6" ht="15.75">
      <c r="B25" s="57" t="s">
        <v>17</v>
      </c>
      <c r="C25" s="640">
        <v>0</v>
      </c>
      <c r="D25" s="339">
        <v>0</v>
      </c>
      <c r="E25" s="512">
        <v>0</v>
      </c>
      <c r="F25" s="513">
        <v>0</v>
      </c>
    </row>
    <row r="26" spans="2:6" ht="15.75">
      <c r="B26" s="56" t="s">
        <v>18</v>
      </c>
      <c r="C26" s="642">
        <v>0</v>
      </c>
      <c r="D26" s="339">
        <v>0</v>
      </c>
      <c r="E26" s="512">
        <v>0</v>
      </c>
      <c r="F26" s="513">
        <v>0</v>
      </c>
    </row>
    <row r="27" spans="2:6" ht="15">
      <c r="B27" s="63" t="s">
        <v>19</v>
      </c>
      <c r="C27" s="643">
        <v>0</v>
      </c>
      <c r="D27" s="339">
        <v>0</v>
      </c>
      <c r="E27" s="512">
        <v>0</v>
      </c>
      <c r="F27" s="513">
        <v>0</v>
      </c>
    </row>
    <row r="28" spans="2:6" ht="15.75">
      <c r="B28" s="57" t="s">
        <v>20</v>
      </c>
      <c r="C28" s="640">
        <v>0</v>
      </c>
      <c r="D28" s="339">
        <v>0</v>
      </c>
      <c r="E28" s="512">
        <v>0</v>
      </c>
      <c r="F28" s="513">
        <v>0</v>
      </c>
    </row>
    <row r="29" spans="2:6" ht="15.75">
      <c r="B29" s="56" t="s">
        <v>21</v>
      </c>
      <c r="C29" s="642">
        <v>0</v>
      </c>
      <c r="D29" s="339">
        <v>0</v>
      </c>
      <c r="E29" s="512">
        <v>0</v>
      </c>
      <c r="F29" s="513">
        <v>0</v>
      </c>
    </row>
    <row r="30" spans="2:6" ht="15">
      <c r="B30" s="63" t="s">
        <v>22</v>
      </c>
      <c r="C30" s="643">
        <v>0</v>
      </c>
      <c r="D30" s="339">
        <v>0</v>
      </c>
      <c r="E30" s="512">
        <v>0</v>
      </c>
      <c r="F30" s="513">
        <v>185575</v>
      </c>
    </row>
    <row r="31" spans="2:5" ht="15.75">
      <c r="B31" s="56"/>
      <c r="C31" s="60"/>
      <c r="D31" s="60"/>
      <c r="E31" s="69"/>
    </row>
    <row r="32" spans="2:6" ht="15">
      <c r="B32" s="147" t="s">
        <v>23</v>
      </c>
      <c r="C32" s="148">
        <f>SUM(C23:C30)</f>
        <v>0</v>
      </c>
      <c r="D32" s="148">
        <f>SUM(D23:D30)</f>
        <v>0</v>
      </c>
      <c r="E32" s="148">
        <f>SUM(E23:E30)</f>
        <v>0</v>
      </c>
      <c r="F32" s="148">
        <f>SUM(F23:F30)</f>
        <v>185575</v>
      </c>
    </row>
    <row r="33" ht="15">
      <c r="E33" s="69"/>
    </row>
    <row r="34" spans="2:6" ht="15">
      <c r="B34" s="142" t="s">
        <v>24</v>
      </c>
      <c r="C34" s="143">
        <f>C20+C32</f>
        <v>69423.78</v>
      </c>
      <c r="D34" s="143">
        <f>D20+D32</f>
        <v>175890.66</v>
      </c>
      <c r="E34" s="143">
        <f>E20+E32</f>
        <v>105109.34</v>
      </c>
      <c r="F34" s="143">
        <f>F20+F32</f>
        <v>652150</v>
      </c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09"/>
  <sheetViews>
    <sheetView zoomScale="80" zoomScaleNormal="80" zoomScalePageLayoutView="0" workbookViewId="0" topLeftCell="A67">
      <selection activeCell="G8" sqref="G8"/>
    </sheetView>
  </sheetViews>
  <sheetFormatPr defaultColWidth="9.140625" defaultRowHeight="15"/>
  <cols>
    <col min="2" max="2" width="43.57421875" style="0" customWidth="1"/>
    <col min="3" max="3" width="17.8515625" style="0" customWidth="1"/>
    <col min="4" max="4" width="17.8515625" style="83" customWidth="1"/>
    <col min="5" max="5" width="17.8515625" style="74" customWidth="1"/>
    <col min="6" max="7" width="17.8515625" style="0" customWidth="1"/>
    <col min="8" max="8" width="4.28125" style="0" customWidth="1"/>
    <col min="9" max="9" width="76.8515625" style="0" customWidth="1"/>
    <col min="10" max="10" width="13.57421875" style="0" bestFit="1" customWidth="1"/>
    <col min="11" max="11" width="12.7109375" style="0" bestFit="1" customWidth="1"/>
    <col min="12" max="12" width="15.00390625" style="0" bestFit="1" customWidth="1"/>
    <col min="13" max="13" width="18.140625" style="0" bestFit="1" customWidth="1"/>
    <col min="14" max="14" width="12.7109375" style="0" bestFit="1" customWidth="1"/>
    <col min="15" max="15" width="6.28125" style="0" customWidth="1"/>
    <col min="16" max="16" width="39.7109375" style="0" bestFit="1" customWidth="1"/>
    <col min="17" max="17" width="13.57421875" style="0" bestFit="1" customWidth="1"/>
    <col min="18" max="18" width="13.8515625" style="0" customWidth="1"/>
    <col min="19" max="19" width="13.57421875" style="0" bestFit="1" customWidth="1"/>
    <col min="20" max="20" width="16.421875" style="0" bestFit="1" customWidth="1"/>
    <col min="21" max="21" width="11.7109375" style="0" bestFit="1" customWidth="1"/>
    <col min="22" max="22" width="5.8515625" style="0" customWidth="1"/>
    <col min="23" max="23" width="39.7109375" style="0" bestFit="1" customWidth="1"/>
    <col min="24" max="24" width="13.57421875" style="0" bestFit="1" customWidth="1"/>
    <col min="25" max="25" width="11.57421875" style="0" bestFit="1" customWidth="1"/>
    <col min="26" max="26" width="13.57421875" style="0" bestFit="1" customWidth="1"/>
    <col min="27" max="27" width="16.421875" style="0" bestFit="1" customWidth="1"/>
    <col min="28" max="28" width="11.7109375" style="0" bestFit="1" customWidth="1"/>
  </cols>
  <sheetData>
    <row r="1" spans="2:7" s="321" customFormat="1" ht="15" customHeight="1" thickBot="1">
      <c r="B1" s="710" t="s">
        <v>85</v>
      </c>
      <c r="C1" s="710"/>
      <c r="D1" s="710"/>
      <c r="E1" s="710"/>
      <c r="F1" s="710"/>
      <c r="G1" s="710"/>
    </row>
    <row r="2" spans="1:9" s="321" customFormat="1" ht="15">
      <c r="A2" s="146"/>
      <c r="B2" s="711" t="str">
        <f>'Input - Program Costs'!C3</f>
        <v>October 1, 2021 to December 31, 2021</v>
      </c>
      <c r="C2" s="712"/>
      <c r="D2" s="712"/>
      <c r="E2" s="712"/>
      <c r="F2" s="712"/>
      <c r="G2" s="713"/>
      <c r="I2" s="155"/>
    </row>
    <row r="3" spans="1:8" s="323" customFormat="1" ht="33.75" customHeight="1">
      <c r="A3" s="150"/>
      <c r="B3" s="149"/>
      <c r="C3" s="526" t="s">
        <v>32</v>
      </c>
      <c r="D3" s="527" t="s">
        <v>83</v>
      </c>
      <c r="E3" s="528" t="s">
        <v>87</v>
      </c>
      <c r="F3" s="528" t="s">
        <v>84</v>
      </c>
      <c r="G3" s="529" t="s">
        <v>158</v>
      </c>
      <c r="H3" s="321"/>
    </row>
    <row r="4" spans="1:7" s="321" customFormat="1" ht="15">
      <c r="A4" s="146"/>
      <c r="B4" s="132" t="s">
        <v>0</v>
      </c>
      <c r="C4" s="322"/>
      <c r="D4" s="135"/>
      <c r="E4" s="322"/>
      <c r="F4" s="322"/>
      <c r="G4" s="146"/>
    </row>
    <row r="5" spans="1:7" s="321" customFormat="1" ht="15.75">
      <c r="A5" s="146"/>
      <c r="B5" s="540" t="s">
        <v>1</v>
      </c>
      <c r="C5" s="571">
        <v>0</v>
      </c>
      <c r="D5" s="524">
        <v>0</v>
      </c>
      <c r="E5" s="135">
        <f>C5*D5</f>
        <v>0</v>
      </c>
      <c r="F5" s="569">
        <v>0</v>
      </c>
      <c r="G5" s="531">
        <f>ROUND(E5*F5,0)</f>
        <v>0</v>
      </c>
    </row>
    <row r="6" spans="1:7" s="321" customFormat="1" ht="15.75">
      <c r="A6" s="146"/>
      <c r="B6" s="541" t="s">
        <v>2</v>
      </c>
      <c r="C6" s="571">
        <f>'Net Energy Impact'!G6*3/12</f>
        <v>632.75</v>
      </c>
      <c r="D6" s="524">
        <f>Participation!R18-Participation!R6</f>
        <v>65</v>
      </c>
      <c r="E6" s="524">
        <f>C6*D6</f>
        <v>41128.75</v>
      </c>
      <c r="F6" s="569">
        <f>'Input - Net Lost Revenue'!V8</f>
        <v>0.08188031597127617</v>
      </c>
      <c r="G6" s="586">
        <f>ROUND(E6*F6,0)</f>
        <v>3368</v>
      </c>
    </row>
    <row r="7" spans="1:7" s="321" customFormat="1" ht="15.75">
      <c r="A7" s="146"/>
      <c r="B7" s="540" t="s">
        <v>3</v>
      </c>
      <c r="C7" s="571">
        <v>0</v>
      </c>
      <c r="D7" s="524">
        <v>0</v>
      </c>
      <c r="E7" s="135">
        <f aca="true" t="shared" si="0" ref="E7:E16">C7*D7</f>
        <v>0</v>
      </c>
      <c r="F7" s="569">
        <v>0</v>
      </c>
      <c r="G7" s="586">
        <f aca="true" t="shared" si="1" ref="G7:G16">ROUND(E7*F7,0)</f>
        <v>0</v>
      </c>
    </row>
    <row r="8" spans="1:7" s="321" customFormat="1" ht="15.75">
      <c r="A8" s="146"/>
      <c r="B8" s="542" t="s">
        <v>4</v>
      </c>
      <c r="C8" s="571">
        <v>0</v>
      </c>
      <c r="D8" s="524">
        <v>0</v>
      </c>
      <c r="E8" s="135">
        <f t="shared" si="0"/>
        <v>0</v>
      </c>
      <c r="F8" s="569">
        <v>0</v>
      </c>
      <c r="G8" s="586">
        <f t="shared" si="1"/>
        <v>0</v>
      </c>
    </row>
    <row r="9" spans="1:7" s="321" customFormat="1" ht="15.75">
      <c r="A9" s="146"/>
      <c r="B9" s="542" t="s">
        <v>5</v>
      </c>
      <c r="C9" s="571">
        <v>0</v>
      </c>
      <c r="D9" s="524">
        <v>0</v>
      </c>
      <c r="E9" s="135">
        <f t="shared" si="0"/>
        <v>0</v>
      </c>
      <c r="F9" s="569">
        <v>0</v>
      </c>
      <c r="G9" s="586">
        <f t="shared" si="1"/>
        <v>0</v>
      </c>
    </row>
    <row r="10" spans="1:7" s="321" customFormat="1" ht="15.75">
      <c r="A10" s="146"/>
      <c r="B10" s="543" t="s">
        <v>6</v>
      </c>
      <c r="C10" s="571">
        <v>0</v>
      </c>
      <c r="D10" s="524">
        <v>0</v>
      </c>
      <c r="E10" s="135">
        <f t="shared" si="0"/>
        <v>0</v>
      </c>
      <c r="F10" s="569">
        <v>0</v>
      </c>
      <c r="G10" s="586">
        <f t="shared" si="1"/>
        <v>0</v>
      </c>
    </row>
    <row r="11" spans="1:7" s="321" customFormat="1" ht="15.75">
      <c r="A11" s="146"/>
      <c r="B11" s="541" t="s">
        <v>7</v>
      </c>
      <c r="C11" s="571">
        <v>0</v>
      </c>
      <c r="D11" s="524">
        <v>0</v>
      </c>
      <c r="E11" s="524">
        <f t="shared" si="0"/>
        <v>0</v>
      </c>
      <c r="F11" s="569">
        <v>0</v>
      </c>
      <c r="G11" s="586">
        <f t="shared" si="1"/>
        <v>0</v>
      </c>
    </row>
    <row r="12" spans="1:7" s="321" customFormat="1" ht="15.75">
      <c r="A12" s="146"/>
      <c r="B12" s="541" t="s">
        <v>8</v>
      </c>
      <c r="C12" s="571">
        <v>0</v>
      </c>
      <c r="D12" s="524">
        <v>0</v>
      </c>
      <c r="E12" s="524">
        <f t="shared" si="0"/>
        <v>0</v>
      </c>
      <c r="F12" s="569">
        <v>0</v>
      </c>
      <c r="G12" s="586">
        <f t="shared" si="1"/>
        <v>0</v>
      </c>
    </row>
    <row r="13" spans="1:7" s="321" customFormat="1" ht="15.75">
      <c r="A13" s="146"/>
      <c r="B13" s="543" t="s">
        <v>9</v>
      </c>
      <c r="C13" s="571">
        <v>0</v>
      </c>
      <c r="D13" s="524">
        <v>0</v>
      </c>
      <c r="E13" s="524">
        <f t="shared" si="0"/>
        <v>0</v>
      </c>
      <c r="F13" s="569">
        <v>0</v>
      </c>
      <c r="G13" s="586">
        <f t="shared" si="1"/>
        <v>0</v>
      </c>
    </row>
    <row r="14" spans="1:7" s="321" customFormat="1" ht="15.75">
      <c r="A14" s="146"/>
      <c r="B14" s="540" t="s">
        <v>10</v>
      </c>
      <c r="C14" s="571">
        <v>0</v>
      </c>
      <c r="D14" s="524">
        <v>0</v>
      </c>
      <c r="E14" s="524">
        <f t="shared" si="0"/>
        <v>0</v>
      </c>
      <c r="F14" s="569">
        <v>0</v>
      </c>
      <c r="G14" s="586">
        <f t="shared" si="1"/>
        <v>0</v>
      </c>
    </row>
    <row r="15" spans="1:7" s="321" customFormat="1" ht="15.75">
      <c r="A15" s="146"/>
      <c r="B15" s="540" t="s">
        <v>12</v>
      </c>
      <c r="C15" s="571">
        <v>0</v>
      </c>
      <c r="D15" s="524">
        <v>0</v>
      </c>
      <c r="E15" s="524">
        <f t="shared" si="0"/>
        <v>0</v>
      </c>
      <c r="F15" s="569">
        <v>0</v>
      </c>
      <c r="G15" s="531">
        <f t="shared" si="1"/>
        <v>0</v>
      </c>
    </row>
    <row r="16" spans="1:7" s="321" customFormat="1" ht="15.75">
      <c r="A16" s="146"/>
      <c r="B16" s="540" t="s">
        <v>13</v>
      </c>
      <c r="C16" s="571">
        <v>0</v>
      </c>
      <c r="D16" s="524">
        <v>0</v>
      </c>
      <c r="E16" s="524">
        <f t="shared" si="0"/>
        <v>0</v>
      </c>
      <c r="F16" s="569">
        <v>0</v>
      </c>
      <c r="G16" s="531">
        <f t="shared" si="1"/>
        <v>0</v>
      </c>
    </row>
    <row r="17" spans="1:7" s="321" customFormat="1" ht="15">
      <c r="A17" s="146"/>
      <c r="B17" s="544" t="s">
        <v>30</v>
      </c>
      <c r="C17" s="571"/>
      <c r="D17" s="524"/>
      <c r="E17" s="581">
        <f>SUM(E5:E16)</f>
        <v>41128.75</v>
      </c>
      <c r="F17" s="570"/>
      <c r="G17" s="533">
        <f>SUM(G5:G16)</f>
        <v>3368</v>
      </c>
    </row>
    <row r="18" spans="1:7" s="321" customFormat="1" ht="15">
      <c r="A18" s="146"/>
      <c r="B18" s="545"/>
      <c r="C18" s="571"/>
      <c r="D18" s="524"/>
      <c r="E18" s="524"/>
      <c r="F18" s="327"/>
      <c r="G18" s="146"/>
    </row>
    <row r="19" spans="1:7" s="321" customFormat="1" ht="15">
      <c r="A19" s="146"/>
      <c r="B19" s="132" t="s">
        <v>15</v>
      </c>
      <c r="C19" s="571"/>
      <c r="D19" s="524"/>
      <c r="E19" s="524"/>
      <c r="F19" s="327"/>
      <c r="G19" s="146"/>
    </row>
    <row r="20" spans="1:7" s="321" customFormat="1" ht="15.75">
      <c r="A20" s="146"/>
      <c r="B20" s="540" t="s">
        <v>25</v>
      </c>
      <c r="C20" s="571">
        <v>0</v>
      </c>
      <c r="D20" s="571">
        <v>0</v>
      </c>
      <c r="E20" s="524">
        <f aca="true" t="shared" si="2" ref="E20:E26">C20*D20</f>
        <v>0</v>
      </c>
      <c r="F20" s="645">
        <v>0</v>
      </c>
      <c r="G20" s="531">
        <f aca="true" t="shared" si="3" ref="G20:G26">ROUND(E20*F20,0)</f>
        <v>0</v>
      </c>
    </row>
    <row r="21" spans="1:7" s="321" customFormat="1" ht="15.75">
      <c r="A21" s="146"/>
      <c r="B21" s="541" t="s">
        <v>16</v>
      </c>
      <c r="C21" s="571">
        <v>0</v>
      </c>
      <c r="D21" s="524">
        <v>0</v>
      </c>
      <c r="E21" s="524">
        <f t="shared" si="2"/>
        <v>0</v>
      </c>
      <c r="F21" s="645">
        <v>0</v>
      </c>
      <c r="G21" s="586">
        <f t="shared" si="3"/>
        <v>0</v>
      </c>
    </row>
    <row r="22" spans="1:7" s="321" customFormat="1" ht="15.75">
      <c r="A22" s="146"/>
      <c r="B22" s="541" t="s">
        <v>17</v>
      </c>
      <c r="C22" s="571">
        <v>0</v>
      </c>
      <c r="D22" s="524">
        <v>0</v>
      </c>
      <c r="E22" s="524">
        <f t="shared" si="2"/>
        <v>0</v>
      </c>
      <c r="F22" s="645">
        <v>0</v>
      </c>
      <c r="G22" s="586">
        <f t="shared" si="3"/>
        <v>0</v>
      </c>
    </row>
    <row r="23" spans="1:7" s="321" customFormat="1" ht="15.75">
      <c r="A23" s="146"/>
      <c r="B23" s="540" t="s">
        <v>18</v>
      </c>
      <c r="C23" s="571">
        <v>0</v>
      </c>
      <c r="D23" s="524">
        <v>0</v>
      </c>
      <c r="E23" s="524">
        <f t="shared" si="2"/>
        <v>0</v>
      </c>
      <c r="F23" s="646">
        <v>0</v>
      </c>
      <c r="G23" s="586">
        <f t="shared" si="3"/>
        <v>0</v>
      </c>
    </row>
    <row r="24" spans="1:7" s="321" customFormat="1" ht="15">
      <c r="A24" s="146"/>
      <c r="B24" s="546" t="s">
        <v>19</v>
      </c>
      <c r="C24" s="571">
        <v>0</v>
      </c>
      <c r="D24" s="571">
        <v>0</v>
      </c>
      <c r="E24" s="524">
        <f t="shared" si="2"/>
        <v>0</v>
      </c>
      <c r="F24" s="645">
        <v>0</v>
      </c>
      <c r="G24" s="586">
        <f t="shared" si="3"/>
        <v>0</v>
      </c>
    </row>
    <row r="25" spans="1:7" s="321" customFormat="1" ht="15.75">
      <c r="A25" s="146"/>
      <c r="B25" s="541" t="s">
        <v>20</v>
      </c>
      <c r="C25" s="571">
        <v>0</v>
      </c>
      <c r="D25" s="524">
        <v>0</v>
      </c>
      <c r="E25" s="524">
        <f t="shared" si="2"/>
        <v>0</v>
      </c>
      <c r="F25" s="646">
        <v>0</v>
      </c>
      <c r="G25" s="586">
        <f t="shared" si="3"/>
        <v>0</v>
      </c>
    </row>
    <row r="26" spans="1:7" s="321" customFormat="1" ht="15.75">
      <c r="A26" s="146"/>
      <c r="B26" s="540" t="s">
        <v>21</v>
      </c>
      <c r="C26" s="571"/>
      <c r="D26" s="524">
        <v>0</v>
      </c>
      <c r="E26" s="524">
        <f t="shared" si="2"/>
        <v>0</v>
      </c>
      <c r="F26" s="596">
        <v>0</v>
      </c>
      <c r="G26" s="586">
        <f t="shared" si="3"/>
        <v>0</v>
      </c>
    </row>
    <row r="27" spans="1:7" s="321" customFormat="1" ht="16.5" thickBot="1">
      <c r="A27" s="146"/>
      <c r="B27" s="547" t="s">
        <v>31</v>
      </c>
      <c r="C27" s="613"/>
      <c r="D27" s="574"/>
      <c r="E27" s="588">
        <f>SUM(E20:E26)</f>
        <v>0</v>
      </c>
      <c r="F27" s="573"/>
      <c r="G27" s="589">
        <f>SUM(G20:G26)</f>
        <v>0</v>
      </c>
    </row>
    <row r="28" ht="15.75" thickBot="1"/>
    <row r="29" spans="2:9" ht="15">
      <c r="B29" s="714" t="str">
        <f>'Input - Program Costs'!D3</f>
        <v>January 1, 2022 to September 30, 2022</v>
      </c>
      <c r="C29" s="712"/>
      <c r="D29" s="712"/>
      <c r="E29" s="712"/>
      <c r="F29" s="712"/>
      <c r="G29" s="713"/>
      <c r="I29" s="155"/>
    </row>
    <row r="30" spans="2:7" ht="30">
      <c r="B30" s="525"/>
      <c r="C30" s="526" t="s">
        <v>32</v>
      </c>
      <c r="D30" s="527" t="s">
        <v>83</v>
      </c>
      <c r="E30" s="528" t="s">
        <v>87</v>
      </c>
      <c r="F30" s="528" t="s">
        <v>84</v>
      </c>
      <c r="G30" s="529" t="s">
        <v>158</v>
      </c>
    </row>
    <row r="31" spans="2:7" ht="15">
      <c r="B31" s="78" t="s">
        <v>0</v>
      </c>
      <c r="C31" s="322"/>
      <c r="D31" s="135"/>
      <c r="E31" s="322"/>
      <c r="F31" s="322"/>
      <c r="G31" s="146"/>
    </row>
    <row r="32" spans="2:7" ht="15.75">
      <c r="B32" s="79" t="s">
        <v>1</v>
      </c>
      <c r="C32" s="530">
        <v>0</v>
      </c>
      <c r="D32" s="524">
        <v>0</v>
      </c>
      <c r="E32" s="135">
        <f>C32*D32</f>
        <v>0</v>
      </c>
      <c r="F32" s="569">
        <v>0</v>
      </c>
      <c r="G32" s="531">
        <f>ROUND(E32*F32,0)</f>
        <v>0</v>
      </c>
    </row>
    <row r="33" spans="2:7" ht="15.75">
      <c r="B33" s="80" t="s">
        <v>2</v>
      </c>
      <c r="C33" s="571">
        <f>'Net Energy Impact'!H6*9/12</f>
        <v>1898.25</v>
      </c>
      <c r="D33" s="524">
        <f>(Participation!R18-Participation!R6)+SUM(Participation!U6:U14)</f>
        <v>105.57808219178082</v>
      </c>
      <c r="E33" s="524">
        <f aca="true" t="shared" si="4" ref="E33:E43">C33*D33</f>
        <v>200413.59452054795</v>
      </c>
      <c r="F33" s="569">
        <f>'Input - Net Lost Revenue'!V19</f>
        <v>0.0818848292736153</v>
      </c>
      <c r="G33" s="586">
        <f aca="true" t="shared" si="5" ref="G33:G43">ROUND(E33*F33,0)</f>
        <v>16411</v>
      </c>
    </row>
    <row r="34" spans="2:7" ht="15.75">
      <c r="B34" s="79" t="s">
        <v>3</v>
      </c>
      <c r="C34" s="530">
        <v>0</v>
      </c>
      <c r="D34" s="524">
        <v>0</v>
      </c>
      <c r="E34" s="524">
        <f t="shared" si="4"/>
        <v>0</v>
      </c>
      <c r="F34" s="569">
        <v>0</v>
      </c>
      <c r="G34" s="586">
        <f t="shared" si="5"/>
        <v>0</v>
      </c>
    </row>
    <row r="35" spans="2:7" ht="15.75">
      <c r="B35" s="81" t="s">
        <v>4</v>
      </c>
      <c r="C35" s="530">
        <v>0</v>
      </c>
      <c r="D35" s="524">
        <v>0</v>
      </c>
      <c r="E35" s="524">
        <f t="shared" si="4"/>
        <v>0</v>
      </c>
      <c r="F35" s="569">
        <v>0</v>
      </c>
      <c r="G35" s="586">
        <f t="shared" si="5"/>
        <v>0</v>
      </c>
    </row>
    <row r="36" spans="2:7" ht="15.75">
      <c r="B36" s="81" t="s">
        <v>5</v>
      </c>
      <c r="C36" s="530">
        <v>0</v>
      </c>
      <c r="D36" s="524">
        <v>0</v>
      </c>
      <c r="E36" s="524">
        <f t="shared" si="4"/>
        <v>0</v>
      </c>
      <c r="F36" s="569">
        <v>0</v>
      </c>
      <c r="G36" s="586">
        <f t="shared" si="5"/>
        <v>0</v>
      </c>
    </row>
    <row r="37" spans="2:7" ht="15.75">
      <c r="B37" s="82" t="s">
        <v>6</v>
      </c>
      <c r="C37" s="530">
        <v>0</v>
      </c>
      <c r="D37" s="524">
        <v>0</v>
      </c>
      <c r="E37" s="524">
        <f t="shared" si="4"/>
        <v>0</v>
      </c>
      <c r="F37" s="569">
        <v>0</v>
      </c>
      <c r="G37" s="586">
        <f t="shared" si="5"/>
        <v>0</v>
      </c>
    </row>
    <row r="38" spans="2:7" ht="15.75">
      <c r="B38" s="80" t="s">
        <v>7</v>
      </c>
      <c r="C38" s="530">
        <v>0</v>
      </c>
      <c r="D38" s="524">
        <v>0</v>
      </c>
      <c r="E38" s="524">
        <f t="shared" si="4"/>
        <v>0</v>
      </c>
      <c r="F38" s="569">
        <v>0</v>
      </c>
      <c r="G38" s="586">
        <f t="shared" si="5"/>
        <v>0</v>
      </c>
    </row>
    <row r="39" spans="2:7" ht="15.75">
      <c r="B39" s="80" t="s">
        <v>8</v>
      </c>
      <c r="C39" s="530">
        <v>0</v>
      </c>
      <c r="D39" s="524">
        <v>0</v>
      </c>
      <c r="E39" s="524">
        <f t="shared" si="4"/>
        <v>0</v>
      </c>
      <c r="F39" s="569">
        <v>0</v>
      </c>
      <c r="G39" s="586">
        <f t="shared" si="5"/>
        <v>0</v>
      </c>
    </row>
    <row r="40" spans="2:7" ht="15.75">
      <c r="B40" s="82" t="s">
        <v>9</v>
      </c>
      <c r="C40" s="530">
        <v>0</v>
      </c>
      <c r="D40" s="524">
        <v>0</v>
      </c>
      <c r="E40" s="524">
        <f t="shared" si="4"/>
        <v>0</v>
      </c>
      <c r="F40" s="569">
        <v>0</v>
      </c>
      <c r="G40" s="586">
        <f t="shared" si="5"/>
        <v>0</v>
      </c>
    </row>
    <row r="41" spans="2:7" ht="15.75">
      <c r="B41" s="79" t="s">
        <v>10</v>
      </c>
      <c r="C41" s="571">
        <v>0</v>
      </c>
      <c r="D41" s="524">
        <v>0</v>
      </c>
      <c r="E41" s="524">
        <f t="shared" si="4"/>
        <v>0</v>
      </c>
      <c r="F41" s="569">
        <v>0</v>
      </c>
      <c r="G41" s="586">
        <f t="shared" si="5"/>
        <v>0</v>
      </c>
    </row>
    <row r="42" spans="2:7" ht="15.75">
      <c r="B42" s="79" t="s">
        <v>12</v>
      </c>
      <c r="C42" s="530">
        <v>0</v>
      </c>
      <c r="D42" s="524">
        <v>0</v>
      </c>
      <c r="E42" s="524">
        <f t="shared" si="4"/>
        <v>0</v>
      </c>
      <c r="F42" s="569">
        <v>0</v>
      </c>
      <c r="G42" s="531">
        <f t="shared" si="5"/>
        <v>0</v>
      </c>
    </row>
    <row r="43" spans="2:7" ht="15.75">
      <c r="B43" s="79" t="s">
        <v>13</v>
      </c>
      <c r="C43" s="530">
        <v>0</v>
      </c>
      <c r="D43" s="524">
        <v>0</v>
      </c>
      <c r="E43" s="524">
        <f t="shared" si="4"/>
        <v>0</v>
      </c>
      <c r="F43" s="569">
        <v>0</v>
      </c>
      <c r="G43" s="531">
        <f t="shared" si="5"/>
        <v>0</v>
      </c>
    </row>
    <row r="44" spans="2:7" ht="15">
      <c r="B44" s="532" t="s">
        <v>30</v>
      </c>
      <c r="C44" s="530"/>
      <c r="D44" s="524"/>
      <c r="E44" s="581">
        <f>SUM(E32:E43)</f>
        <v>200413.59452054795</v>
      </c>
      <c r="F44" s="570"/>
      <c r="G44" s="533">
        <f>SUM(G32:G43)</f>
        <v>16411</v>
      </c>
    </row>
    <row r="45" spans="2:7" ht="15">
      <c r="B45" s="534"/>
      <c r="C45" s="530"/>
      <c r="D45" s="524"/>
      <c r="E45" s="524"/>
      <c r="F45" s="327"/>
      <c r="G45" s="146"/>
    </row>
    <row r="46" spans="2:7" ht="15">
      <c r="B46" s="78" t="s">
        <v>15</v>
      </c>
      <c r="C46" s="530"/>
      <c r="D46" s="524"/>
      <c r="E46" s="524"/>
      <c r="F46" s="327"/>
      <c r="G46" s="146"/>
    </row>
    <row r="47" spans="2:7" ht="15.75">
      <c r="B47" s="79" t="s">
        <v>25</v>
      </c>
      <c r="C47" s="530">
        <v>0</v>
      </c>
      <c r="D47" s="524">
        <v>0</v>
      </c>
      <c r="E47" s="524">
        <f aca="true" t="shared" si="6" ref="E47:E53">C47*D47</f>
        <v>0</v>
      </c>
      <c r="F47" s="571">
        <v>0</v>
      </c>
      <c r="G47" s="531">
        <f aca="true" t="shared" si="7" ref="G47:G53">ROUND(E47*F47,0)</f>
        <v>0</v>
      </c>
    </row>
    <row r="48" spans="2:7" ht="15.75">
      <c r="B48" s="80" t="s">
        <v>16</v>
      </c>
      <c r="C48" s="530">
        <v>0</v>
      </c>
      <c r="D48" s="524">
        <v>0</v>
      </c>
      <c r="E48" s="524">
        <f t="shared" si="6"/>
        <v>0</v>
      </c>
      <c r="F48" s="645">
        <v>0</v>
      </c>
      <c r="G48" s="586">
        <f t="shared" si="7"/>
        <v>0</v>
      </c>
    </row>
    <row r="49" spans="2:7" ht="15.75">
      <c r="B49" s="80" t="s">
        <v>17</v>
      </c>
      <c r="C49" s="571">
        <v>0</v>
      </c>
      <c r="D49" s="524">
        <v>0</v>
      </c>
      <c r="E49" s="524">
        <f t="shared" si="6"/>
        <v>0</v>
      </c>
      <c r="F49" s="645">
        <v>0</v>
      </c>
      <c r="G49" s="586">
        <f t="shared" si="7"/>
        <v>0</v>
      </c>
    </row>
    <row r="50" spans="2:7" ht="15.75">
      <c r="B50" s="79" t="s">
        <v>18</v>
      </c>
      <c r="C50" s="571">
        <v>0</v>
      </c>
      <c r="D50" s="524">
        <v>0</v>
      </c>
      <c r="E50" s="524">
        <f t="shared" si="6"/>
        <v>0</v>
      </c>
      <c r="F50" s="646">
        <v>0</v>
      </c>
      <c r="G50" s="586">
        <f t="shared" si="7"/>
        <v>0</v>
      </c>
    </row>
    <row r="51" spans="2:7" ht="15">
      <c r="B51" s="535" t="s">
        <v>19</v>
      </c>
      <c r="C51" s="571">
        <v>0</v>
      </c>
      <c r="D51" s="524">
        <v>0</v>
      </c>
      <c r="E51" s="524">
        <f t="shared" si="6"/>
        <v>0</v>
      </c>
      <c r="F51" s="645">
        <v>0</v>
      </c>
      <c r="G51" s="586">
        <f t="shared" si="7"/>
        <v>0</v>
      </c>
    </row>
    <row r="52" spans="2:7" ht="15.75">
      <c r="B52" s="80" t="s">
        <v>20</v>
      </c>
      <c r="C52" s="571">
        <v>0</v>
      </c>
      <c r="D52" s="524">
        <v>0</v>
      </c>
      <c r="E52" s="524">
        <f t="shared" si="6"/>
        <v>0</v>
      </c>
      <c r="F52" s="646">
        <v>0</v>
      </c>
      <c r="G52" s="586">
        <f t="shared" si="7"/>
        <v>0</v>
      </c>
    </row>
    <row r="53" spans="2:7" ht="15.75">
      <c r="B53" s="79" t="s">
        <v>21</v>
      </c>
      <c r="C53" s="530">
        <v>0</v>
      </c>
      <c r="D53" s="524">
        <v>0</v>
      </c>
      <c r="E53" s="135">
        <f t="shared" si="6"/>
        <v>0</v>
      </c>
      <c r="F53" s="645">
        <v>0</v>
      </c>
      <c r="G53" s="586">
        <f t="shared" si="7"/>
        <v>0</v>
      </c>
    </row>
    <row r="54" spans="2:7" ht="16.5" thickBot="1">
      <c r="B54" s="536" t="s">
        <v>31</v>
      </c>
      <c r="C54" s="537"/>
      <c r="D54" s="574"/>
      <c r="E54" s="538">
        <f>SUM(E47:E53)</f>
        <v>0</v>
      </c>
      <c r="F54" s="573"/>
      <c r="G54" s="539">
        <f>SUM(G47:G53)</f>
        <v>0</v>
      </c>
    </row>
    <row r="55" ht="15.75" thickBot="1"/>
    <row r="56" spans="2:9" ht="15">
      <c r="B56" s="714" t="str">
        <f>'Input - Program Costs'!E3</f>
        <v>October 1, 2022 to December 31, 2022</v>
      </c>
      <c r="C56" s="712"/>
      <c r="D56" s="712"/>
      <c r="E56" s="712"/>
      <c r="F56" s="712"/>
      <c r="G56" s="713"/>
      <c r="I56" s="155"/>
    </row>
    <row r="57" spans="2:7" ht="30">
      <c r="B57" s="525"/>
      <c r="C57" s="526" t="s">
        <v>32</v>
      </c>
      <c r="D57" s="527" t="s">
        <v>83</v>
      </c>
      <c r="E57" s="528" t="s">
        <v>87</v>
      </c>
      <c r="F57" s="528" t="s">
        <v>84</v>
      </c>
      <c r="G57" s="529" t="s">
        <v>158</v>
      </c>
    </row>
    <row r="58" spans="2:7" ht="15">
      <c r="B58" s="78" t="s">
        <v>0</v>
      </c>
      <c r="C58" s="322"/>
      <c r="D58" s="135"/>
      <c r="E58" s="322"/>
      <c r="F58" s="322"/>
      <c r="G58" s="146"/>
    </row>
    <row r="59" spans="2:7" ht="15.75">
      <c r="B59" s="79" t="s">
        <v>1</v>
      </c>
      <c r="C59" s="530">
        <v>0</v>
      </c>
      <c r="D59" s="524">
        <v>0</v>
      </c>
      <c r="E59" s="135">
        <f>C59*D59</f>
        <v>0</v>
      </c>
      <c r="F59" s="569">
        <v>0</v>
      </c>
      <c r="G59" s="531">
        <f>ROUND(E59*F59,0)</f>
        <v>0</v>
      </c>
    </row>
    <row r="60" spans="2:7" ht="15.75">
      <c r="B60" s="80" t="s">
        <v>2</v>
      </c>
      <c r="C60" s="571">
        <f>'Net Energy Impact'!H6*3/12</f>
        <v>632.75</v>
      </c>
      <c r="D60" s="524">
        <f>(Participation!R18-Participation!R6)+Participation!U18</f>
        <v>105.57808219178082</v>
      </c>
      <c r="E60" s="524">
        <f aca="true" t="shared" si="8" ref="E60:E70">C60*D60</f>
        <v>66804.53150684932</v>
      </c>
      <c r="F60" s="569">
        <f>'Input - Net Lost Revenue'!V29</f>
        <v>0.08188437574930899</v>
      </c>
      <c r="G60" s="586">
        <f aca="true" t="shared" si="9" ref="G60:G70">ROUND(E60*F60,0)</f>
        <v>5470</v>
      </c>
    </row>
    <row r="61" spans="2:7" ht="15.75">
      <c r="B61" s="79" t="s">
        <v>3</v>
      </c>
      <c r="C61" s="530">
        <v>0</v>
      </c>
      <c r="D61" s="524">
        <v>0</v>
      </c>
      <c r="E61" s="524">
        <f t="shared" si="8"/>
        <v>0</v>
      </c>
      <c r="F61" s="569">
        <v>0</v>
      </c>
      <c r="G61" s="586">
        <f t="shared" si="9"/>
        <v>0</v>
      </c>
    </row>
    <row r="62" spans="2:7" ht="15.75">
      <c r="B62" s="81" t="s">
        <v>4</v>
      </c>
      <c r="C62" s="530">
        <v>0</v>
      </c>
      <c r="D62" s="524">
        <v>0</v>
      </c>
      <c r="E62" s="524">
        <f t="shared" si="8"/>
        <v>0</v>
      </c>
      <c r="F62" s="569">
        <v>0</v>
      </c>
      <c r="G62" s="586">
        <f t="shared" si="9"/>
        <v>0</v>
      </c>
    </row>
    <row r="63" spans="2:7" ht="15.75">
      <c r="B63" s="81" t="s">
        <v>5</v>
      </c>
      <c r="C63" s="530">
        <v>0</v>
      </c>
      <c r="D63" s="524">
        <v>0</v>
      </c>
      <c r="E63" s="524">
        <f t="shared" si="8"/>
        <v>0</v>
      </c>
      <c r="F63" s="569">
        <v>0</v>
      </c>
      <c r="G63" s="586">
        <f t="shared" si="9"/>
        <v>0</v>
      </c>
    </row>
    <row r="64" spans="2:7" ht="15.75">
      <c r="B64" s="82" t="s">
        <v>6</v>
      </c>
      <c r="C64" s="530">
        <v>0</v>
      </c>
      <c r="D64" s="596">
        <v>0</v>
      </c>
      <c r="E64" s="524">
        <f t="shared" si="8"/>
        <v>0</v>
      </c>
      <c r="F64" s="569">
        <v>0</v>
      </c>
      <c r="G64" s="586">
        <f t="shared" si="9"/>
        <v>0</v>
      </c>
    </row>
    <row r="65" spans="2:7" ht="15.75">
      <c r="B65" s="80" t="s">
        <v>7</v>
      </c>
      <c r="C65" s="530">
        <v>0</v>
      </c>
      <c r="D65" s="596">
        <v>0</v>
      </c>
      <c r="E65" s="524">
        <f t="shared" si="8"/>
        <v>0</v>
      </c>
      <c r="F65" s="569">
        <v>0</v>
      </c>
      <c r="G65" s="586">
        <f t="shared" si="9"/>
        <v>0</v>
      </c>
    </row>
    <row r="66" spans="2:7" ht="15.75">
      <c r="B66" s="80" t="s">
        <v>8</v>
      </c>
      <c r="C66" s="530">
        <v>0</v>
      </c>
      <c r="D66" s="596">
        <v>0</v>
      </c>
      <c r="E66" s="524">
        <f t="shared" si="8"/>
        <v>0</v>
      </c>
      <c r="F66" s="569">
        <v>0</v>
      </c>
      <c r="G66" s="586">
        <f t="shared" si="9"/>
        <v>0</v>
      </c>
    </row>
    <row r="67" spans="2:7" ht="15.75">
      <c r="B67" s="82" t="s">
        <v>9</v>
      </c>
      <c r="C67" s="530">
        <v>0</v>
      </c>
      <c r="D67" s="596">
        <v>0</v>
      </c>
      <c r="E67" s="524">
        <f t="shared" si="8"/>
        <v>0</v>
      </c>
      <c r="F67" s="569">
        <v>0</v>
      </c>
      <c r="G67" s="586">
        <f t="shared" si="9"/>
        <v>0</v>
      </c>
    </row>
    <row r="68" spans="2:7" ht="15.75">
      <c r="B68" s="79" t="s">
        <v>10</v>
      </c>
      <c r="C68" s="571">
        <v>0</v>
      </c>
      <c r="D68" s="524">
        <v>0</v>
      </c>
      <c r="E68" s="524">
        <f t="shared" si="8"/>
        <v>0</v>
      </c>
      <c r="F68" s="569">
        <v>0</v>
      </c>
      <c r="G68" s="586">
        <f t="shared" si="9"/>
        <v>0</v>
      </c>
    </row>
    <row r="69" spans="2:7" ht="15.75">
      <c r="B69" s="79" t="s">
        <v>12</v>
      </c>
      <c r="C69" s="530">
        <v>0</v>
      </c>
      <c r="D69" s="596">
        <v>0</v>
      </c>
      <c r="E69" s="524">
        <f t="shared" si="8"/>
        <v>0</v>
      </c>
      <c r="F69" s="569">
        <v>0</v>
      </c>
      <c r="G69" s="531">
        <f t="shared" si="9"/>
        <v>0</v>
      </c>
    </row>
    <row r="70" spans="2:7" ht="15.75">
      <c r="B70" s="79" t="s">
        <v>13</v>
      </c>
      <c r="C70" s="530">
        <v>0</v>
      </c>
      <c r="D70" s="596">
        <v>0</v>
      </c>
      <c r="E70" s="524">
        <f t="shared" si="8"/>
        <v>0</v>
      </c>
      <c r="F70" s="569">
        <v>0</v>
      </c>
      <c r="G70" s="531">
        <f t="shared" si="9"/>
        <v>0</v>
      </c>
    </row>
    <row r="71" spans="2:7" ht="15">
      <c r="B71" s="532" t="s">
        <v>30</v>
      </c>
      <c r="C71" s="530"/>
      <c r="D71" s="524"/>
      <c r="E71" s="581">
        <f>SUM(E59:E70)</f>
        <v>66804.53150684932</v>
      </c>
      <c r="F71" s="570"/>
      <c r="G71" s="533">
        <f>SUM(G59:G70)</f>
        <v>5470</v>
      </c>
    </row>
    <row r="72" spans="2:7" ht="15">
      <c r="B72" s="534"/>
      <c r="C72" s="530"/>
      <c r="D72" s="524"/>
      <c r="E72" s="524"/>
      <c r="F72" s="327"/>
      <c r="G72" s="146"/>
    </row>
    <row r="73" spans="2:7" ht="15">
      <c r="B73" s="78" t="s">
        <v>15</v>
      </c>
      <c r="C73" s="530"/>
      <c r="D73" s="524"/>
      <c r="E73" s="524"/>
      <c r="F73" s="327"/>
      <c r="G73" s="146"/>
    </row>
    <row r="74" spans="2:7" ht="15.75">
      <c r="B74" s="79" t="s">
        <v>25</v>
      </c>
      <c r="C74" s="530">
        <v>0</v>
      </c>
      <c r="D74" s="596">
        <v>0</v>
      </c>
      <c r="E74" s="524">
        <f aca="true" t="shared" si="10" ref="E74:E80">C74*D74</f>
        <v>0</v>
      </c>
      <c r="F74" s="569">
        <v>0</v>
      </c>
      <c r="G74" s="531">
        <f aca="true" t="shared" si="11" ref="G74:G80">ROUND(E74*F74,0)</f>
        <v>0</v>
      </c>
    </row>
    <row r="75" spans="2:7" ht="15.75">
      <c r="B75" s="80" t="s">
        <v>16</v>
      </c>
      <c r="C75" s="530">
        <v>0</v>
      </c>
      <c r="D75" s="596">
        <v>0</v>
      </c>
      <c r="E75" s="524">
        <f t="shared" si="10"/>
        <v>0</v>
      </c>
      <c r="F75" s="645">
        <v>0</v>
      </c>
      <c r="G75" s="531">
        <f t="shared" si="11"/>
        <v>0</v>
      </c>
    </row>
    <row r="76" spans="2:7" ht="15.75">
      <c r="B76" s="80" t="s">
        <v>17</v>
      </c>
      <c r="C76" s="530">
        <v>0</v>
      </c>
      <c r="D76" s="524">
        <v>0</v>
      </c>
      <c r="E76" s="524">
        <f t="shared" si="10"/>
        <v>0</v>
      </c>
      <c r="F76" s="645">
        <v>0</v>
      </c>
      <c r="G76" s="586">
        <f t="shared" si="11"/>
        <v>0</v>
      </c>
    </row>
    <row r="77" spans="2:7" ht="15.75">
      <c r="B77" s="79" t="s">
        <v>18</v>
      </c>
      <c r="C77" s="571">
        <v>0</v>
      </c>
      <c r="D77" s="524">
        <v>0</v>
      </c>
      <c r="E77" s="524">
        <f t="shared" si="10"/>
        <v>0</v>
      </c>
      <c r="F77" s="646">
        <v>0</v>
      </c>
      <c r="G77" s="586">
        <f t="shared" si="11"/>
        <v>0</v>
      </c>
    </row>
    <row r="78" spans="2:7" ht="15">
      <c r="B78" s="535" t="s">
        <v>19</v>
      </c>
      <c r="C78" s="571">
        <v>0</v>
      </c>
      <c r="D78" s="596">
        <v>0</v>
      </c>
      <c r="E78" s="524">
        <f t="shared" si="10"/>
        <v>0</v>
      </c>
      <c r="F78" s="645">
        <v>0</v>
      </c>
      <c r="G78" s="586">
        <f t="shared" si="11"/>
        <v>0</v>
      </c>
    </row>
    <row r="79" spans="2:7" ht="15.75">
      <c r="B79" s="80" t="s">
        <v>20</v>
      </c>
      <c r="C79" s="571">
        <v>0</v>
      </c>
      <c r="D79" s="524">
        <v>0</v>
      </c>
      <c r="E79" s="524">
        <f t="shared" si="10"/>
        <v>0</v>
      </c>
      <c r="F79" s="646">
        <v>0</v>
      </c>
      <c r="G79" s="586">
        <f t="shared" si="11"/>
        <v>0</v>
      </c>
    </row>
    <row r="80" spans="2:7" ht="15.75">
      <c r="B80" s="79" t="s">
        <v>21</v>
      </c>
      <c r="C80" s="530">
        <v>0</v>
      </c>
      <c r="D80" s="596">
        <v>0</v>
      </c>
      <c r="E80" s="524">
        <f t="shared" si="10"/>
        <v>0</v>
      </c>
      <c r="F80" s="645">
        <v>0</v>
      </c>
      <c r="G80" s="531">
        <f t="shared" si="11"/>
        <v>0</v>
      </c>
    </row>
    <row r="81" spans="2:7" ht="16.5" thickBot="1">
      <c r="B81" s="536" t="s">
        <v>31</v>
      </c>
      <c r="C81" s="537"/>
      <c r="D81" s="574"/>
      <c r="E81" s="538">
        <f>SUM(E74:E80)</f>
        <v>0</v>
      </c>
      <c r="F81" s="573"/>
      <c r="G81" s="539">
        <f>SUM(G74:G80)</f>
        <v>0</v>
      </c>
    </row>
    <row r="82" ht="15.75" thickBot="1"/>
    <row r="83" spans="2:9" ht="15">
      <c r="B83" s="714" t="str">
        <f>'Input - Program Costs'!F3</f>
        <v>January 1, 2023 to December 31, 2023</v>
      </c>
      <c r="C83" s="712"/>
      <c r="D83" s="712"/>
      <c r="E83" s="712"/>
      <c r="F83" s="712"/>
      <c r="G83" s="713"/>
      <c r="I83" s="155"/>
    </row>
    <row r="84" spans="2:7" ht="30">
      <c r="B84" s="525"/>
      <c r="C84" s="526" t="s">
        <v>32</v>
      </c>
      <c r="D84" s="527" t="s">
        <v>83</v>
      </c>
      <c r="E84" s="528" t="s">
        <v>87</v>
      </c>
      <c r="F84" s="528" t="s">
        <v>84</v>
      </c>
      <c r="G84" s="529" t="s">
        <v>158</v>
      </c>
    </row>
    <row r="85" spans="2:7" ht="15">
      <c r="B85" s="78" t="s">
        <v>0</v>
      </c>
      <c r="C85" s="322"/>
      <c r="D85" s="135"/>
      <c r="E85" s="322"/>
      <c r="F85" s="322"/>
      <c r="G85" s="146"/>
    </row>
    <row r="86" spans="2:7" ht="15.75">
      <c r="B86" s="79" t="s">
        <v>1</v>
      </c>
      <c r="C86" s="530">
        <v>0</v>
      </c>
      <c r="D86" s="524">
        <v>0</v>
      </c>
      <c r="E86" s="524">
        <f>C86*D86</f>
        <v>0</v>
      </c>
      <c r="F86" s="569">
        <v>0</v>
      </c>
      <c r="G86" s="531">
        <f>ROUND(E86*F86,0)</f>
        <v>0</v>
      </c>
    </row>
    <row r="87" spans="2:7" ht="15.75">
      <c r="B87" s="80" t="s">
        <v>2</v>
      </c>
      <c r="C87" s="571">
        <f>'Net Energy Impact'!I6</f>
        <v>2531</v>
      </c>
      <c r="D87" s="524">
        <f>Participation!R18+Participation!U18</f>
        <v>110.57808219178082</v>
      </c>
      <c r="E87" s="524">
        <f aca="true" t="shared" si="12" ref="E87:E97">C87*D87</f>
        <v>279873.1260273973</v>
      </c>
      <c r="F87" s="569">
        <f>'Input - Net Lost Revenue'!V39</f>
        <v>0.0818843755609944</v>
      </c>
      <c r="G87" s="586">
        <f aca="true" t="shared" si="13" ref="G87:G97">ROUND(E87*F87,0)</f>
        <v>22917</v>
      </c>
    </row>
    <row r="88" spans="2:7" ht="15.75">
      <c r="B88" s="79" t="s">
        <v>3</v>
      </c>
      <c r="C88" s="530">
        <v>0</v>
      </c>
      <c r="D88" s="524">
        <v>0</v>
      </c>
      <c r="E88" s="524">
        <f t="shared" si="12"/>
        <v>0</v>
      </c>
      <c r="F88" s="569">
        <v>0</v>
      </c>
      <c r="G88" s="586">
        <f t="shared" si="13"/>
        <v>0</v>
      </c>
    </row>
    <row r="89" spans="2:7" ht="15.75">
      <c r="B89" s="81" t="s">
        <v>4</v>
      </c>
      <c r="C89" s="530">
        <v>0</v>
      </c>
      <c r="D89" s="524">
        <v>0</v>
      </c>
      <c r="E89" s="524">
        <f t="shared" si="12"/>
        <v>0</v>
      </c>
      <c r="F89" s="569">
        <v>0</v>
      </c>
      <c r="G89" s="586">
        <f t="shared" si="13"/>
        <v>0</v>
      </c>
    </row>
    <row r="90" spans="2:7" ht="15.75">
      <c r="B90" s="81" t="s">
        <v>5</v>
      </c>
      <c r="C90" s="530">
        <v>0</v>
      </c>
      <c r="D90" s="524">
        <v>0</v>
      </c>
      <c r="E90" s="524">
        <f t="shared" si="12"/>
        <v>0</v>
      </c>
      <c r="F90" s="569">
        <v>0</v>
      </c>
      <c r="G90" s="586">
        <f t="shared" si="13"/>
        <v>0</v>
      </c>
    </row>
    <row r="91" spans="2:7" ht="15.75">
      <c r="B91" s="82" t="s">
        <v>6</v>
      </c>
      <c r="C91" s="530">
        <v>0</v>
      </c>
      <c r="D91" s="596">
        <v>0</v>
      </c>
      <c r="E91" s="524">
        <f t="shared" si="12"/>
        <v>0</v>
      </c>
      <c r="F91" s="569">
        <v>0</v>
      </c>
      <c r="G91" s="586">
        <f t="shared" si="13"/>
        <v>0</v>
      </c>
    </row>
    <row r="92" spans="2:7" ht="15.75">
      <c r="B92" s="80" t="s">
        <v>7</v>
      </c>
      <c r="C92" s="530">
        <v>0</v>
      </c>
      <c r="D92" s="596">
        <v>0</v>
      </c>
      <c r="E92" s="524">
        <f t="shared" si="12"/>
        <v>0</v>
      </c>
      <c r="F92" s="569">
        <v>0</v>
      </c>
      <c r="G92" s="586">
        <f t="shared" si="13"/>
        <v>0</v>
      </c>
    </row>
    <row r="93" spans="2:7" ht="15.75">
      <c r="B93" s="80" t="s">
        <v>8</v>
      </c>
      <c r="C93" s="530">
        <v>0</v>
      </c>
      <c r="D93" s="596">
        <v>0</v>
      </c>
      <c r="E93" s="524">
        <f t="shared" si="12"/>
        <v>0</v>
      </c>
      <c r="F93" s="569">
        <v>0</v>
      </c>
      <c r="G93" s="586">
        <f t="shared" si="13"/>
        <v>0</v>
      </c>
    </row>
    <row r="94" spans="2:7" ht="15.75">
      <c r="B94" s="82" t="s">
        <v>9</v>
      </c>
      <c r="C94" s="530">
        <v>0</v>
      </c>
      <c r="D94" s="596">
        <v>0</v>
      </c>
      <c r="E94" s="524">
        <f t="shared" si="12"/>
        <v>0</v>
      </c>
      <c r="F94" s="569">
        <v>0</v>
      </c>
      <c r="G94" s="586">
        <f t="shared" si="13"/>
        <v>0</v>
      </c>
    </row>
    <row r="95" spans="2:7" ht="15.75">
      <c r="B95" s="79" t="s">
        <v>10</v>
      </c>
      <c r="C95" s="571">
        <v>0</v>
      </c>
      <c r="D95" s="524">
        <v>0</v>
      </c>
      <c r="E95" s="524">
        <f t="shared" si="12"/>
        <v>0</v>
      </c>
      <c r="F95" s="569">
        <v>0</v>
      </c>
      <c r="G95" s="586">
        <f t="shared" si="13"/>
        <v>0</v>
      </c>
    </row>
    <row r="96" spans="2:7" ht="15.75">
      <c r="B96" s="79" t="s">
        <v>12</v>
      </c>
      <c r="C96" s="530">
        <v>0</v>
      </c>
      <c r="D96" s="596">
        <v>0</v>
      </c>
      <c r="E96" s="524">
        <f t="shared" si="12"/>
        <v>0</v>
      </c>
      <c r="F96" s="569">
        <v>0</v>
      </c>
      <c r="G96" s="531">
        <f t="shared" si="13"/>
        <v>0</v>
      </c>
    </row>
    <row r="97" spans="2:7" ht="15.75">
      <c r="B97" s="79" t="s">
        <v>13</v>
      </c>
      <c r="C97" s="530">
        <v>0</v>
      </c>
      <c r="D97" s="596">
        <v>0</v>
      </c>
      <c r="E97" s="524">
        <f t="shared" si="12"/>
        <v>0</v>
      </c>
      <c r="F97" s="569">
        <v>0</v>
      </c>
      <c r="G97" s="531">
        <f t="shared" si="13"/>
        <v>0</v>
      </c>
    </row>
    <row r="98" spans="2:7" ht="15">
      <c r="B98" s="532" t="s">
        <v>30</v>
      </c>
      <c r="C98" s="530"/>
      <c r="D98" s="596"/>
      <c r="E98" s="581">
        <f>SUM(E86:E97)</f>
        <v>279873.1260273973</v>
      </c>
      <c r="F98" s="570"/>
      <c r="G98" s="533">
        <f>SUM(G86:G97)</f>
        <v>22917</v>
      </c>
    </row>
    <row r="99" spans="2:7" ht="15">
      <c r="B99" s="534"/>
      <c r="C99" s="530"/>
      <c r="D99" s="524"/>
      <c r="E99" s="524"/>
      <c r="F99" s="327"/>
      <c r="G99" s="146"/>
    </row>
    <row r="100" spans="2:7" ht="15">
      <c r="B100" s="78" t="s">
        <v>15</v>
      </c>
      <c r="C100" s="530"/>
      <c r="D100" s="524"/>
      <c r="E100" s="524"/>
      <c r="F100" s="327"/>
      <c r="G100" s="146"/>
    </row>
    <row r="101" spans="2:7" ht="15.75">
      <c r="B101" s="79" t="s">
        <v>25</v>
      </c>
      <c r="C101" s="530">
        <v>0</v>
      </c>
      <c r="D101" s="596">
        <v>0</v>
      </c>
      <c r="E101" s="524">
        <f aca="true" t="shared" si="14" ref="E101:E107">C101*D101</f>
        <v>0</v>
      </c>
      <c r="F101" s="569">
        <v>0</v>
      </c>
      <c r="G101" s="531">
        <f aca="true" t="shared" si="15" ref="G101:G107">ROUND(E101*F101,0)</f>
        <v>0</v>
      </c>
    </row>
    <row r="102" spans="2:9" ht="15.75">
      <c r="B102" s="80" t="s">
        <v>16</v>
      </c>
      <c r="C102" s="530">
        <v>0</v>
      </c>
      <c r="D102" s="596">
        <v>0</v>
      </c>
      <c r="E102" s="524">
        <f t="shared" si="14"/>
        <v>0</v>
      </c>
      <c r="F102" s="645">
        <v>0</v>
      </c>
      <c r="G102" s="586">
        <f t="shared" si="15"/>
        <v>0</v>
      </c>
      <c r="H102" s="155"/>
      <c r="I102" s="155"/>
    </row>
    <row r="103" spans="2:9" ht="15.75">
      <c r="B103" s="80" t="s">
        <v>17</v>
      </c>
      <c r="C103" s="530">
        <v>0</v>
      </c>
      <c r="D103" s="524">
        <v>0</v>
      </c>
      <c r="E103" s="524">
        <f t="shared" si="14"/>
        <v>0</v>
      </c>
      <c r="F103" s="645">
        <v>0</v>
      </c>
      <c r="G103" s="586">
        <f t="shared" si="15"/>
        <v>0</v>
      </c>
      <c r="H103" s="155"/>
      <c r="I103" s="155"/>
    </row>
    <row r="104" spans="2:9" ht="15.75">
      <c r="B104" s="79" t="s">
        <v>18</v>
      </c>
      <c r="C104" s="571">
        <v>0</v>
      </c>
      <c r="D104" s="524">
        <v>0</v>
      </c>
      <c r="E104" s="524">
        <f t="shared" si="14"/>
        <v>0</v>
      </c>
      <c r="F104" s="646">
        <v>0</v>
      </c>
      <c r="G104" s="586">
        <f t="shared" si="15"/>
        <v>0</v>
      </c>
      <c r="H104" s="155"/>
      <c r="I104" s="155"/>
    </row>
    <row r="105" spans="2:9" ht="15">
      <c r="B105" s="535" t="s">
        <v>19</v>
      </c>
      <c r="C105" s="571">
        <v>0</v>
      </c>
      <c r="D105" s="596">
        <v>0</v>
      </c>
      <c r="E105" s="524">
        <f t="shared" si="14"/>
        <v>0</v>
      </c>
      <c r="F105" s="645">
        <v>0</v>
      </c>
      <c r="G105" s="586">
        <f t="shared" si="15"/>
        <v>0</v>
      </c>
      <c r="H105" s="155"/>
      <c r="I105" s="155"/>
    </row>
    <row r="106" spans="2:9" ht="15.75">
      <c r="B106" s="80" t="s">
        <v>20</v>
      </c>
      <c r="C106" s="571">
        <v>0</v>
      </c>
      <c r="D106" s="524">
        <v>0</v>
      </c>
      <c r="E106" s="524">
        <f t="shared" si="14"/>
        <v>0</v>
      </c>
      <c r="F106" s="646">
        <v>0</v>
      </c>
      <c r="G106" s="586">
        <f t="shared" si="15"/>
        <v>0</v>
      </c>
      <c r="H106" s="155"/>
      <c r="I106" s="155"/>
    </row>
    <row r="107" spans="2:9" ht="15.75">
      <c r="B107" s="79" t="s">
        <v>21</v>
      </c>
      <c r="C107" s="571">
        <v>0</v>
      </c>
      <c r="D107" s="596">
        <v>0</v>
      </c>
      <c r="E107" s="524">
        <f t="shared" si="14"/>
        <v>0</v>
      </c>
      <c r="F107" s="645">
        <v>0</v>
      </c>
      <c r="G107" s="586">
        <f t="shared" si="15"/>
        <v>0</v>
      </c>
      <c r="H107" s="155"/>
      <c r="I107" s="155"/>
    </row>
    <row r="108" spans="2:9" ht="16.5" thickBot="1">
      <c r="B108" s="536" t="s">
        <v>31</v>
      </c>
      <c r="C108" s="537"/>
      <c r="D108" s="574"/>
      <c r="E108" s="588">
        <f>SUM(E101:E107)</f>
        <v>0</v>
      </c>
      <c r="F108" s="573"/>
      <c r="G108" s="589">
        <f>SUM(G101:G107)</f>
        <v>0</v>
      </c>
      <c r="H108" s="155"/>
      <c r="I108" s="155"/>
    </row>
    <row r="109" spans="5:9" ht="15">
      <c r="E109" s="155"/>
      <c r="F109" s="155"/>
      <c r="G109" s="155"/>
      <c r="H109" s="155"/>
      <c r="I109" s="155"/>
    </row>
  </sheetData>
  <sheetProtection/>
  <mergeCells count="5">
    <mergeCell ref="B1:G1"/>
    <mergeCell ref="B2:G2"/>
    <mergeCell ref="B29:G29"/>
    <mergeCell ref="B56:G56"/>
    <mergeCell ref="B83:G83"/>
  </mergeCells>
  <printOptions/>
  <pageMargins left="0.7" right="0.7" top="0.75" bottom="0.75" header="0.3" footer="0.3"/>
  <pageSetup fitToHeight="0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O325"/>
  <sheetViews>
    <sheetView zoomScalePageLayoutView="0" workbookViewId="0" topLeftCell="A3">
      <selection activeCell="D13" sqref="D13:G13"/>
    </sheetView>
  </sheetViews>
  <sheetFormatPr defaultColWidth="9.140625" defaultRowHeight="15" outlineLevelRow="1"/>
  <cols>
    <col min="1" max="1" width="18.00390625" style="0" customWidth="1"/>
    <col min="2" max="2" width="43.57421875" style="0" customWidth="1"/>
    <col min="3" max="3" width="16.140625" style="0" customWidth="1"/>
    <col min="4" max="4" width="19.57421875" style="0" customWidth="1"/>
    <col min="5" max="5" width="18.140625" style="0" customWidth="1"/>
    <col min="6" max="6" width="17.00390625" style="0" customWidth="1"/>
    <col min="7" max="7" width="17.57421875" style="0" customWidth="1"/>
    <col min="8" max="8" width="17.7109375" style="0" customWidth="1"/>
    <col min="9" max="9" width="17.00390625" style="0" customWidth="1"/>
    <col min="10" max="12" width="14.28125" style="0" customWidth="1"/>
    <col min="13" max="13" width="18.57421875" style="0" customWidth="1"/>
    <col min="14" max="14" width="20.28125" style="0" customWidth="1"/>
    <col min="15" max="15" width="17.8515625" style="0" customWidth="1"/>
    <col min="16" max="16" width="18.140625" style="0" customWidth="1"/>
    <col min="17" max="17" width="17.8515625" style="0" customWidth="1"/>
    <col min="18" max="18" width="18.00390625" style="0" customWidth="1"/>
    <col min="19" max="19" width="15.28125" style="101" customWidth="1"/>
    <col min="20" max="20" width="17.421875" style="0" customWidth="1"/>
    <col min="21" max="22" width="15.421875" style="0" customWidth="1"/>
    <col min="23" max="23" width="18.7109375" style="0" customWidth="1"/>
    <col min="30" max="30" width="16.7109375" style="0" bestFit="1" customWidth="1"/>
    <col min="31" max="34" width="9.140625" style="0" customWidth="1"/>
    <col min="36" max="36" width="13.8515625" style="0" customWidth="1"/>
  </cols>
  <sheetData>
    <row r="1" ht="15.75" thickBot="1">
      <c r="B1" s="626" t="str">
        <f>'Input - Lost Revenue'!B2:G2</f>
        <v>October 1, 2021 to December 31, 2021</v>
      </c>
    </row>
    <row r="2" spans="2:35" s="101" customFormat="1" ht="15.75" thickBot="1">
      <c r="B2" s="161" t="s">
        <v>28</v>
      </c>
      <c r="C2" s="162"/>
      <c r="D2" s="715" t="s">
        <v>91</v>
      </c>
      <c r="E2" s="716"/>
      <c r="F2" s="716"/>
      <c r="G2" s="717"/>
      <c r="H2" s="715" t="s">
        <v>92</v>
      </c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231"/>
      <c r="T2" s="163"/>
      <c r="AB2"/>
      <c r="AC2"/>
      <c r="AD2"/>
      <c r="AE2"/>
      <c r="AF2"/>
      <c r="AG2"/>
      <c r="AH2"/>
      <c r="AI2"/>
    </row>
    <row r="3" spans="2:22" s="101" customFormat="1" ht="15.75" thickBot="1">
      <c r="B3" s="164"/>
      <c r="C3" s="165"/>
      <c r="D3" s="166" t="s">
        <v>94</v>
      </c>
      <c r="E3" s="167" t="s">
        <v>275</v>
      </c>
      <c r="F3" s="167" t="s">
        <v>95</v>
      </c>
      <c r="G3" s="167" t="s">
        <v>96</v>
      </c>
      <c r="H3" s="168" t="s">
        <v>97</v>
      </c>
      <c r="I3" s="166" t="s">
        <v>94</v>
      </c>
      <c r="J3" s="167" t="s">
        <v>104</v>
      </c>
      <c r="K3" s="167" t="s">
        <v>103</v>
      </c>
      <c r="L3" s="167" t="s">
        <v>275</v>
      </c>
      <c r="M3" s="167" t="s">
        <v>95</v>
      </c>
      <c r="N3" s="167" t="s">
        <v>102</v>
      </c>
      <c r="O3" s="167" t="s">
        <v>96</v>
      </c>
      <c r="P3" s="167" t="s">
        <v>101</v>
      </c>
      <c r="Q3" s="167" t="s">
        <v>100</v>
      </c>
      <c r="R3" s="167" t="s">
        <v>99</v>
      </c>
      <c r="S3" s="167" t="s">
        <v>98</v>
      </c>
      <c r="T3" s="167" t="s">
        <v>97</v>
      </c>
      <c r="U3" s="232"/>
      <c r="V3" s="226"/>
    </row>
    <row r="4" spans="2:37" s="101" customFormat="1" ht="30.75" thickBot="1">
      <c r="B4" s="169"/>
      <c r="C4" s="225" t="s">
        <v>159</v>
      </c>
      <c r="D4" s="582">
        <v>11</v>
      </c>
      <c r="E4" s="583">
        <v>14</v>
      </c>
      <c r="F4" s="583">
        <v>15</v>
      </c>
      <c r="G4" s="583">
        <v>22</v>
      </c>
      <c r="H4" s="584">
        <v>36</v>
      </c>
      <c r="I4" s="582">
        <v>11</v>
      </c>
      <c r="J4" s="583">
        <v>12</v>
      </c>
      <c r="K4" s="583">
        <v>13</v>
      </c>
      <c r="L4" s="583">
        <v>14</v>
      </c>
      <c r="M4" s="583">
        <v>15</v>
      </c>
      <c r="N4" s="583">
        <v>17</v>
      </c>
      <c r="O4" s="583">
        <v>22</v>
      </c>
      <c r="P4" s="583">
        <v>28</v>
      </c>
      <c r="Q4" s="583">
        <v>30</v>
      </c>
      <c r="R4" s="583">
        <v>32</v>
      </c>
      <c r="S4" s="583">
        <v>34</v>
      </c>
      <c r="T4" s="583">
        <v>36</v>
      </c>
      <c r="U4" s="585" t="s">
        <v>31</v>
      </c>
      <c r="V4" s="227" t="s">
        <v>88</v>
      </c>
      <c r="AD4"/>
      <c r="AE4"/>
      <c r="AF4"/>
      <c r="AG4"/>
      <c r="AH4"/>
      <c r="AI4"/>
      <c r="AJ4"/>
      <c r="AK4"/>
    </row>
    <row r="5" spans="2:37" s="101" customFormat="1" ht="15">
      <c r="B5" s="172" t="s">
        <v>89</v>
      </c>
      <c r="C5" s="173"/>
      <c r="D5" s="775">
        <f>I102</f>
        <v>0.1042661197788601</v>
      </c>
      <c r="E5" s="775">
        <f>I103</f>
        <v>0.10112529160000325</v>
      </c>
      <c r="F5" s="775">
        <f>0.10799-0.02612</f>
        <v>0.08187</v>
      </c>
      <c r="G5" s="775">
        <f>0.10799-0.02612</f>
        <v>0.08187</v>
      </c>
      <c r="H5" s="776">
        <f>J94</f>
        <v>0.08137405958363245</v>
      </c>
      <c r="I5" s="775">
        <f>I105</f>
        <v>0.10003700186626761</v>
      </c>
      <c r="J5" s="775">
        <f>I106</f>
        <v>0.09847663701381312</v>
      </c>
      <c r="K5" s="775">
        <f>I107</f>
        <v>0.09823341121731655</v>
      </c>
      <c r="L5" s="775">
        <f>I108</f>
        <v>0.09332536130176601</v>
      </c>
      <c r="M5" s="775">
        <f>0.10799-0.02612</f>
        <v>0.08187</v>
      </c>
      <c r="N5" s="775">
        <f>0.10799-0.02612</f>
        <v>0.08187</v>
      </c>
      <c r="O5" s="775">
        <f>0.10799-0.02612</f>
        <v>0.08187</v>
      </c>
      <c r="P5" s="775">
        <f>J96</f>
        <v>0.07559899464314701</v>
      </c>
      <c r="Q5" s="775">
        <f>J97</f>
        <v>0.07771629449603625</v>
      </c>
      <c r="R5" s="775">
        <f>J98</f>
        <v>0.07671962175618269</v>
      </c>
      <c r="S5" s="775">
        <f>J99</f>
        <v>0.07981024995834027</v>
      </c>
      <c r="T5" s="775">
        <f>J100</f>
        <v>0.0777343969245555</v>
      </c>
      <c r="U5" s="673"/>
      <c r="V5" s="228"/>
      <c r="AD5"/>
      <c r="AE5"/>
      <c r="AF5"/>
      <c r="AG5"/>
      <c r="AH5"/>
      <c r="AI5"/>
      <c r="AJ5"/>
      <c r="AK5"/>
    </row>
    <row r="6" spans="2:37" s="101" customFormat="1" ht="15.75" thickBot="1">
      <c r="B6" s="174" t="s">
        <v>90</v>
      </c>
      <c r="C6" s="175"/>
      <c r="D6" s="561">
        <v>43</v>
      </c>
      <c r="E6" s="562">
        <v>11</v>
      </c>
      <c r="F6" s="562">
        <v>37213</v>
      </c>
      <c r="G6" s="562">
        <v>12253</v>
      </c>
      <c r="H6" s="563">
        <v>2</v>
      </c>
      <c r="I6" s="561">
        <v>76</v>
      </c>
      <c r="J6" s="562">
        <v>10</v>
      </c>
      <c r="K6" s="562">
        <v>1</v>
      </c>
      <c r="L6" s="562">
        <v>2</v>
      </c>
      <c r="M6" s="562">
        <v>28158</v>
      </c>
      <c r="N6" s="562">
        <v>336</v>
      </c>
      <c r="O6" s="562">
        <v>55544</v>
      </c>
      <c r="P6" s="562">
        <v>6</v>
      </c>
      <c r="Q6" s="562">
        <v>65</v>
      </c>
      <c r="R6" s="562">
        <v>77</v>
      </c>
      <c r="S6" s="562">
        <v>2</v>
      </c>
      <c r="T6" s="562">
        <v>2</v>
      </c>
      <c r="U6" s="674">
        <f>SUM(D6:T6)</f>
        <v>133801</v>
      </c>
      <c r="V6" s="182"/>
      <c r="AD6"/>
      <c r="AE6"/>
      <c r="AF6"/>
      <c r="AG6"/>
      <c r="AH6"/>
      <c r="AI6"/>
      <c r="AJ6"/>
      <c r="AK6"/>
    </row>
    <row r="7" spans="2:22" ht="15">
      <c r="B7" s="78"/>
      <c r="C7" s="105"/>
      <c r="D7" s="103"/>
      <c r="E7" s="322"/>
      <c r="F7" s="102"/>
      <c r="G7" s="102"/>
      <c r="H7" s="104"/>
      <c r="I7" s="103"/>
      <c r="J7" s="102"/>
      <c r="K7" s="102"/>
      <c r="L7" s="322"/>
      <c r="M7" s="102"/>
      <c r="N7" s="102"/>
      <c r="O7" s="102"/>
      <c r="P7" s="102"/>
      <c r="Q7" s="102"/>
      <c r="R7" s="102"/>
      <c r="S7" s="102"/>
      <c r="T7" s="102"/>
      <c r="U7" s="93"/>
      <c r="V7" s="146"/>
    </row>
    <row r="8" spans="2:22" ht="15.75">
      <c r="B8" s="80" t="s">
        <v>2</v>
      </c>
      <c r="C8" s="106">
        <f>'Input - Lost Revenue'!C6</f>
        <v>632.75</v>
      </c>
      <c r="D8" s="99"/>
      <c r="E8" s="98"/>
      <c r="H8" s="97"/>
      <c r="I8" s="99">
        <f>ROUND(I$5*I$6*$C8,2)</f>
        <v>4810.68</v>
      </c>
      <c r="J8" s="98">
        <f>ROUND(J$5*J$6*$C8,2)</f>
        <v>623.11</v>
      </c>
      <c r="K8" s="98">
        <f aca="true" t="shared" si="0" ref="J8:T9">ROUND(K$5*K$6*$C8,2)</f>
        <v>62.16</v>
      </c>
      <c r="L8" s="98">
        <f t="shared" si="0"/>
        <v>118.1</v>
      </c>
      <c r="M8" s="98">
        <f t="shared" si="0"/>
        <v>1458675.7</v>
      </c>
      <c r="N8" s="98">
        <f t="shared" si="0"/>
        <v>17405.89</v>
      </c>
      <c r="O8" s="98">
        <f t="shared" si="0"/>
        <v>2877359.3</v>
      </c>
      <c r="P8" s="98">
        <f t="shared" si="0"/>
        <v>287.01</v>
      </c>
      <c r="Q8" s="98">
        <f t="shared" si="0"/>
        <v>3196.37</v>
      </c>
      <c r="R8" s="98">
        <f t="shared" si="0"/>
        <v>3737.91</v>
      </c>
      <c r="S8" s="98">
        <f t="shared" si="0"/>
        <v>101</v>
      </c>
      <c r="T8" s="98">
        <f t="shared" si="0"/>
        <v>98.37</v>
      </c>
      <c r="U8" s="204">
        <f>SUM(D8:T8)</f>
        <v>4366475.6</v>
      </c>
      <c r="V8" s="229">
        <f>(U8/(SUM($I$6:$T$6))/C8)</f>
        <v>0.08188031597127617</v>
      </c>
    </row>
    <row r="9" spans="2:22" ht="15.75">
      <c r="B9" s="79" t="s">
        <v>10</v>
      </c>
      <c r="C9" s="106">
        <f>'Input - Lost Revenue'!C14</f>
        <v>0</v>
      </c>
      <c r="D9" s="99"/>
      <c r="E9" s="98"/>
      <c r="F9" s="98"/>
      <c r="G9" s="98"/>
      <c r="H9" s="97"/>
      <c r="I9" s="99">
        <f>ROUND(I$5*I$6*$C9,2)</f>
        <v>0</v>
      </c>
      <c r="J9" s="98">
        <f t="shared" si="0"/>
        <v>0</v>
      </c>
      <c r="K9" s="98">
        <f t="shared" si="0"/>
        <v>0</v>
      </c>
      <c r="L9" s="98">
        <f t="shared" si="0"/>
        <v>0</v>
      </c>
      <c r="M9" s="98">
        <f>ROUND(M$5*M$6*$C9,2)</f>
        <v>0</v>
      </c>
      <c r="N9" s="98">
        <f t="shared" si="0"/>
        <v>0</v>
      </c>
      <c r="O9" s="98">
        <f t="shared" si="0"/>
        <v>0</v>
      </c>
      <c r="P9" s="98">
        <f t="shared" si="0"/>
        <v>0</v>
      </c>
      <c r="Q9" s="98">
        <f t="shared" si="0"/>
        <v>0</v>
      </c>
      <c r="R9" s="98">
        <f t="shared" si="0"/>
        <v>0</v>
      </c>
      <c r="S9" s="98">
        <f t="shared" si="0"/>
        <v>0</v>
      </c>
      <c r="T9" s="98">
        <f t="shared" si="0"/>
        <v>0</v>
      </c>
      <c r="U9" s="204">
        <f>SUM(D9:T9)</f>
        <v>0</v>
      </c>
      <c r="V9" s="229" t="e">
        <f>(U9/(SUM($I$6:$T$6))/C9)</f>
        <v>#DIV/0!</v>
      </c>
    </row>
    <row r="10" spans="2:22" ht="16.5" thickBot="1">
      <c r="B10" s="85"/>
      <c r="C10" s="107"/>
      <c r="D10" s="96"/>
      <c r="E10" s="95"/>
      <c r="F10" s="95"/>
      <c r="G10" s="95"/>
      <c r="H10" s="94"/>
      <c r="I10" s="96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205"/>
      <c r="V10" s="230"/>
    </row>
    <row r="11" spans="2:20" s="340" customFormat="1" ht="15.75">
      <c r="B11" s="540"/>
      <c r="C11" s="564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556"/>
    </row>
    <row r="12" spans="1:2" ht="15.75" thickBot="1">
      <c r="A12" s="647" t="s">
        <v>62</v>
      </c>
      <c r="B12" s="565" t="str">
        <f>'Input - Lost Revenue'!B29:G29</f>
        <v>January 1, 2022 to September 30, 2022</v>
      </c>
    </row>
    <row r="13" spans="2:20" s="340" customFormat="1" ht="15.75" thickBot="1">
      <c r="B13" s="161" t="s">
        <v>28</v>
      </c>
      <c r="C13" s="162"/>
      <c r="D13" s="715" t="s">
        <v>91</v>
      </c>
      <c r="E13" s="716"/>
      <c r="F13" s="716"/>
      <c r="G13" s="717"/>
      <c r="H13" s="715" t="s">
        <v>92</v>
      </c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231"/>
      <c r="T13" s="163"/>
    </row>
    <row r="14" spans="2:22" s="340" customFormat="1" ht="15.75" thickBot="1">
      <c r="B14" s="164"/>
      <c r="C14" s="165"/>
      <c r="D14" s="166" t="s">
        <v>94</v>
      </c>
      <c r="E14" s="167" t="s">
        <v>275</v>
      </c>
      <c r="F14" s="167" t="s">
        <v>95</v>
      </c>
      <c r="G14" s="167" t="s">
        <v>96</v>
      </c>
      <c r="H14" s="168" t="s">
        <v>97</v>
      </c>
      <c r="I14" s="166" t="s">
        <v>94</v>
      </c>
      <c r="J14" s="167" t="s">
        <v>104</v>
      </c>
      <c r="K14" s="167" t="s">
        <v>103</v>
      </c>
      <c r="L14" s="167" t="s">
        <v>275</v>
      </c>
      <c r="M14" s="167" t="s">
        <v>95</v>
      </c>
      <c r="N14" s="167" t="s">
        <v>102</v>
      </c>
      <c r="O14" s="167" t="s">
        <v>96</v>
      </c>
      <c r="P14" s="167" t="s">
        <v>101</v>
      </c>
      <c r="Q14" s="167" t="s">
        <v>100</v>
      </c>
      <c r="R14" s="167" t="s">
        <v>99</v>
      </c>
      <c r="S14" s="167" t="s">
        <v>98</v>
      </c>
      <c r="T14" s="167" t="s">
        <v>97</v>
      </c>
      <c r="U14" s="232"/>
      <c r="V14" s="226"/>
    </row>
    <row r="15" spans="2:22" s="340" customFormat="1" ht="30.75" thickBot="1">
      <c r="B15" s="169"/>
      <c r="C15" s="225" t="s">
        <v>159</v>
      </c>
      <c r="D15" s="582">
        <v>11</v>
      </c>
      <c r="E15" s="583">
        <v>14</v>
      </c>
      <c r="F15" s="170">
        <v>15</v>
      </c>
      <c r="G15" s="170">
        <v>22</v>
      </c>
      <c r="H15" s="171">
        <v>36</v>
      </c>
      <c r="I15" s="582">
        <v>11</v>
      </c>
      <c r="J15" s="583">
        <v>12</v>
      </c>
      <c r="K15" s="583">
        <v>13</v>
      </c>
      <c r="L15" s="583">
        <v>14</v>
      </c>
      <c r="M15" s="170">
        <v>15</v>
      </c>
      <c r="N15" s="170">
        <v>17</v>
      </c>
      <c r="O15" s="170">
        <v>22</v>
      </c>
      <c r="P15" s="170">
        <v>28</v>
      </c>
      <c r="Q15" s="170">
        <v>30</v>
      </c>
      <c r="R15" s="170">
        <v>32</v>
      </c>
      <c r="S15" s="170">
        <v>34</v>
      </c>
      <c r="T15" s="170">
        <v>36</v>
      </c>
      <c r="U15" s="233" t="s">
        <v>31</v>
      </c>
      <c r="V15" s="227" t="s">
        <v>88</v>
      </c>
    </row>
    <row r="16" spans="2:22" s="340" customFormat="1" ht="15">
      <c r="B16" s="172" t="s">
        <v>89</v>
      </c>
      <c r="C16" s="173"/>
      <c r="D16" s="775">
        <f>I316</f>
        <v>0.10419386432855474</v>
      </c>
      <c r="E16" s="775">
        <f>I317</f>
        <v>0.09994878320005073</v>
      </c>
      <c r="F16" s="775">
        <f>0.10799-0.02612</f>
        <v>0.08187</v>
      </c>
      <c r="G16" s="775">
        <f>0.10799-0.02612</f>
        <v>0.08187</v>
      </c>
      <c r="H16" s="776">
        <f>J307</f>
        <v>0.07996154867256637</v>
      </c>
      <c r="I16" s="775">
        <f>I319</f>
        <v>0.10033758043435984</v>
      </c>
      <c r="J16" s="775">
        <f>I320</f>
        <v>0.09894216808286953</v>
      </c>
      <c r="K16" s="775">
        <f>I321</f>
        <v>0.09897360967184801</v>
      </c>
      <c r="L16" s="775">
        <f>I322</f>
        <v>0.0938002811671189</v>
      </c>
      <c r="M16" s="775">
        <f>0.10799-0.02612</f>
        <v>0.08187</v>
      </c>
      <c r="N16" s="775">
        <f>0.10799-0.02612</f>
        <v>0.08187</v>
      </c>
      <c r="O16" s="775">
        <f>0.10799-0.02612</f>
        <v>0.08187</v>
      </c>
      <c r="P16" s="775">
        <f>J309</f>
        <v>0.07926361388823512</v>
      </c>
      <c r="Q16" s="775">
        <f>J310</f>
        <v>0.07879160949812841</v>
      </c>
      <c r="R16" s="775">
        <f>J311</f>
        <v>0.07856279821374508</v>
      </c>
      <c r="S16" s="775">
        <f>J312</f>
        <v>0.07892573475958042</v>
      </c>
      <c r="T16" s="775">
        <f>J313</f>
        <v>0.07824670541384135</v>
      </c>
      <c r="U16" s="234"/>
      <c r="V16" s="228"/>
    </row>
    <row r="17" spans="2:22" s="340" customFormat="1" ht="15.75" thickBot="1">
      <c r="B17" s="174" t="s">
        <v>90</v>
      </c>
      <c r="C17" s="175"/>
      <c r="D17" s="561">
        <f>G316</f>
        <v>45.666666666666664</v>
      </c>
      <c r="E17" s="562">
        <f>G317</f>
        <v>12.666666666666666</v>
      </c>
      <c r="F17" s="562">
        <v>36949</v>
      </c>
      <c r="G17" s="562">
        <v>12017</v>
      </c>
      <c r="H17" s="562">
        <f>H307</f>
        <v>2</v>
      </c>
      <c r="I17" s="561">
        <f>G319</f>
        <v>81.22222222222223</v>
      </c>
      <c r="J17" s="562">
        <f>G320</f>
        <v>10.444444444444445</v>
      </c>
      <c r="K17" s="562">
        <f>G321</f>
        <v>1</v>
      </c>
      <c r="L17" s="562">
        <f>G322</f>
        <v>2.5555555555555554</v>
      </c>
      <c r="M17" s="562">
        <v>28437</v>
      </c>
      <c r="N17" s="562">
        <v>298</v>
      </c>
      <c r="O17" s="562">
        <v>54942</v>
      </c>
      <c r="P17" s="562">
        <f>H309</f>
        <v>6</v>
      </c>
      <c r="Q17" s="562">
        <f>H310</f>
        <v>65</v>
      </c>
      <c r="R17" s="562">
        <f>H311</f>
        <v>76.22222222222223</v>
      </c>
      <c r="S17" s="562">
        <f>H312</f>
        <v>2</v>
      </c>
      <c r="T17" s="562">
        <f>H313</f>
        <v>2.111111111111111</v>
      </c>
      <c r="U17" s="235">
        <f>SUM(D17:T17)</f>
        <v>132949.8888888889</v>
      </c>
      <c r="V17" s="182"/>
    </row>
    <row r="18" spans="2:22" s="340" customFormat="1" ht="15">
      <c r="B18" s="78"/>
      <c r="C18" s="105"/>
      <c r="D18" s="103"/>
      <c r="E18" s="322"/>
      <c r="F18" s="322"/>
      <c r="G18" s="322"/>
      <c r="H18" s="146"/>
      <c r="I18" s="103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05"/>
      <c r="V18" s="146"/>
    </row>
    <row r="19" spans="2:22" s="340" customFormat="1" ht="15.75">
      <c r="B19" s="80" t="s">
        <v>2</v>
      </c>
      <c r="C19" s="106">
        <f>'Input - Lost Revenue'!C33</f>
        <v>1898.25</v>
      </c>
      <c r="D19" s="99"/>
      <c r="E19" s="98"/>
      <c r="F19" s="322"/>
      <c r="G19" s="322"/>
      <c r="H19" s="97"/>
      <c r="I19" s="98">
        <f aca="true" t="shared" si="1" ref="I19:T19">ROUND(I$16*I$17*$C19,2)</f>
        <v>15470.06</v>
      </c>
      <c r="J19" s="98">
        <f t="shared" si="1"/>
        <v>1961.64</v>
      </c>
      <c r="K19" s="98">
        <f t="shared" si="1"/>
        <v>187.88</v>
      </c>
      <c r="L19" s="98">
        <f t="shared" si="1"/>
        <v>455.03</v>
      </c>
      <c r="M19" s="98">
        <f t="shared" si="1"/>
        <v>4419386.42</v>
      </c>
      <c r="N19" s="98">
        <f t="shared" si="1"/>
        <v>46312.1</v>
      </c>
      <c r="O19" s="98">
        <f t="shared" si="1"/>
        <v>8538521.25</v>
      </c>
      <c r="P19" s="98">
        <f t="shared" si="1"/>
        <v>902.77</v>
      </c>
      <c r="Q19" s="98">
        <f t="shared" si="1"/>
        <v>9721.8</v>
      </c>
      <c r="R19" s="98">
        <f t="shared" si="1"/>
        <v>11367.16</v>
      </c>
      <c r="S19" s="98">
        <f t="shared" si="1"/>
        <v>299.64</v>
      </c>
      <c r="T19" s="98">
        <f t="shared" si="1"/>
        <v>313.57</v>
      </c>
      <c r="U19" s="204">
        <f>SUM(D19:T19)</f>
        <v>13044899.32</v>
      </c>
      <c r="V19" s="229">
        <f>(U19/(SUM($I$17:$T$17))/C19)</f>
        <v>0.0818848292736153</v>
      </c>
    </row>
    <row r="20" spans="2:22" s="340" customFormat="1" ht="16.5" thickBot="1">
      <c r="B20" s="85"/>
      <c r="C20" s="107"/>
      <c r="D20" s="96"/>
      <c r="E20" s="95"/>
      <c r="F20" s="95"/>
      <c r="G20" s="9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4"/>
      <c r="U20" s="205"/>
      <c r="V20" s="230"/>
    </row>
    <row r="21" s="340" customFormat="1" ht="15">
      <c r="B21" s="2"/>
    </row>
    <row r="22" s="340" customFormat="1" ht="15.75" thickBot="1">
      <c r="B22" s="565" t="str">
        <f>'Input - Lost Revenue'!B56:G56</f>
        <v>October 1, 2022 to December 31, 2022</v>
      </c>
    </row>
    <row r="23" spans="2:20" s="340" customFormat="1" ht="15.75" thickBot="1">
      <c r="B23" s="161" t="s">
        <v>28</v>
      </c>
      <c r="C23" s="162"/>
      <c r="D23" s="715" t="s">
        <v>91</v>
      </c>
      <c r="E23" s="716"/>
      <c r="F23" s="716"/>
      <c r="G23" s="717"/>
      <c r="H23" s="715" t="s">
        <v>92</v>
      </c>
      <c r="I23" s="716"/>
      <c r="J23" s="716"/>
      <c r="K23" s="716"/>
      <c r="L23" s="716"/>
      <c r="M23" s="716"/>
      <c r="N23" s="716"/>
      <c r="O23" s="716"/>
      <c r="P23" s="716"/>
      <c r="Q23" s="716"/>
      <c r="R23" s="716"/>
      <c r="S23" s="231"/>
      <c r="T23" s="163"/>
    </row>
    <row r="24" spans="2:22" s="340" customFormat="1" ht="15.75" thickBot="1">
      <c r="B24" s="164"/>
      <c r="C24" s="165"/>
      <c r="D24" s="166" t="s">
        <v>94</v>
      </c>
      <c r="E24" s="167" t="s">
        <v>275</v>
      </c>
      <c r="F24" s="167" t="s">
        <v>95</v>
      </c>
      <c r="G24" s="167" t="s">
        <v>96</v>
      </c>
      <c r="H24" s="168" t="s">
        <v>97</v>
      </c>
      <c r="I24" s="166" t="s">
        <v>94</v>
      </c>
      <c r="J24" s="167" t="s">
        <v>104</v>
      </c>
      <c r="K24" s="167" t="s">
        <v>103</v>
      </c>
      <c r="L24" s="167" t="s">
        <v>275</v>
      </c>
      <c r="M24" s="167" t="s">
        <v>95</v>
      </c>
      <c r="N24" s="167" t="s">
        <v>102</v>
      </c>
      <c r="O24" s="167" t="s">
        <v>96</v>
      </c>
      <c r="P24" s="167" t="s">
        <v>101</v>
      </c>
      <c r="Q24" s="167" t="s">
        <v>100</v>
      </c>
      <c r="R24" s="167" t="s">
        <v>99</v>
      </c>
      <c r="S24" s="167" t="s">
        <v>98</v>
      </c>
      <c r="T24" s="167" t="s">
        <v>97</v>
      </c>
      <c r="U24" s="232"/>
      <c r="V24" s="226"/>
    </row>
    <row r="25" spans="2:22" s="340" customFormat="1" ht="30.75" thickBot="1">
      <c r="B25" s="169"/>
      <c r="C25" s="225" t="s">
        <v>159</v>
      </c>
      <c r="D25" s="582">
        <v>11</v>
      </c>
      <c r="E25" s="583">
        <v>14</v>
      </c>
      <c r="F25" s="170">
        <v>15</v>
      </c>
      <c r="G25" s="170">
        <v>22</v>
      </c>
      <c r="H25" s="171">
        <v>36</v>
      </c>
      <c r="I25" s="582">
        <v>11</v>
      </c>
      <c r="J25" s="583">
        <v>12</v>
      </c>
      <c r="K25" s="583">
        <v>13</v>
      </c>
      <c r="L25" s="583">
        <v>14</v>
      </c>
      <c r="M25" s="170">
        <v>15</v>
      </c>
      <c r="N25" s="170">
        <v>17</v>
      </c>
      <c r="O25" s="170">
        <v>22</v>
      </c>
      <c r="P25" s="170">
        <v>28</v>
      </c>
      <c r="Q25" s="170">
        <v>30</v>
      </c>
      <c r="R25" s="170">
        <v>32</v>
      </c>
      <c r="S25" s="170">
        <v>34</v>
      </c>
      <c r="T25" s="170">
        <v>36</v>
      </c>
      <c r="U25" s="233" t="s">
        <v>31</v>
      </c>
      <c r="V25" s="227" t="s">
        <v>88</v>
      </c>
    </row>
    <row r="26" spans="2:22" s="340" customFormat="1" ht="15">
      <c r="B26" s="172" t="s">
        <v>89</v>
      </c>
      <c r="C26" s="173"/>
      <c r="D26" s="775">
        <f>I121</f>
        <v>0.10491572061187046</v>
      </c>
      <c r="E26" s="775">
        <f>I122</f>
        <v>0.10055312040419846</v>
      </c>
      <c r="F26" s="775">
        <f>0.10799-0.02612</f>
        <v>0.08187</v>
      </c>
      <c r="G26" s="775">
        <f>0.10799-0.02612</f>
        <v>0.08187</v>
      </c>
      <c r="H26" s="776">
        <f>J113</f>
        <v>0.08040445959768155</v>
      </c>
      <c r="I26" s="775">
        <f>I124</f>
        <v>0.10082841187228359</v>
      </c>
      <c r="J26" s="775">
        <f>I125</f>
        <v>0.09939538808284251</v>
      </c>
      <c r="K26" s="775">
        <f>I126</f>
        <v>0.09930114218866319</v>
      </c>
      <c r="L26" s="775">
        <f>I127</f>
        <v>0.09404609699515436</v>
      </c>
      <c r="M26" s="775">
        <f>0.10799-0.02612</f>
        <v>0.08187</v>
      </c>
      <c r="N26" s="775">
        <f>0.10799-0.02612</f>
        <v>0.08187</v>
      </c>
      <c r="O26" s="775">
        <f>0.10799-0.02612</f>
        <v>0.08187</v>
      </c>
      <c r="P26" s="775">
        <f>J115</f>
        <v>0.07890416358856073</v>
      </c>
      <c r="Q26" s="775">
        <f>J116</f>
        <v>0.07826179818064181</v>
      </c>
      <c r="R26" s="775">
        <f>J117</f>
        <v>0.07794145909192012</v>
      </c>
      <c r="S26" s="775">
        <f>J118</f>
        <v>0.07892017592083563</v>
      </c>
      <c r="T26" s="775">
        <f>J119</f>
        <v>0.07840176790861536</v>
      </c>
      <c r="U26" s="234"/>
      <c r="V26" s="228"/>
    </row>
    <row r="27" spans="2:22" s="340" customFormat="1" ht="15.75" thickBot="1">
      <c r="B27" s="174" t="s">
        <v>90</v>
      </c>
      <c r="C27" s="175"/>
      <c r="D27" s="561">
        <f aca="true" t="shared" si="2" ref="D27:I27">D17</f>
        <v>45.666666666666664</v>
      </c>
      <c r="E27" s="562">
        <f t="shared" si="2"/>
        <v>12.666666666666666</v>
      </c>
      <c r="F27" s="562">
        <f t="shared" si="2"/>
        <v>36949</v>
      </c>
      <c r="G27" s="562">
        <f t="shared" si="2"/>
        <v>12017</v>
      </c>
      <c r="H27" s="563">
        <f t="shared" si="2"/>
        <v>2</v>
      </c>
      <c r="I27" s="561">
        <f t="shared" si="2"/>
        <v>81.22222222222223</v>
      </c>
      <c r="J27" s="562">
        <f aca="true" t="shared" si="3" ref="J27:T27">J17</f>
        <v>10.444444444444445</v>
      </c>
      <c r="K27" s="562">
        <f t="shared" si="3"/>
        <v>1</v>
      </c>
      <c r="L27" s="562">
        <f t="shared" si="3"/>
        <v>2.5555555555555554</v>
      </c>
      <c r="M27" s="562">
        <f t="shared" si="3"/>
        <v>28437</v>
      </c>
      <c r="N27" s="562">
        <f t="shared" si="3"/>
        <v>298</v>
      </c>
      <c r="O27" s="562">
        <f t="shared" si="3"/>
        <v>54942</v>
      </c>
      <c r="P27" s="562">
        <f t="shared" si="3"/>
        <v>6</v>
      </c>
      <c r="Q27" s="562">
        <f t="shared" si="3"/>
        <v>65</v>
      </c>
      <c r="R27" s="562">
        <f t="shared" si="3"/>
        <v>76.22222222222223</v>
      </c>
      <c r="S27" s="562">
        <f t="shared" si="3"/>
        <v>2</v>
      </c>
      <c r="T27" s="562">
        <f t="shared" si="3"/>
        <v>2.111111111111111</v>
      </c>
      <c r="U27" s="235">
        <f>SUM(D27:T27)</f>
        <v>132949.8888888889</v>
      </c>
      <c r="V27" s="182"/>
    </row>
    <row r="28" spans="2:22" s="340" customFormat="1" ht="15">
      <c r="B28" s="78"/>
      <c r="C28" s="105"/>
      <c r="D28" s="103"/>
      <c r="E28" s="322"/>
      <c r="F28" s="322"/>
      <c r="G28" s="322"/>
      <c r="H28" s="146"/>
      <c r="I28" s="103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05"/>
      <c r="V28" s="146"/>
    </row>
    <row r="29" spans="2:22" s="340" customFormat="1" ht="15.75">
      <c r="B29" s="80" t="s">
        <v>2</v>
      </c>
      <c r="C29" s="106">
        <f>'Input - Lost Revenue'!C60</f>
        <v>632.75</v>
      </c>
      <c r="D29" s="99"/>
      <c r="E29" s="98"/>
      <c r="H29" s="97"/>
      <c r="I29" s="99">
        <f>ROUND(I$26*I$27*$C29,2)</f>
        <v>5181.91</v>
      </c>
      <c r="J29" s="98">
        <f aca="true" t="shared" si="4" ref="J29:T29">ROUND(J$26*J$27*$C29,2)</f>
        <v>656.88</v>
      </c>
      <c r="K29" s="98">
        <f t="shared" si="4"/>
        <v>62.83</v>
      </c>
      <c r="L29" s="98">
        <f t="shared" si="4"/>
        <v>152.08</v>
      </c>
      <c r="M29" s="98">
        <f t="shared" si="4"/>
        <v>1473128.81</v>
      </c>
      <c r="N29" s="98">
        <f t="shared" si="4"/>
        <v>15437.37</v>
      </c>
      <c r="O29" s="98">
        <f t="shared" si="4"/>
        <v>2846173.75</v>
      </c>
      <c r="P29" s="98">
        <f t="shared" si="4"/>
        <v>299.56</v>
      </c>
      <c r="Q29" s="98">
        <f t="shared" si="4"/>
        <v>3218.81</v>
      </c>
      <c r="R29" s="98">
        <f t="shared" si="4"/>
        <v>3759.09</v>
      </c>
      <c r="S29" s="98">
        <f t="shared" si="4"/>
        <v>99.87</v>
      </c>
      <c r="T29" s="98">
        <f t="shared" si="4"/>
        <v>104.73</v>
      </c>
      <c r="U29" s="204">
        <f>SUM(D29:T29)</f>
        <v>4348275.6899999995</v>
      </c>
      <c r="V29" s="229">
        <f>(U29/(SUM($I$27:$T$27))/C29)</f>
        <v>0.08188437574930899</v>
      </c>
    </row>
    <row r="30" spans="2:22" s="340" customFormat="1" ht="16.5" thickBot="1">
      <c r="B30" s="85"/>
      <c r="C30" s="107"/>
      <c r="D30" s="96"/>
      <c r="E30" s="95"/>
      <c r="F30" s="95"/>
      <c r="G30" s="95"/>
      <c r="H30" s="94"/>
      <c r="I30" s="96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205"/>
      <c r="V30" s="230"/>
    </row>
    <row r="31" s="340" customFormat="1" ht="15">
      <c r="B31" s="2"/>
    </row>
    <row r="32" s="340" customFormat="1" ht="15.75" thickBot="1">
      <c r="B32" s="565" t="str">
        <f>'Input - Lost Revenue'!B83:G83</f>
        <v>January 1, 2023 to December 31, 2023</v>
      </c>
    </row>
    <row r="33" spans="2:20" s="340" customFormat="1" ht="15.75" thickBot="1">
      <c r="B33" s="161" t="s">
        <v>28</v>
      </c>
      <c r="C33" s="162"/>
      <c r="D33" s="715" t="s">
        <v>91</v>
      </c>
      <c r="E33" s="716"/>
      <c r="F33" s="716"/>
      <c r="G33" s="717"/>
      <c r="H33" s="715" t="s">
        <v>92</v>
      </c>
      <c r="I33" s="716"/>
      <c r="J33" s="716"/>
      <c r="K33" s="716"/>
      <c r="L33" s="716"/>
      <c r="M33" s="716"/>
      <c r="N33" s="716"/>
      <c r="O33" s="716"/>
      <c r="P33" s="716"/>
      <c r="Q33" s="716"/>
      <c r="R33" s="716"/>
      <c r="S33" s="231"/>
      <c r="T33" s="163"/>
    </row>
    <row r="34" spans="2:22" s="340" customFormat="1" ht="15.75" thickBot="1">
      <c r="B34" s="164"/>
      <c r="C34" s="165"/>
      <c r="D34" s="166" t="s">
        <v>94</v>
      </c>
      <c r="E34" s="167" t="s">
        <v>275</v>
      </c>
      <c r="F34" s="167" t="s">
        <v>95</v>
      </c>
      <c r="G34" s="167" t="s">
        <v>96</v>
      </c>
      <c r="H34" s="168" t="s">
        <v>97</v>
      </c>
      <c r="I34" s="166" t="s">
        <v>94</v>
      </c>
      <c r="J34" s="167" t="s">
        <v>104</v>
      </c>
      <c r="K34" s="167" t="s">
        <v>103</v>
      </c>
      <c r="L34" s="167" t="s">
        <v>275</v>
      </c>
      <c r="M34" s="167" t="s">
        <v>95</v>
      </c>
      <c r="N34" s="167" t="s">
        <v>102</v>
      </c>
      <c r="O34" s="167" t="s">
        <v>96</v>
      </c>
      <c r="P34" s="167" t="s">
        <v>101</v>
      </c>
      <c r="Q34" s="167" t="s">
        <v>100</v>
      </c>
      <c r="R34" s="167" t="s">
        <v>99</v>
      </c>
      <c r="S34" s="167" t="s">
        <v>98</v>
      </c>
      <c r="T34" s="167" t="s">
        <v>97</v>
      </c>
      <c r="U34" s="232"/>
      <c r="V34" s="226"/>
    </row>
    <row r="35" spans="2:22" s="340" customFormat="1" ht="30.75" thickBot="1">
      <c r="B35" s="169"/>
      <c r="C35" s="225" t="s">
        <v>159</v>
      </c>
      <c r="D35" s="582">
        <v>11</v>
      </c>
      <c r="E35" s="583">
        <v>14</v>
      </c>
      <c r="F35" s="170">
        <v>15</v>
      </c>
      <c r="G35" s="170">
        <v>22</v>
      </c>
      <c r="H35" s="171">
        <v>36</v>
      </c>
      <c r="I35" s="582">
        <v>11</v>
      </c>
      <c r="J35" s="583">
        <v>12</v>
      </c>
      <c r="K35" s="583">
        <v>13</v>
      </c>
      <c r="L35" s="583">
        <v>14</v>
      </c>
      <c r="M35" s="170">
        <v>15</v>
      </c>
      <c r="N35" s="170">
        <v>17</v>
      </c>
      <c r="O35" s="170">
        <v>22</v>
      </c>
      <c r="P35" s="170">
        <v>28</v>
      </c>
      <c r="Q35" s="170">
        <v>30</v>
      </c>
      <c r="R35" s="170">
        <v>32</v>
      </c>
      <c r="S35" s="170">
        <v>34</v>
      </c>
      <c r="T35" s="170">
        <v>36</v>
      </c>
      <c r="U35" s="233" t="s">
        <v>31</v>
      </c>
      <c r="V35" s="227" t="s">
        <v>88</v>
      </c>
    </row>
    <row r="36" spans="2:22" s="340" customFormat="1" ht="15">
      <c r="B36" s="172" t="s">
        <v>89</v>
      </c>
      <c r="C36" s="173"/>
      <c r="D36" s="775">
        <f>I121</f>
        <v>0.10491572061187046</v>
      </c>
      <c r="E36" s="775">
        <f>I122</f>
        <v>0.10055312040419846</v>
      </c>
      <c r="F36" s="775">
        <f>0.10799-0.02612</f>
        <v>0.08187</v>
      </c>
      <c r="G36" s="775">
        <f>0.10799-0.02612</f>
        <v>0.08187</v>
      </c>
      <c r="H36" s="776">
        <f>J113</f>
        <v>0.08040445959768155</v>
      </c>
      <c r="I36" s="775">
        <f>I124</f>
        <v>0.10082841187228359</v>
      </c>
      <c r="J36" s="775">
        <f>I125</f>
        <v>0.09939538808284251</v>
      </c>
      <c r="K36" s="775">
        <f>I126</f>
        <v>0.09930114218866319</v>
      </c>
      <c r="L36" s="775">
        <f>I127</f>
        <v>0.09404609699515436</v>
      </c>
      <c r="M36" s="775">
        <f>0.10799-0.02612</f>
        <v>0.08187</v>
      </c>
      <c r="N36" s="775">
        <f>0.10799-0.02612</f>
        <v>0.08187</v>
      </c>
      <c r="O36" s="775">
        <f>0.10799-0.02612</f>
        <v>0.08187</v>
      </c>
      <c r="P36" s="775">
        <f>J115</f>
        <v>0.07890416358856073</v>
      </c>
      <c r="Q36" s="775">
        <f>J116</f>
        <v>0.07826179818064181</v>
      </c>
      <c r="R36" s="775">
        <f>J117</f>
        <v>0.07794145909192012</v>
      </c>
      <c r="S36" s="775">
        <f>J118</f>
        <v>0.07892017592083563</v>
      </c>
      <c r="T36" s="775">
        <f>J119</f>
        <v>0.07840176790861536</v>
      </c>
      <c r="U36" s="234"/>
      <c r="V36" s="228"/>
    </row>
    <row r="37" spans="2:22" s="340" customFormat="1" ht="15.75" thickBot="1">
      <c r="B37" s="174" t="s">
        <v>90</v>
      </c>
      <c r="C37" s="175"/>
      <c r="D37" s="561">
        <f>D17</f>
        <v>45.666666666666664</v>
      </c>
      <c r="E37" s="562">
        <f aca="true" t="shared" si="5" ref="E37:T37">E17</f>
        <v>12.666666666666666</v>
      </c>
      <c r="F37" s="562">
        <f t="shared" si="5"/>
        <v>36949</v>
      </c>
      <c r="G37" s="562">
        <f t="shared" si="5"/>
        <v>12017</v>
      </c>
      <c r="H37" s="563">
        <f t="shared" si="5"/>
        <v>2</v>
      </c>
      <c r="I37" s="561">
        <f t="shared" si="5"/>
        <v>81.22222222222223</v>
      </c>
      <c r="J37" s="562">
        <f t="shared" si="5"/>
        <v>10.444444444444445</v>
      </c>
      <c r="K37" s="562">
        <f t="shared" si="5"/>
        <v>1</v>
      </c>
      <c r="L37" s="562">
        <f t="shared" si="5"/>
        <v>2.5555555555555554</v>
      </c>
      <c r="M37" s="562">
        <f t="shared" si="5"/>
        <v>28437</v>
      </c>
      <c r="N37" s="562">
        <f t="shared" si="5"/>
        <v>298</v>
      </c>
      <c r="O37" s="562">
        <f t="shared" si="5"/>
        <v>54942</v>
      </c>
      <c r="P37" s="562">
        <f t="shared" si="5"/>
        <v>6</v>
      </c>
      <c r="Q37" s="562">
        <f t="shared" si="5"/>
        <v>65</v>
      </c>
      <c r="R37" s="562">
        <f t="shared" si="5"/>
        <v>76.22222222222223</v>
      </c>
      <c r="S37" s="562">
        <f t="shared" si="5"/>
        <v>2</v>
      </c>
      <c r="T37" s="562">
        <f t="shared" si="5"/>
        <v>2.111111111111111</v>
      </c>
      <c r="U37" s="235">
        <f>SUM(D37:T37)</f>
        <v>132949.8888888889</v>
      </c>
      <c r="V37" s="182"/>
    </row>
    <row r="38" spans="2:22" s="340" customFormat="1" ht="15">
      <c r="B38" s="78"/>
      <c r="C38" s="105"/>
      <c r="D38" s="103"/>
      <c r="E38" s="322"/>
      <c r="F38" s="322"/>
      <c r="G38" s="322"/>
      <c r="H38" s="146"/>
      <c r="I38" s="103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05"/>
      <c r="V38" s="146"/>
    </row>
    <row r="39" spans="2:22" s="340" customFormat="1" ht="15.75">
      <c r="B39" s="80" t="s">
        <v>2</v>
      </c>
      <c r="C39" s="106">
        <f>'Input - Lost Revenue'!C87</f>
        <v>2531</v>
      </c>
      <c r="D39" s="99"/>
      <c r="E39" s="98"/>
      <c r="H39" s="97"/>
      <c r="I39" s="99">
        <f>ROUND(I$36*I$37*$C39,2)</f>
        <v>20727.64</v>
      </c>
      <c r="J39" s="98">
        <f aca="true" t="shared" si="6" ref="J39:T39">ROUND(J$36*J$37*$C39,2)</f>
        <v>2627.51</v>
      </c>
      <c r="K39" s="98">
        <f t="shared" si="6"/>
        <v>251.33</v>
      </c>
      <c r="L39" s="98">
        <f t="shared" si="6"/>
        <v>608.3</v>
      </c>
      <c r="M39" s="98">
        <f t="shared" si="6"/>
        <v>5892515.23</v>
      </c>
      <c r="N39" s="98">
        <f t="shared" si="6"/>
        <v>61749.47</v>
      </c>
      <c r="O39" s="98">
        <f t="shared" si="6"/>
        <v>11384695</v>
      </c>
      <c r="P39" s="98">
        <f t="shared" si="6"/>
        <v>1198.24</v>
      </c>
      <c r="Q39" s="98">
        <f t="shared" si="6"/>
        <v>12875.24</v>
      </c>
      <c r="R39" s="98">
        <f t="shared" si="6"/>
        <v>15036.35</v>
      </c>
      <c r="S39" s="98">
        <f t="shared" si="6"/>
        <v>399.49</v>
      </c>
      <c r="T39" s="98">
        <f t="shared" si="6"/>
        <v>418.92</v>
      </c>
      <c r="U39" s="204">
        <f>SUM(D39:T39)</f>
        <v>17393102.72</v>
      </c>
      <c r="V39" s="229">
        <f>(U39/(SUM($I$37:$T$37))/C39)</f>
        <v>0.0818843755609944</v>
      </c>
    </row>
    <row r="40" spans="2:22" s="340" customFormat="1" ht="16.5" thickBot="1">
      <c r="B40" s="85"/>
      <c r="C40" s="107"/>
      <c r="D40" s="96"/>
      <c r="E40" s="95"/>
      <c r="F40" s="95"/>
      <c r="G40" s="95"/>
      <c r="H40" s="94"/>
      <c r="I40" s="96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205"/>
      <c r="V40" s="230"/>
    </row>
    <row r="41" s="340" customFormat="1" ht="15">
      <c r="B41" s="2"/>
    </row>
    <row r="42" spans="1:2" s="340" customFormat="1" ht="15">
      <c r="A42" s="647"/>
      <c r="B42" s="648" t="s">
        <v>291</v>
      </c>
    </row>
    <row r="43" s="340" customFormat="1" ht="15">
      <c r="B43" s="2"/>
    </row>
    <row r="44" s="340" customFormat="1" ht="15">
      <c r="B44" s="2"/>
    </row>
    <row r="45" s="340" customFormat="1" ht="15">
      <c r="B45" s="2"/>
    </row>
    <row r="46" s="340" customFormat="1" ht="15">
      <c r="B46" s="2"/>
    </row>
    <row r="47" s="340" customFormat="1" ht="15.75" thickBot="1">
      <c r="B47" s="2"/>
    </row>
    <row r="48" spans="2:24" s="101" customFormat="1" ht="15.75" thickBot="1">
      <c r="B48" s="236" t="s">
        <v>161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7"/>
      <c r="X48" s="201"/>
    </row>
    <row r="49" spans="2:24" s="156" customFormat="1" ht="15.75" thickBot="1">
      <c r="B49" s="239"/>
      <c r="C49" s="240"/>
      <c r="D49" s="179" t="s">
        <v>105</v>
      </c>
      <c r="E49" s="240" t="s">
        <v>124</v>
      </c>
      <c r="F49" s="240" t="s">
        <v>284</v>
      </c>
      <c r="G49" s="240" t="s">
        <v>106</v>
      </c>
      <c r="H49" s="240" t="s">
        <v>107</v>
      </c>
      <c r="I49" s="240" t="s">
        <v>108</v>
      </c>
      <c r="J49" s="240" t="s">
        <v>109</v>
      </c>
      <c r="K49" s="240" t="s">
        <v>110</v>
      </c>
      <c r="L49" s="240" t="s">
        <v>111</v>
      </c>
      <c r="M49" s="240" t="s">
        <v>112</v>
      </c>
      <c r="N49" s="240" t="s">
        <v>113</v>
      </c>
      <c r="O49" s="240" t="s">
        <v>114</v>
      </c>
      <c r="P49" s="240" t="s">
        <v>115</v>
      </c>
      <c r="Q49" s="240" t="s">
        <v>116</v>
      </c>
      <c r="R49" s="240" t="s">
        <v>117</v>
      </c>
      <c r="S49" s="240" t="s">
        <v>118</v>
      </c>
      <c r="T49" s="240" t="s">
        <v>119</v>
      </c>
      <c r="U49" s="240" t="s">
        <v>120</v>
      </c>
      <c r="V49" s="240" t="s">
        <v>121</v>
      </c>
      <c r="W49" s="241" t="s">
        <v>122</v>
      </c>
      <c r="X49" s="242"/>
    </row>
    <row r="50" spans="2:24" s="121" customFormat="1" ht="30.75" thickBot="1">
      <c r="B50" s="184"/>
      <c r="C50" s="185" t="s">
        <v>159</v>
      </c>
      <c r="D50" s="186">
        <v>204</v>
      </c>
      <c r="E50" s="186">
        <v>211</v>
      </c>
      <c r="F50" s="186">
        <v>212</v>
      </c>
      <c r="G50" s="186">
        <v>213</v>
      </c>
      <c r="H50" s="186">
        <v>214</v>
      </c>
      <c r="I50" s="186">
        <v>215</v>
      </c>
      <c r="J50" s="186">
        <v>217</v>
      </c>
      <c r="K50" s="186">
        <v>220</v>
      </c>
      <c r="L50" s="186">
        <v>223</v>
      </c>
      <c r="M50" s="186">
        <v>225</v>
      </c>
      <c r="N50" s="186">
        <v>227</v>
      </c>
      <c r="O50" s="186">
        <v>229</v>
      </c>
      <c r="P50" s="186">
        <v>236</v>
      </c>
      <c r="Q50" s="186">
        <v>240</v>
      </c>
      <c r="R50" s="186">
        <v>244</v>
      </c>
      <c r="S50" s="186">
        <v>248</v>
      </c>
      <c r="T50" s="186">
        <v>256</v>
      </c>
      <c r="U50" s="186">
        <v>356</v>
      </c>
      <c r="V50" s="186">
        <v>358</v>
      </c>
      <c r="W50" s="187">
        <v>359</v>
      </c>
      <c r="X50" s="203" t="s">
        <v>31</v>
      </c>
    </row>
    <row r="51" spans="2:24" s="101" customFormat="1" ht="15">
      <c r="B51" s="188" t="s">
        <v>89</v>
      </c>
      <c r="C51" s="189"/>
      <c r="D51" s="190" t="e">
        <f>VLOOKUP(D50,'Comm Cust'!$M$8:$U$28,9,FALSE)</f>
        <v>#DIV/0!</v>
      </c>
      <c r="E51" s="190" t="e">
        <f>VLOOKUP(E50,'Comm Cust'!$M$8:$U$28,9,FALSE)</f>
        <v>#DIV/0!</v>
      </c>
      <c r="F51" s="190">
        <f>VLOOKUP(F50,'Comm Cust'!$M$8:$U$28,9,FALSE)</f>
        <v>0</v>
      </c>
      <c r="G51" s="190" t="e">
        <f>VLOOKUP(G50,'Comm Cust'!$M$8:$U$28,9,FALSE)</f>
        <v>#DIV/0!</v>
      </c>
      <c r="H51" s="190" t="e">
        <f>VLOOKUP(H50,'Comm Cust'!$M$8:$U$28,9,FALSE)</f>
        <v>#DIV/0!</v>
      </c>
      <c r="I51" s="190" t="e">
        <f>VLOOKUP(I50,'Comm Cust'!$M$8:$U$28,9,FALSE)</f>
        <v>#DIV/0!</v>
      </c>
      <c r="J51" s="190" t="e">
        <f>VLOOKUP(J50,'Comm Cust'!$M$8:$U$28,9,FALSE)</f>
        <v>#DIV/0!</v>
      </c>
      <c r="K51" s="190" t="e">
        <f>VLOOKUP(K50,'Comm Cust'!$M$8:$U$28,9,FALSE)</f>
        <v>#DIV/0!</v>
      </c>
      <c r="L51" s="190" t="e">
        <f>VLOOKUP(L50,'Comm Cust'!$M$8:$U$28,9,FALSE)</f>
        <v>#DIV/0!</v>
      </c>
      <c r="M51" s="190" t="e">
        <f>VLOOKUP(M50,'Comm Cust'!$M$8:$U$28,9,FALSE)</f>
        <v>#DIV/0!</v>
      </c>
      <c r="N51" s="190" t="e">
        <f>VLOOKUP(N50,'Comm Cust'!$M$8:$U$28,9,FALSE)</f>
        <v>#DIV/0!</v>
      </c>
      <c r="O51" s="190" t="e">
        <f>VLOOKUP(O50,'Comm Cust'!$M$8:$U$28,9,FALSE)</f>
        <v>#DIV/0!</v>
      </c>
      <c r="P51" s="190">
        <f>VLOOKUP(P50,'Comm Cust'!$M$8:$U$28,9,FALSE)</f>
        <v>0</v>
      </c>
      <c r="Q51" s="190" t="e">
        <f>VLOOKUP(Q50,'Comm Cust'!$M$8:$U$28,9,FALSE)</f>
        <v>#DIV/0!</v>
      </c>
      <c r="R51" s="190" t="e">
        <f>VLOOKUP(R50,'Comm Cust'!$M$8:$U$28,9,FALSE)</f>
        <v>#DIV/0!</v>
      </c>
      <c r="S51" s="190" t="e">
        <f>VLOOKUP(S50,'Comm Cust'!$M$8:$U$28,9,FALSE)</f>
        <v>#DIV/0!</v>
      </c>
      <c r="T51" s="190" t="e">
        <f>VLOOKUP(T50,'Comm Cust'!$M$8:$U$28,9,FALSE)</f>
        <v>#DIV/0!</v>
      </c>
      <c r="U51" s="190" t="e">
        <f>VLOOKUP(U50,'Comm Cust'!$M$8:$U$28,9,FALSE)</f>
        <v>#DIV/0!</v>
      </c>
      <c r="V51" s="190" t="e">
        <f>VLOOKUP(V50,'Comm Cust'!$M$8:$U$28,9,FALSE)</f>
        <v>#DIV/0!</v>
      </c>
      <c r="W51" s="190" t="e">
        <f>VLOOKUP(W50,'Comm Cust'!$M$8:$U$28,9,FALSE)</f>
        <v>#DIV/0!</v>
      </c>
      <c r="X51" s="202"/>
    </row>
    <row r="52" spans="2:24" s="101" customFormat="1" ht="15.75" thickBot="1">
      <c r="B52" s="192" t="s">
        <v>90</v>
      </c>
      <c r="C52" s="193"/>
      <c r="D52" s="194">
        <f>VLOOKUP(D50,'Comm Cust'!$M$8:$U$28,7,FALSE)</f>
        <v>397</v>
      </c>
      <c r="E52" s="194">
        <f>VLOOKUP(E50,'Comm Cust'!$M$8:$U$28,7,FALSE)</f>
        <v>16933</v>
      </c>
      <c r="F52" s="194">
        <f>VLOOKUP(F50,'Comm Cust'!$M$8:$U$28,7,FALSE)</f>
        <v>1</v>
      </c>
      <c r="G52" s="194">
        <f>VLOOKUP(G50,'Comm Cust'!$M$8:$U$28,7,FALSE)</f>
        <v>436</v>
      </c>
      <c r="H52" s="194">
        <f>VLOOKUP(H50,'Comm Cust'!$M$8:$U$28,7,FALSE)</f>
        <v>6</v>
      </c>
      <c r="I52" s="194">
        <f>VLOOKUP(I50,'Comm Cust'!$M$8:$U$28,7,FALSE)</f>
        <v>3060</v>
      </c>
      <c r="J52" s="194">
        <f>VLOOKUP(J50,'Comm Cust'!$M$8:$U$28,7,FALSE)</f>
        <v>9</v>
      </c>
      <c r="K52" s="194">
        <f>VLOOKUP(K50,'Comm Cust'!$M$8:$U$28,7,FALSE)</f>
        <v>3</v>
      </c>
      <c r="L52" s="194">
        <f>VLOOKUP(L50,'Comm Cust'!$M$8:$U$28,7,FALSE)</f>
        <v>4</v>
      </c>
      <c r="M52" s="194">
        <f>VLOOKUP(M50,'Comm Cust'!$M$8:$U$28,7,FALSE)</f>
        <v>2</v>
      </c>
      <c r="N52" s="194">
        <f>VLOOKUP(N50,'Comm Cust'!$M$8:$U$28,7,FALSE)</f>
        <v>361</v>
      </c>
      <c r="O52" s="194">
        <f>VLOOKUP(O50,'Comm Cust'!$M$8:$U$28,7,FALSE)</f>
        <v>52</v>
      </c>
      <c r="P52" s="194">
        <f>VLOOKUP(P50,'Comm Cust'!$M$8:$U$28,7,FALSE)</f>
        <v>0</v>
      </c>
      <c r="Q52" s="194">
        <f>VLOOKUP(Q50,'Comm Cust'!$M$8:$U$28,7,FALSE)</f>
        <v>141</v>
      </c>
      <c r="R52" s="194">
        <f>VLOOKUP(R50,'Comm Cust'!$M$8:$U$28,7,FALSE)</f>
        <v>10</v>
      </c>
      <c r="S52" s="194">
        <f>VLOOKUP(S50,'Comm Cust'!$M$8:$U$28,7,FALSE)</f>
        <v>4</v>
      </c>
      <c r="T52" s="194">
        <f>VLOOKUP(T50,'Comm Cust'!$M$8:$U$28,7,FALSE)</f>
        <v>7</v>
      </c>
      <c r="U52" s="194">
        <f>VLOOKUP(U50,'Comm Cust'!$M$8:$U$28,7,FALSE)</f>
        <v>4</v>
      </c>
      <c r="V52" s="194">
        <f>VLOOKUP(V50,'Comm Cust'!$M$8:$U$28,7,FALSE)</f>
        <v>9</v>
      </c>
      <c r="W52" s="194">
        <f>VLOOKUP(W50,'Comm Cust'!$M$8:$U$28,7,FALSE)</f>
        <v>3</v>
      </c>
      <c r="X52" s="193">
        <f>SUM(D52:W52)</f>
        <v>21442</v>
      </c>
    </row>
    <row r="53" spans="2:24" s="101" customFormat="1" ht="15">
      <c r="B53" s="111"/>
      <c r="C53" s="92"/>
      <c r="D53" s="11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91"/>
      <c r="X53" s="200"/>
    </row>
    <row r="54" spans="2:24" ht="15.75">
      <c r="B54" s="110" t="s">
        <v>18</v>
      </c>
      <c r="C54" s="92">
        <f>'Input - Lost Revenue'!C23</f>
        <v>0</v>
      </c>
      <c r="D54" s="99" t="e">
        <f aca="true" t="shared" si="7" ref="D54:G55">$C54*D$51*D$52</f>
        <v>#DIV/0!</v>
      </c>
      <c r="E54" s="98" t="e">
        <f t="shared" si="7"/>
        <v>#DIV/0!</v>
      </c>
      <c r="F54" s="98">
        <f t="shared" si="7"/>
        <v>0</v>
      </c>
      <c r="G54" s="98" t="e">
        <f t="shared" si="7"/>
        <v>#DIV/0!</v>
      </c>
      <c r="H54" s="98" t="e">
        <f aca="true" t="shared" si="8" ref="H54:P55">$C54*H$51*H$52</f>
        <v>#DIV/0!</v>
      </c>
      <c r="I54" s="98" t="e">
        <f t="shared" si="8"/>
        <v>#DIV/0!</v>
      </c>
      <c r="J54" s="98" t="e">
        <f t="shared" si="8"/>
        <v>#DIV/0!</v>
      </c>
      <c r="K54" s="98" t="e">
        <f t="shared" si="8"/>
        <v>#DIV/0!</v>
      </c>
      <c r="L54" s="98" t="e">
        <f t="shared" si="8"/>
        <v>#DIV/0!</v>
      </c>
      <c r="M54" s="98" t="e">
        <f t="shared" si="8"/>
        <v>#DIV/0!</v>
      </c>
      <c r="N54" s="98" t="e">
        <f t="shared" si="8"/>
        <v>#DIV/0!</v>
      </c>
      <c r="O54" s="98" t="e">
        <f t="shared" si="8"/>
        <v>#DIV/0!</v>
      </c>
      <c r="P54" s="98">
        <f t="shared" si="8"/>
        <v>0</v>
      </c>
      <c r="Q54" s="98" t="e">
        <f aca="true" t="shared" si="9" ref="Q54:W55">$C54*Q$51*Q$52</f>
        <v>#DIV/0!</v>
      </c>
      <c r="R54" s="98" t="e">
        <f t="shared" si="9"/>
        <v>#DIV/0!</v>
      </c>
      <c r="S54" s="98" t="e">
        <f t="shared" si="9"/>
        <v>#DIV/0!</v>
      </c>
      <c r="T54" s="98" t="e">
        <f t="shared" si="9"/>
        <v>#DIV/0!</v>
      </c>
      <c r="U54" s="98" t="e">
        <f t="shared" si="9"/>
        <v>#DIV/0!</v>
      </c>
      <c r="V54" s="98" t="e">
        <f t="shared" si="9"/>
        <v>#DIV/0!</v>
      </c>
      <c r="W54" s="98" t="e">
        <f t="shared" si="9"/>
        <v>#DIV/0!</v>
      </c>
      <c r="X54" s="204" t="e">
        <f>SUM(D54:W54)</f>
        <v>#DIV/0!</v>
      </c>
    </row>
    <row r="55" spans="2:24" ht="15.75">
      <c r="B55" s="109" t="s">
        <v>20</v>
      </c>
      <c r="C55" s="92">
        <f>'Input - Lost Revenue'!C25</f>
        <v>0</v>
      </c>
      <c r="D55" s="99" t="e">
        <f>$C55*D$51*D$52</f>
        <v>#DIV/0!</v>
      </c>
      <c r="E55" s="98" t="e">
        <f t="shared" si="7"/>
        <v>#DIV/0!</v>
      </c>
      <c r="F55" s="98">
        <f t="shared" si="7"/>
        <v>0</v>
      </c>
      <c r="G55" s="98" t="e">
        <f t="shared" si="7"/>
        <v>#DIV/0!</v>
      </c>
      <c r="H55" s="98" t="e">
        <f t="shared" si="8"/>
        <v>#DIV/0!</v>
      </c>
      <c r="I55" s="98" t="e">
        <f t="shared" si="8"/>
        <v>#DIV/0!</v>
      </c>
      <c r="J55" s="98" t="e">
        <f t="shared" si="8"/>
        <v>#DIV/0!</v>
      </c>
      <c r="K55" s="98" t="e">
        <f t="shared" si="8"/>
        <v>#DIV/0!</v>
      </c>
      <c r="L55" s="98" t="e">
        <f t="shared" si="8"/>
        <v>#DIV/0!</v>
      </c>
      <c r="M55" s="98" t="e">
        <f t="shared" si="8"/>
        <v>#DIV/0!</v>
      </c>
      <c r="N55" s="98" t="e">
        <f t="shared" si="8"/>
        <v>#DIV/0!</v>
      </c>
      <c r="O55" s="98" t="e">
        <f t="shared" si="8"/>
        <v>#DIV/0!</v>
      </c>
      <c r="P55" s="98">
        <f t="shared" si="8"/>
        <v>0</v>
      </c>
      <c r="Q55" s="98" t="e">
        <f t="shared" si="9"/>
        <v>#DIV/0!</v>
      </c>
      <c r="R55" s="98" t="e">
        <f t="shared" si="9"/>
        <v>#DIV/0!</v>
      </c>
      <c r="S55" s="98" t="e">
        <f t="shared" si="9"/>
        <v>#DIV/0!</v>
      </c>
      <c r="T55" s="98" t="e">
        <f t="shared" si="9"/>
        <v>#DIV/0!</v>
      </c>
      <c r="U55" s="98" t="e">
        <f t="shared" si="9"/>
        <v>#DIV/0!</v>
      </c>
      <c r="V55" s="98" t="e">
        <f t="shared" si="9"/>
        <v>#DIV/0!</v>
      </c>
      <c r="W55" s="98" t="e">
        <f t="shared" si="9"/>
        <v>#DIV/0!</v>
      </c>
      <c r="X55" s="204" t="e">
        <f>SUM(D55:W55)</f>
        <v>#DIV/0!</v>
      </c>
    </row>
    <row r="56" spans="2:24" ht="16.5" thickBot="1">
      <c r="B56" s="108"/>
      <c r="C56" s="84"/>
      <c r="D56" s="96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4"/>
      <c r="X56" s="205"/>
    </row>
    <row r="57" spans="2:19" ht="15.75" thickBot="1">
      <c r="B57" s="236" t="s">
        <v>162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201"/>
      <c r="S57"/>
    </row>
    <row r="58" spans="2:18" s="121" customFormat="1" ht="15.75" thickBot="1">
      <c r="B58" s="239"/>
      <c r="C58" s="179"/>
      <c r="D58" s="240" t="s">
        <v>124</v>
      </c>
      <c r="E58" s="240" t="s">
        <v>108</v>
      </c>
      <c r="F58" s="240" t="s">
        <v>109</v>
      </c>
      <c r="G58" s="240" t="s">
        <v>110</v>
      </c>
      <c r="H58" s="240" t="s">
        <v>111</v>
      </c>
      <c r="I58" s="240" t="s">
        <v>112</v>
      </c>
      <c r="J58" s="240" t="s">
        <v>113</v>
      </c>
      <c r="K58" s="240" t="s">
        <v>114</v>
      </c>
      <c r="L58" s="240" t="s">
        <v>116</v>
      </c>
      <c r="M58" s="179" t="s">
        <v>133</v>
      </c>
      <c r="N58" s="240" t="s">
        <v>117</v>
      </c>
      <c r="O58" s="240" t="s">
        <v>118</v>
      </c>
      <c r="P58" s="179" t="s">
        <v>134</v>
      </c>
      <c r="Q58" s="179" t="s">
        <v>121</v>
      </c>
      <c r="R58" s="243"/>
    </row>
    <row r="59" spans="2:19" ht="30.75" thickBot="1">
      <c r="B59" s="184"/>
      <c r="C59" s="185" t="s">
        <v>159</v>
      </c>
      <c r="D59" s="186">
        <v>211</v>
      </c>
      <c r="E59" s="186">
        <v>215</v>
      </c>
      <c r="F59" s="186">
        <v>217</v>
      </c>
      <c r="G59" s="186">
        <v>220</v>
      </c>
      <c r="H59" s="186">
        <v>223</v>
      </c>
      <c r="I59" s="186">
        <v>225</v>
      </c>
      <c r="J59" s="186">
        <v>227</v>
      </c>
      <c r="K59" s="186">
        <v>229</v>
      </c>
      <c r="L59" s="186">
        <v>240</v>
      </c>
      <c r="M59" s="186">
        <v>242</v>
      </c>
      <c r="N59" s="186">
        <v>244</v>
      </c>
      <c r="O59" s="186">
        <v>248</v>
      </c>
      <c r="P59" s="186">
        <v>251</v>
      </c>
      <c r="Q59" s="186">
        <v>358</v>
      </c>
      <c r="R59" s="203" t="s">
        <v>31</v>
      </c>
      <c r="S59"/>
    </row>
    <row r="60" spans="2:19" ht="15">
      <c r="B60" s="188" t="s">
        <v>89</v>
      </c>
      <c r="C60" s="189"/>
      <c r="D60" s="190" t="e">
        <f>VLOOKUP(D59,'Comm Cust'!$M$31:$U$44,9,FALSE)</f>
        <v>#DIV/0!</v>
      </c>
      <c r="E60" s="190" t="e">
        <f>VLOOKUP(E59,'Comm Cust'!$M$31:$U$44,9,FALSE)</f>
        <v>#DIV/0!</v>
      </c>
      <c r="F60" s="190" t="e">
        <f>VLOOKUP(F59,'Comm Cust'!$M$31:$U$44,9,FALSE)</f>
        <v>#DIV/0!</v>
      </c>
      <c r="G60" s="190">
        <f>VLOOKUP(G59,'Comm Cust'!$M$31:$U$44,9,FALSE)</f>
        <v>0</v>
      </c>
      <c r="H60" s="190" t="e">
        <f>VLOOKUP(H59,'Comm Cust'!$M$31:$U$44,9,FALSE)</f>
        <v>#DIV/0!</v>
      </c>
      <c r="I60" s="190" t="e">
        <f>VLOOKUP(I59,'Comm Cust'!$M$31:$U$44,9,FALSE)</f>
        <v>#DIV/0!</v>
      </c>
      <c r="J60" s="190" t="e">
        <f>VLOOKUP(J59,'Comm Cust'!$M$31:$U$44,9,FALSE)</f>
        <v>#DIV/0!</v>
      </c>
      <c r="K60" s="190" t="e">
        <f>VLOOKUP(K59,'Comm Cust'!$M$31:$U$44,9,FALSE)</f>
        <v>#DIV/0!</v>
      </c>
      <c r="L60" s="190" t="e">
        <f>VLOOKUP(L59,'Comm Cust'!$M$31:$U$44,9,FALSE)</f>
        <v>#DIV/0!</v>
      </c>
      <c r="M60" s="190" t="e">
        <f>VLOOKUP(M59,'Comm Cust'!$M$31:$U$44,9,FALSE)</f>
        <v>#DIV/0!</v>
      </c>
      <c r="N60" s="190" t="e">
        <f>VLOOKUP(N59,'Comm Cust'!$M$31:$U$44,9,FALSE)</f>
        <v>#DIV/0!</v>
      </c>
      <c r="O60" s="190" t="e">
        <f>VLOOKUP(O59,'Comm Cust'!$M$31:$U$44,9,FALSE)</f>
        <v>#DIV/0!</v>
      </c>
      <c r="P60" s="190" t="e">
        <f>VLOOKUP(P59,'Comm Cust'!$M$31:$U$44,9,FALSE)</f>
        <v>#DIV/0!</v>
      </c>
      <c r="Q60" s="190" t="e">
        <f>VLOOKUP(Q59,'Comm Cust'!$M$31:$U$44,9,FALSE)</f>
        <v>#DIV/0!</v>
      </c>
      <c r="R60" s="202"/>
      <c r="S60"/>
    </row>
    <row r="61" spans="2:19" ht="15.75" thickBot="1">
      <c r="B61" s="192" t="s">
        <v>90</v>
      </c>
      <c r="C61" s="193"/>
      <c r="D61" s="194">
        <f>VLOOKUP(D59,'Comm Cust'!$M$31:$U$44,7,FALSE)</f>
        <v>2316</v>
      </c>
      <c r="E61" s="194">
        <f>VLOOKUP(E59,'Comm Cust'!$M$31:$U$44,7,FALSE)</f>
        <v>2103</v>
      </c>
      <c r="F61" s="194">
        <f>VLOOKUP(F59,'Comm Cust'!$M$31:$U$44,7,FALSE)</f>
        <v>5</v>
      </c>
      <c r="G61" s="194">
        <f>VLOOKUP(G59,'Comm Cust'!$M$31:$U$44,7,FALSE)</f>
        <v>0</v>
      </c>
      <c r="H61" s="194">
        <f>VLOOKUP(H59,'Comm Cust'!$M$31:$U$44,7,FALSE)</f>
        <v>34</v>
      </c>
      <c r="I61" s="194">
        <f>VLOOKUP(I59,'Comm Cust'!$M$31:$U$44,7,FALSE)</f>
        <v>23</v>
      </c>
      <c r="J61" s="194">
        <f>VLOOKUP(J59,'Comm Cust'!$M$31:$U$44,7,FALSE)</f>
        <v>138</v>
      </c>
      <c r="K61" s="194">
        <f>VLOOKUP(K59,'Comm Cust'!$M$31:$U$44,7,FALSE)</f>
        <v>51</v>
      </c>
      <c r="L61" s="194">
        <f>VLOOKUP(L59,'Comm Cust'!$M$31:$U$44,7,FALSE)</f>
        <v>162</v>
      </c>
      <c r="M61" s="194">
        <f>VLOOKUP(M59,'Comm Cust'!$M$31:$U$44,7,FALSE)</f>
        <v>1</v>
      </c>
      <c r="N61" s="194">
        <f>VLOOKUP(N59,'Comm Cust'!$M$31:$U$44,7,FALSE)</f>
        <v>7</v>
      </c>
      <c r="O61" s="194">
        <f>VLOOKUP(O59,'Comm Cust'!$M$31:$U$44,7,FALSE)</f>
        <v>1</v>
      </c>
      <c r="P61" s="194">
        <f>VLOOKUP(P59,'Comm Cust'!$M$31:$U$44,7,FALSE)</f>
        <v>4</v>
      </c>
      <c r="Q61" s="194">
        <f>VLOOKUP(Q59,'Comm Cust'!$M$31:$U$44,7,FALSE)</f>
        <v>2</v>
      </c>
      <c r="R61" s="193">
        <f>SUM(D61:Q61)</f>
        <v>4847</v>
      </c>
      <c r="S61"/>
    </row>
    <row r="62" spans="2:19" ht="15">
      <c r="B62" s="111"/>
      <c r="C62" s="92"/>
      <c r="D62" s="11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93"/>
      <c r="S62"/>
    </row>
    <row r="63" spans="2:19" ht="15.75">
      <c r="B63" s="110" t="s">
        <v>18</v>
      </c>
      <c r="C63" s="92">
        <f>'Input - Lost Revenue'!C23</f>
        <v>0</v>
      </c>
      <c r="D63" s="99" t="e">
        <f>$C63*D$60*D$61</f>
        <v>#DIV/0!</v>
      </c>
      <c r="E63" s="98" t="e">
        <f aca="true" t="shared" si="10" ref="E63:K64">$C63*E$60*E$61</f>
        <v>#DIV/0!</v>
      </c>
      <c r="F63" s="98" t="e">
        <f t="shared" si="10"/>
        <v>#DIV/0!</v>
      </c>
      <c r="G63" s="98">
        <f t="shared" si="10"/>
        <v>0</v>
      </c>
      <c r="H63" s="98" t="e">
        <f t="shared" si="10"/>
        <v>#DIV/0!</v>
      </c>
      <c r="I63" s="98" t="e">
        <f t="shared" si="10"/>
        <v>#DIV/0!</v>
      </c>
      <c r="J63" s="98" t="e">
        <f t="shared" si="10"/>
        <v>#DIV/0!</v>
      </c>
      <c r="K63" s="98" t="e">
        <f t="shared" si="10"/>
        <v>#DIV/0!</v>
      </c>
      <c r="L63" s="98" t="e">
        <f aca="true" t="shared" si="11" ref="L63:Q64">$C63*L$60*L$61</f>
        <v>#DIV/0!</v>
      </c>
      <c r="M63" s="98" t="e">
        <f t="shared" si="11"/>
        <v>#DIV/0!</v>
      </c>
      <c r="N63" s="98" t="e">
        <f t="shared" si="11"/>
        <v>#DIV/0!</v>
      </c>
      <c r="O63" s="98" t="e">
        <f t="shared" si="11"/>
        <v>#DIV/0!</v>
      </c>
      <c r="P63" s="98" t="e">
        <f t="shared" si="11"/>
        <v>#DIV/0!</v>
      </c>
      <c r="Q63" s="98" t="e">
        <f t="shared" si="11"/>
        <v>#DIV/0!</v>
      </c>
      <c r="R63" s="124" t="e">
        <f>SUM(D63:Q63)</f>
        <v>#DIV/0!</v>
      </c>
      <c r="S63"/>
    </row>
    <row r="64" spans="2:19" ht="15.75">
      <c r="B64" s="109" t="s">
        <v>20</v>
      </c>
      <c r="C64" s="92">
        <f>'Input - Lost Revenue'!C25</f>
        <v>0</v>
      </c>
      <c r="D64" s="99" t="e">
        <f>$C64*D$60*D$61</f>
        <v>#DIV/0!</v>
      </c>
      <c r="E64" s="98" t="e">
        <f t="shared" si="10"/>
        <v>#DIV/0!</v>
      </c>
      <c r="F64" s="98" t="e">
        <f t="shared" si="10"/>
        <v>#DIV/0!</v>
      </c>
      <c r="G64" s="98">
        <f t="shared" si="10"/>
        <v>0</v>
      </c>
      <c r="H64" s="98" t="e">
        <f t="shared" si="10"/>
        <v>#DIV/0!</v>
      </c>
      <c r="I64" s="98" t="e">
        <f t="shared" si="10"/>
        <v>#DIV/0!</v>
      </c>
      <c r="J64" s="98" t="e">
        <f t="shared" si="10"/>
        <v>#DIV/0!</v>
      </c>
      <c r="K64" s="98" t="e">
        <f t="shared" si="10"/>
        <v>#DIV/0!</v>
      </c>
      <c r="L64" s="98" t="e">
        <f t="shared" si="11"/>
        <v>#DIV/0!</v>
      </c>
      <c r="M64" s="98" t="e">
        <f t="shared" si="11"/>
        <v>#DIV/0!</v>
      </c>
      <c r="N64" s="98" t="e">
        <f t="shared" si="11"/>
        <v>#DIV/0!</v>
      </c>
      <c r="O64" s="98" t="e">
        <f t="shared" si="11"/>
        <v>#DIV/0!</v>
      </c>
      <c r="P64" s="98" t="e">
        <f t="shared" si="11"/>
        <v>#DIV/0!</v>
      </c>
      <c r="Q64" s="98" t="e">
        <f t="shared" si="11"/>
        <v>#DIV/0!</v>
      </c>
      <c r="R64" s="124" t="e">
        <f>SUM(D64:Q64)</f>
        <v>#DIV/0!</v>
      </c>
      <c r="S64"/>
    </row>
    <row r="65" spans="2:19" ht="16.5" thickBot="1">
      <c r="B65" s="108"/>
      <c r="C65" s="92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25"/>
      <c r="S65"/>
    </row>
    <row r="66" spans="2:19" ht="15.75" thickBot="1">
      <c r="B66" s="236" t="s">
        <v>163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7"/>
      <c r="N66" s="177"/>
      <c r="S66"/>
    </row>
    <row r="67" spans="2:14" s="156" customFormat="1" ht="15.75" thickBot="1">
      <c r="B67" s="239"/>
      <c r="C67" s="240"/>
      <c r="D67" s="240" t="s">
        <v>124</v>
      </c>
      <c r="E67" s="240" t="s">
        <v>107</v>
      </c>
      <c r="F67" s="240" t="s">
        <v>108</v>
      </c>
      <c r="G67" s="240" t="s">
        <v>111</v>
      </c>
      <c r="H67" s="240" t="s">
        <v>116</v>
      </c>
      <c r="I67" s="240" t="s">
        <v>117</v>
      </c>
      <c r="J67" s="240" t="s">
        <v>136</v>
      </c>
      <c r="K67" s="240" t="s">
        <v>137</v>
      </c>
      <c r="L67" s="240" t="s">
        <v>121</v>
      </c>
      <c r="M67" s="241" t="s">
        <v>122</v>
      </c>
      <c r="N67" s="183"/>
    </row>
    <row r="68" spans="2:19" ht="30.75" thickBot="1">
      <c r="B68" s="184"/>
      <c r="C68" s="185" t="s">
        <v>159</v>
      </c>
      <c r="D68" s="186">
        <v>211</v>
      </c>
      <c r="E68" s="186">
        <v>214</v>
      </c>
      <c r="F68" s="186">
        <v>215</v>
      </c>
      <c r="G68" s="186">
        <v>223</v>
      </c>
      <c r="H68" s="186">
        <v>240</v>
      </c>
      <c r="I68" s="186">
        <v>244</v>
      </c>
      <c r="J68" s="186">
        <v>260</v>
      </c>
      <c r="K68" s="186">
        <v>264</v>
      </c>
      <c r="L68" s="186">
        <v>358</v>
      </c>
      <c r="M68" s="187">
        <v>359</v>
      </c>
      <c r="N68" s="203" t="s">
        <v>31</v>
      </c>
      <c r="S68"/>
    </row>
    <row r="69" spans="2:19" ht="15">
      <c r="B69" s="188" t="s">
        <v>89</v>
      </c>
      <c r="C69" s="189"/>
      <c r="D69" s="190" t="e">
        <f>VLOOKUP(D68,'Comm Cust'!$M$47:$U$56,9,FALSE)</f>
        <v>#DIV/0!</v>
      </c>
      <c r="E69" s="190" t="e">
        <f>VLOOKUP(E68,'Comm Cust'!$M$47:$U$56,9,FALSE)</f>
        <v>#DIV/0!</v>
      </c>
      <c r="F69" s="190" t="e">
        <f>VLOOKUP(F68,'Comm Cust'!$M$47:$U$56,9,FALSE)</f>
        <v>#DIV/0!</v>
      </c>
      <c r="G69" s="190" t="e">
        <f>VLOOKUP(G68,'Comm Cust'!$M$47:$U$56,9,FALSE)</f>
        <v>#DIV/0!</v>
      </c>
      <c r="H69" s="190" t="e">
        <f>VLOOKUP(H68,'Comm Cust'!$M$47:$U$56,9,FALSE)</f>
        <v>#DIV/0!</v>
      </c>
      <c r="I69" s="190" t="e">
        <f>VLOOKUP(I68,'Comm Cust'!$M$47:$U$56,9,FALSE)</f>
        <v>#DIV/0!</v>
      </c>
      <c r="J69" s="190" t="e">
        <f>VLOOKUP(J68,'Comm Cust'!$M$47:$U$56,9,FALSE)</f>
        <v>#DIV/0!</v>
      </c>
      <c r="K69" s="190" t="e">
        <f>VLOOKUP(K68,'Comm Cust'!$M$47:$U$56,9,FALSE)</f>
        <v>#DIV/0!</v>
      </c>
      <c r="L69" s="190" t="e">
        <f>VLOOKUP(L68,'Comm Cust'!$M$47:$U$56,9,FALSE)</f>
        <v>#DIV/0!</v>
      </c>
      <c r="M69" s="190" t="e">
        <f>VLOOKUP(M68,'Comm Cust'!$M$47:$U$56,9,FALSE)</f>
        <v>#DIV/0!</v>
      </c>
      <c r="N69" s="191"/>
      <c r="S69"/>
    </row>
    <row r="70" spans="2:19" ht="15.75" thickBot="1">
      <c r="B70" s="192" t="s">
        <v>90</v>
      </c>
      <c r="C70" s="193"/>
      <c r="D70" s="194">
        <f>VLOOKUP(D68,'Comm Cust'!$M$47:$U$56,7,FALSE)</f>
        <v>247</v>
      </c>
      <c r="E70" s="194">
        <f>VLOOKUP(E68,'Comm Cust'!$M$47:$U$56,7,FALSE)</f>
        <v>59</v>
      </c>
      <c r="F70" s="194">
        <f>VLOOKUP(F68,'Comm Cust'!$M$47:$U$56,7,FALSE)</f>
        <v>209</v>
      </c>
      <c r="G70" s="194">
        <f>VLOOKUP(G68,'Comm Cust'!$M$47:$U$56,7,FALSE)</f>
        <v>1</v>
      </c>
      <c r="H70" s="194">
        <f>VLOOKUP(H68,'Comm Cust'!$M$47:$U$56,7,FALSE)</f>
        <v>37</v>
      </c>
      <c r="I70" s="194">
        <f>VLOOKUP(I68,'Comm Cust'!$M$47:$U$56,7,FALSE)</f>
        <v>2</v>
      </c>
      <c r="J70" s="194">
        <f>VLOOKUP(J68,'Comm Cust'!$M$47:$U$56,7,FALSE)</f>
        <v>147</v>
      </c>
      <c r="K70" s="194">
        <f>VLOOKUP(K68,'Comm Cust'!$M$47:$U$56,7,FALSE)</f>
        <v>1</v>
      </c>
      <c r="L70" s="194">
        <f>VLOOKUP(L68,'Comm Cust'!$M$47:$U$56,7,FALSE)</f>
        <v>1</v>
      </c>
      <c r="M70" s="194">
        <f>VLOOKUP(M68,'Comm Cust'!$M$47:$U$56,7,FALSE)</f>
        <v>1</v>
      </c>
      <c r="N70" s="195">
        <f>SUM(D70:M70)</f>
        <v>705</v>
      </c>
      <c r="S70"/>
    </row>
    <row r="71" spans="2:19" ht="15">
      <c r="B71" s="111"/>
      <c r="C71" s="92"/>
      <c r="D71" s="118"/>
      <c r="E71" s="118"/>
      <c r="F71" s="118"/>
      <c r="G71" s="118"/>
      <c r="H71" s="118"/>
      <c r="I71" s="118"/>
      <c r="J71" s="118"/>
      <c r="K71" s="118"/>
      <c r="L71" s="118"/>
      <c r="M71" s="91"/>
      <c r="N71" s="200"/>
      <c r="S71"/>
    </row>
    <row r="72" spans="2:19" ht="15.75">
      <c r="B72" s="110" t="s">
        <v>18</v>
      </c>
      <c r="C72" s="92">
        <f>'Input - Lost Revenue'!C23</f>
        <v>0</v>
      </c>
      <c r="D72" s="98" t="e">
        <f aca="true" t="shared" si="12" ref="D72:G73">$C72*D$69*D$70</f>
        <v>#DIV/0!</v>
      </c>
      <c r="E72" s="98" t="e">
        <f t="shared" si="12"/>
        <v>#DIV/0!</v>
      </c>
      <c r="F72" s="98" t="e">
        <f t="shared" si="12"/>
        <v>#DIV/0!</v>
      </c>
      <c r="G72" s="98" t="e">
        <f t="shared" si="12"/>
        <v>#DIV/0!</v>
      </c>
      <c r="H72" s="98" t="e">
        <f aca="true" t="shared" si="13" ref="H72:M73">$C72*H$69*H$70</f>
        <v>#DIV/0!</v>
      </c>
      <c r="I72" s="98" t="e">
        <f t="shared" si="13"/>
        <v>#DIV/0!</v>
      </c>
      <c r="J72" s="98" t="e">
        <f t="shared" si="13"/>
        <v>#DIV/0!</v>
      </c>
      <c r="K72" s="98" t="e">
        <f t="shared" si="13"/>
        <v>#DIV/0!</v>
      </c>
      <c r="L72" s="98" t="e">
        <f t="shared" si="13"/>
        <v>#DIV/0!</v>
      </c>
      <c r="M72" s="98" t="e">
        <f t="shared" si="13"/>
        <v>#DIV/0!</v>
      </c>
      <c r="N72" s="124" t="e">
        <f>SUM(D72:M72)</f>
        <v>#DIV/0!</v>
      </c>
      <c r="S72"/>
    </row>
    <row r="73" spans="2:19" ht="15.75">
      <c r="B73" s="109" t="s">
        <v>20</v>
      </c>
      <c r="C73" s="92">
        <f>'Input - Lost Revenue'!C25</f>
        <v>0</v>
      </c>
      <c r="D73" s="98" t="e">
        <f t="shared" si="12"/>
        <v>#DIV/0!</v>
      </c>
      <c r="E73" s="98" t="e">
        <f t="shared" si="12"/>
        <v>#DIV/0!</v>
      </c>
      <c r="F73" s="98" t="e">
        <f t="shared" si="12"/>
        <v>#DIV/0!</v>
      </c>
      <c r="G73" s="98" t="e">
        <f t="shared" si="12"/>
        <v>#DIV/0!</v>
      </c>
      <c r="H73" s="98" t="e">
        <f t="shared" si="13"/>
        <v>#DIV/0!</v>
      </c>
      <c r="I73" s="98" t="e">
        <f t="shared" si="13"/>
        <v>#DIV/0!</v>
      </c>
      <c r="J73" s="98" t="e">
        <f t="shared" si="13"/>
        <v>#DIV/0!</v>
      </c>
      <c r="K73" s="98" t="e">
        <f t="shared" si="13"/>
        <v>#DIV/0!</v>
      </c>
      <c r="L73" s="98" t="e">
        <f t="shared" si="13"/>
        <v>#DIV/0!</v>
      </c>
      <c r="M73" s="98" t="e">
        <f t="shared" si="13"/>
        <v>#DIV/0!</v>
      </c>
      <c r="N73" s="124" t="e">
        <f>SUM(D73:M73)</f>
        <v>#DIV/0!</v>
      </c>
      <c r="S73"/>
    </row>
    <row r="74" spans="2:19" ht="16.5" thickBot="1">
      <c r="B74" s="108"/>
      <c r="C74" s="92"/>
      <c r="D74" s="95"/>
      <c r="E74" s="95"/>
      <c r="F74" s="95"/>
      <c r="G74" s="95"/>
      <c r="H74" s="95"/>
      <c r="I74" s="95"/>
      <c r="J74" s="95"/>
      <c r="K74" s="95"/>
      <c r="L74" s="95"/>
      <c r="M74" s="94"/>
      <c r="N74" s="125"/>
      <c r="S74"/>
    </row>
    <row r="75" spans="2:21" ht="15.75" thickBot="1">
      <c r="B75" s="236" t="s">
        <v>164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7"/>
      <c r="U75" s="177"/>
    </row>
    <row r="76" spans="2:21" s="121" customFormat="1" ht="15.75" thickBot="1">
      <c r="B76" s="239"/>
      <c r="C76" s="179"/>
      <c r="D76" s="179" t="s">
        <v>105</v>
      </c>
      <c r="E76" s="179" t="s">
        <v>124</v>
      </c>
      <c r="F76" s="179" t="s">
        <v>106</v>
      </c>
      <c r="G76" s="179" t="s">
        <v>107</v>
      </c>
      <c r="H76" s="179" t="s">
        <v>108</v>
      </c>
      <c r="I76" s="179" t="s">
        <v>109</v>
      </c>
      <c r="J76" s="179" t="s">
        <v>141</v>
      </c>
      <c r="K76" s="240" t="s">
        <v>111</v>
      </c>
      <c r="L76" s="240" t="s">
        <v>112</v>
      </c>
      <c r="M76" s="240" t="s">
        <v>114</v>
      </c>
      <c r="N76" s="240" t="s">
        <v>116</v>
      </c>
      <c r="O76" s="179" t="s">
        <v>133</v>
      </c>
      <c r="P76" s="240" t="s">
        <v>117</v>
      </c>
      <c r="Q76" s="179" t="s">
        <v>139</v>
      </c>
      <c r="R76" s="179" t="s">
        <v>134</v>
      </c>
      <c r="S76" s="179" t="s">
        <v>119</v>
      </c>
      <c r="T76" s="179" t="s">
        <v>121</v>
      </c>
      <c r="U76" s="180"/>
    </row>
    <row r="77" spans="2:21" ht="30.75" thickBot="1">
      <c r="B77" s="184"/>
      <c r="C77" s="185" t="s">
        <v>160</v>
      </c>
      <c r="D77" s="186">
        <v>204</v>
      </c>
      <c r="E77" s="186">
        <v>211</v>
      </c>
      <c r="F77" s="186">
        <v>213</v>
      </c>
      <c r="G77" s="186">
        <v>214</v>
      </c>
      <c r="H77" s="186">
        <v>215</v>
      </c>
      <c r="I77" s="186">
        <v>217</v>
      </c>
      <c r="J77" s="186">
        <v>218</v>
      </c>
      <c r="K77" s="186">
        <v>223</v>
      </c>
      <c r="L77" s="186">
        <v>225</v>
      </c>
      <c r="M77" s="186">
        <v>229</v>
      </c>
      <c r="N77" s="186">
        <v>240</v>
      </c>
      <c r="O77" s="186">
        <v>242</v>
      </c>
      <c r="P77" s="186">
        <v>244</v>
      </c>
      <c r="Q77" s="186">
        <v>246</v>
      </c>
      <c r="R77" s="186">
        <v>251</v>
      </c>
      <c r="S77" s="186">
        <v>256</v>
      </c>
      <c r="T77" s="187">
        <v>358</v>
      </c>
      <c r="U77" s="203" t="s">
        <v>31</v>
      </c>
    </row>
    <row r="78" spans="2:21" ht="15">
      <c r="B78" s="188" t="s">
        <v>89</v>
      </c>
      <c r="C78" s="189"/>
      <c r="D78" s="190" t="e">
        <f>VLOOKUP(D77,'Comm Cust'!$M$59:$U$76,9,FALSE)</f>
        <v>#DIV/0!</v>
      </c>
      <c r="E78" s="190" t="e">
        <f>VLOOKUP(E77,'Comm Cust'!$M$59:$U$76,9,FALSE)</f>
        <v>#DIV/0!</v>
      </c>
      <c r="F78" s="190" t="e">
        <f>VLOOKUP(F77,'Comm Cust'!$M$59:$U$76,9,FALSE)</f>
        <v>#DIV/0!</v>
      </c>
      <c r="G78" s="190" t="e">
        <f>VLOOKUP(G77,'Comm Cust'!$M$59:$U$76,9,FALSE)</f>
        <v>#DIV/0!</v>
      </c>
      <c r="H78" s="190" t="e">
        <f>VLOOKUP(H77,'Comm Cust'!$M$59:$U$76,9,FALSE)</f>
        <v>#DIV/0!</v>
      </c>
      <c r="I78" s="190" t="e">
        <f>VLOOKUP(I77,'Comm Cust'!$M$59:$U$76,9,FALSE)</f>
        <v>#DIV/0!</v>
      </c>
      <c r="J78" s="190" t="e">
        <f>VLOOKUP(J77,'Comm Cust'!$M$59:$U$76,9,FALSE)</f>
        <v>#DIV/0!</v>
      </c>
      <c r="K78" s="190" t="e">
        <f>VLOOKUP(K77,'Comm Cust'!$M$59:$U$76,9,FALSE)</f>
        <v>#DIV/0!</v>
      </c>
      <c r="L78" s="190" t="e">
        <f>VLOOKUP(L77,'Comm Cust'!$M$59:$U$76,9,FALSE)</f>
        <v>#DIV/0!</v>
      </c>
      <c r="M78" s="190" t="e">
        <f>VLOOKUP(M77,'Comm Cust'!$M$59:$U$76,9,FALSE)</f>
        <v>#DIV/0!</v>
      </c>
      <c r="N78" s="190" t="e">
        <f>VLOOKUP(N77,'Comm Cust'!$M$59:$U$76,9,FALSE)</f>
        <v>#DIV/0!</v>
      </c>
      <c r="O78" s="190" t="e">
        <f>VLOOKUP(O77,'Comm Cust'!$M$59:$U$76,9,FALSE)</f>
        <v>#DIV/0!</v>
      </c>
      <c r="P78" s="190" t="e">
        <f>VLOOKUP(P77,'Comm Cust'!$M$59:$U$76,9,FALSE)</f>
        <v>#DIV/0!</v>
      </c>
      <c r="Q78" s="190" t="e">
        <f>VLOOKUP(Q77,'Comm Cust'!$M$59:$U$76,9,FALSE)</f>
        <v>#DIV/0!</v>
      </c>
      <c r="R78" s="190" t="e">
        <f>VLOOKUP(R77,'Comm Cust'!$M$59:$U$76,9,FALSE)</f>
        <v>#DIV/0!</v>
      </c>
      <c r="S78" s="190" t="e">
        <f>VLOOKUP(S77,'Comm Cust'!$M$59:$U$76,9,FALSE)</f>
        <v>#DIV/0!</v>
      </c>
      <c r="T78" s="190" t="e">
        <f>VLOOKUP(T77,'Comm Cust'!$M$59:$U$76,9,FALSE)</f>
        <v>#DIV/0!</v>
      </c>
      <c r="U78" s="191"/>
    </row>
    <row r="79" spans="2:21" ht="15.75" thickBot="1">
      <c r="B79" s="192" t="s">
        <v>90</v>
      </c>
      <c r="C79" s="193"/>
      <c r="D79" s="194">
        <f>VLOOKUP(D77,'Comm Cust'!$M$59:$U$76,7,FALSE)</f>
        <v>43</v>
      </c>
      <c r="E79" s="194">
        <f>VLOOKUP(E77,'Comm Cust'!$M$59:$U$76,7,FALSE)</f>
        <v>2085</v>
      </c>
      <c r="F79" s="194">
        <f>VLOOKUP(F77,'Comm Cust'!$M$59:$U$76,7,FALSE)</f>
        <v>146</v>
      </c>
      <c r="G79" s="194">
        <f>VLOOKUP(G77,'Comm Cust'!$M$59:$U$76,7,FALSE)</f>
        <v>20</v>
      </c>
      <c r="H79" s="194">
        <f>VLOOKUP(H77,'Comm Cust'!$M$59:$U$76,7,FALSE)</f>
        <v>733</v>
      </c>
      <c r="I79" s="194">
        <f>VLOOKUP(I77,'Comm Cust'!$M$59:$U$76,7,FALSE)</f>
        <v>3</v>
      </c>
      <c r="J79" s="194">
        <f>VLOOKUP(J77,'Comm Cust'!$M$59:$U$76,7,FALSE)</f>
        <v>1</v>
      </c>
      <c r="K79" s="194">
        <f>VLOOKUP(K77,'Comm Cust'!$M$59:$U$76,7,FALSE)</f>
        <v>3</v>
      </c>
      <c r="L79" s="194">
        <f>VLOOKUP(L77,'Comm Cust'!$M$59:$U$76,7,FALSE)</f>
        <v>6</v>
      </c>
      <c r="M79" s="194">
        <f>VLOOKUP(M77,'Comm Cust'!$M$59:$U$76,7,FALSE)</f>
        <v>27</v>
      </c>
      <c r="N79" s="194">
        <f>VLOOKUP(N77,'Comm Cust'!$M$59:$U$76,7,FALSE)</f>
        <v>81</v>
      </c>
      <c r="O79" s="194">
        <f>VLOOKUP(O77,'Comm Cust'!$M$59:$U$76,7,FALSE)</f>
        <v>6</v>
      </c>
      <c r="P79" s="194">
        <f>VLOOKUP(P77,'Comm Cust'!$M$59:$U$76,7,FALSE)</f>
        <v>5</v>
      </c>
      <c r="Q79" s="194">
        <f>VLOOKUP(Q77,'Comm Cust'!$M$59:$U$76,7,FALSE)</f>
        <v>1</v>
      </c>
      <c r="R79" s="194">
        <f>VLOOKUP(R77,'Comm Cust'!$M$59:$U$76,7,FALSE)</f>
        <v>2</v>
      </c>
      <c r="S79" s="194">
        <f>VLOOKUP(S77,'Comm Cust'!$M$59:$U$76,7,FALSE)</f>
        <v>2</v>
      </c>
      <c r="T79" s="194">
        <f>VLOOKUP(T77,'Comm Cust'!$M$59:$U$76,7,FALSE)</f>
        <v>4</v>
      </c>
      <c r="U79" s="195">
        <f>SUM(D79:T79)</f>
        <v>3168</v>
      </c>
    </row>
    <row r="80" spans="2:21" ht="15">
      <c r="B80" s="111"/>
      <c r="C80" s="92"/>
      <c r="D80" s="11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91"/>
      <c r="U80" s="200"/>
    </row>
    <row r="81" spans="2:21" ht="15.75">
      <c r="B81" s="110" t="s">
        <v>18</v>
      </c>
      <c r="C81" s="92">
        <f>'Input - Lost Revenue'!C23</f>
        <v>0</v>
      </c>
      <c r="D81" s="99" t="e">
        <f aca="true" t="shared" si="14" ref="D81:M82">$C81*D$79*D$78</f>
        <v>#DIV/0!</v>
      </c>
      <c r="E81" s="98" t="e">
        <f t="shared" si="14"/>
        <v>#DIV/0!</v>
      </c>
      <c r="F81" s="98" t="e">
        <f t="shared" si="14"/>
        <v>#DIV/0!</v>
      </c>
      <c r="G81" s="98" t="e">
        <f t="shared" si="14"/>
        <v>#DIV/0!</v>
      </c>
      <c r="H81" s="98" t="e">
        <f t="shared" si="14"/>
        <v>#DIV/0!</v>
      </c>
      <c r="I81" s="98" t="e">
        <f t="shared" si="14"/>
        <v>#DIV/0!</v>
      </c>
      <c r="J81" s="98" t="e">
        <f t="shared" si="14"/>
        <v>#DIV/0!</v>
      </c>
      <c r="K81" s="98" t="e">
        <f t="shared" si="14"/>
        <v>#DIV/0!</v>
      </c>
      <c r="L81" s="98" t="e">
        <f t="shared" si="14"/>
        <v>#DIV/0!</v>
      </c>
      <c r="M81" s="98" t="e">
        <f t="shared" si="14"/>
        <v>#DIV/0!</v>
      </c>
      <c r="N81" s="98" t="e">
        <f aca="true" t="shared" si="15" ref="N81:T82">$C81*N$79*N$78</f>
        <v>#DIV/0!</v>
      </c>
      <c r="O81" s="98" t="e">
        <f t="shared" si="15"/>
        <v>#DIV/0!</v>
      </c>
      <c r="P81" s="98" t="e">
        <f t="shared" si="15"/>
        <v>#DIV/0!</v>
      </c>
      <c r="Q81" s="98" t="e">
        <f t="shared" si="15"/>
        <v>#DIV/0!</v>
      </c>
      <c r="R81" s="98" t="e">
        <f t="shared" si="15"/>
        <v>#DIV/0!</v>
      </c>
      <c r="S81" s="98" t="e">
        <f t="shared" si="15"/>
        <v>#DIV/0!</v>
      </c>
      <c r="T81" s="98" t="e">
        <f t="shared" si="15"/>
        <v>#DIV/0!</v>
      </c>
      <c r="U81" s="124" t="e">
        <f>SUM(D81:T81)</f>
        <v>#DIV/0!</v>
      </c>
    </row>
    <row r="82" spans="2:21" ht="15.75">
      <c r="B82" s="109" t="s">
        <v>20</v>
      </c>
      <c r="C82" s="92">
        <f>'Input - Lost Revenue'!C25</f>
        <v>0</v>
      </c>
      <c r="D82" s="99" t="e">
        <f t="shared" si="14"/>
        <v>#DIV/0!</v>
      </c>
      <c r="E82" s="98" t="e">
        <f t="shared" si="14"/>
        <v>#DIV/0!</v>
      </c>
      <c r="F82" s="98" t="e">
        <f t="shared" si="14"/>
        <v>#DIV/0!</v>
      </c>
      <c r="G82" s="98" t="e">
        <f t="shared" si="14"/>
        <v>#DIV/0!</v>
      </c>
      <c r="H82" s="98" t="e">
        <f t="shared" si="14"/>
        <v>#DIV/0!</v>
      </c>
      <c r="I82" s="98" t="e">
        <f t="shared" si="14"/>
        <v>#DIV/0!</v>
      </c>
      <c r="J82" s="98" t="e">
        <f t="shared" si="14"/>
        <v>#DIV/0!</v>
      </c>
      <c r="K82" s="98" t="e">
        <f t="shared" si="14"/>
        <v>#DIV/0!</v>
      </c>
      <c r="L82" s="98" t="e">
        <f t="shared" si="14"/>
        <v>#DIV/0!</v>
      </c>
      <c r="M82" s="98" t="e">
        <f t="shared" si="14"/>
        <v>#DIV/0!</v>
      </c>
      <c r="N82" s="98" t="e">
        <f t="shared" si="15"/>
        <v>#DIV/0!</v>
      </c>
      <c r="O82" s="98" t="e">
        <f t="shared" si="15"/>
        <v>#DIV/0!</v>
      </c>
      <c r="P82" s="98" t="e">
        <f t="shared" si="15"/>
        <v>#DIV/0!</v>
      </c>
      <c r="Q82" s="98" t="e">
        <f t="shared" si="15"/>
        <v>#DIV/0!</v>
      </c>
      <c r="R82" s="98" t="e">
        <f t="shared" si="15"/>
        <v>#DIV/0!</v>
      </c>
      <c r="S82" s="98" t="e">
        <f t="shared" si="15"/>
        <v>#DIV/0!</v>
      </c>
      <c r="T82" s="98" t="e">
        <f t="shared" si="15"/>
        <v>#DIV/0!</v>
      </c>
      <c r="U82" s="124" t="e">
        <f>SUM(D82:T82)</f>
        <v>#DIV/0!</v>
      </c>
    </row>
    <row r="83" spans="2:21" ht="16.5" thickBot="1">
      <c r="B83" s="108"/>
      <c r="C83" s="92"/>
      <c r="D83" s="96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4"/>
      <c r="U83" s="125"/>
    </row>
    <row r="84" spans="2:9" ht="15.75" thickBot="1">
      <c r="B84" s="246" t="s">
        <v>90</v>
      </c>
      <c r="C84" s="244"/>
      <c r="D84" s="244"/>
      <c r="E84" s="244"/>
      <c r="F84" s="244"/>
      <c r="G84" s="244"/>
      <c r="H84" s="245"/>
      <c r="I84" s="199">
        <f>U79+N70+R61+X52</f>
        <v>30162</v>
      </c>
    </row>
    <row r="85" spans="2:19" ht="30.75" thickBot="1">
      <c r="B85" s="181"/>
      <c r="C85" s="178" t="s">
        <v>159</v>
      </c>
      <c r="D85" s="237" t="s">
        <v>161</v>
      </c>
      <c r="E85" s="237" t="s">
        <v>162</v>
      </c>
      <c r="F85" s="237" t="s">
        <v>165</v>
      </c>
      <c r="G85" s="238" t="s">
        <v>166</v>
      </c>
      <c r="H85" s="196" t="s">
        <v>31</v>
      </c>
      <c r="I85" s="198" t="s">
        <v>88</v>
      </c>
      <c r="Q85" s="101"/>
      <c r="S85"/>
    </row>
    <row r="86" spans="2:19" ht="15.75">
      <c r="B86" s="110" t="s">
        <v>18</v>
      </c>
      <c r="C86" s="92">
        <f>'Input - Lost Revenue'!C23</f>
        <v>0</v>
      </c>
      <c r="D86" s="119" t="e">
        <f>X54</f>
        <v>#DIV/0!</v>
      </c>
      <c r="E86" s="119" t="e">
        <f>R63</f>
        <v>#DIV/0!</v>
      </c>
      <c r="F86" s="119" t="e">
        <f>N72</f>
        <v>#DIV/0!</v>
      </c>
      <c r="G86" s="122" t="e">
        <f>U81</f>
        <v>#DIV/0!</v>
      </c>
      <c r="H86" s="124" t="e">
        <f>SUM(D86:G86)</f>
        <v>#DIV/0!</v>
      </c>
      <c r="I86" s="654" t="e">
        <f>(H86/$I$84)/C86</f>
        <v>#DIV/0!</v>
      </c>
      <c r="M86" s="270"/>
      <c r="P86" s="101"/>
      <c r="S86"/>
    </row>
    <row r="87" spans="2:19" ht="15.75">
      <c r="B87" s="109" t="s">
        <v>20</v>
      </c>
      <c r="C87" s="92">
        <f>'Input - Lost Revenue'!C25</f>
        <v>0</v>
      </c>
      <c r="D87" s="119" t="e">
        <f>X55</f>
        <v>#DIV/0!</v>
      </c>
      <c r="E87" s="119" t="e">
        <f>R64</f>
        <v>#DIV/0!</v>
      </c>
      <c r="F87" s="119" t="e">
        <f>N73</f>
        <v>#DIV/0!</v>
      </c>
      <c r="G87" s="122" t="e">
        <f>U82</f>
        <v>#DIV/0!</v>
      </c>
      <c r="H87" s="124" t="e">
        <f>SUM(D87:G87)</f>
        <v>#DIV/0!</v>
      </c>
      <c r="I87" s="654" t="e">
        <f>(H87/$I$84)/C87</f>
        <v>#DIV/0!</v>
      </c>
      <c r="P87" s="101"/>
      <c r="S87"/>
    </row>
    <row r="88" spans="2:19" ht="16.5" thickBot="1">
      <c r="B88" s="108"/>
      <c r="C88" s="84"/>
      <c r="D88" s="120"/>
      <c r="E88" s="120"/>
      <c r="F88" s="120"/>
      <c r="G88" s="123"/>
      <c r="H88" s="125"/>
      <c r="I88" s="197"/>
      <c r="P88" s="101"/>
      <c r="S88"/>
    </row>
    <row r="89" spans="18:19" ht="15">
      <c r="R89" s="101"/>
      <c r="S89"/>
    </row>
    <row r="90" ht="15.75" thickBot="1"/>
    <row r="91" spans="1:19" ht="15">
      <c r="A91" s="117" t="s">
        <v>259</v>
      </c>
      <c r="B91" s="118">
        <v>0.02612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91"/>
      <c r="S91"/>
    </row>
    <row r="92" spans="1:19" ht="15">
      <c r="A92" s="774" t="s">
        <v>287</v>
      </c>
      <c r="B92" s="327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146"/>
      <c r="S92"/>
    </row>
    <row r="93" spans="1:19" ht="45">
      <c r="A93" s="552" t="s">
        <v>250</v>
      </c>
      <c r="B93" s="322" t="s">
        <v>251</v>
      </c>
      <c r="C93" s="601" t="s">
        <v>252</v>
      </c>
      <c r="D93" s="601" t="s">
        <v>253</v>
      </c>
      <c r="E93" s="601" t="s">
        <v>254</v>
      </c>
      <c r="F93" s="601" t="s">
        <v>256</v>
      </c>
      <c r="G93" s="601" t="s">
        <v>255</v>
      </c>
      <c r="H93" s="601" t="s">
        <v>257</v>
      </c>
      <c r="I93" s="601" t="s">
        <v>258</v>
      </c>
      <c r="J93" s="601" t="s">
        <v>267</v>
      </c>
      <c r="K93" s="601"/>
      <c r="L93" s="601" t="s">
        <v>263</v>
      </c>
      <c r="M93" s="553" t="s">
        <v>264</v>
      </c>
      <c r="S93"/>
    </row>
    <row r="94" spans="1:19" ht="15.75" thickBot="1">
      <c r="A94" s="291">
        <v>36</v>
      </c>
      <c r="B94" s="537" t="s">
        <v>260</v>
      </c>
      <c r="C94" s="619">
        <v>5572</v>
      </c>
      <c r="D94" s="619">
        <v>3173</v>
      </c>
      <c r="E94" s="557">
        <f>C94-D94</f>
        <v>2399</v>
      </c>
      <c r="F94" s="558">
        <f>D94*M94</f>
        <v>250.28624000000002</v>
      </c>
      <c r="G94" s="558">
        <f>E94*L94</f>
        <v>348.67066</v>
      </c>
      <c r="H94" s="686">
        <v>2</v>
      </c>
      <c r="I94" s="559">
        <f>(F94+G94)/C94</f>
        <v>0.10749405958363245</v>
      </c>
      <c r="J94" s="559">
        <f>I94-$B$91</f>
        <v>0.08137405958363245</v>
      </c>
      <c r="K94" s="537"/>
      <c r="L94" s="625">
        <v>0.14534</v>
      </c>
      <c r="M94" s="621">
        <v>0.07888</v>
      </c>
      <c r="S94"/>
    </row>
    <row r="95" spans="1:19" ht="15">
      <c r="A95" s="117"/>
      <c r="B95" s="322"/>
      <c r="C95" s="554"/>
      <c r="D95" s="554"/>
      <c r="E95" s="322"/>
      <c r="F95" s="555"/>
      <c r="G95" s="555"/>
      <c r="H95" s="322"/>
      <c r="I95" s="556"/>
      <c r="J95" s="322"/>
      <c r="K95" s="322"/>
      <c r="L95" s="322"/>
      <c r="M95" s="146"/>
      <c r="S95"/>
    </row>
    <row r="96" spans="1:19" ht="15">
      <c r="A96" s="103">
        <v>28</v>
      </c>
      <c r="B96" s="322" t="s">
        <v>261</v>
      </c>
      <c r="C96" s="620">
        <v>110886</v>
      </c>
      <c r="D96" s="620">
        <v>72780</v>
      </c>
      <c r="E96" s="554">
        <f>C96-D96</f>
        <v>38106</v>
      </c>
      <c r="F96" s="555">
        <f>D96*M96</f>
        <v>5740.8864</v>
      </c>
      <c r="G96" s="555">
        <f>E96*L96</f>
        <v>5538.32604</v>
      </c>
      <c r="H96" s="487">
        <v>6</v>
      </c>
      <c r="I96" s="556">
        <f>(F96+G96)/C96</f>
        <v>0.10171899464314701</v>
      </c>
      <c r="J96" s="556">
        <f>I96-$B$91</f>
        <v>0.07559899464314701</v>
      </c>
      <c r="K96" s="322"/>
      <c r="L96" s="487">
        <v>0.14534</v>
      </c>
      <c r="M96" s="622">
        <v>0.07888</v>
      </c>
      <c r="S96"/>
    </row>
    <row r="97" spans="1:19" ht="15">
      <c r="A97" s="103">
        <v>30</v>
      </c>
      <c r="B97" s="322" t="s">
        <v>100</v>
      </c>
      <c r="C97" s="620">
        <v>1324500</v>
      </c>
      <c r="D97" s="620">
        <v>827139</v>
      </c>
      <c r="E97" s="554">
        <f>C97-D97</f>
        <v>497361</v>
      </c>
      <c r="F97" s="555">
        <f>D97*M97</f>
        <v>65244.72432</v>
      </c>
      <c r="G97" s="555">
        <f>E97*L97</f>
        <v>72286.44774</v>
      </c>
      <c r="H97" s="487">
        <v>65</v>
      </c>
      <c r="I97" s="556">
        <f>(F97+G97)/C97</f>
        <v>0.10383629449603625</v>
      </c>
      <c r="J97" s="556">
        <f>I97-$B$91</f>
        <v>0.07771629449603625</v>
      </c>
      <c r="K97" s="322"/>
      <c r="L97" s="487">
        <v>0.14534</v>
      </c>
      <c r="M97" s="622">
        <v>0.07888</v>
      </c>
      <c r="S97"/>
    </row>
    <row r="98" spans="1:19" ht="15">
      <c r="A98" s="103">
        <v>32</v>
      </c>
      <c r="B98" s="322" t="s">
        <v>99</v>
      </c>
      <c r="C98" s="620">
        <v>1521664</v>
      </c>
      <c r="D98" s="620">
        <v>973086</v>
      </c>
      <c r="E98" s="554">
        <f>C98-D98</f>
        <v>548578</v>
      </c>
      <c r="F98" s="555">
        <f>D98*M98</f>
        <v>76757.02368</v>
      </c>
      <c r="G98" s="555">
        <f>E98*L98</f>
        <v>79730.32652</v>
      </c>
      <c r="H98" s="487">
        <v>77</v>
      </c>
      <c r="I98" s="556">
        <f>(F98+G98)/C98</f>
        <v>0.10283962175618269</v>
      </c>
      <c r="J98" s="556">
        <f>I98-$B$91</f>
        <v>0.07671962175618269</v>
      </c>
      <c r="K98" s="322"/>
      <c r="L98" s="487">
        <v>0.14534</v>
      </c>
      <c r="M98" s="622">
        <v>0.07888</v>
      </c>
      <c r="S98"/>
    </row>
    <row r="99" spans="1:19" ht="15">
      <c r="A99" s="103">
        <v>34</v>
      </c>
      <c r="B99" s="322" t="s">
        <v>98</v>
      </c>
      <c r="C99" s="620">
        <v>12002</v>
      </c>
      <c r="D99" s="620">
        <v>7117</v>
      </c>
      <c r="E99" s="554">
        <f>C99-D99</f>
        <v>4885</v>
      </c>
      <c r="F99" s="555">
        <f>D99*M99</f>
        <v>561.38896</v>
      </c>
      <c r="G99" s="555">
        <f>E99*L99</f>
        <v>709.9859</v>
      </c>
      <c r="H99" s="487">
        <v>2</v>
      </c>
      <c r="I99" s="556">
        <f>(F99+G99)/C99</f>
        <v>0.10593024995834027</v>
      </c>
      <c r="J99" s="556">
        <f>I99-$B$91</f>
        <v>0.07981024995834027</v>
      </c>
      <c r="K99" s="322"/>
      <c r="L99" s="487">
        <v>0.14534</v>
      </c>
      <c r="M99" s="622">
        <v>0.07888</v>
      </c>
      <c r="S99"/>
    </row>
    <row r="100" spans="1:19" ht="15.75" thickBot="1">
      <c r="A100" s="291">
        <v>36</v>
      </c>
      <c r="B100" s="537" t="s">
        <v>262</v>
      </c>
      <c r="C100" s="619">
        <v>83240</v>
      </c>
      <c r="D100" s="619">
        <v>51960</v>
      </c>
      <c r="E100" s="557">
        <f>C100-D100</f>
        <v>31280</v>
      </c>
      <c r="F100" s="558">
        <f>D100*M100</f>
        <v>4098.6048</v>
      </c>
      <c r="G100" s="558">
        <f>E100*L100</f>
        <v>4546.2352</v>
      </c>
      <c r="H100" s="686">
        <v>2</v>
      </c>
      <c r="I100" s="559">
        <f>(F100+G100)/C100</f>
        <v>0.1038543969245555</v>
      </c>
      <c r="J100" s="559">
        <f>I100-$B$91</f>
        <v>0.0777343969245555</v>
      </c>
      <c r="K100" s="537"/>
      <c r="L100" s="625">
        <v>0.14534</v>
      </c>
      <c r="M100" s="621">
        <v>0.07888</v>
      </c>
      <c r="S100"/>
    </row>
    <row r="101" spans="1:13" s="340" customFormat="1" ht="30">
      <c r="A101" s="322"/>
      <c r="B101" s="322"/>
      <c r="C101" s="629" t="s">
        <v>123</v>
      </c>
      <c r="D101" s="629" t="s">
        <v>131</v>
      </c>
      <c r="E101" s="629" t="s">
        <v>126</v>
      </c>
      <c r="F101" s="630" t="s">
        <v>125</v>
      </c>
      <c r="G101" s="630" t="s">
        <v>127</v>
      </c>
      <c r="H101" s="632" t="s">
        <v>128</v>
      </c>
      <c r="I101" s="631" t="s">
        <v>130</v>
      </c>
      <c r="J101" s="556"/>
      <c r="K101" s="322"/>
      <c r="L101" s="322"/>
      <c r="M101" s="146"/>
    </row>
    <row r="102" spans="1:13" s="340" customFormat="1" ht="15">
      <c r="A102" s="327">
        <v>11</v>
      </c>
      <c r="B102" s="322" t="s">
        <v>276</v>
      </c>
      <c r="C102" s="620">
        <v>75255.52</v>
      </c>
      <c r="D102" s="620">
        <v>571403</v>
      </c>
      <c r="E102" s="554">
        <f>$B$91*D102</f>
        <v>14925.04636</v>
      </c>
      <c r="F102" s="636">
        <v>17.5</v>
      </c>
      <c r="G102" s="634">
        <v>43</v>
      </c>
      <c r="H102" s="119">
        <f>F102*G102</f>
        <v>752.5</v>
      </c>
      <c r="I102" s="556">
        <f>(C102-E102-H102)/D102</f>
        <v>0.1042661197788601</v>
      </c>
      <c r="J102" s="556"/>
      <c r="K102" s="322"/>
      <c r="L102" s="322"/>
      <c r="M102" s="146"/>
    </row>
    <row r="103" spans="1:13" s="340" customFormat="1" ht="15">
      <c r="A103" s="327">
        <v>14</v>
      </c>
      <c r="B103" s="322" t="s">
        <v>275</v>
      </c>
      <c r="C103" s="620">
        <v>15860.34</v>
      </c>
      <c r="D103" s="620">
        <v>123131</v>
      </c>
      <c r="E103" s="554">
        <f>$B$91*D103</f>
        <v>3216.18172</v>
      </c>
      <c r="F103" s="636">
        <v>17.5</v>
      </c>
      <c r="G103" s="634">
        <v>11</v>
      </c>
      <c r="H103" s="119">
        <f>F103*G103</f>
        <v>192.5</v>
      </c>
      <c r="I103" s="556">
        <f>(C103-E103-H103)/D103</f>
        <v>0.10112529160000325</v>
      </c>
      <c r="J103" s="556"/>
      <c r="K103" s="322"/>
      <c r="L103" s="322"/>
      <c r="M103" s="146"/>
    </row>
    <row r="104" spans="1:13" s="340" customFormat="1" ht="15">
      <c r="A104" s="327"/>
      <c r="B104" s="322"/>
      <c r="C104" s="554"/>
      <c r="D104" s="554"/>
      <c r="E104" s="554"/>
      <c r="F104" s="555"/>
      <c r="G104" s="555"/>
      <c r="H104" s="322"/>
      <c r="I104" s="556"/>
      <c r="J104" s="556"/>
      <c r="K104" s="322"/>
      <c r="L104" s="322"/>
      <c r="M104" s="146"/>
    </row>
    <row r="105" spans="1:13" s="340" customFormat="1" ht="15">
      <c r="A105" s="327">
        <v>11</v>
      </c>
      <c r="B105" s="322" t="s">
        <v>276</v>
      </c>
      <c r="C105" s="620">
        <v>181412.56</v>
      </c>
      <c r="D105" s="620">
        <v>1427448</v>
      </c>
      <c r="E105" s="554">
        <f>$B$91*D105</f>
        <v>37284.94176</v>
      </c>
      <c r="F105" s="636">
        <v>17.5</v>
      </c>
      <c r="G105" s="634">
        <v>76</v>
      </c>
      <c r="H105" s="119">
        <f>F105*G105</f>
        <v>1330</v>
      </c>
      <c r="I105" s="556">
        <f>(C105-E105-H105)/D105</f>
        <v>0.10003700186626761</v>
      </c>
      <c r="J105" s="556"/>
      <c r="K105" s="322"/>
      <c r="L105" s="322"/>
      <c r="M105" s="146"/>
    </row>
    <row r="106" spans="1:13" s="340" customFormat="1" ht="15">
      <c r="A106" s="327">
        <v>12</v>
      </c>
      <c r="B106" s="327" t="s">
        <v>104</v>
      </c>
      <c r="C106" s="620">
        <v>26324.47</v>
      </c>
      <c r="D106" s="620">
        <v>209873</v>
      </c>
      <c r="E106" s="554">
        <f>$B$91*D106</f>
        <v>5481.88276</v>
      </c>
      <c r="F106" s="636">
        <v>17.5</v>
      </c>
      <c r="G106" s="634">
        <v>10</v>
      </c>
      <c r="H106" s="119">
        <f>F106*G106</f>
        <v>175</v>
      </c>
      <c r="I106" s="556">
        <f>(C106-E106-H106)/D106</f>
        <v>0.09847663701381312</v>
      </c>
      <c r="J106" s="556"/>
      <c r="K106" s="322"/>
      <c r="L106" s="322"/>
      <c r="M106" s="146"/>
    </row>
    <row r="107" spans="1:13" s="340" customFormat="1" ht="15">
      <c r="A107" s="327">
        <v>13</v>
      </c>
      <c r="B107" s="327" t="s">
        <v>103</v>
      </c>
      <c r="C107" s="620">
        <v>2476.34</v>
      </c>
      <c r="D107" s="620">
        <v>19773</v>
      </c>
      <c r="E107" s="590">
        <f>$B$91*D107</f>
        <v>516.47076</v>
      </c>
      <c r="F107" s="636">
        <v>17.5</v>
      </c>
      <c r="G107" s="634">
        <v>1</v>
      </c>
      <c r="H107" s="119">
        <f>F107*G107</f>
        <v>17.5</v>
      </c>
      <c r="I107" s="556">
        <f>(C107-E107-H107)/D107</f>
        <v>0.09823341121731655</v>
      </c>
      <c r="J107" s="556"/>
      <c r="K107" s="322"/>
      <c r="L107" s="322"/>
      <c r="M107" s="146"/>
    </row>
    <row r="108" spans="1:13" s="340" customFormat="1" ht="15.75" thickBot="1">
      <c r="A108" s="613">
        <v>14</v>
      </c>
      <c r="B108" s="613" t="s">
        <v>275</v>
      </c>
      <c r="C108" s="619">
        <v>7779.24</v>
      </c>
      <c r="D108" s="619">
        <v>64835</v>
      </c>
      <c r="E108" s="557">
        <f>$B$91*D108</f>
        <v>1693.4902</v>
      </c>
      <c r="F108" s="661">
        <v>17.5</v>
      </c>
      <c r="G108" s="635">
        <v>2</v>
      </c>
      <c r="H108" s="120">
        <f>F108*G108</f>
        <v>35</v>
      </c>
      <c r="I108" s="559">
        <f>(C108-E108-H108)/D108</f>
        <v>0.09332536130176601</v>
      </c>
      <c r="J108" s="559"/>
      <c r="K108" s="537"/>
      <c r="L108" s="537"/>
      <c r="M108" s="560"/>
    </row>
    <row r="109" spans="1:19" ht="15.75" thickBot="1">
      <c r="A109" s="566"/>
      <c r="B109" s="567"/>
      <c r="E109" s="554"/>
      <c r="F109" s="555"/>
      <c r="G109" s="555"/>
      <c r="I109" s="556"/>
      <c r="J109" s="556"/>
      <c r="S109"/>
    </row>
    <row r="110" spans="1:19" ht="15">
      <c r="A110" s="773" t="s">
        <v>288</v>
      </c>
      <c r="B110" s="605">
        <v>0.02612</v>
      </c>
      <c r="C110" s="605"/>
      <c r="D110" s="605"/>
      <c r="E110" s="605"/>
      <c r="F110" s="605"/>
      <c r="G110" s="605"/>
      <c r="H110" s="605"/>
      <c r="I110" s="605"/>
      <c r="J110" s="605"/>
      <c r="K110" s="605"/>
      <c r="L110" s="605"/>
      <c r="M110" s="606"/>
      <c r="S110"/>
    </row>
    <row r="111" spans="1:19" ht="15">
      <c r="A111" s="610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607"/>
      <c r="S111"/>
    </row>
    <row r="112" spans="1:19" ht="45">
      <c r="A112" s="614" t="s">
        <v>250</v>
      </c>
      <c r="B112" s="327" t="s">
        <v>251</v>
      </c>
      <c r="C112" s="603" t="s">
        <v>252</v>
      </c>
      <c r="D112" s="603" t="s">
        <v>253</v>
      </c>
      <c r="E112" s="603" t="s">
        <v>254</v>
      </c>
      <c r="F112" s="603" t="s">
        <v>256</v>
      </c>
      <c r="G112" s="603" t="s">
        <v>255</v>
      </c>
      <c r="H112" s="603" t="s">
        <v>257</v>
      </c>
      <c r="I112" s="603" t="s">
        <v>258</v>
      </c>
      <c r="J112" s="603" t="s">
        <v>267</v>
      </c>
      <c r="K112" s="603"/>
      <c r="L112" s="603" t="s">
        <v>263</v>
      </c>
      <c r="M112" s="616" t="s">
        <v>264</v>
      </c>
      <c r="S112"/>
    </row>
    <row r="113" spans="1:19" ht="15.75" thickBot="1">
      <c r="A113" s="615">
        <v>36</v>
      </c>
      <c r="B113" s="613" t="s">
        <v>260</v>
      </c>
      <c r="C113" s="619">
        <v>5866</v>
      </c>
      <c r="D113" s="619">
        <v>3426</v>
      </c>
      <c r="E113" s="611">
        <f>C113-D113</f>
        <v>2440</v>
      </c>
      <c r="F113" s="612">
        <f>D113*M113</f>
        <v>270.24288</v>
      </c>
      <c r="G113" s="612">
        <f>E113*L113</f>
        <v>354.6296</v>
      </c>
      <c r="H113" s="613"/>
      <c r="I113" s="604">
        <f>(F113+G113)/C113</f>
        <v>0.10652445959768156</v>
      </c>
      <c r="J113" s="604">
        <f>I113-$B$110</f>
        <v>0.08040445959768155</v>
      </c>
      <c r="K113" s="613"/>
      <c r="L113" s="604">
        <v>0.14534</v>
      </c>
      <c r="M113" s="617">
        <v>0.07888</v>
      </c>
      <c r="S113"/>
    </row>
    <row r="114" spans="1:19" ht="15">
      <c r="A114" s="609"/>
      <c r="B114" s="327"/>
      <c r="C114" s="590"/>
      <c r="D114" s="590"/>
      <c r="E114" s="327"/>
      <c r="F114" s="608"/>
      <c r="G114" s="608"/>
      <c r="H114" s="327"/>
      <c r="I114" s="572"/>
      <c r="J114" s="327"/>
      <c r="K114" s="327"/>
      <c r="L114" s="327"/>
      <c r="M114" s="607"/>
      <c r="S114"/>
    </row>
    <row r="115" spans="1:19" ht="15">
      <c r="A115" s="610">
        <v>28</v>
      </c>
      <c r="B115" s="327" t="s">
        <v>261</v>
      </c>
      <c r="C115" s="620">
        <v>123994</v>
      </c>
      <c r="D115" s="620">
        <v>75217</v>
      </c>
      <c r="E115" s="590">
        <f>C115-D115</f>
        <v>48777</v>
      </c>
      <c r="F115" s="608">
        <f>D115*M115</f>
        <v>5933.11696</v>
      </c>
      <c r="G115" s="608">
        <f>E115*L115</f>
        <v>7089.24918</v>
      </c>
      <c r="H115" s="327"/>
      <c r="I115" s="572">
        <f>(F115+G115)/C115</f>
        <v>0.10502416358856073</v>
      </c>
      <c r="J115" s="572">
        <f>I115-$B$110</f>
        <v>0.07890416358856073</v>
      </c>
      <c r="K115" s="327"/>
      <c r="L115" s="327">
        <v>0.14534</v>
      </c>
      <c r="M115" s="607">
        <v>0.07888</v>
      </c>
      <c r="S115"/>
    </row>
    <row r="116" spans="1:19" ht="15">
      <c r="A116" s="610">
        <v>30</v>
      </c>
      <c r="B116" s="327" t="s">
        <v>100</v>
      </c>
      <c r="C116" s="620">
        <v>1318377</v>
      </c>
      <c r="D116" s="620">
        <v>812494</v>
      </c>
      <c r="E116" s="590">
        <f>C116-D116</f>
        <v>505883</v>
      </c>
      <c r="F116" s="608">
        <f>D116*M116</f>
        <v>64089.52672</v>
      </c>
      <c r="G116" s="608">
        <f>E116*L116</f>
        <v>73525.03522</v>
      </c>
      <c r="H116" s="327"/>
      <c r="I116" s="572">
        <f>(F116+G116)/C116</f>
        <v>0.10438179818064182</v>
      </c>
      <c r="J116" s="572">
        <f>I116-$B$110</f>
        <v>0.07826179818064181</v>
      </c>
      <c r="K116" s="327"/>
      <c r="L116" s="327">
        <v>0.14534</v>
      </c>
      <c r="M116" s="607">
        <v>0.07888</v>
      </c>
      <c r="S116"/>
    </row>
    <row r="117" spans="1:19" ht="15">
      <c r="A117" s="610">
        <v>32</v>
      </c>
      <c r="B117" s="327" t="s">
        <v>99</v>
      </c>
      <c r="C117" s="620">
        <v>1443199</v>
      </c>
      <c r="D117" s="620">
        <v>896376</v>
      </c>
      <c r="E117" s="590">
        <f>C117-D117</f>
        <v>546823</v>
      </c>
      <c r="F117" s="608">
        <f>D117*M117</f>
        <v>70706.13888</v>
      </c>
      <c r="G117" s="608">
        <f>E117*L117</f>
        <v>79475.25482</v>
      </c>
      <c r="H117" s="327"/>
      <c r="I117" s="572">
        <f>(F117+G117)/C117</f>
        <v>0.10406145909192012</v>
      </c>
      <c r="J117" s="572">
        <f>I117-$B$110</f>
        <v>0.07794145909192012</v>
      </c>
      <c r="K117" s="327"/>
      <c r="L117" s="327">
        <v>0.14534</v>
      </c>
      <c r="M117" s="607">
        <v>0.07888</v>
      </c>
      <c r="S117"/>
    </row>
    <row r="118" spans="1:19" ht="15">
      <c r="A118" s="610">
        <v>34</v>
      </c>
      <c r="B118" s="327" t="s">
        <v>98</v>
      </c>
      <c r="C118" s="620">
        <v>12733</v>
      </c>
      <c r="D118" s="620">
        <v>7721</v>
      </c>
      <c r="E118" s="590">
        <f>C118-D118</f>
        <v>5012</v>
      </c>
      <c r="F118" s="608">
        <f>D118*M118</f>
        <v>609.0324800000001</v>
      </c>
      <c r="G118" s="608">
        <f>E118*L118</f>
        <v>728.44408</v>
      </c>
      <c r="H118" s="327"/>
      <c r="I118" s="572">
        <f>(F118+G118)/C118</f>
        <v>0.10504017592083563</v>
      </c>
      <c r="J118" s="572">
        <f>I118-$B$110</f>
        <v>0.07892017592083563</v>
      </c>
      <c r="K118" s="327"/>
      <c r="L118" s="327">
        <v>0.14534</v>
      </c>
      <c r="M118" s="607">
        <v>0.07888</v>
      </c>
      <c r="S118"/>
    </row>
    <row r="119" spans="1:19" ht="15.75" thickBot="1">
      <c r="A119" s="615">
        <v>36</v>
      </c>
      <c r="B119" s="613" t="s">
        <v>262</v>
      </c>
      <c r="C119" s="619">
        <v>84303</v>
      </c>
      <c r="D119" s="619">
        <v>51777</v>
      </c>
      <c r="E119" s="611">
        <f>C119-D119</f>
        <v>32526</v>
      </c>
      <c r="F119" s="612">
        <f>D119*M119</f>
        <v>4084.16976</v>
      </c>
      <c r="G119" s="612">
        <f>E119*L119</f>
        <v>4727.32884</v>
      </c>
      <c r="H119" s="613"/>
      <c r="I119" s="604">
        <f>(F119+G119)/C119</f>
        <v>0.10452176790861537</v>
      </c>
      <c r="J119" s="604">
        <f>I119-$B$110</f>
        <v>0.07840176790861536</v>
      </c>
      <c r="K119" s="613"/>
      <c r="L119" s="604">
        <v>0.14534</v>
      </c>
      <c r="M119" s="617">
        <v>0.07888</v>
      </c>
      <c r="S119"/>
    </row>
    <row r="120" spans="3:19" ht="30">
      <c r="C120" s="629" t="s">
        <v>123</v>
      </c>
      <c r="D120" s="629" t="s">
        <v>131</v>
      </c>
      <c r="E120" s="629" t="s">
        <v>126</v>
      </c>
      <c r="F120" s="630" t="s">
        <v>125</v>
      </c>
      <c r="G120" s="630" t="s">
        <v>127</v>
      </c>
      <c r="H120" s="632" t="s">
        <v>128</v>
      </c>
      <c r="I120" s="631" t="s">
        <v>130</v>
      </c>
      <c r="S120"/>
    </row>
    <row r="121" spans="1:13" s="340" customFormat="1" ht="15">
      <c r="A121" s="327">
        <v>11</v>
      </c>
      <c r="B121" s="322" t="s">
        <v>276</v>
      </c>
      <c r="C121" s="620">
        <v>81421.51</v>
      </c>
      <c r="D121" s="620">
        <v>615359</v>
      </c>
      <c r="E121" s="554">
        <f>$B$110*D121</f>
        <v>16073.177080000001</v>
      </c>
      <c r="F121" s="636">
        <v>17.5</v>
      </c>
      <c r="G121" s="634">
        <v>45</v>
      </c>
      <c r="H121" s="119">
        <f>F121*G121</f>
        <v>787.5</v>
      </c>
      <c r="I121" s="556">
        <f>(C121-E121-H121)/D121</f>
        <v>0.10491572061187046</v>
      </c>
      <c r="J121" s="556"/>
      <c r="K121" s="322"/>
      <c r="L121" s="322"/>
      <c r="M121" s="146"/>
    </row>
    <row r="122" spans="1:13" s="340" customFormat="1" ht="15">
      <c r="A122" s="327">
        <v>14</v>
      </c>
      <c r="B122" s="322" t="s">
        <v>275</v>
      </c>
      <c r="C122" s="620">
        <v>19314.46</v>
      </c>
      <c r="D122" s="620">
        <v>150817</v>
      </c>
      <c r="E122" s="554">
        <f>$B$110*D122</f>
        <v>3939.34004</v>
      </c>
      <c r="F122" s="636">
        <v>17.5</v>
      </c>
      <c r="G122" s="634">
        <v>12</v>
      </c>
      <c r="H122" s="119">
        <f>F122*G122</f>
        <v>210</v>
      </c>
      <c r="I122" s="556">
        <f>(C122-E122-H122)/D122</f>
        <v>0.10055312040419846</v>
      </c>
      <c r="J122" s="556"/>
      <c r="K122" s="322"/>
      <c r="L122" s="322"/>
      <c r="M122" s="146"/>
    </row>
    <row r="123" spans="1:13" s="340" customFormat="1" ht="15">
      <c r="A123" s="327"/>
      <c r="B123" s="322"/>
      <c r="C123" s="554"/>
      <c r="D123" s="554"/>
      <c r="E123" s="554"/>
      <c r="F123" s="555"/>
      <c r="G123" s="555"/>
      <c r="H123" s="322"/>
      <c r="I123" s="556"/>
      <c r="J123" s="556"/>
      <c r="K123" s="322"/>
      <c r="L123" s="322"/>
      <c r="M123" s="146"/>
    </row>
    <row r="124" spans="1:13" s="340" customFormat="1" ht="15">
      <c r="A124" s="327">
        <v>11</v>
      </c>
      <c r="B124" s="322" t="s">
        <v>276</v>
      </c>
      <c r="C124" s="620">
        <v>199598.57</v>
      </c>
      <c r="D124" s="620">
        <v>1561115</v>
      </c>
      <c r="E124" s="554">
        <f>$B$110*D124</f>
        <v>40776.3238</v>
      </c>
      <c r="F124" s="636">
        <v>17.5</v>
      </c>
      <c r="G124" s="634">
        <v>81</v>
      </c>
      <c r="H124" s="119">
        <f>F124*G124</f>
        <v>1417.5</v>
      </c>
      <c r="I124" s="556">
        <f>(C124-E124-H124)/D124</f>
        <v>0.10082841187228359</v>
      </c>
      <c r="J124" s="556"/>
      <c r="K124" s="322"/>
      <c r="L124" s="322"/>
      <c r="M124" s="146"/>
    </row>
    <row r="125" spans="1:13" s="340" customFormat="1" ht="15">
      <c r="A125" s="327">
        <v>12</v>
      </c>
      <c r="B125" s="327" t="s">
        <v>104</v>
      </c>
      <c r="C125" s="620">
        <v>25513.67</v>
      </c>
      <c r="D125" s="620">
        <v>201877</v>
      </c>
      <c r="E125" s="554">
        <f>$B$110*D125</f>
        <v>5273.02724</v>
      </c>
      <c r="F125" s="636">
        <v>17.5</v>
      </c>
      <c r="G125" s="634">
        <v>10</v>
      </c>
      <c r="H125" s="119">
        <f>F125*G125</f>
        <v>175</v>
      </c>
      <c r="I125" s="556">
        <f>(C125-E125-H125)/D125</f>
        <v>0.09939538808284251</v>
      </c>
      <c r="J125" s="556"/>
      <c r="K125" s="322"/>
      <c r="L125" s="322"/>
      <c r="M125" s="146"/>
    </row>
    <row r="126" spans="1:13" s="340" customFormat="1" ht="15">
      <c r="A126" s="327">
        <v>13</v>
      </c>
      <c r="B126" s="327" t="s">
        <v>103</v>
      </c>
      <c r="C126" s="620">
        <v>2376.17</v>
      </c>
      <c r="D126" s="620">
        <v>18806</v>
      </c>
      <c r="E126" s="554">
        <f>$B$110*D126</f>
        <v>491.21272</v>
      </c>
      <c r="F126" s="636">
        <v>17.5</v>
      </c>
      <c r="G126" s="634">
        <v>1</v>
      </c>
      <c r="H126" s="119">
        <f>F126*G126</f>
        <v>17.5</v>
      </c>
      <c r="I126" s="556">
        <f>(C126-E126-H126)/D126</f>
        <v>0.09930114218866319</v>
      </c>
      <c r="J126" s="556"/>
      <c r="K126" s="322"/>
      <c r="L126" s="322"/>
      <c r="M126" s="146"/>
    </row>
    <row r="127" spans="1:13" s="340" customFormat="1" ht="15.75" thickBot="1">
      <c r="A127" s="613">
        <v>14</v>
      </c>
      <c r="B127" s="613" t="s">
        <v>275</v>
      </c>
      <c r="C127" s="619">
        <v>8806.48</v>
      </c>
      <c r="D127" s="619">
        <v>72849</v>
      </c>
      <c r="E127" s="557">
        <f>$B$110*D127</f>
        <v>1902.81588</v>
      </c>
      <c r="F127" s="661">
        <v>17.5</v>
      </c>
      <c r="G127" s="635">
        <v>3</v>
      </c>
      <c r="H127" s="120">
        <f>F127*G127</f>
        <v>52.5</v>
      </c>
      <c r="I127" s="559">
        <f>(C127-E127-H127)/D127</f>
        <v>0.09404609699515436</v>
      </c>
      <c r="J127" s="559"/>
      <c r="K127" s="537"/>
      <c r="L127" s="537"/>
      <c r="M127" s="560"/>
    </row>
    <row r="128" s="340" customFormat="1" ht="15"/>
    <row r="129" ht="15">
      <c r="S129"/>
    </row>
    <row r="130" ht="15">
      <c r="S130"/>
    </row>
    <row r="131" ht="15">
      <c r="S131"/>
    </row>
    <row r="132" ht="15">
      <c r="S132"/>
    </row>
    <row r="133" spans="1:30" ht="15.75" outlineLevel="1" thickBot="1">
      <c r="A133" s="155" t="s">
        <v>285</v>
      </c>
      <c r="B133" s="155">
        <v>0.02612</v>
      </c>
      <c r="S133"/>
      <c r="AC133" s="340"/>
      <c r="AD133" s="340"/>
    </row>
    <row r="134" spans="1:41" ht="15" outlineLevel="1">
      <c r="A134" s="618" t="s">
        <v>59</v>
      </c>
      <c r="B134" s="772" t="s">
        <v>282</v>
      </c>
      <c r="C134" s="605"/>
      <c r="D134" s="605"/>
      <c r="E134" s="605"/>
      <c r="F134" s="605"/>
      <c r="G134" s="605"/>
      <c r="H134" s="605"/>
      <c r="I134" s="605"/>
      <c r="J134" s="118"/>
      <c r="K134" s="118"/>
      <c r="L134" s="118"/>
      <c r="M134" s="91"/>
      <c r="O134" s="691"/>
      <c r="P134" s="327"/>
      <c r="Q134" s="327"/>
      <c r="R134" s="327"/>
      <c r="S134" s="327"/>
      <c r="T134" s="327"/>
      <c r="U134" s="327"/>
      <c r="V134" s="327"/>
      <c r="W134" s="327"/>
      <c r="X134" s="327"/>
      <c r="Y134" s="327"/>
      <c r="Z134" s="327"/>
      <c r="AA134" s="327"/>
      <c r="AB134" s="327"/>
      <c r="AC134" s="691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</row>
    <row r="135" spans="1:41" ht="45" outlineLevel="1">
      <c r="A135" s="614" t="s">
        <v>250</v>
      </c>
      <c r="B135" s="327" t="s">
        <v>251</v>
      </c>
      <c r="C135" s="603" t="s">
        <v>252</v>
      </c>
      <c r="D135" s="603" t="s">
        <v>253</v>
      </c>
      <c r="E135" s="603" t="s">
        <v>254</v>
      </c>
      <c r="F135" s="603" t="s">
        <v>256</v>
      </c>
      <c r="G135" s="603" t="s">
        <v>255</v>
      </c>
      <c r="H135" s="603" t="s">
        <v>257</v>
      </c>
      <c r="I135" s="603" t="s">
        <v>258</v>
      </c>
      <c r="J135" s="656" t="s">
        <v>267</v>
      </c>
      <c r="K135" s="602"/>
      <c r="L135" s="656" t="s">
        <v>263</v>
      </c>
      <c r="M135" s="657" t="s">
        <v>264</v>
      </c>
      <c r="O135" s="632"/>
      <c r="P135" s="327"/>
      <c r="Q135" s="603"/>
      <c r="R135" s="603"/>
      <c r="S135" s="603"/>
      <c r="T135" s="603"/>
      <c r="U135" s="603"/>
      <c r="V135" s="603"/>
      <c r="W135" s="603"/>
      <c r="X135" s="603"/>
      <c r="Y135" s="603"/>
      <c r="Z135" s="603"/>
      <c r="AA135" s="603"/>
      <c r="AB135" s="327"/>
      <c r="AC135" s="632"/>
      <c r="AD135" s="327"/>
      <c r="AE135" s="603"/>
      <c r="AF135" s="603"/>
      <c r="AG135" s="603"/>
      <c r="AH135" s="603"/>
      <c r="AI135" s="603"/>
      <c r="AJ135" s="603"/>
      <c r="AK135" s="603"/>
      <c r="AL135" s="603"/>
      <c r="AM135" s="603"/>
      <c r="AN135" s="603"/>
      <c r="AO135" s="603"/>
    </row>
    <row r="136" spans="1:41" ht="15.75" outlineLevel="1" thickBot="1">
      <c r="A136" s="615">
        <v>36</v>
      </c>
      <c r="B136" s="613" t="s">
        <v>260</v>
      </c>
      <c r="C136" s="619">
        <v>527</v>
      </c>
      <c r="D136" s="619">
        <v>310</v>
      </c>
      <c r="E136" s="611">
        <f>C136-D136</f>
        <v>217</v>
      </c>
      <c r="F136" s="612">
        <f>D136*M136</f>
        <v>24.452800000000003</v>
      </c>
      <c r="G136" s="612">
        <f>E136*L136</f>
        <v>31.53878</v>
      </c>
      <c r="H136" s="686">
        <v>2</v>
      </c>
      <c r="I136" s="604">
        <f>(F136+G136)/C136</f>
        <v>0.10624588235294118</v>
      </c>
      <c r="J136" s="625">
        <f>I136-$B$133</f>
        <v>0.08012588235294117</v>
      </c>
      <c r="K136" s="537"/>
      <c r="L136" s="625">
        <v>0.14534</v>
      </c>
      <c r="M136" s="658">
        <v>0.07888</v>
      </c>
      <c r="O136" s="327"/>
      <c r="P136" s="327"/>
      <c r="Q136" s="590"/>
      <c r="R136" s="590"/>
      <c r="S136" s="590"/>
      <c r="T136" s="608"/>
      <c r="U136" s="608"/>
      <c r="V136" s="327"/>
      <c r="W136" s="572"/>
      <c r="X136" s="572"/>
      <c r="Y136" s="327"/>
      <c r="Z136" s="572"/>
      <c r="AA136" s="327"/>
      <c r="AB136" s="327"/>
      <c r="AC136" s="327"/>
      <c r="AD136" s="327"/>
      <c r="AE136" s="590"/>
      <c r="AF136" s="590"/>
      <c r="AG136" s="590"/>
      <c r="AH136" s="608"/>
      <c r="AI136" s="608"/>
      <c r="AJ136" s="327"/>
      <c r="AK136" s="572"/>
      <c r="AL136" s="572"/>
      <c r="AM136" s="327"/>
      <c r="AN136" s="572"/>
      <c r="AO136" s="327"/>
    </row>
    <row r="137" spans="1:41" ht="15" outlineLevel="1">
      <c r="A137" s="117"/>
      <c r="B137" s="322"/>
      <c r="C137" s="590"/>
      <c r="D137" s="590"/>
      <c r="E137" s="327"/>
      <c r="F137" s="608"/>
      <c r="G137" s="608"/>
      <c r="H137" s="327"/>
      <c r="I137" s="572"/>
      <c r="J137" s="327"/>
      <c r="K137" s="327"/>
      <c r="L137" s="327"/>
      <c r="M137" s="607"/>
      <c r="O137" s="327"/>
      <c r="P137" s="327"/>
      <c r="Q137" s="590"/>
      <c r="R137" s="590"/>
      <c r="S137" s="327"/>
      <c r="T137" s="608"/>
      <c r="U137" s="608"/>
      <c r="V137" s="327"/>
      <c r="W137" s="572"/>
      <c r="X137" s="327"/>
      <c r="Y137" s="327"/>
      <c r="Z137" s="327"/>
      <c r="AA137" s="327"/>
      <c r="AB137" s="327"/>
      <c r="AC137" s="327"/>
      <c r="AD137" s="327"/>
      <c r="AE137" s="590"/>
      <c r="AF137" s="590"/>
      <c r="AG137" s="327"/>
      <c r="AH137" s="608"/>
      <c r="AI137" s="608"/>
      <c r="AJ137" s="327"/>
      <c r="AK137" s="572"/>
      <c r="AL137" s="327"/>
      <c r="AM137" s="327"/>
      <c r="AN137" s="327"/>
      <c r="AO137" s="327"/>
    </row>
    <row r="138" spans="1:41" ht="15" outlineLevel="1">
      <c r="A138" s="103">
        <v>28</v>
      </c>
      <c r="B138" s="322" t="s">
        <v>261</v>
      </c>
      <c r="C138" s="620">
        <v>13428</v>
      </c>
      <c r="D138" s="620">
        <v>8049</v>
      </c>
      <c r="E138" s="590">
        <f>C138-D138</f>
        <v>5379</v>
      </c>
      <c r="F138" s="608">
        <f>D138*M138</f>
        <v>634.90512</v>
      </c>
      <c r="G138" s="608">
        <f>E138*L138</f>
        <v>781.78386</v>
      </c>
      <c r="H138" s="487">
        <v>6</v>
      </c>
      <c r="I138" s="572">
        <f>(F138+G138)/C138</f>
        <v>0.10550260500446827</v>
      </c>
      <c r="J138" s="627">
        <f>I138-$B$133</f>
        <v>0.07938260500446827</v>
      </c>
      <c r="K138" s="322"/>
      <c r="L138" s="487">
        <v>0.14534</v>
      </c>
      <c r="M138" s="622">
        <v>0.07888</v>
      </c>
      <c r="O138" s="327"/>
      <c r="P138" s="327"/>
      <c r="Q138" s="590"/>
      <c r="R138" s="590"/>
      <c r="S138" s="590"/>
      <c r="T138" s="608"/>
      <c r="U138" s="608"/>
      <c r="V138" s="327"/>
      <c r="W138" s="572"/>
      <c r="X138" s="572"/>
      <c r="Y138" s="327"/>
      <c r="Z138" s="327"/>
      <c r="AA138" s="327"/>
      <c r="AB138" s="327"/>
      <c r="AC138" s="327"/>
      <c r="AD138" s="327"/>
      <c r="AE138" s="590"/>
      <c r="AF138" s="590"/>
      <c r="AG138" s="590"/>
      <c r="AH138" s="608"/>
      <c r="AI138" s="608"/>
      <c r="AJ138" s="327"/>
      <c r="AK138" s="572"/>
      <c r="AL138" s="572"/>
      <c r="AM138" s="327"/>
      <c r="AN138" s="327"/>
      <c r="AO138" s="327"/>
    </row>
    <row r="139" spans="1:41" ht="15" outlineLevel="1">
      <c r="A139" s="103">
        <v>30</v>
      </c>
      <c r="B139" s="322" t="s">
        <v>100</v>
      </c>
      <c r="C139" s="620">
        <v>151505</v>
      </c>
      <c r="D139" s="620">
        <v>92131</v>
      </c>
      <c r="E139" s="590">
        <f>C139-D139</f>
        <v>59374</v>
      </c>
      <c r="F139" s="608">
        <f>D139*M139</f>
        <v>7267.293280000001</v>
      </c>
      <c r="G139" s="608">
        <f>E139*L139</f>
        <v>8629.417159999999</v>
      </c>
      <c r="H139" s="487">
        <v>65</v>
      </c>
      <c r="I139" s="572">
        <f>(F139+G139)/C139</f>
        <v>0.10492531890036631</v>
      </c>
      <c r="J139" s="627">
        <f>I139-$B$133</f>
        <v>0.07880531890036631</v>
      </c>
      <c r="K139" s="322"/>
      <c r="L139" s="487">
        <v>0.14534</v>
      </c>
      <c r="M139" s="622">
        <v>0.07888</v>
      </c>
      <c r="O139" s="327"/>
      <c r="P139" s="327"/>
      <c r="Q139" s="590"/>
      <c r="R139" s="590"/>
      <c r="S139" s="590"/>
      <c r="T139" s="608"/>
      <c r="U139" s="608"/>
      <c r="V139" s="327"/>
      <c r="W139" s="572"/>
      <c r="X139" s="572"/>
      <c r="Y139" s="327"/>
      <c r="Z139" s="327"/>
      <c r="AA139" s="327"/>
      <c r="AB139" s="327"/>
      <c r="AC139" s="327"/>
      <c r="AD139" s="327"/>
      <c r="AE139" s="590"/>
      <c r="AF139" s="590"/>
      <c r="AG139" s="590"/>
      <c r="AH139" s="608"/>
      <c r="AI139" s="608"/>
      <c r="AJ139" s="327"/>
      <c r="AK139" s="572"/>
      <c r="AL139" s="572"/>
      <c r="AM139" s="327"/>
      <c r="AN139" s="327"/>
      <c r="AO139" s="327"/>
    </row>
    <row r="140" spans="1:41" ht="15" outlineLevel="1">
      <c r="A140" s="103">
        <v>32</v>
      </c>
      <c r="B140" s="322" t="s">
        <v>99</v>
      </c>
      <c r="C140" s="620">
        <v>178648</v>
      </c>
      <c r="D140" s="620">
        <v>114698</v>
      </c>
      <c r="E140" s="590">
        <f>C140-D140</f>
        <v>63950</v>
      </c>
      <c r="F140" s="608">
        <f>D140*M140</f>
        <v>9047.37824</v>
      </c>
      <c r="G140" s="608">
        <f>E140*L140</f>
        <v>9294.493</v>
      </c>
      <c r="H140" s="487">
        <v>77</v>
      </c>
      <c r="I140" s="572">
        <f>(F140+G140)/C140</f>
        <v>0.10267045385338767</v>
      </c>
      <c r="J140" s="627">
        <f>I140-$B$133</f>
        <v>0.07655045385338767</v>
      </c>
      <c r="K140" s="322"/>
      <c r="L140" s="487">
        <v>0.14534</v>
      </c>
      <c r="M140" s="622">
        <v>0.07888</v>
      </c>
      <c r="O140" s="327"/>
      <c r="P140" s="327"/>
      <c r="Q140" s="590"/>
      <c r="R140" s="590"/>
      <c r="S140" s="590"/>
      <c r="T140" s="608"/>
      <c r="U140" s="608"/>
      <c r="V140" s="327"/>
      <c r="W140" s="572"/>
      <c r="X140" s="572"/>
      <c r="Y140" s="327"/>
      <c r="Z140" s="327"/>
      <c r="AA140" s="327"/>
      <c r="AB140" s="327"/>
      <c r="AC140" s="327"/>
      <c r="AD140" s="327"/>
      <c r="AE140" s="590"/>
      <c r="AF140" s="590"/>
      <c r="AG140" s="590"/>
      <c r="AH140" s="608"/>
      <c r="AI140" s="608"/>
      <c r="AJ140" s="327"/>
      <c r="AK140" s="572"/>
      <c r="AL140" s="572"/>
      <c r="AM140" s="327"/>
      <c r="AN140" s="327"/>
      <c r="AO140" s="327"/>
    </row>
    <row r="141" spans="1:41" ht="15" outlineLevel="1">
      <c r="A141" s="103">
        <v>34</v>
      </c>
      <c r="B141" s="322" t="s">
        <v>98</v>
      </c>
      <c r="C141" s="620">
        <v>2403</v>
      </c>
      <c r="D141" s="620">
        <v>1444</v>
      </c>
      <c r="E141" s="590">
        <f>C141-D141</f>
        <v>959</v>
      </c>
      <c r="F141" s="608">
        <f>D141*M141</f>
        <v>113.90272</v>
      </c>
      <c r="G141" s="608">
        <f>E141*L141</f>
        <v>139.38106</v>
      </c>
      <c r="H141" s="487">
        <v>2</v>
      </c>
      <c r="I141" s="572">
        <f>(F141+G141)/C141</f>
        <v>0.1054031543903454</v>
      </c>
      <c r="J141" s="627">
        <f>I141-$B$133</f>
        <v>0.07928315439034539</v>
      </c>
      <c r="K141" s="322"/>
      <c r="L141" s="487">
        <v>0.14534</v>
      </c>
      <c r="M141" s="622">
        <v>0.07888</v>
      </c>
      <c r="O141" s="327"/>
      <c r="P141" s="327"/>
      <c r="Q141" s="590"/>
      <c r="R141" s="590"/>
      <c r="S141" s="590"/>
      <c r="T141" s="608"/>
      <c r="U141" s="608"/>
      <c r="V141" s="327"/>
      <c r="W141" s="572"/>
      <c r="X141" s="572"/>
      <c r="Y141" s="327"/>
      <c r="Z141" s="327"/>
      <c r="AA141" s="327"/>
      <c r="AB141" s="327"/>
      <c r="AC141" s="327"/>
      <c r="AD141" s="327"/>
      <c r="AE141" s="590"/>
      <c r="AF141" s="590"/>
      <c r="AG141" s="590"/>
      <c r="AH141" s="608"/>
      <c r="AI141" s="608"/>
      <c r="AJ141" s="327"/>
      <c r="AK141" s="572"/>
      <c r="AL141" s="572"/>
      <c r="AM141" s="327"/>
      <c r="AN141" s="327"/>
      <c r="AO141" s="327"/>
    </row>
    <row r="142" spans="1:41" ht="15.75" outlineLevel="1" thickBot="1">
      <c r="A142" s="103">
        <v>36</v>
      </c>
      <c r="B142" s="322" t="s">
        <v>262</v>
      </c>
      <c r="C142" s="620">
        <v>8039</v>
      </c>
      <c r="D142" s="620">
        <v>4931</v>
      </c>
      <c r="E142" s="590">
        <f>C142-D142</f>
        <v>3108</v>
      </c>
      <c r="F142" s="608">
        <f>D142*M142</f>
        <v>388.95728</v>
      </c>
      <c r="G142" s="608">
        <f>E142*L142</f>
        <v>451.71672</v>
      </c>
      <c r="H142" s="487">
        <v>2</v>
      </c>
      <c r="I142" s="572">
        <f>(F142+G142)/C142</f>
        <v>0.10457444955840278</v>
      </c>
      <c r="J142" s="627">
        <f>I142-$B$133</f>
        <v>0.07845444955840278</v>
      </c>
      <c r="K142" s="322"/>
      <c r="L142" s="625">
        <v>0.14534</v>
      </c>
      <c r="M142" s="621">
        <v>0.07888</v>
      </c>
      <c r="O142" s="327"/>
      <c r="P142" s="327"/>
      <c r="Q142" s="590"/>
      <c r="R142" s="590"/>
      <c r="S142" s="590"/>
      <c r="T142" s="608"/>
      <c r="U142" s="608"/>
      <c r="V142" s="327"/>
      <c r="W142" s="572"/>
      <c r="X142" s="572"/>
      <c r="Y142" s="327"/>
      <c r="Z142" s="572"/>
      <c r="AA142" s="327"/>
      <c r="AB142" s="327"/>
      <c r="AC142" s="327"/>
      <c r="AD142" s="327"/>
      <c r="AE142" s="590"/>
      <c r="AF142" s="590"/>
      <c r="AG142" s="590"/>
      <c r="AH142" s="608"/>
      <c r="AI142" s="608"/>
      <c r="AJ142" s="327"/>
      <c r="AK142" s="572"/>
      <c r="AL142" s="572"/>
      <c r="AM142" s="327"/>
      <c r="AN142" s="572"/>
      <c r="AO142" s="327"/>
    </row>
    <row r="143" spans="1:41" s="340" customFormat="1" ht="15" outlineLevel="1">
      <c r="A143" s="322"/>
      <c r="B143" s="322"/>
      <c r="C143" s="590"/>
      <c r="D143" s="590"/>
      <c r="E143" s="590"/>
      <c r="F143" s="608"/>
      <c r="G143" s="608"/>
      <c r="H143" s="327"/>
      <c r="I143" s="572"/>
      <c r="J143" s="556"/>
      <c r="K143" s="322"/>
      <c r="L143" s="572"/>
      <c r="M143" s="607"/>
      <c r="O143" s="327"/>
      <c r="P143" s="327"/>
      <c r="Q143" s="590"/>
      <c r="R143" s="590"/>
      <c r="S143" s="590"/>
      <c r="T143" s="608"/>
      <c r="U143" s="608"/>
      <c r="V143" s="327"/>
      <c r="W143" s="572"/>
      <c r="X143" s="572"/>
      <c r="Y143" s="327"/>
      <c r="Z143" s="327"/>
      <c r="AA143" s="327"/>
      <c r="AB143" s="327"/>
      <c r="AC143" s="327"/>
      <c r="AD143" s="327"/>
      <c r="AE143" s="590"/>
      <c r="AF143" s="590"/>
      <c r="AG143" s="590"/>
      <c r="AH143" s="608"/>
      <c r="AI143" s="608"/>
      <c r="AJ143" s="327"/>
      <c r="AK143" s="572"/>
      <c r="AL143" s="572"/>
      <c r="AM143" s="327"/>
      <c r="AN143" s="572"/>
      <c r="AO143" s="327"/>
    </row>
    <row r="144" spans="1:41" s="340" customFormat="1" ht="30" outlineLevel="1">
      <c r="A144" s="322"/>
      <c r="B144" s="322"/>
      <c r="C144" s="629" t="s">
        <v>123</v>
      </c>
      <c r="D144" s="629" t="s">
        <v>131</v>
      </c>
      <c r="E144" s="629"/>
      <c r="F144" s="630"/>
      <c r="G144" s="630" t="s">
        <v>127</v>
      </c>
      <c r="H144" s="632"/>
      <c r="I144" s="631"/>
      <c r="J144" s="556"/>
      <c r="K144" s="322"/>
      <c r="L144" s="572"/>
      <c r="M144" s="607"/>
      <c r="O144" s="327"/>
      <c r="P144" s="327"/>
      <c r="Q144" s="590"/>
      <c r="R144" s="590"/>
      <c r="S144" s="590"/>
      <c r="T144" s="608"/>
      <c r="U144" s="608"/>
      <c r="V144" s="327"/>
      <c r="W144" s="572"/>
      <c r="X144" s="572"/>
      <c r="Y144" s="327"/>
      <c r="Z144" s="327"/>
      <c r="AA144" s="327"/>
      <c r="AB144" s="327"/>
      <c r="AC144" s="327"/>
      <c r="AD144" s="327"/>
      <c r="AE144" s="590"/>
      <c r="AF144" s="590"/>
      <c r="AG144" s="590"/>
      <c r="AH144" s="608"/>
      <c r="AI144" s="608"/>
      <c r="AJ144" s="327"/>
      <c r="AK144" s="572"/>
      <c r="AL144" s="572"/>
      <c r="AM144" s="327"/>
      <c r="AN144" s="572"/>
      <c r="AO144" s="327"/>
    </row>
    <row r="145" spans="1:41" s="340" customFormat="1" ht="15" outlineLevel="1">
      <c r="A145" s="327">
        <v>11</v>
      </c>
      <c r="B145" s="322" t="s">
        <v>276</v>
      </c>
      <c r="C145" s="628">
        <v>7727.06</v>
      </c>
      <c r="D145" s="628">
        <v>65367</v>
      </c>
      <c r="E145" s="629"/>
      <c r="F145" s="660"/>
      <c r="G145" s="633">
        <v>46</v>
      </c>
      <c r="H145" s="632"/>
      <c r="I145" s="631"/>
      <c r="J145" s="556"/>
      <c r="K145" s="322"/>
      <c r="L145" s="572"/>
      <c r="M145" s="607"/>
      <c r="O145" s="327"/>
      <c r="P145" s="327"/>
      <c r="Q145" s="590"/>
      <c r="R145" s="660"/>
      <c r="S145" s="590"/>
      <c r="T145" s="608"/>
      <c r="U145" s="608"/>
      <c r="V145" s="327"/>
      <c r="W145" s="572"/>
      <c r="X145" s="572"/>
      <c r="Y145" s="327"/>
      <c r="Z145" s="327"/>
      <c r="AA145" s="327"/>
      <c r="AB145" s="327"/>
      <c r="AC145" s="327"/>
      <c r="AD145" s="327"/>
      <c r="AE145" s="590"/>
      <c r="AF145" s="660"/>
      <c r="AG145" s="590"/>
      <c r="AH145" s="608"/>
      <c r="AI145" s="608"/>
      <c r="AJ145" s="327"/>
      <c r="AK145" s="572"/>
      <c r="AL145" s="572"/>
      <c r="AM145" s="327"/>
      <c r="AN145" s="572"/>
      <c r="AO145" s="327"/>
    </row>
    <row r="146" spans="1:41" s="340" customFormat="1" ht="15" outlineLevel="1">
      <c r="A146" s="327">
        <v>14</v>
      </c>
      <c r="B146" s="322" t="s">
        <v>275</v>
      </c>
      <c r="C146" s="628">
        <v>1585.1</v>
      </c>
      <c r="D146" s="628">
        <v>13820</v>
      </c>
      <c r="E146" s="629"/>
      <c r="F146" s="660"/>
      <c r="G146" s="633">
        <v>13</v>
      </c>
      <c r="H146" s="632"/>
      <c r="I146" s="631"/>
      <c r="J146" s="556"/>
      <c r="K146" s="322"/>
      <c r="L146" s="572"/>
      <c r="M146" s="607"/>
      <c r="O146" s="327"/>
      <c r="P146" s="327"/>
      <c r="Q146" s="590"/>
      <c r="R146" s="660"/>
      <c r="S146" s="590"/>
      <c r="T146" s="608"/>
      <c r="U146" s="608"/>
      <c r="V146" s="327"/>
      <c r="W146" s="572"/>
      <c r="X146" s="572"/>
      <c r="Y146" s="327"/>
      <c r="Z146" s="327"/>
      <c r="AA146" s="327"/>
      <c r="AB146" s="327"/>
      <c r="AC146" s="327"/>
      <c r="AD146" s="327"/>
      <c r="AE146" s="590"/>
      <c r="AF146" s="660"/>
      <c r="AG146" s="590"/>
      <c r="AH146" s="608"/>
      <c r="AI146" s="608"/>
      <c r="AJ146" s="327"/>
      <c r="AK146" s="572"/>
      <c r="AL146" s="572"/>
      <c r="AM146" s="327"/>
      <c r="AN146" s="572"/>
      <c r="AO146" s="327"/>
    </row>
    <row r="147" spans="1:41" s="340" customFormat="1" ht="15" outlineLevel="1">
      <c r="A147" s="322"/>
      <c r="B147" s="322"/>
      <c r="C147" s="629"/>
      <c r="D147" s="629"/>
      <c r="E147" s="629"/>
      <c r="F147" s="630"/>
      <c r="G147" s="630"/>
      <c r="H147" s="632"/>
      <c r="I147" s="631"/>
      <c r="J147" s="556"/>
      <c r="K147" s="322"/>
      <c r="L147" s="572"/>
      <c r="M147" s="607"/>
      <c r="O147" s="327"/>
      <c r="P147" s="327"/>
      <c r="Q147" s="590"/>
      <c r="R147" s="630"/>
      <c r="S147" s="590"/>
      <c r="T147" s="608"/>
      <c r="U147" s="608"/>
      <c r="V147" s="327"/>
      <c r="W147" s="572"/>
      <c r="X147" s="572"/>
      <c r="Y147" s="327"/>
      <c r="Z147" s="327"/>
      <c r="AA147" s="327"/>
      <c r="AB147" s="327"/>
      <c r="AC147" s="327"/>
      <c r="AD147" s="327"/>
      <c r="AE147" s="590"/>
      <c r="AF147" s="630"/>
      <c r="AG147" s="590"/>
      <c r="AH147" s="608"/>
      <c r="AI147" s="608"/>
      <c r="AJ147" s="327"/>
      <c r="AK147" s="572"/>
      <c r="AL147" s="572"/>
      <c r="AM147" s="327"/>
      <c r="AN147" s="572"/>
      <c r="AO147" s="327"/>
    </row>
    <row r="148" spans="1:41" s="340" customFormat="1" ht="15" outlineLevel="1">
      <c r="A148" s="322">
        <v>11</v>
      </c>
      <c r="B148" s="322" t="s">
        <v>276</v>
      </c>
      <c r="C148" s="620">
        <v>19487.96</v>
      </c>
      <c r="D148" s="620">
        <v>169177</v>
      </c>
      <c r="E148" s="590"/>
      <c r="F148" s="660"/>
      <c r="G148" s="634">
        <v>81</v>
      </c>
      <c r="H148" s="327"/>
      <c r="I148" s="572"/>
      <c r="J148" s="556"/>
      <c r="K148" s="322"/>
      <c r="L148" s="572"/>
      <c r="M148" s="607"/>
      <c r="O148" s="327"/>
      <c r="P148" s="327"/>
      <c r="Q148" s="590"/>
      <c r="R148" s="660"/>
      <c r="S148" s="590"/>
      <c r="T148" s="608"/>
      <c r="U148" s="608"/>
      <c r="V148" s="327"/>
      <c r="W148" s="572"/>
      <c r="X148" s="572"/>
      <c r="Y148" s="327"/>
      <c r="Z148" s="327"/>
      <c r="AA148" s="327"/>
      <c r="AB148" s="327"/>
      <c r="AC148" s="327"/>
      <c r="AD148" s="327"/>
      <c r="AE148" s="590"/>
      <c r="AF148" s="660"/>
      <c r="AG148" s="590"/>
      <c r="AH148" s="608"/>
      <c r="AI148" s="608"/>
      <c r="AJ148" s="327"/>
      <c r="AK148" s="572"/>
      <c r="AL148" s="572"/>
      <c r="AM148" s="327"/>
      <c r="AN148" s="572"/>
      <c r="AO148" s="327"/>
    </row>
    <row r="149" spans="1:41" s="340" customFormat="1" ht="15" outlineLevel="1">
      <c r="A149" s="322">
        <v>12</v>
      </c>
      <c r="B149" s="327" t="s">
        <v>104</v>
      </c>
      <c r="C149" s="620">
        <v>2663.56</v>
      </c>
      <c r="D149" s="620">
        <v>23313</v>
      </c>
      <c r="E149" s="590"/>
      <c r="F149" s="660"/>
      <c r="G149" s="634">
        <v>11</v>
      </c>
      <c r="H149" s="327"/>
      <c r="I149" s="572"/>
      <c r="J149" s="556"/>
      <c r="K149" s="322"/>
      <c r="L149" s="572"/>
      <c r="M149" s="607"/>
      <c r="O149" s="327"/>
      <c r="P149" s="327"/>
      <c r="Q149" s="590"/>
      <c r="R149" s="660"/>
      <c r="S149" s="590"/>
      <c r="T149" s="608"/>
      <c r="U149" s="608"/>
      <c r="V149" s="327"/>
      <c r="W149" s="572"/>
      <c r="X149" s="572"/>
      <c r="Y149" s="327"/>
      <c r="Z149" s="327"/>
      <c r="AA149" s="327"/>
      <c r="AB149" s="327"/>
      <c r="AC149" s="327"/>
      <c r="AD149" s="327"/>
      <c r="AE149" s="590"/>
      <c r="AF149" s="660"/>
      <c r="AG149" s="590"/>
      <c r="AH149" s="608"/>
      <c r="AI149" s="608"/>
      <c r="AJ149" s="327"/>
      <c r="AK149" s="572"/>
      <c r="AL149" s="572"/>
      <c r="AM149" s="327"/>
      <c r="AN149" s="572"/>
      <c r="AO149" s="327"/>
    </row>
    <row r="150" spans="1:41" s="340" customFormat="1" ht="15" outlineLevel="1">
      <c r="A150" s="327">
        <v>13</v>
      </c>
      <c r="B150" s="327" t="s">
        <v>103</v>
      </c>
      <c r="C150" s="620">
        <v>232.48</v>
      </c>
      <c r="D150" s="620">
        <v>2059</v>
      </c>
      <c r="E150" s="590"/>
      <c r="F150" s="660"/>
      <c r="G150" s="634">
        <v>1</v>
      </c>
      <c r="H150" s="327"/>
      <c r="I150" s="572"/>
      <c r="J150" s="556"/>
      <c r="K150" s="322"/>
      <c r="L150" s="572"/>
      <c r="M150" s="607"/>
      <c r="O150" s="327"/>
      <c r="P150" s="327"/>
      <c r="Q150" s="590"/>
      <c r="R150" s="660"/>
      <c r="S150" s="590"/>
      <c r="T150" s="608"/>
      <c r="U150" s="608"/>
      <c r="V150" s="327"/>
      <c r="W150" s="572"/>
      <c r="X150" s="572"/>
      <c r="Y150" s="327"/>
      <c r="Z150" s="327"/>
      <c r="AA150" s="327"/>
      <c r="AB150" s="327"/>
      <c r="AC150" s="327"/>
      <c r="AD150" s="327"/>
      <c r="AE150" s="590"/>
      <c r="AF150" s="660"/>
      <c r="AG150" s="590"/>
      <c r="AH150" s="608"/>
      <c r="AI150" s="608"/>
      <c r="AJ150" s="327"/>
      <c r="AK150" s="572"/>
      <c r="AL150" s="572"/>
      <c r="AM150" s="327"/>
      <c r="AN150" s="572"/>
      <c r="AO150" s="327"/>
    </row>
    <row r="151" spans="1:41" s="340" customFormat="1" ht="15.75" outlineLevel="1" thickBot="1">
      <c r="A151" s="537">
        <v>14</v>
      </c>
      <c r="B151" s="613" t="s">
        <v>275</v>
      </c>
      <c r="C151" s="619">
        <v>928.5</v>
      </c>
      <c r="D151" s="619">
        <v>8352</v>
      </c>
      <c r="E151" s="611"/>
      <c r="F151" s="688"/>
      <c r="G151" s="635">
        <v>3</v>
      </c>
      <c r="H151" s="613"/>
      <c r="I151" s="604"/>
      <c r="J151" s="559"/>
      <c r="K151" s="537"/>
      <c r="L151" s="604"/>
      <c r="M151" s="617"/>
      <c r="O151" s="327"/>
      <c r="P151" s="327"/>
      <c r="Q151" s="590"/>
      <c r="R151" s="660"/>
      <c r="S151" s="590"/>
      <c r="T151" s="608"/>
      <c r="U151" s="608"/>
      <c r="V151" s="327"/>
      <c r="W151" s="572"/>
      <c r="X151" s="572"/>
      <c r="Y151" s="327"/>
      <c r="Z151" s="327"/>
      <c r="AA151" s="327"/>
      <c r="AB151" s="327"/>
      <c r="AC151" s="327"/>
      <c r="AD151" s="327"/>
      <c r="AE151" s="590"/>
      <c r="AF151" s="660"/>
      <c r="AG151" s="590"/>
      <c r="AH151" s="608"/>
      <c r="AI151" s="608"/>
      <c r="AJ151" s="327"/>
      <c r="AK151" s="572"/>
      <c r="AL151" s="572"/>
      <c r="AM151" s="327"/>
      <c r="AN151" s="572"/>
      <c r="AO151" s="327"/>
    </row>
    <row r="152" ht="15.75" outlineLevel="1" thickBot="1">
      <c r="S152"/>
    </row>
    <row r="153" spans="1:19" ht="15" outlineLevel="1">
      <c r="A153" s="618" t="s">
        <v>60</v>
      </c>
      <c r="B153" s="605"/>
      <c r="C153" s="605"/>
      <c r="D153" s="605"/>
      <c r="E153" s="605"/>
      <c r="F153" s="605"/>
      <c r="G153" s="605"/>
      <c r="H153" s="605"/>
      <c r="I153" s="605"/>
      <c r="J153" s="118"/>
      <c r="K153" s="118"/>
      <c r="L153" s="118"/>
      <c r="M153" s="91"/>
      <c r="S153"/>
    </row>
    <row r="154" spans="1:19" ht="45" outlineLevel="1">
      <c r="A154" s="552" t="s">
        <v>250</v>
      </c>
      <c r="B154" s="322" t="s">
        <v>251</v>
      </c>
      <c r="C154" s="603" t="s">
        <v>252</v>
      </c>
      <c r="D154" s="603" t="s">
        <v>253</v>
      </c>
      <c r="E154" s="603" t="s">
        <v>254</v>
      </c>
      <c r="F154" s="603" t="s">
        <v>256</v>
      </c>
      <c r="G154" s="603" t="s">
        <v>255</v>
      </c>
      <c r="H154" s="603" t="s">
        <v>257</v>
      </c>
      <c r="I154" s="603" t="s">
        <v>258</v>
      </c>
      <c r="J154" s="602" t="s">
        <v>267</v>
      </c>
      <c r="K154" s="602"/>
      <c r="L154" s="603" t="s">
        <v>263</v>
      </c>
      <c r="M154" s="616" t="s">
        <v>264</v>
      </c>
      <c r="S154"/>
    </row>
    <row r="155" spans="1:19" ht="15.75" outlineLevel="1" thickBot="1">
      <c r="A155" s="291">
        <v>36</v>
      </c>
      <c r="B155" s="537" t="s">
        <v>260</v>
      </c>
      <c r="C155" s="619">
        <v>467</v>
      </c>
      <c r="D155" s="619">
        <v>274</v>
      </c>
      <c r="E155" s="611">
        <f>C155-D155</f>
        <v>193</v>
      </c>
      <c r="F155" s="612">
        <f>D155*M155</f>
        <v>21.613120000000002</v>
      </c>
      <c r="G155" s="612">
        <f>E155*L155</f>
        <v>28.05062</v>
      </c>
      <c r="H155" s="686">
        <v>2</v>
      </c>
      <c r="I155" s="604">
        <f>(F155+G155)/C155</f>
        <v>0.10634633832976446</v>
      </c>
      <c r="J155" s="559">
        <f>I155-$B$133</f>
        <v>0.08022633832976446</v>
      </c>
      <c r="K155" s="537"/>
      <c r="L155" s="625">
        <v>0.14534</v>
      </c>
      <c r="M155" s="658">
        <v>0.07888</v>
      </c>
      <c r="S155"/>
    </row>
    <row r="156" spans="1:19" ht="15" outlineLevel="1">
      <c r="A156" s="117"/>
      <c r="B156" s="322"/>
      <c r="C156" s="590"/>
      <c r="D156" s="590"/>
      <c r="E156" s="327"/>
      <c r="F156" s="608"/>
      <c r="G156" s="608"/>
      <c r="H156" s="327"/>
      <c r="I156" s="572"/>
      <c r="J156" s="322"/>
      <c r="K156" s="322"/>
      <c r="L156" s="327"/>
      <c r="M156" s="607"/>
      <c r="S156"/>
    </row>
    <row r="157" spans="1:19" ht="15" outlineLevel="1">
      <c r="A157" s="103">
        <v>28</v>
      </c>
      <c r="B157" s="322" t="s">
        <v>261</v>
      </c>
      <c r="C157" s="620">
        <v>16142</v>
      </c>
      <c r="D157" s="620">
        <v>10127</v>
      </c>
      <c r="E157" s="590">
        <f>C157-D157</f>
        <v>6015</v>
      </c>
      <c r="F157" s="608">
        <f>D157*M157</f>
        <v>798.81776</v>
      </c>
      <c r="G157" s="608">
        <f>E157*L157</f>
        <v>874.2201</v>
      </c>
      <c r="H157" s="487">
        <v>6</v>
      </c>
      <c r="I157" s="572">
        <f>(F157+G157)/C157</f>
        <v>0.10364501672655185</v>
      </c>
      <c r="J157" s="556">
        <f>I157-$B$133</f>
        <v>0.07752501672655185</v>
      </c>
      <c r="K157" s="322"/>
      <c r="L157" s="487">
        <v>0.14534</v>
      </c>
      <c r="M157" s="622">
        <v>0.07888</v>
      </c>
      <c r="S157"/>
    </row>
    <row r="158" spans="1:19" ht="15" outlineLevel="1">
      <c r="A158" s="103">
        <v>30</v>
      </c>
      <c r="B158" s="322" t="s">
        <v>100</v>
      </c>
      <c r="C158" s="620">
        <v>190244</v>
      </c>
      <c r="D158" s="620">
        <v>119575</v>
      </c>
      <c r="E158" s="590">
        <f>C158-D158</f>
        <v>70669</v>
      </c>
      <c r="F158" s="608">
        <f>D158*M158</f>
        <v>9432.076000000001</v>
      </c>
      <c r="G158" s="608">
        <f>E158*L158</f>
        <v>10271.03246</v>
      </c>
      <c r="H158" s="487">
        <v>65</v>
      </c>
      <c r="I158" s="572">
        <f>(F158+G158)/C158</f>
        <v>0.10356756828073423</v>
      </c>
      <c r="J158" s="556">
        <f>I158-$B$133</f>
        <v>0.07744756828073422</v>
      </c>
      <c r="K158" s="322"/>
      <c r="L158" s="487">
        <v>0.14534</v>
      </c>
      <c r="M158" s="622">
        <v>0.07888</v>
      </c>
      <c r="S158"/>
    </row>
    <row r="159" spans="1:19" ht="15" outlineLevel="1">
      <c r="A159" s="103">
        <v>32</v>
      </c>
      <c r="B159" s="322" t="s">
        <v>99</v>
      </c>
      <c r="C159" s="620">
        <v>206653</v>
      </c>
      <c r="D159" s="620">
        <v>136490</v>
      </c>
      <c r="E159" s="590">
        <f>C159-D159</f>
        <v>70163</v>
      </c>
      <c r="F159" s="608">
        <f>D159*M159</f>
        <v>10766.3312</v>
      </c>
      <c r="G159" s="608">
        <f>E159*L159</f>
        <v>10197.49042</v>
      </c>
      <c r="H159" s="487">
        <v>77</v>
      </c>
      <c r="I159" s="572">
        <f>(F159+G159)/C159</f>
        <v>0.10144455497863569</v>
      </c>
      <c r="J159" s="556">
        <f>I159-$B$133</f>
        <v>0.07532455497863569</v>
      </c>
      <c r="K159" s="322"/>
      <c r="L159" s="487">
        <v>0.14534</v>
      </c>
      <c r="M159" s="622">
        <v>0.07888</v>
      </c>
      <c r="S159"/>
    </row>
    <row r="160" spans="1:19" ht="15" outlineLevel="1">
      <c r="A160" s="103">
        <v>34</v>
      </c>
      <c r="B160" s="322" t="s">
        <v>98</v>
      </c>
      <c r="C160" s="620">
        <v>2505</v>
      </c>
      <c r="D160" s="620">
        <v>1740</v>
      </c>
      <c r="E160" s="590">
        <f>C160-D160</f>
        <v>765</v>
      </c>
      <c r="F160" s="608">
        <f>D160*M160</f>
        <v>137.2512</v>
      </c>
      <c r="G160" s="608">
        <f>E160*L160</f>
        <v>111.18509999999999</v>
      </c>
      <c r="H160" s="487">
        <v>2</v>
      </c>
      <c r="I160" s="572">
        <f>(F160+G160)/C160</f>
        <v>0.09917616766467066</v>
      </c>
      <c r="J160" s="556">
        <f>I160-$B$133</f>
        <v>0.07305616766467066</v>
      </c>
      <c r="K160" s="322"/>
      <c r="L160" s="487">
        <v>0.14534</v>
      </c>
      <c r="M160" s="622">
        <v>0.07888</v>
      </c>
      <c r="S160"/>
    </row>
    <row r="161" spans="1:19" ht="16.5" customHeight="1" outlineLevel="1" thickBot="1">
      <c r="A161" s="103">
        <v>36</v>
      </c>
      <c r="B161" s="322" t="s">
        <v>262</v>
      </c>
      <c r="C161" s="620">
        <v>11356</v>
      </c>
      <c r="D161" s="620">
        <v>7124</v>
      </c>
      <c r="E161" s="590">
        <f>C161-D161</f>
        <v>4232</v>
      </c>
      <c r="F161" s="608">
        <f>D161*M161</f>
        <v>561.9411200000001</v>
      </c>
      <c r="G161" s="608">
        <f>E161*L161</f>
        <v>615.07888</v>
      </c>
      <c r="H161" s="487">
        <v>2</v>
      </c>
      <c r="I161" s="572">
        <f>(F161+G161)/C161</f>
        <v>0.10364741106023248</v>
      </c>
      <c r="J161" s="556">
        <f>I161-$B$133</f>
        <v>0.07752741106023248</v>
      </c>
      <c r="K161" s="322"/>
      <c r="L161" s="625">
        <v>0.14534</v>
      </c>
      <c r="M161" s="621">
        <v>0.07888</v>
      </c>
      <c r="S161"/>
    </row>
    <row r="162" spans="1:13" s="340" customFormat="1" ht="16.5" customHeight="1" outlineLevel="1">
      <c r="A162" s="322"/>
      <c r="B162" s="322"/>
      <c r="C162" s="590"/>
      <c r="D162" s="590"/>
      <c r="E162" s="590"/>
      <c r="F162" s="608"/>
      <c r="G162" s="608"/>
      <c r="H162" s="327"/>
      <c r="I162" s="572"/>
      <c r="J162" s="556"/>
      <c r="K162" s="322"/>
      <c r="L162" s="572"/>
      <c r="M162" s="607"/>
    </row>
    <row r="163" spans="1:13" s="340" customFormat="1" ht="30" outlineLevel="1">
      <c r="A163" s="322"/>
      <c r="B163" s="322"/>
      <c r="C163" s="629" t="s">
        <v>123</v>
      </c>
      <c r="D163" s="629" t="s">
        <v>131</v>
      </c>
      <c r="E163" s="629"/>
      <c r="F163" s="630"/>
      <c r="G163" s="630" t="s">
        <v>127</v>
      </c>
      <c r="H163" s="632"/>
      <c r="I163" s="631"/>
      <c r="J163" s="556"/>
      <c r="K163" s="322"/>
      <c r="L163" s="572"/>
      <c r="M163" s="607"/>
    </row>
    <row r="164" spans="1:13" s="340" customFormat="1" ht="16.5" customHeight="1" outlineLevel="1">
      <c r="A164" s="327">
        <v>11</v>
      </c>
      <c r="B164" s="322" t="s">
        <v>276</v>
      </c>
      <c r="C164" s="628">
        <v>8263.32</v>
      </c>
      <c r="D164" s="628">
        <v>73294</v>
      </c>
      <c r="E164" s="629"/>
      <c r="F164" s="630"/>
      <c r="G164" s="633">
        <v>46</v>
      </c>
      <c r="H164" s="632"/>
      <c r="I164" s="631"/>
      <c r="J164" s="556"/>
      <c r="K164" s="322"/>
      <c r="L164" s="572"/>
      <c r="M164" s="607"/>
    </row>
    <row r="165" spans="1:13" s="340" customFormat="1" ht="16.5" customHeight="1" outlineLevel="1">
      <c r="A165" s="327">
        <v>14</v>
      </c>
      <c r="B165" s="322" t="s">
        <v>275</v>
      </c>
      <c r="C165" s="628">
        <v>1845.78</v>
      </c>
      <c r="D165" s="628">
        <v>16837</v>
      </c>
      <c r="E165" s="629"/>
      <c r="F165" s="630"/>
      <c r="G165" s="633">
        <v>13</v>
      </c>
      <c r="H165" s="632"/>
      <c r="I165" s="631"/>
      <c r="J165" s="556"/>
      <c r="K165" s="322"/>
      <c r="L165" s="572"/>
      <c r="M165" s="607"/>
    </row>
    <row r="166" spans="1:13" s="340" customFormat="1" ht="16.5" customHeight="1" outlineLevel="1">
      <c r="A166" s="322"/>
      <c r="B166" s="322"/>
      <c r="C166" s="629"/>
      <c r="D166" s="629"/>
      <c r="E166" s="629"/>
      <c r="F166" s="630"/>
      <c r="G166" s="630"/>
      <c r="H166" s="632"/>
      <c r="I166" s="631"/>
      <c r="J166" s="556"/>
      <c r="K166" s="322"/>
      <c r="L166" s="572"/>
      <c r="M166" s="607"/>
    </row>
    <row r="167" spans="1:13" s="340" customFormat="1" ht="16.5" customHeight="1" outlineLevel="1">
      <c r="A167" s="322">
        <v>11</v>
      </c>
      <c r="B167" s="322" t="s">
        <v>276</v>
      </c>
      <c r="C167" s="620">
        <v>23632.29</v>
      </c>
      <c r="D167" s="620">
        <v>215579</v>
      </c>
      <c r="E167" s="590"/>
      <c r="F167" s="608"/>
      <c r="G167" s="634">
        <v>80</v>
      </c>
      <c r="H167" s="327"/>
      <c r="I167" s="572"/>
      <c r="J167" s="556"/>
      <c r="K167" s="322"/>
      <c r="L167" s="572"/>
      <c r="M167" s="607"/>
    </row>
    <row r="168" spans="1:13" s="340" customFormat="1" ht="16.5" customHeight="1" outlineLevel="1">
      <c r="A168" s="322">
        <v>12</v>
      </c>
      <c r="B168" s="327" t="s">
        <v>104</v>
      </c>
      <c r="C168" s="620">
        <v>2820.5</v>
      </c>
      <c r="D168" s="620">
        <v>25781</v>
      </c>
      <c r="E168" s="590"/>
      <c r="F168" s="608"/>
      <c r="G168" s="634">
        <v>11</v>
      </c>
      <c r="H168" s="327"/>
      <c r="I168" s="572"/>
      <c r="J168" s="556"/>
      <c r="K168" s="322"/>
      <c r="L168" s="572"/>
      <c r="M168" s="607"/>
    </row>
    <row r="169" spans="1:13" s="340" customFormat="1" ht="16.5" customHeight="1" outlineLevel="1">
      <c r="A169" s="327">
        <v>13</v>
      </c>
      <c r="B169" s="327" t="s">
        <v>103</v>
      </c>
      <c r="C169" s="620">
        <v>201.79</v>
      </c>
      <c r="D169" s="620">
        <v>1855</v>
      </c>
      <c r="E169" s="590"/>
      <c r="F169" s="608"/>
      <c r="G169" s="634">
        <v>1</v>
      </c>
      <c r="H169" s="327"/>
      <c r="I169" s="572"/>
      <c r="J169" s="556"/>
      <c r="K169" s="322"/>
      <c r="L169" s="572"/>
      <c r="M169" s="607"/>
    </row>
    <row r="170" spans="1:13" s="340" customFormat="1" ht="16.5" customHeight="1" outlineLevel="1" thickBot="1">
      <c r="A170" s="537">
        <v>14</v>
      </c>
      <c r="B170" s="613" t="s">
        <v>275</v>
      </c>
      <c r="C170" s="619">
        <v>1313.27</v>
      </c>
      <c r="D170" s="619">
        <v>12372</v>
      </c>
      <c r="E170" s="611"/>
      <c r="F170" s="612"/>
      <c r="G170" s="635">
        <v>3</v>
      </c>
      <c r="H170" s="613"/>
      <c r="I170" s="604"/>
      <c r="J170" s="559"/>
      <c r="K170" s="537"/>
      <c r="L170" s="604"/>
      <c r="M170" s="617"/>
    </row>
    <row r="171" ht="15.75" outlineLevel="1" thickBot="1">
      <c r="S171"/>
    </row>
    <row r="172" spans="1:19" ht="15" outlineLevel="1">
      <c r="A172" s="618" t="s">
        <v>61</v>
      </c>
      <c r="B172" s="605"/>
      <c r="C172" s="605"/>
      <c r="D172" s="605"/>
      <c r="E172" s="605"/>
      <c r="F172" s="605"/>
      <c r="G172" s="605"/>
      <c r="H172" s="605"/>
      <c r="I172" s="605"/>
      <c r="J172" s="118"/>
      <c r="K172" s="118"/>
      <c r="L172" s="118"/>
      <c r="M172" s="91"/>
      <c r="S172"/>
    </row>
    <row r="173" spans="1:19" ht="45" outlineLevel="1">
      <c r="A173" s="552" t="s">
        <v>250</v>
      </c>
      <c r="B173" s="322" t="s">
        <v>251</v>
      </c>
      <c r="C173" s="603" t="s">
        <v>252</v>
      </c>
      <c r="D173" s="603" t="s">
        <v>253</v>
      </c>
      <c r="E173" s="603" t="s">
        <v>254</v>
      </c>
      <c r="F173" s="603" t="s">
        <v>256</v>
      </c>
      <c r="G173" s="603" t="s">
        <v>255</v>
      </c>
      <c r="H173" s="603" t="s">
        <v>257</v>
      </c>
      <c r="I173" s="603" t="s">
        <v>258</v>
      </c>
      <c r="J173" s="602" t="s">
        <v>267</v>
      </c>
      <c r="K173" s="602"/>
      <c r="L173" s="603" t="s">
        <v>263</v>
      </c>
      <c r="M173" s="616" t="s">
        <v>264</v>
      </c>
      <c r="S173"/>
    </row>
    <row r="174" spans="1:19" ht="15.75" outlineLevel="1" thickBot="1">
      <c r="A174" s="291">
        <v>36</v>
      </c>
      <c r="B174" s="537" t="s">
        <v>260</v>
      </c>
      <c r="C174" s="619">
        <v>419</v>
      </c>
      <c r="D174" s="619">
        <v>252</v>
      </c>
      <c r="E174" s="611">
        <f>C174-D174</f>
        <v>167</v>
      </c>
      <c r="F174" s="612">
        <f>D174*M174</f>
        <v>19.877760000000002</v>
      </c>
      <c r="G174" s="612">
        <f>E174*L174</f>
        <v>24.27178</v>
      </c>
      <c r="H174" s="686">
        <v>2</v>
      </c>
      <c r="I174" s="604">
        <f>(F174+G174)/C174</f>
        <v>0.10536883054892601</v>
      </c>
      <c r="J174" s="559">
        <f>I174-$B$133</f>
        <v>0.07924883054892601</v>
      </c>
      <c r="K174" s="537"/>
      <c r="L174" s="625">
        <v>0.14534</v>
      </c>
      <c r="M174" s="658">
        <v>0.07888</v>
      </c>
      <c r="S174"/>
    </row>
    <row r="175" spans="1:19" ht="15" outlineLevel="1">
      <c r="A175" s="117"/>
      <c r="B175" s="322"/>
      <c r="C175" s="590"/>
      <c r="D175" s="590"/>
      <c r="E175" s="327"/>
      <c r="F175" s="608"/>
      <c r="G175" s="608"/>
      <c r="H175" s="327"/>
      <c r="I175" s="572"/>
      <c r="J175" s="322"/>
      <c r="K175" s="322"/>
      <c r="L175" s="327"/>
      <c r="M175" s="607"/>
      <c r="S175"/>
    </row>
    <row r="176" spans="1:19" ht="15" outlineLevel="1">
      <c r="A176" s="103">
        <v>28</v>
      </c>
      <c r="B176" s="322" t="s">
        <v>261</v>
      </c>
      <c r="C176" s="620">
        <v>10970</v>
      </c>
      <c r="D176" s="620">
        <v>7105</v>
      </c>
      <c r="E176" s="590">
        <f>C176-D176</f>
        <v>3865</v>
      </c>
      <c r="F176" s="608">
        <f>D176*M176</f>
        <v>560.4424</v>
      </c>
      <c r="G176" s="608">
        <f>E176*L176</f>
        <v>561.7391</v>
      </c>
      <c r="H176" s="487">
        <v>6</v>
      </c>
      <c r="I176" s="572">
        <f>(F176+G176)/C176</f>
        <v>0.10229548769371014</v>
      </c>
      <c r="J176" s="556">
        <f>I176-$B$133</f>
        <v>0.07617548769371013</v>
      </c>
      <c r="K176" s="322"/>
      <c r="L176" s="487">
        <v>0.14534</v>
      </c>
      <c r="M176" s="622">
        <v>0.07888</v>
      </c>
      <c r="S176"/>
    </row>
    <row r="177" spans="1:19" ht="15" outlineLevel="1">
      <c r="A177" s="103">
        <v>30</v>
      </c>
      <c r="B177" s="322" t="s">
        <v>100</v>
      </c>
      <c r="C177" s="620">
        <v>138578</v>
      </c>
      <c r="D177" s="620">
        <v>92670</v>
      </c>
      <c r="E177" s="590">
        <f>C177-D177</f>
        <v>45908</v>
      </c>
      <c r="F177" s="608">
        <f>D177*M177</f>
        <v>7309.8096000000005</v>
      </c>
      <c r="G177" s="608">
        <f>E177*L177</f>
        <v>6672.26872</v>
      </c>
      <c r="H177" s="487">
        <v>65</v>
      </c>
      <c r="I177" s="572">
        <f>(F177+G177)/C177</f>
        <v>0.10089681132647318</v>
      </c>
      <c r="J177" s="556">
        <f>I177-$B$133</f>
        <v>0.07477681132647318</v>
      </c>
      <c r="K177" s="322"/>
      <c r="L177" s="487">
        <v>0.14534</v>
      </c>
      <c r="M177" s="622">
        <v>0.07888</v>
      </c>
      <c r="S177"/>
    </row>
    <row r="178" spans="1:19" ht="15" outlineLevel="1">
      <c r="A178" s="103">
        <v>32</v>
      </c>
      <c r="B178" s="322" t="s">
        <v>99</v>
      </c>
      <c r="C178" s="620">
        <v>139896</v>
      </c>
      <c r="D178" s="620">
        <v>95735</v>
      </c>
      <c r="E178" s="590">
        <f>C178-D178</f>
        <v>44161</v>
      </c>
      <c r="F178" s="608">
        <f>D178*M178</f>
        <v>7551.576800000001</v>
      </c>
      <c r="G178" s="608">
        <f>E178*L178</f>
        <v>6418.35974</v>
      </c>
      <c r="H178" s="487">
        <v>76</v>
      </c>
      <c r="I178" s="572">
        <f>(F178+G178)/C178</f>
        <v>0.09985944229999429</v>
      </c>
      <c r="J178" s="556">
        <f>I178-$B$133</f>
        <v>0.07373944229999428</v>
      </c>
      <c r="K178" s="322"/>
      <c r="L178" s="487">
        <v>0.14534</v>
      </c>
      <c r="M178" s="622">
        <v>0.07888</v>
      </c>
      <c r="S178"/>
    </row>
    <row r="179" spans="1:13" ht="15" outlineLevel="1">
      <c r="A179" s="103">
        <v>34</v>
      </c>
      <c r="B179" s="322" t="s">
        <v>98</v>
      </c>
      <c r="C179" s="620">
        <v>1330</v>
      </c>
      <c r="D179" s="620">
        <v>905</v>
      </c>
      <c r="E179" s="590">
        <f>C179-D179</f>
        <v>425</v>
      </c>
      <c r="F179" s="608">
        <f>D179*M179</f>
        <v>71.38640000000001</v>
      </c>
      <c r="G179" s="608">
        <f>E179*L179</f>
        <v>61.7695</v>
      </c>
      <c r="H179" s="487">
        <v>2</v>
      </c>
      <c r="I179" s="572">
        <f>(F179+G179)/C179</f>
        <v>0.10011721804511278</v>
      </c>
      <c r="J179" s="556">
        <f>I179-$B$133</f>
        <v>0.07399721804511278</v>
      </c>
      <c r="K179" s="322"/>
      <c r="L179" s="487">
        <v>0.14534</v>
      </c>
      <c r="M179" s="622">
        <v>0.07888</v>
      </c>
    </row>
    <row r="180" spans="1:13" ht="15.75" outlineLevel="1" thickBot="1">
      <c r="A180" s="291">
        <v>36</v>
      </c>
      <c r="B180" s="537" t="s">
        <v>262</v>
      </c>
      <c r="C180" s="619">
        <v>7593</v>
      </c>
      <c r="D180" s="619">
        <v>4951</v>
      </c>
      <c r="E180" s="611">
        <f>C180-D180</f>
        <v>2642</v>
      </c>
      <c r="F180" s="612">
        <f>D180*M180</f>
        <v>390.53488000000004</v>
      </c>
      <c r="G180" s="612">
        <f>E180*L180</f>
        <v>383.98828</v>
      </c>
      <c r="H180" s="686">
        <v>2</v>
      </c>
      <c r="I180" s="604">
        <f>(F180+G180)/C180</f>
        <v>0.10200489398129856</v>
      </c>
      <c r="J180" s="559">
        <f>I180-$B$133</f>
        <v>0.07588489398129855</v>
      </c>
      <c r="K180" s="537"/>
      <c r="L180" s="625">
        <v>0.14534</v>
      </c>
      <c r="M180" s="621">
        <v>0.07888</v>
      </c>
    </row>
    <row r="181" spans="1:13" s="340" customFormat="1" ht="15" outlineLevel="1">
      <c r="A181" s="322"/>
      <c r="B181" s="322"/>
      <c r="C181" s="590"/>
      <c r="D181" s="590"/>
      <c r="E181" s="590"/>
      <c r="F181" s="608"/>
      <c r="G181" s="608"/>
      <c r="H181" s="327"/>
      <c r="I181" s="572"/>
      <c r="J181" s="556"/>
      <c r="K181" s="322"/>
      <c r="L181" s="627"/>
      <c r="M181" s="622"/>
    </row>
    <row r="182" spans="1:13" s="340" customFormat="1" ht="30" outlineLevel="1">
      <c r="A182" s="322"/>
      <c r="B182" s="322"/>
      <c r="C182" s="629" t="s">
        <v>123</v>
      </c>
      <c r="D182" s="629" t="s">
        <v>131</v>
      </c>
      <c r="E182" s="629"/>
      <c r="F182" s="630"/>
      <c r="G182" s="630" t="s">
        <v>127</v>
      </c>
      <c r="H182" s="632"/>
      <c r="I182" s="631"/>
      <c r="J182" s="556"/>
      <c r="K182" s="322"/>
      <c r="L182" s="627"/>
      <c r="M182" s="622"/>
    </row>
    <row r="183" spans="1:13" s="340" customFormat="1" ht="15" outlineLevel="1">
      <c r="A183" s="327">
        <v>11</v>
      </c>
      <c r="B183" s="322" t="s">
        <v>276</v>
      </c>
      <c r="C183" s="628">
        <v>6234.78</v>
      </c>
      <c r="D183" s="628">
        <v>54003</v>
      </c>
      <c r="E183" s="629"/>
      <c r="F183" s="630"/>
      <c r="G183" s="633">
        <v>46</v>
      </c>
      <c r="H183" s="632"/>
      <c r="I183" s="631"/>
      <c r="J183" s="556"/>
      <c r="K183" s="322"/>
      <c r="L183" s="627"/>
      <c r="M183" s="622"/>
    </row>
    <row r="184" spans="1:13" s="340" customFormat="1" ht="15" outlineLevel="1">
      <c r="A184" s="327">
        <v>14</v>
      </c>
      <c r="B184" s="322" t="s">
        <v>275</v>
      </c>
      <c r="C184" s="628">
        <v>1485.04</v>
      </c>
      <c r="D184" s="628">
        <v>13365</v>
      </c>
      <c r="E184" s="629"/>
      <c r="F184" s="630"/>
      <c r="G184" s="633">
        <v>13</v>
      </c>
      <c r="H184" s="632"/>
      <c r="I184" s="631"/>
      <c r="J184" s="556"/>
      <c r="K184" s="322"/>
      <c r="L184" s="627"/>
      <c r="M184" s="622"/>
    </row>
    <row r="185" spans="1:13" s="340" customFormat="1" ht="15" outlineLevel="1">
      <c r="A185" s="322"/>
      <c r="B185" s="322"/>
      <c r="C185" s="629"/>
      <c r="D185" s="629"/>
      <c r="E185" s="629"/>
      <c r="F185" s="630"/>
      <c r="G185" s="630"/>
      <c r="H185" s="632"/>
      <c r="I185" s="631"/>
      <c r="J185" s="556"/>
      <c r="K185" s="322"/>
      <c r="L185" s="627"/>
      <c r="M185" s="622"/>
    </row>
    <row r="186" spans="1:13" s="340" customFormat="1" ht="15" outlineLevel="1">
      <c r="A186" s="322">
        <v>11</v>
      </c>
      <c r="B186" s="322" t="s">
        <v>276</v>
      </c>
      <c r="C186" s="620">
        <v>16808.45</v>
      </c>
      <c r="D186" s="620">
        <v>150936</v>
      </c>
      <c r="E186" s="590"/>
      <c r="F186" s="608"/>
      <c r="G186" s="634">
        <v>82</v>
      </c>
      <c r="H186" s="327"/>
      <c r="I186" s="572"/>
      <c r="J186" s="556"/>
      <c r="K186" s="322"/>
      <c r="L186" s="627"/>
      <c r="M186" s="622"/>
    </row>
    <row r="187" spans="1:13" s="340" customFormat="1" ht="15" outlineLevel="1">
      <c r="A187" s="322">
        <v>12</v>
      </c>
      <c r="B187" s="327" t="s">
        <v>104</v>
      </c>
      <c r="C187" s="620">
        <v>2134.89</v>
      </c>
      <c r="D187" s="620">
        <v>19305</v>
      </c>
      <c r="E187" s="590"/>
      <c r="F187" s="608"/>
      <c r="G187" s="634">
        <v>11</v>
      </c>
      <c r="H187" s="327"/>
      <c r="I187" s="572"/>
      <c r="J187" s="556"/>
      <c r="K187" s="322"/>
      <c r="L187" s="627"/>
      <c r="M187" s="622"/>
    </row>
    <row r="188" spans="1:13" s="340" customFormat="1" ht="15" outlineLevel="1">
      <c r="A188" s="327">
        <v>13</v>
      </c>
      <c r="B188" s="327" t="s">
        <v>103</v>
      </c>
      <c r="C188" s="620">
        <v>160.12</v>
      </c>
      <c r="D188" s="620">
        <v>1462</v>
      </c>
      <c r="E188" s="590"/>
      <c r="F188" s="608"/>
      <c r="G188" s="634">
        <v>1</v>
      </c>
      <c r="H188" s="327"/>
      <c r="I188" s="572"/>
      <c r="J188" s="556"/>
      <c r="K188" s="322"/>
      <c r="L188" s="627"/>
      <c r="M188" s="622"/>
    </row>
    <row r="189" spans="1:13" s="340" customFormat="1" ht="15.75" outlineLevel="1" thickBot="1">
      <c r="A189" s="537">
        <v>14</v>
      </c>
      <c r="B189" s="613" t="s">
        <v>275</v>
      </c>
      <c r="C189" s="619">
        <v>926</v>
      </c>
      <c r="D189" s="619">
        <v>8653</v>
      </c>
      <c r="E189" s="611"/>
      <c r="F189" s="612"/>
      <c r="G189" s="635">
        <v>3</v>
      </c>
      <c r="H189" s="613"/>
      <c r="I189" s="604"/>
      <c r="J189" s="559"/>
      <c r="K189" s="537"/>
      <c r="L189" s="625"/>
      <c r="M189" s="621"/>
    </row>
    <row r="190" spans="1:13" ht="15.75" outlineLevel="1" thickBot="1">
      <c r="A190" s="340"/>
      <c r="B190" s="340"/>
      <c r="C190" s="155"/>
      <c r="D190" s="155"/>
      <c r="E190" s="155"/>
      <c r="F190" s="155"/>
      <c r="G190" s="155"/>
      <c r="H190" s="155"/>
      <c r="I190" s="155"/>
      <c r="J190" s="340"/>
      <c r="K190" s="340"/>
      <c r="L190" s="340"/>
      <c r="M190" s="340"/>
    </row>
    <row r="191" spans="1:13" ht="15" outlineLevel="1">
      <c r="A191" s="618" t="s">
        <v>63</v>
      </c>
      <c r="B191" s="605"/>
      <c r="C191" s="605"/>
      <c r="D191" s="605"/>
      <c r="E191" s="605"/>
      <c r="F191" s="605"/>
      <c r="G191" s="605"/>
      <c r="H191" s="605"/>
      <c r="I191" s="605"/>
      <c r="J191" s="118"/>
      <c r="K191" s="118"/>
      <c r="L191" s="118"/>
      <c r="M191" s="91"/>
    </row>
    <row r="192" spans="1:13" ht="45" outlineLevel="1">
      <c r="A192" s="552" t="s">
        <v>250</v>
      </c>
      <c r="B192" s="322" t="s">
        <v>251</v>
      </c>
      <c r="C192" s="603" t="s">
        <v>252</v>
      </c>
      <c r="D192" s="603" t="s">
        <v>253</v>
      </c>
      <c r="E192" s="603" t="s">
        <v>254</v>
      </c>
      <c r="F192" s="603" t="s">
        <v>256</v>
      </c>
      <c r="G192" s="603" t="s">
        <v>255</v>
      </c>
      <c r="H192" s="603" t="s">
        <v>257</v>
      </c>
      <c r="I192" s="603" t="s">
        <v>258</v>
      </c>
      <c r="J192" s="602" t="s">
        <v>267</v>
      </c>
      <c r="K192" s="602"/>
      <c r="L192" s="603" t="s">
        <v>263</v>
      </c>
      <c r="M192" s="616" t="s">
        <v>264</v>
      </c>
    </row>
    <row r="193" spans="1:13" ht="15.75" outlineLevel="1" thickBot="1">
      <c r="A193" s="291">
        <v>36</v>
      </c>
      <c r="B193" s="537" t="s">
        <v>260</v>
      </c>
      <c r="C193" s="619">
        <v>420</v>
      </c>
      <c r="D193" s="619">
        <v>259</v>
      </c>
      <c r="E193" s="611">
        <f>C193-D193</f>
        <v>161</v>
      </c>
      <c r="F193" s="612">
        <f>D193*M193</f>
        <v>20.429920000000003</v>
      </c>
      <c r="G193" s="612">
        <f>E193*L193</f>
        <v>23.399739999999998</v>
      </c>
      <c r="H193" s="686">
        <v>2</v>
      </c>
      <c r="I193" s="604">
        <f>(F193+G193)/C193</f>
        <v>0.10435633333333334</v>
      </c>
      <c r="J193" s="559">
        <f>I193-$B$133</f>
        <v>0.07823633333333334</v>
      </c>
      <c r="K193" s="537"/>
      <c r="L193" s="625">
        <v>0.14534</v>
      </c>
      <c r="M193" s="658">
        <v>0.07888</v>
      </c>
    </row>
    <row r="194" spans="1:13" ht="15" outlineLevel="1">
      <c r="A194" s="117"/>
      <c r="B194" s="322"/>
      <c r="C194" s="590"/>
      <c r="D194" s="590"/>
      <c r="E194" s="327"/>
      <c r="F194" s="608"/>
      <c r="G194" s="608"/>
      <c r="H194" s="327"/>
      <c r="I194" s="572"/>
      <c r="J194" s="322"/>
      <c r="K194" s="322"/>
      <c r="L194" s="327"/>
      <c r="M194" s="607"/>
    </row>
    <row r="195" spans="1:13" ht="15" outlineLevel="1">
      <c r="A195" s="103">
        <v>28</v>
      </c>
      <c r="B195" s="322" t="s">
        <v>261</v>
      </c>
      <c r="C195" s="620">
        <v>8983</v>
      </c>
      <c r="D195" s="620">
        <v>5856</v>
      </c>
      <c r="E195" s="590">
        <f>C195-D195</f>
        <v>3127</v>
      </c>
      <c r="F195" s="608">
        <f>D195*M195</f>
        <v>461.92128</v>
      </c>
      <c r="G195" s="608">
        <f>E195*L195</f>
        <v>454.47818</v>
      </c>
      <c r="H195" s="487">
        <v>6</v>
      </c>
      <c r="I195" s="572">
        <f>(F195+G195)/C195</f>
        <v>0.10201485695202049</v>
      </c>
      <c r="J195" s="556">
        <f>I195-$B$133</f>
        <v>0.07589485695202049</v>
      </c>
      <c r="K195" s="322"/>
      <c r="L195" s="487">
        <v>0.14534</v>
      </c>
      <c r="M195" s="622">
        <v>0.07888</v>
      </c>
    </row>
    <row r="196" spans="1:13" ht="15" outlineLevel="1">
      <c r="A196" s="103">
        <v>30</v>
      </c>
      <c r="B196" s="322" t="s">
        <v>100</v>
      </c>
      <c r="C196" s="620">
        <v>97262</v>
      </c>
      <c r="D196" s="620">
        <v>65026</v>
      </c>
      <c r="E196" s="590">
        <f>C196-D196</f>
        <v>32236</v>
      </c>
      <c r="F196" s="608">
        <f>D196*M196</f>
        <v>5129.2508800000005</v>
      </c>
      <c r="G196" s="608">
        <f>E196*L196</f>
        <v>4685.18024</v>
      </c>
      <c r="H196" s="487">
        <v>65</v>
      </c>
      <c r="I196" s="572">
        <f>(F196+G196)/C196</f>
        <v>0.10090714893792027</v>
      </c>
      <c r="J196" s="556">
        <f>I196-$B$133</f>
        <v>0.07478714893792027</v>
      </c>
      <c r="K196" s="322"/>
      <c r="L196" s="487">
        <v>0.14534</v>
      </c>
      <c r="M196" s="622">
        <v>0.07888</v>
      </c>
    </row>
    <row r="197" spans="1:13" ht="15" outlineLevel="1">
      <c r="A197" s="103">
        <v>32</v>
      </c>
      <c r="B197" s="322" t="s">
        <v>99</v>
      </c>
      <c r="C197" s="620">
        <v>108712</v>
      </c>
      <c r="D197" s="620">
        <v>73945</v>
      </c>
      <c r="E197" s="590">
        <f>C197-D197</f>
        <v>34767</v>
      </c>
      <c r="F197" s="608">
        <f>D197*M197</f>
        <v>5832.7816</v>
      </c>
      <c r="G197" s="608">
        <f>E197*L197</f>
        <v>5053.03578</v>
      </c>
      <c r="H197" s="487">
        <v>76</v>
      </c>
      <c r="I197" s="572">
        <f>(F197+G197)/C197</f>
        <v>0.10013445967326515</v>
      </c>
      <c r="J197" s="556">
        <f>I197-$B$133</f>
        <v>0.07401445967326514</v>
      </c>
      <c r="K197" s="322"/>
      <c r="L197" s="487">
        <v>0.14534</v>
      </c>
      <c r="M197" s="622">
        <v>0.07888</v>
      </c>
    </row>
    <row r="198" spans="1:13" ht="15" outlineLevel="1">
      <c r="A198" s="103">
        <v>34</v>
      </c>
      <c r="B198" s="322" t="s">
        <v>98</v>
      </c>
      <c r="C198" s="620">
        <v>885</v>
      </c>
      <c r="D198" s="620">
        <v>523</v>
      </c>
      <c r="E198" s="590">
        <f>C198-D198</f>
        <v>362</v>
      </c>
      <c r="F198" s="608">
        <f>D198*M198</f>
        <v>41.25424</v>
      </c>
      <c r="G198" s="608">
        <f>E198*L198</f>
        <v>52.61308</v>
      </c>
      <c r="H198" s="487">
        <v>2</v>
      </c>
      <c r="I198" s="572">
        <f>(F198+G198)/C198</f>
        <v>0.10606476836158193</v>
      </c>
      <c r="J198" s="556">
        <f>I198-$B$133</f>
        <v>0.07994476836158193</v>
      </c>
      <c r="K198" s="322"/>
      <c r="L198" s="487">
        <v>0.14534</v>
      </c>
      <c r="M198" s="622">
        <v>0.07888</v>
      </c>
    </row>
    <row r="199" spans="1:13" ht="15.75" outlineLevel="1" thickBot="1">
      <c r="A199" s="291">
        <v>36</v>
      </c>
      <c r="B199" s="537" t="s">
        <v>262</v>
      </c>
      <c r="C199" s="619">
        <v>6241</v>
      </c>
      <c r="D199" s="619">
        <v>4383</v>
      </c>
      <c r="E199" s="611">
        <f>C199-D199</f>
        <v>1858</v>
      </c>
      <c r="F199" s="612">
        <f>D199*M199</f>
        <v>345.73104</v>
      </c>
      <c r="G199" s="612">
        <f>E199*L199</f>
        <v>270.04172</v>
      </c>
      <c r="H199" s="686">
        <v>2</v>
      </c>
      <c r="I199" s="604">
        <f>(F199+G199)/C199</f>
        <v>0.0986657202371415</v>
      </c>
      <c r="J199" s="559">
        <f>I199-$B$133</f>
        <v>0.0725457202371415</v>
      </c>
      <c r="K199" s="537"/>
      <c r="L199" s="625">
        <v>0.14534</v>
      </c>
      <c r="M199" s="621">
        <v>0.07888</v>
      </c>
    </row>
    <row r="200" spans="1:13" s="340" customFormat="1" ht="15" outlineLevel="1">
      <c r="A200" s="322"/>
      <c r="B200" s="322"/>
      <c r="C200" s="590"/>
      <c r="D200" s="590"/>
      <c r="E200" s="590"/>
      <c r="F200" s="608"/>
      <c r="G200" s="608"/>
      <c r="H200" s="327"/>
      <c r="I200" s="572"/>
      <c r="J200" s="556"/>
      <c r="K200" s="322"/>
      <c r="L200" s="627"/>
      <c r="M200" s="622"/>
    </row>
    <row r="201" spans="1:13" s="340" customFormat="1" ht="30" outlineLevel="1">
      <c r="A201" s="322"/>
      <c r="B201" s="322"/>
      <c r="C201" s="629" t="s">
        <v>123</v>
      </c>
      <c r="D201" s="629" t="s">
        <v>131</v>
      </c>
      <c r="E201" s="629"/>
      <c r="F201" s="630"/>
      <c r="G201" s="630" t="s">
        <v>127</v>
      </c>
      <c r="H201" s="632"/>
      <c r="I201" s="631"/>
      <c r="J201" s="556"/>
      <c r="K201" s="322"/>
      <c r="L201" s="627"/>
      <c r="M201" s="622"/>
    </row>
    <row r="202" spans="1:13" s="340" customFormat="1" ht="15" outlineLevel="1">
      <c r="A202" s="327">
        <v>11</v>
      </c>
      <c r="B202" s="322" t="s">
        <v>276</v>
      </c>
      <c r="C202" s="628">
        <v>6643.44</v>
      </c>
      <c r="D202" s="628">
        <v>47445</v>
      </c>
      <c r="E202" s="629"/>
      <c r="F202" s="630"/>
      <c r="G202" s="633">
        <v>46</v>
      </c>
      <c r="H202" s="632"/>
      <c r="I202" s="631"/>
      <c r="J202" s="556"/>
      <c r="K202" s="322"/>
      <c r="L202" s="627"/>
      <c r="M202" s="622"/>
    </row>
    <row r="203" spans="1:13" s="340" customFormat="1" ht="15" outlineLevel="1">
      <c r="A203" s="327">
        <v>14</v>
      </c>
      <c r="B203" s="322" t="s">
        <v>275</v>
      </c>
      <c r="C203" s="628">
        <v>1509.05</v>
      </c>
      <c r="D203" s="628">
        <v>11115</v>
      </c>
      <c r="E203" s="629"/>
      <c r="F203" s="630"/>
      <c r="G203" s="633">
        <v>13</v>
      </c>
      <c r="H203" s="632"/>
      <c r="I203" s="631"/>
      <c r="J203" s="556"/>
      <c r="K203" s="322"/>
      <c r="L203" s="627"/>
      <c r="M203" s="622"/>
    </row>
    <row r="204" spans="1:13" s="340" customFormat="1" ht="15" outlineLevel="1">
      <c r="A204" s="322"/>
      <c r="B204" s="322"/>
      <c r="C204" s="629"/>
      <c r="D204" s="629"/>
      <c r="E204" s="629"/>
      <c r="F204" s="630"/>
      <c r="G204" s="630"/>
      <c r="H204" s="632"/>
      <c r="I204" s="631"/>
      <c r="J204" s="556"/>
      <c r="K204" s="322"/>
      <c r="L204" s="627"/>
      <c r="M204" s="622"/>
    </row>
    <row r="205" spans="1:13" s="340" customFormat="1" ht="15" outlineLevel="1">
      <c r="A205" s="322">
        <v>11</v>
      </c>
      <c r="B205" s="322" t="s">
        <v>276</v>
      </c>
      <c r="C205" s="620">
        <v>17058.55</v>
      </c>
      <c r="D205" s="620">
        <v>125662</v>
      </c>
      <c r="E205" s="590"/>
      <c r="F205" s="608"/>
      <c r="G205" s="634">
        <v>82</v>
      </c>
      <c r="H205" s="327"/>
      <c r="I205" s="572"/>
      <c r="J205" s="556"/>
      <c r="K205" s="322"/>
      <c r="L205" s="627"/>
      <c r="M205" s="622"/>
    </row>
    <row r="206" spans="1:13" s="340" customFormat="1" ht="15" outlineLevel="1">
      <c r="A206" s="322">
        <v>12</v>
      </c>
      <c r="B206" s="327" t="s">
        <v>104</v>
      </c>
      <c r="C206" s="620">
        <v>2265.96</v>
      </c>
      <c r="D206" s="620">
        <v>16816</v>
      </c>
      <c r="E206" s="590"/>
      <c r="F206" s="608"/>
      <c r="G206" s="634">
        <v>11</v>
      </c>
      <c r="H206" s="327"/>
      <c r="I206" s="572"/>
      <c r="J206" s="556"/>
      <c r="K206" s="322"/>
      <c r="L206" s="627"/>
      <c r="M206" s="622"/>
    </row>
    <row r="207" spans="1:13" s="340" customFormat="1" ht="15" outlineLevel="1">
      <c r="A207" s="327">
        <v>13</v>
      </c>
      <c r="B207" s="327" t="s">
        <v>103</v>
      </c>
      <c r="C207" s="620">
        <v>198.06</v>
      </c>
      <c r="D207" s="620">
        <v>1496</v>
      </c>
      <c r="E207" s="590"/>
      <c r="F207" s="608"/>
      <c r="G207" s="634">
        <v>1</v>
      </c>
      <c r="H207" s="327"/>
      <c r="I207" s="572"/>
      <c r="J207" s="556"/>
      <c r="K207" s="322"/>
      <c r="L207" s="627"/>
      <c r="M207" s="622"/>
    </row>
    <row r="208" spans="1:13" s="340" customFormat="1" ht="15.75" outlineLevel="1" thickBot="1">
      <c r="A208" s="537">
        <v>14</v>
      </c>
      <c r="B208" s="613" t="s">
        <v>275</v>
      </c>
      <c r="C208" s="619">
        <v>774.39</v>
      </c>
      <c r="D208" s="619">
        <v>5893</v>
      </c>
      <c r="E208" s="611"/>
      <c r="F208" s="612"/>
      <c r="G208" s="635">
        <v>3</v>
      </c>
      <c r="H208" s="613"/>
      <c r="I208" s="604"/>
      <c r="J208" s="559"/>
      <c r="K208" s="537"/>
      <c r="L208" s="625"/>
      <c r="M208" s="621"/>
    </row>
    <row r="209" spans="1:13" ht="15.75" outlineLevel="1" thickBot="1">
      <c r="A209" s="340"/>
      <c r="B209" s="340"/>
      <c r="C209" s="155"/>
      <c r="D209" s="155"/>
      <c r="E209" s="155"/>
      <c r="F209" s="155"/>
      <c r="G209" s="155"/>
      <c r="H209" s="155"/>
      <c r="I209" s="155"/>
      <c r="J209" s="340"/>
      <c r="K209" s="340"/>
      <c r="L209" s="340"/>
      <c r="M209" s="340"/>
    </row>
    <row r="210" spans="1:13" ht="15" outlineLevel="1">
      <c r="A210" s="618" t="s">
        <v>64</v>
      </c>
      <c r="B210" s="605"/>
      <c r="C210" s="605"/>
      <c r="D210" s="605"/>
      <c r="E210" s="605"/>
      <c r="F210" s="605"/>
      <c r="G210" s="605"/>
      <c r="H210" s="605"/>
      <c r="I210" s="605"/>
      <c r="J210" s="118"/>
      <c r="K210" s="118"/>
      <c r="L210" s="118"/>
      <c r="M210" s="91"/>
    </row>
    <row r="211" spans="1:13" ht="45" outlineLevel="1">
      <c r="A211" s="552" t="s">
        <v>250</v>
      </c>
      <c r="B211" s="322" t="s">
        <v>251</v>
      </c>
      <c r="C211" s="603" t="s">
        <v>252</v>
      </c>
      <c r="D211" s="603" t="s">
        <v>253</v>
      </c>
      <c r="E211" s="603" t="s">
        <v>254</v>
      </c>
      <c r="F211" s="603" t="s">
        <v>256</v>
      </c>
      <c r="G211" s="603" t="s">
        <v>255</v>
      </c>
      <c r="H211" s="603" t="s">
        <v>257</v>
      </c>
      <c r="I211" s="603" t="s">
        <v>258</v>
      </c>
      <c r="J211" s="602" t="s">
        <v>267</v>
      </c>
      <c r="K211" s="602"/>
      <c r="L211" s="603" t="s">
        <v>263</v>
      </c>
      <c r="M211" s="616" t="s">
        <v>264</v>
      </c>
    </row>
    <row r="212" spans="1:13" ht="15.75" outlineLevel="1" thickBot="1">
      <c r="A212" s="291">
        <v>36</v>
      </c>
      <c r="B212" s="537" t="s">
        <v>260</v>
      </c>
      <c r="C212" s="619">
        <v>466</v>
      </c>
      <c r="D212" s="619">
        <v>255</v>
      </c>
      <c r="E212" s="611">
        <f>C212-D212</f>
        <v>211</v>
      </c>
      <c r="F212" s="612">
        <f>D212*M212</f>
        <v>20.1144</v>
      </c>
      <c r="G212" s="612">
        <f>E212*L212</f>
        <v>30.66674</v>
      </c>
      <c r="H212" s="686">
        <v>2</v>
      </c>
      <c r="I212" s="604">
        <f>(F212+G212)/C212</f>
        <v>0.1089724034334764</v>
      </c>
      <c r="J212" s="559">
        <f>I212-$B$133</f>
        <v>0.0828524034334764</v>
      </c>
      <c r="K212" s="537"/>
      <c r="L212" s="625">
        <v>0.14534</v>
      </c>
      <c r="M212" s="658">
        <v>0.07888</v>
      </c>
    </row>
    <row r="213" spans="1:13" ht="15" outlineLevel="1">
      <c r="A213" s="117"/>
      <c r="B213" s="322"/>
      <c r="C213" s="590"/>
      <c r="D213" s="590"/>
      <c r="E213" s="327"/>
      <c r="F213" s="608"/>
      <c r="G213" s="608"/>
      <c r="H213" s="327"/>
      <c r="I213" s="572"/>
      <c r="J213" s="322"/>
      <c r="K213" s="322"/>
      <c r="L213" s="327"/>
      <c r="M213" s="607"/>
    </row>
    <row r="214" spans="1:13" ht="15" outlineLevel="1">
      <c r="A214" s="103">
        <v>28</v>
      </c>
      <c r="B214" s="322" t="s">
        <v>261</v>
      </c>
      <c r="C214" s="620">
        <v>8031</v>
      </c>
      <c r="D214" s="620">
        <v>5157</v>
      </c>
      <c r="E214" s="590">
        <f>C214-D214</f>
        <v>2874</v>
      </c>
      <c r="F214" s="608">
        <f>D214*M214</f>
        <v>406.78416000000004</v>
      </c>
      <c r="G214" s="608">
        <f>E214*L214</f>
        <v>417.70716</v>
      </c>
      <c r="H214" s="487">
        <v>6</v>
      </c>
      <c r="I214" s="572">
        <f>(F214+G214)/C214</f>
        <v>0.10266359357489728</v>
      </c>
      <c r="J214" s="556">
        <f>I214-$B$133</f>
        <v>0.07654359357489728</v>
      </c>
      <c r="K214" s="322"/>
      <c r="L214" s="487">
        <v>0.14534</v>
      </c>
      <c r="M214" s="622">
        <v>0.07888</v>
      </c>
    </row>
    <row r="215" spans="1:13" ht="15" outlineLevel="1">
      <c r="A215" s="103">
        <v>30</v>
      </c>
      <c r="B215" s="322" t="s">
        <v>100</v>
      </c>
      <c r="C215" s="620">
        <v>78667</v>
      </c>
      <c r="D215" s="620">
        <v>49721</v>
      </c>
      <c r="E215" s="590">
        <f>C215-D215</f>
        <v>28946</v>
      </c>
      <c r="F215" s="608">
        <f>D215*M215</f>
        <v>3921.9924800000003</v>
      </c>
      <c r="G215" s="608">
        <f>E215*L215</f>
        <v>4207.01164</v>
      </c>
      <c r="H215" s="487">
        <v>65</v>
      </c>
      <c r="I215" s="572">
        <f>(F215+G215)/C215</f>
        <v>0.1033343602781344</v>
      </c>
      <c r="J215" s="556">
        <f>I215-$B$133</f>
        <v>0.0772143602781344</v>
      </c>
      <c r="K215" s="322"/>
      <c r="L215" s="487">
        <v>0.14534</v>
      </c>
      <c r="M215" s="622">
        <v>0.07888</v>
      </c>
    </row>
    <row r="216" spans="1:13" ht="15" outlineLevel="1">
      <c r="A216" s="103">
        <v>32</v>
      </c>
      <c r="B216" s="322" t="s">
        <v>99</v>
      </c>
      <c r="C216" s="620">
        <v>80004</v>
      </c>
      <c r="D216" s="620">
        <v>48105</v>
      </c>
      <c r="E216" s="590">
        <f>C216-D216</f>
        <v>31899</v>
      </c>
      <c r="F216" s="608">
        <f>D216*M216</f>
        <v>3794.5224000000003</v>
      </c>
      <c r="G216" s="608">
        <f>E216*L216</f>
        <v>4636.2006599999995</v>
      </c>
      <c r="H216" s="487">
        <v>76</v>
      </c>
      <c r="I216" s="572">
        <f>(F216+G216)/C216</f>
        <v>0.10537876931153442</v>
      </c>
      <c r="J216" s="556">
        <f>I216-$B$133</f>
        <v>0.07925876931153442</v>
      </c>
      <c r="K216" s="322"/>
      <c r="L216" s="487">
        <v>0.14534</v>
      </c>
      <c r="M216" s="622">
        <v>0.07888</v>
      </c>
    </row>
    <row r="217" spans="1:13" ht="15" outlineLevel="1">
      <c r="A217" s="103">
        <v>34</v>
      </c>
      <c r="B217" s="322" t="s">
        <v>98</v>
      </c>
      <c r="C217" s="620">
        <v>571</v>
      </c>
      <c r="D217" s="620">
        <v>313</v>
      </c>
      <c r="E217" s="590">
        <f>C217-D217</f>
        <v>258</v>
      </c>
      <c r="F217" s="608">
        <f>D217*M217</f>
        <v>24.68944</v>
      </c>
      <c r="G217" s="608">
        <f>E217*L217</f>
        <v>37.49772</v>
      </c>
      <c r="H217" s="487">
        <v>2</v>
      </c>
      <c r="I217" s="572">
        <f>(F217+G217)/C217</f>
        <v>0.10890921190893171</v>
      </c>
      <c r="J217" s="556">
        <f>I217-$B$133</f>
        <v>0.08278921190893171</v>
      </c>
      <c r="K217" s="322"/>
      <c r="L217" s="487">
        <v>0.14534</v>
      </c>
      <c r="M217" s="622">
        <v>0.07888</v>
      </c>
    </row>
    <row r="218" spans="1:13" ht="15.75" outlineLevel="1" thickBot="1">
      <c r="A218" s="291">
        <v>36</v>
      </c>
      <c r="B218" s="537" t="s">
        <v>262</v>
      </c>
      <c r="C218" s="619">
        <v>4422</v>
      </c>
      <c r="D218" s="619">
        <v>2798</v>
      </c>
      <c r="E218" s="611">
        <f>C218-D218</f>
        <v>1624</v>
      </c>
      <c r="F218" s="612">
        <f>D218*M218</f>
        <v>220.70624</v>
      </c>
      <c r="G218" s="612">
        <f>E218*L218</f>
        <v>236.03216</v>
      </c>
      <c r="H218" s="686">
        <v>2</v>
      </c>
      <c r="I218" s="604">
        <f>(F218+G218)/C218</f>
        <v>0.10328774310266847</v>
      </c>
      <c r="J218" s="559">
        <f>I218-$B$133</f>
        <v>0.07716774310266847</v>
      </c>
      <c r="K218" s="537"/>
      <c r="L218" s="625">
        <v>0.14534</v>
      </c>
      <c r="M218" s="621">
        <v>0.07888</v>
      </c>
    </row>
    <row r="219" spans="1:13" s="340" customFormat="1" ht="15" outlineLevel="1">
      <c r="A219" s="322"/>
      <c r="B219" s="322"/>
      <c r="C219" s="590"/>
      <c r="D219" s="590"/>
      <c r="E219" s="590"/>
      <c r="F219" s="608"/>
      <c r="G219" s="608"/>
      <c r="H219" s="327"/>
      <c r="I219" s="572"/>
      <c r="J219" s="556"/>
      <c r="K219" s="322"/>
      <c r="L219" s="627"/>
      <c r="M219" s="622"/>
    </row>
    <row r="220" spans="1:13" s="340" customFormat="1" ht="30" outlineLevel="1">
      <c r="A220" s="322"/>
      <c r="B220" s="322"/>
      <c r="C220" s="629" t="s">
        <v>123</v>
      </c>
      <c r="D220" s="629" t="s">
        <v>131</v>
      </c>
      <c r="E220" s="629"/>
      <c r="F220" s="630"/>
      <c r="G220" s="630" t="s">
        <v>127</v>
      </c>
      <c r="H220" s="632"/>
      <c r="I220" s="631"/>
      <c r="J220" s="556"/>
      <c r="K220" s="322"/>
      <c r="L220" s="627"/>
      <c r="M220" s="622"/>
    </row>
    <row r="221" spans="1:13" s="340" customFormat="1" ht="15" outlineLevel="1">
      <c r="A221" s="327">
        <v>11</v>
      </c>
      <c r="B221" s="322" t="s">
        <v>276</v>
      </c>
      <c r="C221" s="628">
        <v>5745.96</v>
      </c>
      <c r="D221" s="628">
        <v>39282</v>
      </c>
      <c r="E221" s="629"/>
      <c r="F221" s="630"/>
      <c r="G221" s="633">
        <v>45</v>
      </c>
      <c r="H221" s="632"/>
      <c r="I221" s="631"/>
      <c r="J221" s="556"/>
      <c r="K221" s="322"/>
      <c r="L221" s="627"/>
      <c r="M221" s="622"/>
    </row>
    <row r="222" spans="1:13" s="340" customFormat="1" ht="15" outlineLevel="1">
      <c r="A222" s="327">
        <v>14</v>
      </c>
      <c r="B222" s="322" t="s">
        <v>275</v>
      </c>
      <c r="C222" s="628">
        <v>1362.63</v>
      </c>
      <c r="D222" s="628">
        <v>9634</v>
      </c>
      <c r="E222" s="629"/>
      <c r="F222" s="630"/>
      <c r="G222" s="633">
        <v>13</v>
      </c>
      <c r="H222" s="632"/>
      <c r="I222" s="631"/>
      <c r="J222" s="556"/>
      <c r="K222" s="322"/>
      <c r="L222" s="627"/>
      <c r="M222" s="622"/>
    </row>
    <row r="223" spans="1:13" s="340" customFormat="1" ht="15" outlineLevel="1">
      <c r="A223" s="322"/>
      <c r="B223" s="322"/>
      <c r="C223" s="629"/>
      <c r="D223" s="629"/>
      <c r="E223" s="629"/>
      <c r="F223" s="630"/>
      <c r="G223" s="630"/>
      <c r="H223" s="632"/>
      <c r="I223" s="631"/>
      <c r="J223" s="556"/>
      <c r="K223" s="322"/>
      <c r="L223" s="627"/>
      <c r="M223" s="622"/>
    </row>
    <row r="224" spans="1:13" s="340" customFormat="1" ht="15" outlineLevel="1">
      <c r="A224" s="322">
        <v>11</v>
      </c>
      <c r="B224" s="322" t="s">
        <v>276</v>
      </c>
      <c r="C224" s="620">
        <v>13441.57</v>
      </c>
      <c r="D224" s="620">
        <v>94258</v>
      </c>
      <c r="E224" s="590"/>
      <c r="F224" s="608"/>
      <c r="G224" s="634">
        <v>82</v>
      </c>
      <c r="H224" s="327"/>
      <c r="I224" s="572"/>
      <c r="J224" s="556"/>
      <c r="K224" s="322"/>
      <c r="L224" s="627"/>
      <c r="M224" s="622"/>
    </row>
    <row r="225" spans="1:13" s="340" customFormat="1" ht="15" outlineLevel="1">
      <c r="A225" s="322">
        <v>12</v>
      </c>
      <c r="B225" s="327" t="s">
        <v>104</v>
      </c>
      <c r="C225" s="620">
        <v>1751.06</v>
      </c>
      <c r="D225" s="620">
        <v>12442</v>
      </c>
      <c r="E225" s="590"/>
      <c r="F225" s="608"/>
      <c r="G225" s="634">
        <v>10</v>
      </c>
      <c r="H225" s="327"/>
      <c r="I225" s="572"/>
      <c r="J225" s="556"/>
      <c r="K225" s="322"/>
      <c r="L225" s="627"/>
      <c r="M225" s="622"/>
    </row>
    <row r="226" spans="1:13" s="340" customFormat="1" ht="15" outlineLevel="1">
      <c r="A226" s="327">
        <v>13</v>
      </c>
      <c r="B226" s="327" t="s">
        <v>103</v>
      </c>
      <c r="C226" s="620">
        <v>176.12</v>
      </c>
      <c r="D226" s="620">
        <v>1285</v>
      </c>
      <c r="E226" s="590"/>
      <c r="F226" s="608"/>
      <c r="G226" s="634">
        <v>1</v>
      </c>
      <c r="H226" s="327"/>
      <c r="I226" s="572"/>
      <c r="J226" s="556"/>
      <c r="K226" s="322"/>
      <c r="L226" s="627"/>
      <c r="M226" s="622"/>
    </row>
    <row r="227" spans="1:13" s="340" customFormat="1" ht="15.75" outlineLevel="1" thickBot="1">
      <c r="A227" s="537">
        <v>14</v>
      </c>
      <c r="B227" s="613" t="s">
        <v>275</v>
      </c>
      <c r="C227" s="619">
        <v>655.45</v>
      </c>
      <c r="D227" s="619">
        <v>4831</v>
      </c>
      <c r="E227" s="611"/>
      <c r="F227" s="612"/>
      <c r="G227" s="635">
        <v>3</v>
      </c>
      <c r="H227" s="613"/>
      <c r="I227" s="604"/>
      <c r="J227" s="559"/>
      <c r="K227" s="537"/>
      <c r="L227" s="625"/>
      <c r="M227" s="621"/>
    </row>
    <row r="228" ht="15.75" outlineLevel="1" thickBot="1"/>
    <row r="229" spans="1:13" ht="15" outlineLevel="1">
      <c r="A229" s="618" t="s">
        <v>65</v>
      </c>
      <c r="B229" s="605"/>
      <c r="C229" s="605"/>
      <c r="D229" s="605"/>
      <c r="E229" s="605"/>
      <c r="F229" s="605"/>
      <c r="G229" s="605"/>
      <c r="H229" s="605"/>
      <c r="I229" s="605"/>
      <c r="J229" s="118"/>
      <c r="K229" s="118"/>
      <c r="L229" s="118"/>
      <c r="M229" s="91"/>
    </row>
    <row r="230" spans="1:13" ht="45" outlineLevel="1">
      <c r="A230" s="552" t="s">
        <v>250</v>
      </c>
      <c r="B230" s="322" t="s">
        <v>251</v>
      </c>
      <c r="C230" s="603" t="s">
        <v>252</v>
      </c>
      <c r="D230" s="603" t="s">
        <v>253</v>
      </c>
      <c r="E230" s="603" t="s">
        <v>254</v>
      </c>
      <c r="F230" s="603" t="s">
        <v>256</v>
      </c>
      <c r="G230" s="603" t="s">
        <v>255</v>
      </c>
      <c r="H230" s="603" t="s">
        <v>257</v>
      </c>
      <c r="I230" s="603" t="s">
        <v>258</v>
      </c>
      <c r="J230" s="602" t="s">
        <v>267</v>
      </c>
      <c r="K230" s="602"/>
      <c r="L230" s="603" t="s">
        <v>263</v>
      </c>
      <c r="M230" s="616" t="s">
        <v>264</v>
      </c>
    </row>
    <row r="231" spans="1:13" ht="15.75" outlineLevel="1" thickBot="1">
      <c r="A231" s="291">
        <v>36</v>
      </c>
      <c r="B231" s="537" t="s">
        <v>260</v>
      </c>
      <c r="C231" s="619">
        <v>573</v>
      </c>
      <c r="D231" s="619">
        <v>355</v>
      </c>
      <c r="E231" s="611">
        <f>C231-D231</f>
        <v>218</v>
      </c>
      <c r="F231" s="612">
        <f>D231*M231</f>
        <v>28.0024</v>
      </c>
      <c r="G231" s="612">
        <f>E231*L231</f>
        <v>31.68412</v>
      </c>
      <c r="H231" s="686">
        <v>2</v>
      </c>
      <c r="I231" s="604">
        <f>(F231+G231)/C231</f>
        <v>0.10416495636998255</v>
      </c>
      <c r="J231" s="559">
        <f>I231-$B$133</f>
        <v>0.07804495636998254</v>
      </c>
      <c r="K231" s="537"/>
      <c r="L231" s="625">
        <v>0.14534</v>
      </c>
      <c r="M231" s="658">
        <v>0.07888</v>
      </c>
    </row>
    <row r="232" spans="1:13" ht="15" outlineLevel="1">
      <c r="A232" s="117"/>
      <c r="B232" s="322"/>
      <c r="C232" s="590"/>
      <c r="D232" s="590"/>
      <c r="E232" s="327"/>
      <c r="F232" s="608"/>
      <c r="G232" s="608"/>
      <c r="H232" s="327"/>
      <c r="I232" s="572"/>
      <c r="J232" s="322"/>
      <c r="K232" s="322"/>
      <c r="L232" s="327"/>
      <c r="M232" s="607"/>
    </row>
    <row r="233" spans="1:13" ht="15" outlineLevel="1">
      <c r="A233" s="103">
        <v>28</v>
      </c>
      <c r="B233" s="322" t="s">
        <v>261</v>
      </c>
      <c r="C233" s="620">
        <v>7314</v>
      </c>
      <c r="D233" s="620">
        <v>3616</v>
      </c>
      <c r="E233" s="590">
        <f>C233-D233</f>
        <v>3698</v>
      </c>
      <c r="F233" s="608">
        <f>D233*M233</f>
        <v>285.23008000000004</v>
      </c>
      <c r="G233" s="608">
        <f>E233*L233</f>
        <v>537.46732</v>
      </c>
      <c r="H233" s="487">
        <v>6</v>
      </c>
      <c r="I233" s="572">
        <f>(F233+G233)/C233</f>
        <v>0.11248255400601587</v>
      </c>
      <c r="J233" s="556">
        <f>I233-$B$133</f>
        <v>0.08636255400601586</v>
      </c>
      <c r="K233" s="322"/>
      <c r="L233" s="487">
        <v>0.14534</v>
      </c>
      <c r="M233" s="622">
        <v>0.07888</v>
      </c>
    </row>
    <row r="234" spans="1:13" ht="15" outlineLevel="1">
      <c r="A234" s="103">
        <v>30</v>
      </c>
      <c r="B234" s="322" t="s">
        <v>100</v>
      </c>
      <c r="C234" s="620">
        <v>83377</v>
      </c>
      <c r="D234" s="620">
        <v>47888</v>
      </c>
      <c r="E234" s="590">
        <f>C234-D234</f>
        <v>35489</v>
      </c>
      <c r="F234" s="608">
        <f>D234*M234</f>
        <v>3777.4054400000005</v>
      </c>
      <c r="G234" s="608">
        <f>E234*L234</f>
        <v>5157.97126</v>
      </c>
      <c r="H234" s="487">
        <v>65</v>
      </c>
      <c r="I234" s="572">
        <f>(F234+G234)/C234</f>
        <v>0.10716836417717117</v>
      </c>
      <c r="J234" s="556">
        <f>I234-$B$133</f>
        <v>0.08104836417717116</v>
      </c>
      <c r="K234" s="322"/>
      <c r="L234" s="487">
        <v>0.14534</v>
      </c>
      <c r="M234" s="622">
        <v>0.07888</v>
      </c>
    </row>
    <row r="235" spans="1:13" ht="15" outlineLevel="1">
      <c r="A235" s="103">
        <v>32</v>
      </c>
      <c r="B235" s="322" t="s">
        <v>99</v>
      </c>
      <c r="C235" s="620">
        <v>91400</v>
      </c>
      <c r="D235" s="620">
        <v>50102</v>
      </c>
      <c r="E235" s="590">
        <f>C235-D235</f>
        <v>41298</v>
      </c>
      <c r="F235" s="608">
        <f>D235*M235</f>
        <v>3952.0457600000004</v>
      </c>
      <c r="G235" s="608">
        <f>E235*L235</f>
        <v>6002.25132</v>
      </c>
      <c r="H235" s="487">
        <v>76</v>
      </c>
      <c r="I235" s="572">
        <f>(F235+G235)/C235</f>
        <v>0.10890915842450766</v>
      </c>
      <c r="J235" s="556">
        <f>I235-$B$133</f>
        <v>0.08278915842450765</v>
      </c>
      <c r="K235" s="322"/>
      <c r="L235" s="487">
        <v>0.14534</v>
      </c>
      <c r="M235" s="622">
        <v>0.07888</v>
      </c>
    </row>
    <row r="236" spans="1:13" ht="15" outlineLevel="1">
      <c r="A236" s="103">
        <v>34</v>
      </c>
      <c r="B236" s="322" t="s">
        <v>98</v>
      </c>
      <c r="C236" s="620">
        <v>497</v>
      </c>
      <c r="D236" s="620">
        <v>199</v>
      </c>
      <c r="E236" s="590">
        <f>C236-D236</f>
        <v>298</v>
      </c>
      <c r="F236" s="608">
        <f>D236*M236</f>
        <v>15.697120000000002</v>
      </c>
      <c r="G236" s="608">
        <f>E236*L236</f>
        <v>43.31132</v>
      </c>
      <c r="H236" s="487">
        <v>2</v>
      </c>
      <c r="I236" s="572">
        <f>(F236+G236)/C236</f>
        <v>0.11872925553319921</v>
      </c>
      <c r="J236" s="556">
        <f>I236-$B$133</f>
        <v>0.09260925553319921</v>
      </c>
      <c r="K236" s="322"/>
      <c r="L236" s="487">
        <v>0.14534</v>
      </c>
      <c r="M236" s="622">
        <v>0.07888</v>
      </c>
    </row>
    <row r="237" spans="1:13" ht="15.75" outlineLevel="1" thickBot="1">
      <c r="A237" s="291">
        <v>36</v>
      </c>
      <c r="B237" s="537" t="s">
        <v>262</v>
      </c>
      <c r="C237" s="619">
        <v>5149</v>
      </c>
      <c r="D237" s="619">
        <v>3022</v>
      </c>
      <c r="E237" s="611">
        <f>C237-D237</f>
        <v>2127</v>
      </c>
      <c r="F237" s="612">
        <f>D237*M237</f>
        <v>238.37536000000003</v>
      </c>
      <c r="G237" s="612">
        <f>E237*L237</f>
        <v>309.13818</v>
      </c>
      <c r="H237" s="686">
        <v>2</v>
      </c>
      <c r="I237" s="604">
        <f>(F237+G237)/C237</f>
        <v>0.10633395610798214</v>
      </c>
      <c r="J237" s="559">
        <f>I237-$B$133</f>
        <v>0.08021395610798214</v>
      </c>
      <c r="K237" s="537"/>
      <c r="L237" s="625">
        <v>0.14534</v>
      </c>
      <c r="M237" s="621">
        <v>0.07888</v>
      </c>
    </row>
    <row r="238" spans="1:13" s="340" customFormat="1" ht="15" outlineLevel="1">
      <c r="A238" s="322"/>
      <c r="B238" s="322"/>
      <c r="C238" s="590"/>
      <c r="D238" s="590"/>
      <c r="E238" s="590"/>
      <c r="F238" s="608"/>
      <c r="G238" s="608"/>
      <c r="H238" s="327"/>
      <c r="I238" s="572"/>
      <c r="J238" s="556"/>
      <c r="K238" s="322"/>
      <c r="L238" s="627"/>
      <c r="M238" s="622"/>
    </row>
    <row r="239" spans="1:13" s="340" customFormat="1" ht="30" outlineLevel="1">
      <c r="A239" s="322"/>
      <c r="B239" s="322"/>
      <c r="C239" s="629" t="s">
        <v>123</v>
      </c>
      <c r="D239" s="629" t="s">
        <v>131</v>
      </c>
      <c r="E239" s="629"/>
      <c r="F239" s="630"/>
      <c r="G239" s="630" t="s">
        <v>127</v>
      </c>
      <c r="H239" s="632"/>
      <c r="I239" s="631"/>
      <c r="J239" s="556"/>
      <c r="K239" s="322"/>
      <c r="L239" s="627"/>
      <c r="M239" s="622"/>
    </row>
    <row r="240" spans="1:13" s="340" customFormat="1" ht="15" outlineLevel="1">
      <c r="A240" s="327">
        <v>11</v>
      </c>
      <c r="B240" s="322" t="s">
        <v>276</v>
      </c>
      <c r="C240" s="628">
        <v>6997.13</v>
      </c>
      <c r="D240" s="628">
        <v>49257</v>
      </c>
      <c r="E240" s="629"/>
      <c r="F240" s="630"/>
      <c r="G240" s="633">
        <v>45</v>
      </c>
      <c r="H240" s="632"/>
      <c r="I240" s="631"/>
      <c r="J240" s="556"/>
      <c r="K240" s="322"/>
      <c r="L240" s="627"/>
      <c r="M240" s="622"/>
    </row>
    <row r="241" spans="1:13" s="340" customFormat="1" ht="15" outlineLevel="1">
      <c r="A241" s="327">
        <v>14</v>
      </c>
      <c r="B241" s="322" t="s">
        <v>275</v>
      </c>
      <c r="C241" s="628">
        <v>1745.99</v>
      </c>
      <c r="D241" s="628">
        <v>12675</v>
      </c>
      <c r="E241" s="629"/>
      <c r="F241" s="630"/>
      <c r="G241" s="633">
        <v>13</v>
      </c>
      <c r="H241" s="632"/>
      <c r="I241" s="631"/>
      <c r="J241" s="556"/>
      <c r="K241" s="322"/>
      <c r="L241" s="627"/>
      <c r="M241" s="622"/>
    </row>
    <row r="242" spans="1:13" s="340" customFormat="1" ht="15" outlineLevel="1">
      <c r="A242" s="322"/>
      <c r="B242" s="322"/>
      <c r="C242" s="629"/>
      <c r="D242" s="629"/>
      <c r="E242" s="629"/>
      <c r="F242" s="630"/>
      <c r="G242" s="630"/>
      <c r="H242" s="632"/>
      <c r="I242" s="631"/>
      <c r="J242" s="556"/>
      <c r="K242" s="322"/>
      <c r="L242" s="627"/>
      <c r="M242" s="622"/>
    </row>
    <row r="243" spans="1:13" s="340" customFormat="1" ht="15" outlineLevel="1">
      <c r="A243" s="322">
        <v>11</v>
      </c>
      <c r="B243" s="322" t="s">
        <v>276</v>
      </c>
      <c r="C243" s="620">
        <v>15402.61</v>
      </c>
      <c r="D243" s="620">
        <v>109793</v>
      </c>
      <c r="E243" s="590"/>
      <c r="F243" s="608"/>
      <c r="G243" s="634">
        <v>82</v>
      </c>
      <c r="H243" s="327"/>
      <c r="I243" s="572"/>
      <c r="J243" s="556"/>
      <c r="K243" s="322"/>
      <c r="L243" s="627"/>
      <c r="M243" s="622"/>
    </row>
    <row r="244" spans="1:13" s="340" customFormat="1" ht="15" outlineLevel="1">
      <c r="A244" s="322">
        <v>12</v>
      </c>
      <c r="B244" s="327" t="s">
        <v>104</v>
      </c>
      <c r="C244" s="620">
        <v>1960.88</v>
      </c>
      <c r="D244" s="620">
        <v>14218</v>
      </c>
      <c r="E244" s="590"/>
      <c r="F244" s="608"/>
      <c r="G244" s="634">
        <v>10</v>
      </c>
      <c r="H244" s="327"/>
      <c r="I244" s="572"/>
      <c r="J244" s="556"/>
      <c r="K244" s="322"/>
      <c r="L244" s="627"/>
      <c r="M244" s="622"/>
    </row>
    <row r="245" spans="1:13" s="340" customFormat="1" ht="15" outlineLevel="1">
      <c r="A245" s="327">
        <v>13</v>
      </c>
      <c r="B245" s="327" t="s">
        <v>103</v>
      </c>
      <c r="C245" s="620">
        <v>192.48</v>
      </c>
      <c r="D245" s="620">
        <v>1419</v>
      </c>
      <c r="E245" s="590"/>
      <c r="F245" s="608"/>
      <c r="G245" s="634">
        <v>1</v>
      </c>
      <c r="H245" s="327"/>
      <c r="I245" s="572"/>
      <c r="J245" s="556"/>
      <c r="K245" s="322"/>
      <c r="L245" s="627"/>
      <c r="M245" s="622"/>
    </row>
    <row r="246" spans="1:13" s="340" customFormat="1" ht="15.75" outlineLevel="1" thickBot="1">
      <c r="A246" s="537">
        <v>14</v>
      </c>
      <c r="B246" s="613" t="s">
        <v>275</v>
      </c>
      <c r="C246" s="619">
        <v>468.73</v>
      </c>
      <c r="D246" s="619">
        <v>3412</v>
      </c>
      <c r="E246" s="611"/>
      <c r="F246" s="612"/>
      <c r="G246" s="635">
        <v>2</v>
      </c>
      <c r="H246" s="613"/>
      <c r="I246" s="604"/>
      <c r="J246" s="559"/>
      <c r="K246" s="537"/>
      <c r="L246" s="625"/>
      <c r="M246" s="621"/>
    </row>
    <row r="247" ht="15.75" outlineLevel="1" thickBot="1"/>
    <row r="248" spans="1:13" ht="15" outlineLevel="1">
      <c r="A248" s="618" t="s">
        <v>52</v>
      </c>
      <c r="B248" s="605"/>
      <c r="C248" s="605"/>
      <c r="D248" s="605"/>
      <c r="E248" s="605"/>
      <c r="F248" s="605"/>
      <c r="G248" s="605"/>
      <c r="H248" s="605"/>
      <c r="I248" s="605"/>
      <c r="J248" s="118"/>
      <c r="K248" s="118"/>
      <c r="L248" s="118"/>
      <c r="M248" s="91"/>
    </row>
    <row r="249" spans="1:13" ht="45" outlineLevel="1">
      <c r="A249" s="552" t="s">
        <v>250</v>
      </c>
      <c r="B249" s="322" t="s">
        <v>251</v>
      </c>
      <c r="C249" s="603" t="s">
        <v>252</v>
      </c>
      <c r="D249" s="603" t="s">
        <v>253</v>
      </c>
      <c r="E249" s="603" t="s">
        <v>254</v>
      </c>
      <c r="F249" s="603" t="s">
        <v>256</v>
      </c>
      <c r="G249" s="603" t="s">
        <v>255</v>
      </c>
      <c r="H249" s="603" t="s">
        <v>257</v>
      </c>
      <c r="I249" s="603" t="s">
        <v>258</v>
      </c>
      <c r="J249" s="602" t="s">
        <v>267</v>
      </c>
      <c r="K249" s="602"/>
      <c r="L249" s="603" t="s">
        <v>263</v>
      </c>
      <c r="M249" s="616" t="s">
        <v>264</v>
      </c>
    </row>
    <row r="250" spans="1:13" ht="15.75" outlineLevel="1" thickBot="1">
      <c r="A250" s="291">
        <v>36</v>
      </c>
      <c r="B250" s="537" t="s">
        <v>260</v>
      </c>
      <c r="C250" s="619">
        <v>551</v>
      </c>
      <c r="D250" s="619">
        <v>315</v>
      </c>
      <c r="E250" s="611">
        <f>C250-D250</f>
        <v>236</v>
      </c>
      <c r="F250" s="612">
        <f>D250*M250</f>
        <v>24.8472</v>
      </c>
      <c r="G250" s="612">
        <f>E250*L250</f>
        <v>34.30024</v>
      </c>
      <c r="H250" s="686">
        <v>2</v>
      </c>
      <c r="I250" s="604">
        <f>(F250+G250)/C250</f>
        <v>0.10734562613430128</v>
      </c>
      <c r="J250" s="559">
        <f>I250-$B$133</f>
        <v>0.08122562613430127</v>
      </c>
      <c r="K250" s="537"/>
      <c r="L250" s="625">
        <v>0.14534</v>
      </c>
      <c r="M250" s="658">
        <v>0.07888</v>
      </c>
    </row>
    <row r="251" spans="1:13" ht="15" outlineLevel="1">
      <c r="A251" s="117"/>
      <c r="B251" s="322"/>
      <c r="C251" s="590"/>
      <c r="D251" s="590"/>
      <c r="E251" s="327"/>
      <c r="F251" s="608"/>
      <c r="G251" s="608"/>
      <c r="H251" s="327"/>
      <c r="I251" s="572"/>
      <c r="J251" s="322"/>
      <c r="K251" s="322"/>
      <c r="L251" s="327"/>
      <c r="M251" s="607"/>
    </row>
    <row r="252" spans="1:13" ht="15" outlineLevel="1">
      <c r="A252" s="103">
        <v>28</v>
      </c>
      <c r="B252" s="322" t="s">
        <v>261</v>
      </c>
      <c r="C252" s="620">
        <v>11375</v>
      </c>
      <c r="D252" s="620">
        <v>6585</v>
      </c>
      <c r="E252" s="590">
        <f>C252-D252</f>
        <v>4790</v>
      </c>
      <c r="F252" s="608">
        <f>D252*M252</f>
        <v>519.4248</v>
      </c>
      <c r="G252" s="608">
        <f>E252*L252</f>
        <v>696.1786</v>
      </c>
      <c r="H252" s="487">
        <v>6</v>
      </c>
      <c r="I252" s="572">
        <f>(F252+G252)/C252</f>
        <v>0.10686623296703296</v>
      </c>
      <c r="J252" s="556">
        <f>I252-$B$133</f>
        <v>0.08074623296703295</v>
      </c>
      <c r="K252" s="322"/>
      <c r="L252" s="487">
        <v>0.14534</v>
      </c>
      <c r="M252" s="622">
        <v>0.07888</v>
      </c>
    </row>
    <row r="253" spans="1:13" ht="15" outlineLevel="1">
      <c r="A253" s="103">
        <v>30</v>
      </c>
      <c r="B253" s="322" t="s">
        <v>100</v>
      </c>
      <c r="C253" s="620">
        <v>105542</v>
      </c>
      <c r="D253" s="620">
        <v>57763</v>
      </c>
      <c r="E253" s="590">
        <f>C253-D253</f>
        <v>47779</v>
      </c>
      <c r="F253" s="608">
        <f>D253*M253</f>
        <v>4556.34544</v>
      </c>
      <c r="G253" s="608">
        <f>E253*L253</f>
        <v>6944.19986</v>
      </c>
      <c r="H253" s="487">
        <v>65</v>
      </c>
      <c r="I253" s="572">
        <f>(F253+G253)/C253</f>
        <v>0.10896652801728221</v>
      </c>
      <c r="J253" s="556">
        <f>I253-$B$133</f>
        <v>0.0828465280172822</v>
      </c>
      <c r="K253" s="322"/>
      <c r="L253" s="487">
        <v>0.14534</v>
      </c>
      <c r="M253" s="622">
        <v>0.07888</v>
      </c>
    </row>
    <row r="254" spans="1:13" ht="15" outlineLevel="1">
      <c r="A254" s="103">
        <v>32</v>
      </c>
      <c r="B254" s="322" t="s">
        <v>99</v>
      </c>
      <c r="C254" s="620">
        <v>115593</v>
      </c>
      <c r="D254" s="620">
        <v>60392</v>
      </c>
      <c r="E254" s="590">
        <f>C254-D254</f>
        <v>55201</v>
      </c>
      <c r="F254" s="608">
        <f>D254*M254</f>
        <v>4763.720960000001</v>
      </c>
      <c r="G254" s="608">
        <f>E254*L254</f>
        <v>8022.91334</v>
      </c>
      <c r="H254" s="487">
        <v>76</v>
      </c>
      <c r="I254" s="572">
        <f>(F254+G254)/C254</f>
        <v>0.11061772166134629</v>
      </c>
      <c r="J254" s="556">
        <f>I254-$B$133</f>
        <v>0.08449772166134628</v>
      </c>
      <c r="K254" s="322"/>
      <c r="L254" s="487">
        <v>0.14534</v>
      </c>
      <c r="M254" s="622">
        <v>0.07888</v>
      </c>
    </row>
    <row r="255" spans="1:13" ht="15" outlineLevel="1">
      <c r="A255" s="103">
        <v>34</v>
      </c>
      <c r="B255" s="322" t="s">
        <v>98</v>
      </c>
      <c r="C255" s="620">
        <v>591</v>
      </c>
      <c r="D255" s="620">
        <v>299</v>
      </c>
      <c r="E255" s="590">
        <f>C255-D255</f>
        <v>292</v>
      </c>
      <c r="F255" s="608">
        <f>D255*M255</f>
        <v>23.585120000000003</v>
      </c>
      <c r="G255" s="608">
        <f>E255*L255</f>
        <v>42.43928</v>
      </c>
      <c r="H255" s="487">
        <v>2</v>
      </c>
      <c r="I255" s="572">
        <f>(F255+G255)/C255</f>
        <v>0.11171641285956006</v>
      </c>
      <c r="J255" s="556">
        <f>I255-$B$133</f>
        <v>0.08559641285956006</v>
      </c>
      <c r="K255" s="322"/>
      <c r="L255" s="487">
        <v>0.14534</v>
      </c>
      <c r="M255" s="622">
        <v>0.07888</v>
      </c>
    </row>
    <row r="256" spans="1:13" ht="15.75" outlineLevel="1" thickBot="1">
      <c r="A256" s="291">
        <v>36</v>
      </c>
      <c r="B256" s="537" t="s">
        <v>262</v>
      </c>
      <c r="C256" s="619">
        <v>6780</v>
      </c>
      <c r="D256" s="619">
        <v>3967</v>
      </c>
      <c r="E256" s="611">
        <f>C256-D256</f>
        <v>2813</v>
      </c>
      <c r="F256" s="612">
        <f>D256*M256</f>
        <v>312.91696</v>
      </c>
      <c r="G256" s="612">
        <f>E256*L256</f>
        <v>408.84141999999997</v>
      </c>
      <c r="H256" s="686">
        <v>2</v>
      </c>
      <c r="I256" s="604">
        <f>(F256+G256)/C256</f>
        <v>0.10645403834808259</v>
      </c>
      <c r="J256" s="559">
        <f>I256-$B$133</f>
        <v>0.08033403834808259</v>
      </c>
      <c r="K256" s="537"/>
      <c r="L256" s="625">
        <v>0.14534</v>
      </c>
      <c r="M256" s="621">
        <v>0.07888</v>
      </c>
    </row>
    <row r="257" spans="1:13" s="340" customFormat="1" ht="15" outlineLevel="1">
      <c r="A257" s="322"/>
      <c r="B257" s="322"/>
      <c r="C257" s="590"/>
      <c r="D257" s="590"/>
      <c r="E257" s="590"/>
      <c r="F257" s="608"/>
      <c r="G257" s="608"/>
      <c r="H257" s="327"/>
      <c r="I257" s="572"/>
      <c r="J257" s="556"/>
      <c r="K257" s="322"/>
      <c r="L257" s="627"/>
      <c r="M257" s="622"/>
    </row>
    <row r="258" spans="1:13" s="340" customFormat="1" ht="30" outlineLevel="1">
      <c r="A258" s="322"/>
      <c r="B258" s="322"/>
      <c r="C258" s="629" t="s">
        <v>123</v>
      </c>
      <c r="D258" s="629" t="s">
        <v>131</v>
      </c>
      <c r="E258" s="629"/>
      <c r="F258" s="630"/>
      <c r="G258" s="630" t="s">
        <v>127</v>
      </c>
      <c r="H258" s="632"/>
      <c r="I258" s="631"/>
      <c r="J258" s="556"/>
      <c r="K258" s="322"/>
      <c r="L258" s="627"/>
      <c r="M258" s="622"/>
    </row>
    <row r="259" spans="1:13" s="340" customFormat="1" ht="15" outlineLevel="1">
      <c r="A259" s="327">
        <v>11</v>
      </c>
      <c r="B259" s="322" t="s">
        <v>276</v>
      </c>
      <c r="C259" s="628">
        <v>8085.13</v>
      </c>
      <c r="D259" s="628">
        <v>56554</v>
      </c>
      <c r="E259" s="629"/>
      <c r="F259" s="630"/>
      <c r="G259" s="633">
        <v>46</v>
      </c>
      <c r="H259" s="632"/>
      <c r="I259" s="631"/>
      <c r="J259" s="556"/>
      <c r="K259" s="322"/>
      <c r="L259" s="627"/>
      <c r="M259" s="622"/>
    </row>
    <row r="260" spans="1:13" s="340" customFormat="1" ht="15" outlineLevel="1">
      <c r="A260" s="327">
        <v>14</v>
      </c>
      <c r="B260" s="322" t="s">
        <v>275</v>
      </c>
      <c r="C260" s="628">
        <v>2012.85</v>
      </c>
      <c r="D260" s="628">
        <v>14610</v>
      </c>
      <c r="E260" s="629"/>
      <c r="F260" s="630"/>
      <c r="G260" s="633">
        <v>12</v>
      </c>
      <c r="H260" s="632"/>
      <c r="I260" s="631"/>
      <c r="J260" s="556"/>
      <c r="K260" s="322"/>
      <c r="L260" s="627"/>
      <c r="M260" s="622"/>
    </row>
    <row r="261" spans="1:13" s="340" customFormat="1" ht="15" outlineLevel="1">
      <c r="A261" s="322"/>
      <c r="B261" s="322"/>
      <c r="C261" s="629"/>
      <c r="D261" s="629"/>
      <c r="E261" s="629"/>
      <c r="F261" s="630"/>
      <c r="G261" s="630"/>
      <c r="H261" s="632"/>
      <c r="I261" s="631"/>
      <c r="J261" s="556"/>
      <c r="K261" s="322"/>
      <c r="L261" s="627"/>
      <c r="M261" s="622"/>
    </row>
    <row r="262" spans="1:13" s="340" customFormat="1" ht="15" outlineLevel="1">
      <c r="A262" s="322">
        <v>11</v>
      </c>
      <c r="B262" s="322" t="s">
        <v>276</v>
      </c>
      <c r="C262" s="620">
        <v>17834.22</v>
      </c>
      <c r="D262" s="620">
        <v>126501</v>
      </c>
      <c r="E262" s="590"/>
      <c r="F262" s="608"/>
      <c r="G262" s="634">
        <v>81</v>
      </c>
      <c r="H262" s="327"/>
      <c r="I262" s="572"/>
      <c r="J262" s="556"/>
      <c r="K262" s="322"/>
      <c r="L262" s="627"/>
      <c r="M262" s="622"/>
    </row>
    <row r="263" spans="1:13" s="340" customFormat="1" ht="15" outlineLevel="1">
      <c r="A263" s="322">
        <v>12</v>
      </c>
      <c r="B263" s="327" t="s">
        <v>104</v>
      </c>
      <c r="C263" s="620">
        <v>2417.64</v>
      </c>
      <c r="D263" s="620">
        <v>17418</v>
      </c>
      <c r="E263" s="590"/>
      <c r="F263" s="608"/>
      <c r="G263" s="634">
        <v>10</v>
      </c>
      <c r="H263" s="327"/>
      <c r="I263" s="572"/>
      <c r="J263" s="556"/>
      <c r="K263" s="322"/>
      <c r="L263" s="627"/>
      <c r="M263" s="622"/>
    </row>
    <row r="264" spans="1:13" s="340" customFormat="1" ht="15" outlineLevel="1">
      <c r="A264" s="327">
        <v>13</v>
      </c>
      <c r="B264" s="327" t="s">
        <v>103</v>
      </c>
      <c r="C264" s="620">
        <v>245.45</v>
      </c>
      <c r="D264" s="620">
        <v>1794</v>
      </c>
      <c r="E264" s="590"/>
      <c r="F264" s="608"/>
      <c r="G264" s="634">
        <v>1</v>
      </c>
      <c r="H264" s="327"/>
      <c r="I264" s="572"/>
      <c r="J264" s="556"/>
      <c r="K264" s="322"/>
      <c r="L264" s="627"/>
      <c r="M264" s="622"/>
    </row>
    <row r="265" spans="1:13" s="340" customFormat="1" ht="15.75" outlineLevel="1" thickBot="1">
      <c r="A265" s="537">
        <v>14</v>
      </c>
      <c r="B265" s="613" t="s">
        <v>275</v>
      </c>
      <c r="C265" s="619">
        <v>631.59</v>
      </c>
      <c r="D265" s="619">
        <v>4695</v>
      </c>
      <c r="E265" s="611"/>
      <c r="F265" s="612"/>
      <c r="G265" s="635">
        <v>2</v>
      </c>
      <c r="H265" s="613"/>
      <c r="I265" s="604"/>
      <c r="J265" s="559"/>
      <c r="K265" s="537"/>
      <c r="L265" s="625"/>
      <c r="M265" s="621"/>
    </row>
    <row r="266" spans="1:13" ht="15.75" outlineLevel="1" thickBot="1">
      <c r="A266" s="340"/>
      <c r="B266" s="340"/>
      <c r="C266" s="155"/>
      <c r="D266" s="155"/>
      <c r="E266" s="155"/>
      <c r="F266" s="155"/>
      <c r="G266" s="155"/>
      <c r="H266" s="155"/>
      <c r="I266" s="155"/>
      <c r="J266" s="340"/>
      <c r="K266" s="340"/>
      <c r="L266" s="340"/>
      <c r="M266" s="340"/>
    </row>
    <row r="267" spans="1:13" ht="15" outlineLevel="1">
      <c r="A267" s="618" t="s">
        <v>53</v>
      </c>
      <c r="B267" s="605" t="s">
        <v>286</v>
      </c>
      <c r="C267" s="659">
        <v>0.02612</v>
      </c>
      <c r="D267" s="605"/>
      <c r="E267" s="605"/>
      <c r="F267" s="605"/>
      <c r="G267" s="605"/>
      <c r="H267" s="605"/>
      <c r="I267" s="605"/>
      <c r="J267" s="118"/>
      <c r="K267" s="118"/>
      <c r="L267" s="118"/>
      <c r="M267" s="91"/>
    </row>
    <row r="268" spans="1:13" ht="45" outlineLevel="1">
      <c r="A268" s="552" t="s">
        <v>250</v>
      </c>
      <c r="B268" s="322" t="s">
        <v>251</v>
      </c>
      <c r="C268" s="603" t="s">
        <v>252</v>
      </c>
      <c r="D268" s="603" t="s">
        <v>253</v>
      </c>
      <c r="E268" s="603" t="s">
        <v>254</v>
      </c>
      <c r="F268" s="603" t="s">
        <v>256</v>
      </c>
      <c r="G268" s="603" t="s">
        <v>255</v>
      </c>
      <c r="H268" s="603" t="s">
        <v>257</v>
      </c>
      <c r="I268" s="603" t="s">
        <v>258</v>
      </c>
      <c r="J268" s="602" t="s">
        <v>267</v>
      </c>
      <c r="K268" s="602"/>
      <c r="L268" s="603" t="s">
        <v>263</v>
      </c>
      <c r="M268" s="616" t="s">
        <v>264</v>
      </c>
    </row>
    <row r="269" spans="1:13" ht="15.75" outlineLevel="1" thickBot="1">
      <c r="A269" s="291">
        <v>36</v>
      </c>
      <c r="B269" s="537" t="s">
        <v>260</v>
      </c>
      <c r="C269" s="619">
        <v>503</v>
      </c>
      <c r="D269" s="619">
        <v>290</v>
      </c>
      <c r="E269" s="611">
        <f>C269-D269</f>
        <v>213</v>
      </c>
      <c r="F269" s="612">
        <f>D269*M269</f>
        <v>22.875200000000003</v>
      </c>
      <c r="G269" s="612">
        <f>E269*L269</f>
        <v>30.95742</v>
      </c>
      <c r="H269" s="686">
        <v>2</v>
      </c>
      <c r="I269" s="604">
        <f>(F269+G269)/C269</f>
        <v>0.10702310139165011</v>
      </c>
      <c r="J269" s="559">
        <f>I269-$C$267</f>
        <v>0.0809031013916501</v>
      </c>
      <c r="K269" s="537"/>
      <c r="L269" s="625">
        <v>0.14534</v>
      </c>
      <c r="M269" s="621">
        <v>0.07888</v>
      </c>
    </row>
    <row r="270" spans="1:13" ht="15" outlineLevel="1">
      <c r="A270" s="117"/>
      <c r="B270" s="322"/>
      <c r="C270" s="590"/>
      <c r="D270" s="590"/>
      <c r="E270" s="327"/>
      <c r="F270" s="608"/>
      <c r="G270" s="608"/>
      <c r="H270" s="327"/>
      <c r="I270" s="572"/>
      <c r="J270" s="322"/>
      <c r="K270" s="322"/>
      <c r="L270" s="487"/>
      <c r="M270" s="622"/>
    </row>
    <row r="271" spans="1:13" ht="15" outlineLevel="1">
      <c r="A271" s="103">
        <v>28</v>
      </c>
      <c r="B271" s="322" t="s">
        <v>261</v>
      </c>
      <c r="C271" s="620">
        <v>9198</v>
      </c>
      <c r="D271" s="620">
        <v>5324</v>
      </c>
      <c r="E271" s="590">
        <f>C271-D271</f>
        <v>3874</v>
      </c>
      <c r="F271" s="608">
        <f>D271*M271</f>
        <v>419.95712000000003</v>
      </c>
      <c r="G271" s="608">
        <f>E271*L271</f>
        <v>563.04716</v>
      </c>
      <c r="H271" s="487">
        <v>6</v>
      </c>
      <c r="I271" s="572">
        <f>(F271+G271)/C271</f>
        <v>0.10687152424440095</v>
      </c>
      <c r="J271" s="556">
        <f>I271-$C$267</f>
        <v>0.08075152424440095</v>
      </c>
      <c r="K271" s="322"/>
      <c r="L271" s="487">
        <v>0.14534</v>
      </c>
      <c r="M271" s="622">
        <v>0.07888</v>
      </c>
    </row>
    <row r="272" spans="1:13" ht="15" outlineLevel="1">
      <c r="A272" s="103">
        <v>30</v>
      </c>
      <c r="B272" s="322" t="s">
        <v>100</v>
      </c>
      <c r="C272" s="620">
        <v>107311</v>
      </c>
      <c r="D272" s="620">
        <v>59450</v>
      </c>
      <c r="E272" s="590">
        <f>C272-D272</f>
        <v>47861</v>
      </c>
      <c r="F272" s="608">
        <f>D272*M272</f>
        <v>4689.416</v>
      </c>
      <c r="G272" s="608">
        <f>E272*L272</f>
        <v>6956.11774</v>
      </c>
      <c r="H272" s="487">
        <v>65</v>
      </c>
      <c r="I272" s="572">
        <f>(F272+G272)/C272</f>
        <v>0.108521342080495</v>
      </c>
      <c r="J272" s="556">
        <f>I272-$C$267</f>
        <v>0.082401342080495</v>
      </c>
      <c r="K272" s="322"/>
      <c r="L272" s="487">
        <v>0.14534</v>
      </c>
      <c r="M272" s="622">
        <v>0.07888</v>
      </c>
    </row>
    <row r="273" spans="1:13" ht="15" outlineLevel="1">
      <c r="A273" s="103">
        <v>32</v>
      </c>
      <c r="B273" s="322" t="s">
        <v>99</v>
      </c>
      <c r="C273" s="620">
        <v>113279</v>
      </c>
      <c r="D273" s="620">
        <v>59842</v>
      </c>
      <c r="E273" s="590">
        <f>C273-D273</f>
        <v>53437</v>
      </c>
      <c r="F273" s="608">
        <f>D273*M273</f>
        <v>4720.3369600000005</v>
      </c>
      <c r="G273" s="608">
        <f>E273*L273</f>
        <v>7766.53358</v>
      </c>
      <c r="H273" s="487">
        <v>76</v>
      </c>
      <c r="I273" s="572">
        <f>(F273+G273)/C273</f>
        <v>0.11023111556422638</v>
      </c>
      <c r="J273" s="556">
        <f>I273-$C$267</f>
        <v>0.08411111556422637</v>
      </c>
      <c r="K273" s="322"/>
      <c r="L273" s="487">
        <v>0.14534</v>
      </c>
      <c r="M273" s="622">
        <v>0.07888</v>
      </c>
    </row>
    <row r="274" spans="1:13" ht="15" outlineLevel="1">
      <c r="A274" s="103">
        <v>34</v>
      </c>
      <c r="B274" s="322" t="s">
        <v>98</v>
      </c>
      <c r="C274" s="620">
        <v>322</v>
      </c>
      <c r="D274" s="620">
        <v>154</v>
      </c>
      <c r="E274" s="590">
        <f>C274-D274</f>
        <v>168</v>
      </c>
      <c r="F274" s="608">
        <f>D274*M274</f>
        <v>12.14752</v>
      </c>
      <c r="G274" s="608">
        <f>E274*L274</f>
        <v>24.41712</v>
      </c>
      <c r="H274" s="487">
        <v>2</v>
      </c>
      <c r="I274" s="572">
        <f>(F274+G274)/C274</f>
        <v>0.11355478260869564</v>
      </c>
      <c r="J274" s="556">
        <f>I274-$C$267</f>
        <v>0.08743478260869564</v>
      </c>
      <c r="K274" s="322"/>
      <c r="L274" s="487">
        <v>0.14534</v>
      </c>
      <c r="M274" s="622">
        <v>0.07888</v>
      </c>
    </row>
    <row r="275" spans="1:13" ht="15.75" outlineLevel="1" thickBot="1">
      <c r="A275" s="291">
        <v>36</v>
      </c>
      <c r="B275" s="537" t="s">
        <v>262</v>
      </c>
      <c r="C275" s="619">
        <v>7591</v>
      </c>
      <c r="D275" s="619">
        <v>4413</v>
      </c>
      <c r="E275" s="611">
        <f>C275-D275</f>
        <v>3178</v>
      </c>
      <c r="F275" s="612">
        <f>D275*M275</f>
        <v>348.09744</v>
      </c>
      <c r="G275" s="612">
        <f>E275*L275</f>
        <v>461.89052</v>
      </c>
      <c r="H275" s="686">
        <v>2</v>
      </c>
      <c r="I275" s="604">
        <f>(F275+G275)/C275</f>
        <v>0.1067037228296667</v>
      </c>
      <c r="J275" s="559">
        <f>I275-$C$267</f>
        <v>0.08058372282966669</v>
      </c>
      <c r="K275" s="537"/>
      <c r="L275" s="625">
        <v>0.14534</v>
      </c>
      <c r="M275" s="621">
        <v>0.07888</v>
      </c>
    </row>
    <row r="276" spans="1:13" s="340" customFormat="1" ht="15" outlineLevel="1">
      <c r="A276" s="322"/>
      <c r="B276" s="322"/>
      <c r="C276" s="590"/>
      <c r="D276" s="590"/>
      <c r="E276" s="590"/>
      <c r="F276" s="608"/>
      <c r="G276" s="608"/>
      <c r="H276" s="327"/>
      <c r="I276" s="572"/>
      <c r="J276" s="556"/>
      <c r="K276" s="322"/>
      <c r="L276" s="627"/>
      <c r="M276" s="622"/>
    </row>
    <row r="277" spans="1:13" s="340" customFormat="1" ht="30" outlineLevel="1">
      <c r="A277" s="322"/>
      <c r="B277" s="322"/>
      <c r="C277" s="629" t="s">
        <v>123</v>
      </c>
      <c r="D277" s="629" t="s">
        <v>131</v>
      </c>
      <c r="E277" s="629"/>
      <c r="F277" s="630"/>
      <c r="G277" s="630" t="s">
        <v>127</v>
      </c>
      <c r="H277" s="632"/>
      <c r="I277" s="631"/>
      <c r="J277" s="556"/>
      <c r="K277" s="322"/>
      <c r="L277" s="627"/>
      <c r="M277" s="622"/>
    </row>
    <row r="278" spans="1:13" s="340" customFormat="1" ht="15" outlineLevel="1">
      <c r="A278" s="327">
        <v>11</v>
      </c>
      <c r="B278" s="322" t="s">
        <v>276</v>
      </c>
      <c r="C278" s="628">
        <v>7827.74</v>
      </c>
      <c r="D278" s="628">
        <v>54625</v>
      </c>
      <c r="E278" s="629"/>
      <c r="F278" s="630"/>
      <c r="G278" s="633">
        <v>45</v>
      </c>
      <c r="H278" s="632"/>
      <c r="I278" s="631"/>
      <c r="J278" s="556"/>
      <c r="K278" s="322"/>
      <c r="L278" s="627"/>
      <c r="M278" s="622"/>
    </row>
    <row r="279" spans="1:13" s="340" customFormat="1" ht="15" outlineLevel="1">
      <c r="A279" s="327">
        <v>14</v>
      </c>
      <c r="B279" s="322" t="s">
        <v>275</v>
      </c>
      <c r="C279" s="628">
        <v>2141.22</v>
      </c>
      <c r="D279" s="628">
        <v>15681</v>
      </c>
      <c r="E279" s="629"/>
      <c r="F279" s="630"/>
      <c r="G279" s="633">
        <v>12</v>
      </c>
      <c r="H279" s="632"/>
      <c r="I279" s="631"/>
      <c r="J279" s="556"/>
      <c r="K279" s="322"/>
      <c r="L279" s="627"/>
      <c r="M279" s="622"/>
    </row>
    <row r="280" spans="1:13" s="340" customFormat="1" ht="15" outlineLevel="1">
      <c r="A280" s="322"/>
      <c r="B280" s="322"/>
      <c r="C280" s="629"/>
      <c r="D280" s="629"/>
      <c r="E280" s="629"/>
      <c r="F280" s="630"/>
      <c r="G280" s="630"/>
      <c r="H280" s="632"/>
      <c r="I280" s="631"/>
      <c r="J280" s="556"/>
      <c r="K280" s="322"/>
      <c r="L280" s="627"/>
      <c r="M280" s="622"/>
    </row>
    <row r="281" spans="1:13" s="340" customFormat="1" ht="15" outlineLevel="1">
      <c r="A281" s="322">
        <v>11</v>
      </c>
      <c r="B281" s="322" t="s">
        <v>276</v>
      </c>
      <c r="C281" s="620">
        <v>17978.06</v>
      </c>
      <c r="D281" s="620">
        <v>127995</v>
      </c>
      <c r="E281" s="590"/>
      <c r="F281" s="608"/>
      <c r="G281" s="634">
        <v>81</v>
      </c>
      <c r="H281" s="327"/>
      <c r="I281" s="572"/>
      <c r="J281" s="556"/>
      <c r="K281" s="322"/>
      <c r="L281" s="627"/>
      <c r="M281" s="622"/>
    </row>
    <row r="282" spans="1:13" s="340" customFormat="1" ht="15" outlineLevel="1">
      <c r="A282" s="322">
        <v>12</v>
      </c>
      <c r="B282" s="327" t="s">
        <v>104</v>
      </c>
      <c r="C282" s="620">
        <v>2195.61</v>
      </c>
      <c r="D282" s="620">
        <v>15768</v>
      </c>
      <c r="E282" s="590"/>
      <c r="F282" s="608"/>
      <c r="G282" s="634">
        <v>10</v>
      </c>
      <c r="H282" s="327"/>
      <c r="I282" s="572"/>
      <c r="J282" s="556"/>
      <c r="K282" s="322"/>
      <c r="L282" s="627"/>
      <c r="M282" s="622"/>
    </row>
    <row r="283" spans="1:13" s="340" customFormat="1" ht="15" outlineLevel="1">
      <c r="A283" s="327">
        <v>13</v>
      </c>
      <c r="B283" s="327" t="s">
        <v>103</v>
      </c>
      <c r="C283" s="620">
        <v>227.81</v>
      </c>
      <c r="D283" s="620">
        <v>1666</v>
      </c>
      <c r="E283" s="590"/>
      <c r="F283" s="608"/>
      <c r="G283" s="634">
        <v>1</v>
      </c>
      <c r="H283" s="327"/>
      <c r="I283" s="572"/>
      <c r="J283" s="556"/>
      <c r="K283" s="322"/>
      <c r="L283" s="627"/>
      <c r="M283" s="622"/>
    </row>
    <row r="284" spans="1:13" s="340" customFormat="1" ht="15.75" outlineLevel="1" thickBot="1">
      <c r="A284" s="537">
        <v>14</v>
      </c>
      <c r="B284" s="613" t="s">
        <v>275</v>
      </c>
      <c r="C284" s="619">
        <v>715.23</v>
      </c>
      <c r="D284" s="619">
        <v>5341</v>
      </c>
      <c r="E284" s="611"/>
      <c r="F284" s="612"/>
      <c r="G284" s="635">
        <v>2</v>
      </c>
      <c r="H284" s="613"/>
      <c r="I284" s="604"/>
      <c r="J284" s="559"/>
      <c r="K284" s="537"/>
      <c r="L284" s="625"/>
      <c r="M284" s="621"/>
    </row>
    <row r="285" spans="1:13" ht="15.75" outlineLevel="1" thickBot="1">
      <c r="A285" s="340"/>
      <c r="B285" s="340"/>
      <c r="C285" s="155"/>
      <c r="D285" s="155"/>
      <c r="E285" s="155"/>
      <c r="F285" s="155"/>
      <c r="G285" s="155"/>
      <c r="H285" s="155"/>
      <c r="I285" s="155"/>
      <c r="J285" s="340"/>
      <c r="K285" s="340"/>
      <c r="L285" s="340"/>
      <c r="M285" s="340"/>
    </row>
    <row r="286" spans="1:13" ht="15" outlineLevel="1">
      <c r="A286" s="618" t="s">
        <v>54</v>
      </c>
      <c r="B286" s="605"/>
      <c r="C286" s="605"/>
      <c r="D286" s="605"/>
      <c r="E286" s="605"/>
      <c r="F286" s="605"/>
      <c r="G286" s="605"/>
      <c r="H286" s="605"/>
      <c r="I286" s="605"/>
      <c r="J286" s="118"/>
      <c r="K286" s="118"/>
      <c r="L286" s="118"/>
      <c r="M286" s="91"/>
    </row>
    <row r="287" spans="1:13" ht="45" outlineLevel="1">
      <c r="A287" s="552" t="s">
        <v>250</v>
      </c>
      <c r="B287" s="322" t="s">
        <v>251</v>
      </c>
      <c r="C287" s="603" t="s">
        <v>252</v>
      </c>
      <c r="D287" s="603" t="s">
        <v>253</v>
      </c>
      <c r="E287" s="603" t="s">
        <v>254</v>
      </c>
      <c r="F287" s="603" t="s">
        <v>256</v>
      </c>
      <c r="G287" s="603" t="s">
        <v>255</v>
      </c>
      <c r="H287" s="603" t="s">
        <v>257</v>
      </c>
      <c r="I287" s="603" t="s">
        <v>258</v>
      </c>
      <c r="J287" s="602" t="s">
        <v>267</v>
      </c>
      <c r="K287" s="602"/>
      <c r="L287" s="603" t="s">
        <v>263</v>
      </c>
      <c r="M287" s="616" t="s">
        <v>264</v>
      </c>
    </row>
    <row r="288" spans="1:13" ht="15.75" outlineLevel="1" thickBot="1">
      <c r="A288" s="291">
        <v>36</v>
      </c>
      <c r="B288" s="537" t="s">
        <v>260</v>
      </c>
      <c r="C288" s="619">
        <v>594</v>
      </c>
      <c r="D288" s="619">
        <v>360</v>
      </c>
      <c r="E288" s="611">
        <f>C288-D288</f>
        <v>234</v>
      </c>
      <c r="F288" s="612">
        <f>D288*M288</f>
        <v>28.396800000000002</v>
      </c>
      <c r="G288" s="612">
        <f>E288*L288</f>
        <v>34.00956</v>
      </c>
      <c r="H288" s="686">
        <v>2</v>
      </c>
      <c r="I288" s="604">
        <f>(F288+G288)/C288</f>
        <v>0.10506121212121214</v>
      </c>
      <c r="J288" s="559">
        <f>I288-$C$267</f>
        <v>0.07894121212121213</v>
      </c>
      <c r="K288" s="537"/>
      <c r="L288" s="625">
        <v>0.14534</v>
      </c>
      <c r="M288" s="621">
        <v>0.07888</v>
      </c>
    </row>
    <row r="289" spans="1:13" ht="15" outlineLevel="1">
      <c r="A289" s="117"/>
      <c r="B289" s="322"/>
      <c r="C289" s="590"/>
      <c r="D289" s="590"/>
      <c r="E289" s="327"/>
      <c r="F289" s="608"/>
      <c r="G289" s="608"/>
      <c r="H289" s="327"/>
      <c r="I289" s="572"/>
      <c r="J289" s="322"/>
      <c r="K289" s="322"/>
      <c r="L289" s="487"/>
      <c r="M289" s="622"/>
    </row>
    <row r="290" spans="1:13" ht="15" outlineLevel="1">
      <c r="A290" s="103">
        <v>28</v>
      </c>
      <c r="B290" s="322" t="s">
        <v>261</v>
      </c>
      <c r="C290" s="620">
        <v>12282</v>
      </c>
      <c r="D290" s="620">
        <v>6933</v>
      </c>
      <c r="E290" s="590">
        <f>C290-D290</f>
        <v>5349</v>
      </c>
      <c r="F290" s="608">
        <f>D290*M290</f>
        <v>546.87504</v>
      </c>
      <c r="G290" s="608">
        <f>E290*L290</f>
        <v>777.4236599999999</v>
      </c>
      <c r="H290" s="487">
        <v>6</v>
      </c>
      <c r="I290" s="572">
        <f>(F290+G290)/C290</f>
        <v>0.1078243527112848</v>
      </c>
      <c r="J290" s="556">
        <f>I290-$C$267</f>
        <v>0.08170435271128479</v>
      </c>
      <c r="K290" s="322"/>
      <c r="L290" s="487">
        <v>0.14534</v>
      </c>
      <c r="M290" s="622">
        <v>0.07888</v>
      </c>
    </row>
    <row r="291" spans="1:13" ht="15" outlineLevel="1">
      <c r="A291" s="103">
        <v>30</v>
      </c>
      <c r="B291" s="322" t="s">
        <v>100</v>
      </c>
      <c r="C291" s="620">
        <v>98500</v>
      </c>
      <c r="D291" s="620">
        <v>55103</v>
      </c>
      <c r="E291" s="590">
        <f>C291-D291</f>
        <v>43397</v>
      </c>
      <c r="F291" s="608">
        <f>D291*M291</f>
        <v>4346.5246400000005</v>
      </c>
      <c r="G291" s="608">
        <f>E291*L291</f>
        <v>6307.31998</v>
      </c>
      <c r="H291" s="487">
        <v>65</v>
      </c>
      <c r="I291" s="572">
        <f>(F291+G291)/C291</f>
        <v>0.10816085908629441</v>
      </c>
      <c r="J291" s="556">
        <f>I291-$C$267</f>
        <v>0.08204085908629441</v>
      </c>
      <c r="K291" s="322"/>
      <c r="L291" s="487">
        <v>0.14534</v>
      </c>
      <c r="M291" s="622">
        <v>0.07888</v>
      </c>
    </row>
    <row r="292" spans="1:13" ht="15" outlineLevel="1">
      <c r="A292" s="103">
        <v>32</v>
      </c>
      <c r="B292" s="322" t="s">
        <v>99</v>
      </c>
      <c r="C292" s="620">
        <v>102047</v>
      </c>
      <c r="D292" s="620">
        <v>55786</v>
      </c>
      <c r="E292" s="590">
        <f>C292-D292</f>
        <v>46261</v>
      </c>
      <c r="F292" s="608">
        <f>D292*M292</f>
        <v>4400.39968</v>
      </c>
      <c r="G292" s="608">
        <f>E292*L292</f>
        <v>6723.57374</v>
      </c>
      <c r="H292" s="487">
        <v>76</v>
      </c>
      <c r="I292" s="572">
        <f>(F292+G292)/C292</f>
        <v>0.10900833361098318</v>
      </c>
      <c r="J292" s="556">
        <f>I292-$C$267</f>
        <v>0.08288833361098318</v>
      </c>
      <c r="K292" s="322"/>
      <c r="L292" s="487">
        <v>0.14534</v>
      </c>
      <c r="M292" s="622">
        <v>0.07888</v>
      </c>
    </row>
    <row r="293" spans="1:13" ht="15" outlineLevel="1">
      <c r="A293" s="103">
        <v>34</v>
      </c>
      <c r="B293" s="322" t="s">
        <v>98</v>
      </c>
      <c r="C293" s="620">
        <v>525</v>
      </c>
      <c r="D293" s="620">
        <v>261</v>
      </c>
      <c r="E293" s="590">
        <f>C293-D293</f>
        <v>264</v>
      </c>
      <c r="F293" s="608">
        <f>D293*M293</f>
        <v>20.587680000000002</v>
      </c>
      <c r="G293" s="608">
        <f>E293*L293</f>
        <v>38.36976</v>
      </c>
      <c r="H293" s="487">
        <v>2</v>
      </c>
      <c r="I293" s="572">
        <f>(F293+G293)/C293</f>
        <v>0.11229988571428573</v>
      </c>
      <c r="J293" s="556">
        <f>I293-$C$267</f>
        <v>0.08617988571428573</v>
      </c>
      <c r="K293" s="322"/>
      <c r="L293" s="487">
        <v>0.14534</v>
      </c>
      <c r="M293" s="622">
        <v>0.07888</v>
      </c>
    </row>
    <row r="294" spans="1:13" ht="15.75" outlineLevel="1" thickBot="1">
      <c r="A294" s="291">
        <v>36</v>
      </c>
      <c r="B294" s="537" t="s">
        <v>262</v>
      </c>
      <c r="C294" s="619">
        <v>7866</v>
      </c>
      <c r="D294" s="619">
        <v>4507</v>
      </c>
      <c r="E294" s="611">
        <f>C294-D294</f>
        <v>3359</v>
      </c>
      <c r="F294" s="612">
        <f>D294*M294</f>
        <v>355.51216000000005</v>
      </c>
      <c r="G294" s="612">
        <f>E294*L294</f>
        <v>488.19705999999996</v>
      </c>
      <c r="H294" s="686">
        <v>3</v>
      </c>
      <c r="I294" s="604">
        <f>(F294+G294)/C294</f>
        <v>0.10726026188660055</v>
      </c>
      <c r="J294" s="559">
        <f>I294-$C$267</f>
        <v>0.08114026188660055</v>
      </c>
      <c r="K294" s="537"/>
      <c r="L294" s="625">
        <v>0.14534</v>
      </c>
      <c r="M294" s="621">
        <v>0.07888</v>
      </c>
    </row>
    <row r="295" spans="1:13" s="340" customFormat="1" ht="15" outlineLevel="1">
      <c r="A295" s="322"/>
      <c r="B295" s="322"/>
      <c r="C295" s="590"/>
      <c r="D295" s="590"/>
      <c r="E295" s="590"/>
      <c r="F295" s="608"/>
      <c r="G295" s="608"/>
      <c r="H295" s="327"/>
      <c r="I295" s="572"/>
      <c r="J295" s="556"/>
      <c r="K295" s="322"/>
      <c r="L295" s="627"/>
      <c r="M295" s="622"/>
    </row>
    <row r="296" spans="1:13" s="340" customFormat="1" ht="30" outlineLevel="1">
      <c r="A296" s="322"/>
      <c r="B296" s="322"/>
      <c r="C296" s="629" t="s">
        <v>123</v>
      </c>
      <c r="D296" s="629" t="s">
        <v>131</v>
      </c>
      <c r="E296" s="629"/>
      <c r="F296" s="630"/>
      <c r="G296" s="630" t="s">
        <v>127</v>
      </c>
      <c r="H296" s="632"/>
      <c r="I296" s="631"/>
      <c r="J296" s="556"/>
      <c r="K296" s="322"/>
      <c r="L296" s="627"/>
      <c r="M296" s="622"/>
    </row>
    <row r="297" spans="1:13" s="340" customFormat="1" ht="15" outlineLevel="1">
      <c r="A297" s="327">
        <v>11</v>
      </c>
      <c r="B297" s="322" t="s">
        <v>276</v>
      </c>
      <c r="C297" s="628">
        <v>6841.84</v>
      </c>
      <c r="D297" s="628">
        <v>47974</v>
      </c>
      <c r="E297" s="629"/>
      <c r="F297" s="630"/>
      <c r="G297" s="633">
        <v>46</v>
      </c>
      <c r="H297" s="632"/>
      <c r="I297" s="631"/>
      <c r="J297" s="556"/>
      <c r="K297" s="322"/>
      <c r="L297" s="627"/>
      <c r="M297" s="622"/>
    </row>
    <row r="298" spans="1:13" s="340" customFormat="1" ht="15" outlineLevel="1">
      <c r="A298" s="327">
        <v>14</v>
      </c>
      <c r="B298" s="322" t="s">
        <v>275</v>
      </c>
      <c r="C298" s="628">
        <v>1778.37</v>
      </c>
      <c r="D298" s="628">
        <v>13184</v>
      </c>
      <c r="E298" s="629"/>
      <c r="F298" s="630"/>
      <c r="G298" s="633">
        <v>12</v>
      </c>
      <c r="H298" s="632"/>
      <c r="I298" s="631"/>
      <c r="J298" s="556"/>
      <c r="K298" s="322"/>
      <c r="L298" s="627"/>
      <c r="M298" s="622"/>
    </row>
    <row r="299" spans="1:13" s="340" customFormat="1" ht="15" outlineLevel="1">
      <c r="A299" s="322"/>
      <c r="B299" s="322"/>
      <c r="C299" s="629"/>
      <c r="D299" s="629"/>
      <c r="E299" s="629"/>
      <c r="F299" s="630"/>
      <c r="G299" s="630"/>
      <c r="H299" s="632"/>
      <c r="I299" s="631"/>
      <c r="J299" s="556"/>
      <c r="K299" s="322"/>
      <c r="L299" s="627"/>
      <c r="M299" s="622"/>
    </row>
    <row r="300" spans="1:13" s="340" customFormat="1" ht="15" outlineLevel="1">
      <c r="A300" s="322">
        <v>11</v>
      </c>
      <c r="B300" s="322" t="s">
        <v>276</v>
      </c>
      <c r="C300" s="620">
        <v>15759.69</v>
      </c>
      <c r="D300" s="620">
        <v>113572</v>
      </c>
      <c r="E300" s="590"/>
      <c r="F300" s="608"/>
      <c r="G300" s="634">
        <v>80</v>
      </c>
      <c r="H300" s="327"/>
      <c r="I300" s="572"/>
      <c r="J300" s="556"/>
      <c r="K300" s="322"/>
      <c r="L300" s="627"/>
      <c r="M300" s="622"/>
    </row>
    <row r="301" spans="1:13" s="340" customFormat="1" ht="15" outlineLevel="1">
      <c r="A301" s="322">
        <v>12</v>
      </c>
      <c r="B301" s="327" t="s">
        <v>104</v>
      </c>
      <c r="C301" s="620">
        <v>2023.52</v>
      </c>
      <c r="D301" s="620">
        <v>15266</v>
      </c>
      <c r="E301" s="590"/>
      <c r="F301" s="608"/>
      <c r="G301" s="634">
        <v>10</v>
      </c>
      <c r="H301" s="327"/>
      <c r="I301" s="572"/>
      <c r="J301" s="556"/>
      <c r="K301" s="322"/>
      <c r="L301" s="627"/>
      <c r="M301" s="622"/>
    </row>
    <row r="302" spans="1:13" s="340" customFormat="1" ht="15" outlineLevel="1">
      <c r="A302" s="327">
        <v>13</v>
      </c>
      <c r="B302" s="327" t="s">
        <v>103</v>
      </c>
      <c r="C302" s="620">
        <v>193.92</v>
      </c>
      <c r="D302" s="620">
        <v>1439</v>
      </c>
      <c r="E302" s="590"/>
      <c r="F302" s="608"/>
      <c r="G302" s="634">
        <v>1</v>
      </c>
      <c r="H302" s="327"/>
      <c r="I302" s="572"/>
      <c r="J302" s="556"/>
      <c r="K302" s="322"/>
      <c r="L302" s="627"/>
      <c r="M302" s="622"/>
    </row>
    <row r="303" spans="1:13" s="340" customFormat="1" ht="15.75" outlineLevel="1" thickBot="1">
      <c r="A303" s="537">
        <v>14</v>
      </c>
      <c r="B303" s="613" t="s">
        <v>275</v>
      </c>
      <c r="C303" s="619">
        <v>599.77</v>
      </c>
      <c r="D303" s="619">
        <v>4558</v>
      </c>
      <c r="E303" s="611"/>
      <c r="F303" s="612"/>
      <c r="G303" s="635">
        <v>2</v>
      </c>
      <c r="H303" s="613"/>
      <c r="I303" s="604"/>
      <c r="J303" s="559"/>
      <c r="K303" s="537"/>
      <c r="L303" s="625"/>
      <c r="M303" s="621"/>
    </row>
    <row r="304" spans="1:13" ht="15.75" thickBot="1">
      <c r="A304" s="340"/>
      <c r="B304" s="340"/>
      <c r="C304" s="155"/>
      <c r="D304" s="155"/>
      <c r="E304" s="155"/>
      <c r="F304" s="155"/>
      <c r="G304" s="155"/>
      <c r="H304" s="155"/>
      <c r="I304" s="155"/>
      <c r="J304" s="340"/>
      <c r="K304" s="340"/>
      <c r="L304" s="340"/>
      <c r="M304" s="340"/>
    </row>
    <row r="305" spans="1:13" ht="15">
      <c r="A305" s="618">
        <v>2022</v>
      </c>
      <c r="B305" s="118" t="s">
        <v>277</v>
      </c>
      <c r="C305" s="605"/>
      <c r="D305" s="605"/>
      <c r="E305" s="605"/>
      <c r="F305" s="605"/>
      <c r="G305" s="605"/>
      <c r="H305" s="605"/>
      <c r="I305" s="605"/>
      <c r="J305" s="118"/>
      <c r="K305" s="103"/>
      <c r="L305" s="322"/>
      <c r="M305" s="322"/>
    </row>
    <row r="306" spans="1:13" ht="45">
      <c r="A306" s="552" t="s">
        <v>250</v>
      </c>
      <c r="B306" s="322" t="s">
        <v>251</v>
      </c>
      <c r="C306" s="603" t="s">
        <v>252</v>
      </c>
      <c r="D306" s="603" t="s">
        <v>253</v>
      </c>
      <c r="E306" s="603" t="s">
        <v>254</v>
      </c>
      <c r="F306" s="603" t="s">
        <v>256</v>
      </c>
      <c r="G306" s="603" t="s">
        <v>255</v>
      </c>
      <c r="H306" s="603" t="s">
        <v>257</v>
      </c>
      <c r="I306" s="603" t="s">
        <v>258</v>
      </c>
      <c r="J306" s="602" t="s">
        <v>267</v>
      </c>
      <c r="K306" s="623"/>
      <c r="L306" s="602"/>
      <c r="M306" s="602"/>
    </row>
    <row r="307" spans="1:13" ht="15.75" thickBot="1">
      <c r="A307" s="291">
        <v>36</v>
      </c>
      <c r="B307" s="537" t="s">
        <v>260</v>
      </c>
      <c r="C307" s="611">
        <f>SUM(C136,C155,C174,C193,C212,C231,C250,C269,C288,)</f>
        <v>4520</v>
      </c>
      <c r="D307" s="611">
        <f>SUM(D136,D155,D174,D193,D212,D231,D250,D269,D288,)</f>
        <v>2670</v>
      </c>
      <c r="E307" s="611">
        <f>C307-D307</f>
        <v>1850</v>
      </c>
      <c r="F307" s="611">
        <f>SUM(F136,F155,F174,F193,F212,F231,F250,F269,F288,)</f>
        <v>210.60960000000003</v>
      </c>
      <c r="G307" s="611">
        <f>SUM(G136,G155,G174,G193,G212,G231,G250,G269,G288,)</f>
        <v>268.879</v>
      </c>
      <c r="H307" s="611">
        <f>AVERAGE(H136,H155,H174,H193,H212,H231,H250,H269,H288)</f>
        <v>2</v>
      </c>
      <c r="I307" s="604">
        <f>(F307+G307)/C307</f>
        <v>0.10608154867256638</v>
      </c>
      <c r="J307" s="559">
        <f>I307-$C$267</f>
        <v>0.07996154867256637</v>
      </c>
      <c r="K307" s="624"/>
      <c r="L307" s="322"/>
      <c r="M307" s="322"/>
    </row>
    <row r="308" spans="1:13" ht="15">
      <c r="A308" s="117"/>
      <c r="B308" s="322"/>
      <c r="C308" s="590"/>
      <c r="D308" s="590"/>
      <c r="E308" s="327"/>
      <c r="F308" s="608"/>
      <c r="G308" s="608"/>
      <c r="H308" s="327"/>
      <c r="I308" s="572"/>
      <c r="J308" s="322"/>
      <c r="K308" s="610"/>
      <c r="L308" s="322"/>
      <c r="M308" s="322"/>
    </row>
    <row r="309" spans="1:13" ht="15">
      <c r="A309" s="103">
        <v>28</v>
      </c>
      <c r="B309" s="322" t="s">
        <v>261</v>
      </c>
      <c r="C309" s="590">
        <f>SUM(C138,C157,C176,C195,C214,C233,C252,C271,C290,)</f>
        <v>97723</v>
      </c>
      <c r="D309" s="590">
        <f aca="true" t="shared" si="16" ref="C309:D313">SUM(D138,D157,D176,D195,D214,D233,D252,D271,D290,)</f>
        <v>58752</v>
      </c>
      <c r="E309" s="590">
        <f>C309-D309</f>
        <v>38971</v>
      </c>
      <c r="F309" s="590">
        <f aca="true" t="shared" si="17" ref="F309:G313">SUM(F138,F157,F176,F195,F214,F233,F252,F271,F290,)</f>
        <v>4634.35776</v>
      </c>
      <c r="G309" s="590">
        <f t="shared" si="17"/>
        <v>5664.04514</v>
      </c>
      <c r="H309" s="590">
        <f>AVERAGE(H138,H157,H176,H195,H214,H233,H252,H271,H290)</f>
        <v>6</v>
      </c>
      <c r="I309" s="572">
        <f>(F309+G309)/C309</f>
        <v>0.10538361388823513</v>
      </c>
      <c r="J309" s="556">
        <f>I309-$C$267</f>
        <v>0.07926361388823512</v>
      </c>
      <c r="K309" s="624"/>
      <c r="L309" s="322"/>
      <c r="M309" s="322"/>
    </row>
    <row r="310" spans="1:13" ht="15">
      <c r="A310" s="103">
        <v>30</v>
      </c>
      <c r="B310" s="322" t="s">
        <v>100</v>
      </c>
      <c r="C310" s="590">
        <f t="shared" si="16"/>
        <v>1050986</v>
      </c>
      <c r="D310" s="590">
        <f t="shared" si="16"/>
        <v>639327</v>
      </c>
      <c r="E310" s="590">
        <f>C310-D310</f>
        <v>411659</v>
      </c>
      <c r="F310" s="590">
        <f t="shared" si="17"/>
        <v>50430.11376</v>
      </c>
      <c r="G310" s="590">
        <f t="shared" si="17"/>
        <v>59830.51906</v>
      </c>
      <c r="H310" s="590">
        <f>AVERAGE(H139,H158,H177,H196,H215,H234,H253,H272,H291)</f>
        <v>65</v>
      </c>
      <c r="I310" s="572">
        <f>(F310+G310)/C310</f>
        <v>0.10491160949812842</v>
      </c>
      <c r="J310" s="229">
        <f>I310-$C$267</f>
        <v>0.07879160949812841</v>
      </c>
      <c r="K310" s="624"/>
      <c r="L310" s="322"/>
      <c r="M310" s="322"/>
    </row>
    <row r="311" spans="1:13" ht="15">
      <c r="A311" s="103">
        <v>32</v>
      </c>
      <c r="B311" s="322" t="s">
        <v>99</v>
      </c>
      <c r="C311" s="590">
        <f t="shared" si="16"/>
        <v>1136232</v>
      </c>
      <c r="D311" s="590">
        <f t="shared" si="16"/>
        <v>695095</v>
      </c>
      <c r="E311" s="590">
        <f>C311-D311</f>
        <v>441137</v>
      </c>
      <c r="F311" s="590">
        <f t="shared" si="17"/>
        <v>54829.09360000001</v>
      </c>
      <c r="G311" s="590">
        <f t="shared" si="17"/>
        <v>64114.85158000001</v>
      </c>
      <c r="H311" s="590">
        <f>AVERAGE(H140,H159,H178,H197,H216,H235,H254,H273,H292)</f>
        <v>76.22222222222223</v>
      </c>
      <c r="I311" s="572">
        <f>(F311+G311)/C311</f>
        <v>0.10468279821374508</v>
      </c>
      <c r="J311" s="229">
        <f>I311-$C$267</f>
        <v>0.07856279821374508</v>
      </c>
      <c r="K311" s="624"/>
      <c r="L311" s="322"/>
      <c r="M311" s="322"/>
    </row>
    <row r="312" spans="1:13" ht="15">
      <c r="A312" s="103">
        <v>34</v>
      </c>
      <c r="B312" s="322" t="s">
        <v>98</v>
      </c>
      <c r="C312" s="590">
        <f t="shared" si="16"/>
        <v>9629</v>
      </c>
      <c r="D312" s="590">
        <f t="shared" si="16"/>
        <v>5838</v>
      </c>
      <c r="E312" s="590">
        <f>C312-D312</f>
        <v>3791</v>
      </c>
      <c r="F312" s="590">
        <f t="shared" si="17"/>
        <v>460.50144</v>
      </c>
      <c r="G312" s="590">
        <f t="shared" si="17"/>
        <v>550.98394</v>
      </c>
      <c r="H312" s="590">
        <f>AVERAGE(H141,H160,H179,H198,H217,H236,H255,H274,H293)</f>
        <v>2</v>
      </c>
      <c r="I312" s="572">
        <f>(F312+G312)/C312</f>
        <v>0.10504573475958043</v>
      </c>
      <c r="J312" s="229">
        <f>I312-$C$267</f>
        <v>0.07892573475958042</v>
      </c>
      <c r="K312" s="624"/>
      <c r="L312" s="322"/>
      <c r="M312" s="322"/>
    </row>
    <row r="313" spans="1:13" ht="15.75" thickBot="1">
      <c r="A313" s="291">
        <v>36</v>
      </c>
      <c r="B313" s="537" t="s">
        <v>262</v>
      </c>
      <c r="C313" s="611">
        <f t="shared" si="16"/>
        <v>65037</v>
      </c>
      <c r="D313" s="611">
        <f t="shared" si="16"/>
        <v>40096</v>
      </c>
      <c r="E313" s="611">
        <f>C313-D313</f>
        <v>24941</v>
      </c>
      <c r="F313" s="611">
        <f t="shared" si="17"/>
        <v>3162.7724800000005</v>
      </c>
      <c r="G313" s="611">
        <f t="shared" si="17"/>
        <v>3624.9249399999994</v>
      </c>
      <c r="H313" s="611">
        <f>AVERAGE(H142,H161,H180,H199,H218,H237,H256,H275,H294)</f>
        <v>2.111111111111111</v>
      </c>
      <c r="I313" s="604">
        <f>(F313+G313)/C313</f>
        <v>0.10436670541384135</v>
      </c>
      <c r="J313" s="559">
        <f>I313-$C$267</f>
        <v>0.07824670541384135</v>
      </c>
      <c r="K313" s="624"/>
      <c r="L313" s="322"/>
      <c r="M313" s="322"/>
    </row>
    <row r="314" spans="11:13" ht="15">
      <c r="K314" s="610"/>
      <c r="L314" s="327"/>
      <c r="M314" s="327"/>
    </row>
    <row r="315" spans="1:18" ht="30">
      <c r="A315" s="322"/>
      <c r="B315" s="322"/>
      <c r="C315" s="629" t="s">
        <v>123</v>
      </c>
      <c r="D315" s="629" t="s">
        <v>131</v>
      </c>
      <c r="E315" s="629" t="s">
        <v>126</v>
      </c>
      <c r="F315" s="630" t="s">
        <v>125</v>
      </c>
      <c r="G315" s="630" t="s">
        <v>127</v>
      </c>
      <c r="H315" s="632" t="s">
        <v>128</v>
      </c>
      <c r="I315" s="631" t="s">
        <v>130</v>
      </c>
      <c r="J315" s="556"/>
      <c r="K315" s="610"/>
      <c r="L315" s="572"/>
      <c r="M315" s="632"/>
      <c r="N315" s="632"/>
      <c r="O315" s="327"/>
      <c r="P315" s="632"/>
      <c r="Q315" s="632"/>
      <c r="R315" s="327"/>
    </row>
    <row r="316" spans="1:18" ht="15">
      <c r="A316" s="327">
        <v>11</v>
      </c>
      <c r="B316" s="322" t="s">
        <v>276</v>
      </c>
      <c r="C316" s="629">
        <f>SUM(C145+C164+C183+C202+C221+C240+C259+C278+C297)</f>
        <v>64366.399999999994</v>
      </c>
      <c r="D316" s="629">
        <f>SUM(D145+D164+D183+D202+D221+D240+D259+D278+D297)</f>
        <v>487801</v>
      </c>
      <c r="E316" s="629">
        <f>D316*$C$267</f>
        <v>12741.36212</v>
      </c>
      <c r="F316" s="660">
        <v>17.5</v>
      </c>
      <c r="G316" s="629">
        <f>AVERAGE(G145,G164,G183,G202,G221,G240,G259,G278,G297)</f>
        <v>45.666666666666664</v>
      </c>
      <c r="H316" s="637">
        <f>F316*G316</f>
        <v>799.1666666666666</v>
      </c>
      <c r="I316" s="631">
        <f>(C316-E316-H316)/D316</f>
        <v>0.10419386432855474</v>
      </c>
      <c r="J316" s="556"/>
      <c r="K316" s="610"/>
      <c r="L316" s="572"/>
      <c r="M316" s="660"/>
      <c r="N316" s="660"/>
      <c r="O316" s="327"/>
      <c r="P316" s="327"/>
      <c r="Q316" s="327"/>
      <c r="R316" s="327"/>
    </row>
    <row r="317" spans="1:18" ht="15">
      <c r="A317" s="327">
        <v>14</v>
      </c>
      <c r="B317" s="322" t="s">
        <v>275</v>
      </c>
      <c r="C317" s="629">
        <f>SUM(C146+C165+C184+C203+C222+C241+C260+C279+C298)</f>
        <v>15466.029999999999</v>
      </c>
      <c r="D317" s="629">
        <f>SUM(D146+D165+D184+D203+D222+D241+D260+D279+D298)</f>
        <v>120921</v>
      </c>
      <c r="E317" s="629">
        <f>D317*$C$267</f>
        <v>3158.45652</v>
      </c>
      <c r="F317" s="660">
        <v>17.5</v>
      </c>
      <c r="G317" s="629">
        <f>AVERAGE(G146,G165,G184,G203,G222,G241,G260,G279,G298)</f>
        <v>12.666666666666666</v>
      </c>
      <c r="H317" s="637">
        <f>F317*G317</f>
        <v>221.66666666666666</v>
      </c>
      <c r="I317" s="631">
        <f>(C317-E317-H317)/D317</f>
        <v>0.09994878320005073</v>
      </c>
      <c r="J317" s="556"/>
      <c r="K317" s="610"/>
      <c r="L317" s="572"/>
      <c r="M317" s="660"/>
      <c r="N317" s="660"/>
      <c r="O317" s="327"/>
      <c r="P317" s="327"/>
      <c r="Q317" s="327"/>
      <c r="R317" s="327"/>
    </row>
    <row r="318" spans="1:18" ht="15">
      <c r="A318" s="322"/>
      <c r="B318" s="322"/>
      <c r="C318" s="629"/>
      <c r="D318" s="629"/>
      <c r="E318" s="629"/>
      <c r="F318" s="630"/>
      <c r="G318" s="630"/>
      <c r="H318" s="637"/>
      <c r="I318" s="631"/>
      <c r="J318" s="556"/>
      <c r="K318" s="610"/>
      <c r="L318" s="572"/>
      <c r="M318" s="630"/>
      <c r="N318" s="327"/>
      <c r="O318" s="327"/>
      <c r="P318" s="327"/>
      <c r="Q318" s="327"/>
      <c r="R318" s="327"/>
    </row>
    <row r="319" spans="1:18" ht="15">
      <c r="A319" s="322">
        <v>11</v>
      </c>
      <c r="B319" s="322" t="s">
        <v>276</v>
      </c>
      <c r="C319" s="629">
        <f aca="true" t="shared" si="18" ref="C319:D322">SUM(C148+C167+C186+C205+C224+C243+C262+C281+C300)</f>
        <v>157403.40000000002</v>
      </c>
      <c r="D319" s="629">
        <f t="shared" si="18"/>
        <v>1233473</v>
      </c>
      <c r="E319" s="629">
        <f>D319*$C$267</f>
        <v>32218.31476</v>
      </c>
      <c r="F319" s="660">
        <v>17.5</v>
      </c>
      <c r="G319" s="629">
        <f>AVERAGE(G148,G167,G186,G205,G224,G243,G262,G281,G300)</f>
        <v>81.22222222222223</v>
      </c>
      <c r="H319" s="638">
        <f>F319*G319</f>
        <v>1421.388888888889</v>
      </c>
      <c r="I319" s="572">
        <f>(C319-E319-H319)/D319</f>
        <v>0.10033758043435984</v>
      </c>
      <c r="J319" s="556"/>
      <c r="K319" s="610"/>
      <c r="L319" s="572"/>
      <c r="M319" s="113"/>
      <c r="N319" s="660"/>
      <c r="O319" s="327"/>
      <c r="P319" s="327"/>
      <c r="Q319" s="327"/>
      <c r="R319" s="327"/>
    </row>
    <row r="320" spans="1:18" ht="15">
      <c r="A320" s="322">
        <v>12</v>
      </c>
      <c r="B320" s="327" t="s">
        <v>104</v>
      </c>
      <c r="C320" s="629">
        <f t="shared" si="18"/>
        <v>20233.62</v>
      </c>
      <c r="D320" s="629">
        <f t="shared" si="18"/>
        <v>160327</v>
      </c>
      <c r="E320" s="629">
        <f>D320*$C$267</f>
        <v>4187.74124</v>
      </c>
      <c r="F320" s="660">
        <v>17.5</v>
      </c>
      <c r="G320" s="629">
        <f>AVERAGE(G149,G168,G187,G206,G225,G244,G263,G282,G301)</f>
        <v>10.444444444444445</v>
      </c>
      <c r="H320" s="638">
        <f>F320*G320</f>
        <v>182.77777777777777</v>
      </c>
      <c r="I320" s="572">
        <f>(C320-E320-H320)/D320</f>
        <v>0.09894216808286953</v>
      </c>
      <c r="J320" s="556"/>
      <c r="K320" s="610"/>
      <c r="L320" s="572"/>
      <c r="M320" s="113"/>
      <c r="N320" s="660"/>
      <c r="O320" s="327"/>
      <c r="P320" s="327"/>
      <c r="Q320" s="327"/>
      <c r="R320" s="327"/>
    </row>
    <row r="321" spans="1:18" ht="15">
      <c r="A321" s="327">
        <v>13</v>
      </c>
      <c r="B321" s="327" t="s">
        <v>103</v>
      </c>
      <c r="C321" s="629">
        <f t="shared" si="18"/>
        <v>1828.23</v>
      </c>
      <c r="D321" s="629">
        <f t="shared" si="18"/>
        <v>14475</v>
      </c>
      <c r="E321" s="629">
        <f>D321*$C$267</f>
        <v>378.087</v>
      </c>
      <c r="F321" s="660">
        <v>17.5</v>
      </c>
      <c r="G321" s="629">
        <f>AVERAGE(G150,G169,G188,G207,G226,G245,G264,G283,G302)</f>
        <v>1</v>
      </c>
      <c r="H321" s="638">
        <f>F321*G321</f>
        <v>17.5</v>
      </c>
      <c r="I321" s="572">
        <f>(C321-E321-H321)/D321</f>
        <v>0.09897360967184801</v>
      </c>
      <c r="J321" s="556"/>
      <c r="K321" s="610"/>
      <c r="L321" s="572"/>
      <c r="M321" s="113"/>
      <c r="N321" s="660"/>
      <c r="O321" s="327"/>
      <c r="P321" s="327"/>
      <c r="Q321" s="327"/>
      <c r="R321" s="327"/>
    </row>
    <row r="322" spans="1:18" ht="15.75" thickBot="1">
      <c r="A322" s="537">
        <v>14</v>
      </c>
      <c r="B322" s="613" t="s">
        <v>275</v>
      </c>
      <c r="C322" s="687">
        <f t="shared" si="18"/>
        <v>7012.93</v>
      </c>
      <c r="D322" s="687">
        <f t="shared" si="18"/>
        <v>58107</v>
      </c>
      <c r="E322" s="687">
        <f>D322*$C$267</f>
        <v>1517.75484</v>
      </c>
      <c r="F322" s="688">
        <v>17.5</v>
      </c>
      <c r="G322" s="687">
        <f>AVERAGE(G151,G170,G189,G208,G227,G246,G265,G284,G303)</f>
        <v>2.5555555555555554</v>
      </c>
      <c r="H322" s="639">
        <f>F322*G322</f>
        <v>44.72222222222222</v>
      </c>
      <c r="I322" s="604">
        <f>(C322-E322-H322)/D322</f>
        <v>0.0938002811671189</v>
      </c>
      <c r="J322" s="559"/>
      <c r="K322" s="610"/>
      <c r="L322" s="572"/>
      <c r="M322" s="113"/>
      <c r="N322" s="660"/>
      <c r="O322" s="327"/>
      <c r="P322" s="327"/>
      <c r="Q322" s="327"/>
      <c r="R322" s="327"/>
    </row>
    <row r="323" spans="13:18" ht="15">
      <c r="M323" s="327"/>
      <c r="N323" s="327"/>
      <c r="O323" s="327"/>
      <c r="P323" s="327"/>
      <c r="Q323" s="327"/>
      <c r="R323" s="327"/>
    </row>
    <row r="324" spans="13:18" ht="15">
      <c r="M324" s="692"/>
      <c r="N324" s="693"/>
      <c r="O324" s="327"/>
      <c r="P324" s="327"/>
      <c r="Q324" s="327"/>
      <c r="R324" s="327"/>
    </row>
    <row r="325" spans="13:18" ht="15">
      <c r="M325" s="327"/>
      <c r="N325" s="327"/>
      <c r="O325" s="327"/>
      <c r="P325" s="327"/>
      <c r="Q325" s="327"/>
      <c r="R325" s="327"/>
    </row>
  </sheetData>
  <sheetProtection/>
  <mergeCells count="8">
    <mergeCell ref="D33:G33"/>
    <mergeCell ref="H33:R33"/>
    <mergeCell ref="D2:G2"/>
    <mergeCell ref="H2:R2"/>
    <mergeCell ref="D13:G13"/>
    <mergeCell ref="H13:R13"/>
    <mergeCell ref="D23:G23"/>
    <mergeCell ref="H23:R2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X27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" sqref="F6"/>
    </sheetView>
  </sheetViews>
  <sheetFormatPr defaultColWidth="9.140625" defaultRowHeight="15"/>
  <cols>
    <col min="2" max="2" width="43.57421875" style="0" customWidth="1"/>
    <col min="3" max="6" width="16.7109375" style="144" customWidth="1"/>
    <col min="7" max="7" width="18.00390625" style="4" customWidth="1"/>
    <col min="8" max="8" width="18.00390625" style="0" customWidth="1"/>
    <col min="9" max="9" width="18.00390625" style="4" customWidth="1"/>
    <col min="10" max="10" width="18.00390625" style="322" customWidth="1"/>
    <col min="11" max="11" width="18.00390625" style="321" customWidth="1"/>
    <col min="12" max="17" width="18.00390625" style="0" customWidth="1"/>
    <col min="19" max="19" width="14.00390625" style="0" customWidth="1"/>
  </cols>
  <sheetData>
    <row r="1" spans="2:14" ht="15" customHeight="1">
      <c r="B1" s="247"/>
      <c r="C1" s="426" t="s">
        <v>85</v>
      </c>
      <c r="D1" s="427" t="s">
        <v>85</v>
      </c>
      <c r="E1" s="427" t="s">
        <v>154</v>
      </c>
      <c r="F1" s="428" t="s">
        <v>154</v>
      </c>
      <c r="G1" s="722" t="s">
        <v>34</v>
      </c>
      <c r="H1" s="720" t="s">
        <v>245</v>
      </c>
      <c r="I1" s="720" t="s">
        <v>246</v>
      </c>
      <c r="J1" s="724" t="s">
        <v>281</v>
      </c>
      <c r="K1" s="718" t="s">
        <v>168</v>
      </c>
      <c r="L1" s="718" t="s">
        <v>168</v>
      </c>
      <c r="M1" s="718" t="s">
        <v>268</v>
      </c>
      <c r="N1" s="718" t="s">
        <v>268</v>
      </c>
    </row>
    <row r="2" spans="2:14" ht="15.75" customHeight="1" thickBot="1">
      <c r="B2" s="248"/>
      <c r="C2" s="249" t="s">
        <v>153</v>
      </c>
      <c r="D2" s="261" t="s">
        <v>153</v>
      </c>
      <c r="E2" s="261" t="s">
        <v>153</v>
      </c>
      <c r="F2" s="262" t="s">
        <v>153</v>
      </c>
      <c r="G2" s="723"/>
      <c r="H2" s="721"/>
      <c r="I2" s="721"/>
      <c r="J2" s="725"/>
      <c r="K2" s="719"/>
      <c r="L2" s="719"/>
      <c r="M2" s="719"/>
      <c r="N2" s="719"/>
    </row>
    <row r="3" spans="2:24" s="4" customFormat="1" ht="50.25" customHeight="1" thickBot="1">
      <c r="B3" s="429"/>
      <c r="C3" s="336" t="s">
        <v>304</v>
      </c>
      <c r="D3" s="337" t="s">
        <v>305</v>
      </c>
      <c r="E3" s="337" t="s">
        <v>306</v>
      </c>
      <c r="F3" s="265" t="s">
        <v>307</v>
      </c>
      <c r="G3" s="336"/>
      <c r="H3" s="337"/>
      <c r="I3" s="337"/>
      <c r="J3" s="265"/>
      <c r="K3" s="430" t="str">
        <f>C3</f>
        <v>10/1/21 through 12/31/21</v>
      </c>
      <c r="L3" s="337" t="str">
        <f>D3</f>
        <v>01/01/22 through 9/30/22</v>
      </c>
      <c r="M3" s="337" t="str">
        <f>E3</f>
        <v>10/01/22 through 12/31/22</v>
      </c>
      <c r="N3" s="265" t="str">
        <f>F3</f>
        <v>01/01/23 through 12/31/23</v>
      </c>
      <c r="O3"/>
      <c r="P3"/>
      <c r="Q3"/>
      <c r="R3"/>
      <c r="S3"/>
      <c r="T3"/>
      <c r="U3"/>
      <c r="V3"/>
      <c r="W3"/>
      <c r="X3"/>
    </row>
    <row r="4" spans="2:11" ht="15">
      <c r="B4" s="431" t="s">
        <v>0</v>
      </c>
      <c r="C4" s="78"/>
      <c r="D4" s="132"/>
      <c r="E4" s="132"/>
      <c r="F4" s="133"/>
      <c r="G4" s="78"/>
      <c r="H4" s="149"/>
      <c r="I4" s="149"/>
      <c r="J4" s="150"/>
      <c r="K4" s="432"/>
    </row>
    <row r="5" spans="2:14" ht="15.75">
      <c r="B5" s="433" t="s">
        <v>2</v>
      </c>
      <c r="C5" s="689">
        <v>12</v>
      </c>
      <c r="D5" s="596">
        <v>61</v>
      </c>
      <c r="E5" s="596">
        <v>27</v>
      </c>
      <c r="F5" s="210">
        <v>98</v>
      </c>
      <c r="G5" s="335">
        <v>18.87</v>
      </c>
      <c r="H5" s="253">
        <v>23.75</v>
      </c>
      <c r="I5" s="253">
        <v>27.1</v>
      </c>
      <c r="J5" s="254">
        <v>27.1</v>
      </c>
      <c r="K5" s="434">
        <f>C5*J5</f>
        <v>325.20000000000005</v>
      </c>
      <c r="L5" s="518">
        <f>D5*J5</f>
        <v>1653.1000000000001</v>
      </c>
      <c r="M5" s="518">
        <f>E5*J5</f>
        <v>731.7</v>
      </c>
      <c r="N5" s="518">
        <f>F5*J5</f>
        <v>2655.8</v>
      </c>
    </row>
    <row r="6" spans="2:14" ht="15.75">
      <c r="B6" s="435"/>
      <c r="C6" s="596"/>
      <c r="D6" s="596"/>
      <c r="E6" s="596"/>
      <c r="F6" s="210"/>
      <c r="G6" s="335"/>
      <c r="H6" s="253"/>
      <c r="I6" s="253"/>
      <c r="J6" s="254"/>
      <c r="K6" s="434"/>
      <c r="L6" s="518"/>
      <c r="M6" s="518"/>
      <c r="N6" s="518"/>
    </row>
    <row r="7" spans="2:14" ht="15.75">
      <c r="B7" s="433"/>
      <c r="C7" s="596"/>
      <c r="D7" s="596"/>
      <c r="E7" s="596"/>
      <c r="F7" s="210"/>
      <c r="G7" s="335"/>
      <c r="H7" s="253"/>
      <c r="I7" s="253"/>
      <c r="J7" s="254"/>
      <c r="K7" s="434"/>
      <c r="L7" s="518"/>
      <c r="M7" s="518"/>
      <c r="N7" s="518"/>
    </row>
    <row r="8" spans="2:14" ht="15.75">
      <c r="B8" s="433"/>
      <c r="C8" s="596"/>
      <c r="D8" s="596"/>
      <c r="E8" s="596"/>
      <c r="F8" s="210"/>
      <c r="G8" s="335"/>
      <c r="H8" s="253"/>
      <c r="I8" s="253"/>
      <c r="J8" s="254"/>
      <c r="K8" s="434"/>
      <c r="L8" s="518"/>
      <c r="M8" s="518"/>
      <c r="N8" s="518"/>
    </row>
    <row r="9" spans="2:14" ht="15.75">
      <c r="B9" s="435"/>
      <c r="C9" s="596"/>
      <c r="D9" s="596"/>
      <c r="E9" s="596"/>
      <c r="F9" s="210"/>
      <c r="G9" s="335"/>
      <c r="H9" s="253"/>
      <c r="I9" s="253"/>
      <c r="J9" s="254"/>
      <c r="K9" s="434"/>
      <c r="L9" s="518"/>
      <c r="M9" s="518"/>
      <c r="N9" s="518"/>
    </row>
    <row r="10" spans="2:14" ht="15.75">
      <c r="B10" s="436"/>
      <c r="C10" s="596"/>
      <c r="D10" s="596"/>
      <c r="E10" s="596"/>
      <c r="F10" s="210"/>
      <c r="G10" s="335"/>
      <c r="H10" s="253"/>
      <c r="I10" s="253"/>
      <c r="J10" s="254"/>
      <c r="K10" s="434"/>
      <c r="L10" s="519"/>
      <c r="M10" s="518"/>
      <c r="N10" s="518"/>
    </row>
    <row r="11" spans="2:14" ht="15.75">
      <c r="B11" s="436"/>
      <c r="C11" s="596"/>
      <c r="D11" s="596"/>
      <c r="E11" s="596"/>
      <c r="F11" s="210"/>
      <c r="G11" s="335"/>
      <c r="H11" s="253"/>
      <c r="I11" s="253"/>
      <c r="J11" s="254"/>
      <c r="K11" s="649"/>
      <c r="L11" s="518"/>
      <c r="M11" s="518"/>
      <c r="N11" s="518"/>
    </row>
    <row r="12" spans="2:14" ht="15.75">
      <c r="B12" s="436"/>
      <c r="C12" s="596"/>
      <c r="D12" s="596"/>
      <c r="E12" s="596"/>
      <c r="F12" s="210"/>
      <c r="G12" s="335"/>
      <c r="H12" s="253"/>
      <c r="I12" s="253"/>
      <c r="J12" s="254"/>
      <c r="K12" s="434"/>
      <c r="L12" s="518"/>
      <c r="M12" s="518"/>
      <c r="N12" s="518"/>
    </row>
    <row r="13" spans="2:14" ht="15.75" thickBot="1">
      <c r="B13" s="437"/>
      <c r="C13" s="286"/>
      <c r="D13" s="135"/>
      <c r="E13" s="135"/>
      <c r="F13" s="137"/>
      <c r="G13" s="255"/>
      <c r="H13" s="256"/>
      <c r="I13" s="256"/>
      <c r="J13" s="257"/>
      <c r="K13" s="438"/>
      <c r="L13" s="520"/>
      <c r="M13" s="520"/>
      <c r="N13" s="520"/>
    </row>
    <row r="14" spans="2:14" ht="15.75" thickBot="1">
      <c r="B14" s="439" t="s">
        <v>14</v>
      </c>
      <c r="C14" s="250"/>
      <c r="D14" s="251"/>
      <c r="E14" s="251"/>
      <c r="F14" s="252"/>
      <c r="G14" s="258"/>
      <c r="H14" s="259"/>
      <c r="I14" s="259"/>
      <c r="J14" s="260"/>
      <c r="K14" s="440">
        <f>SUM(K5:K12)</f>
        <v>325.20000000000005</v>
      </c>
      <c r="L14" s="440">
        <f>SUM(L5:L12)</f>
        <v>1653.1000000000001</v>
      </c>
      <c r="M14" s="440">
        <f>SUM(M5:M12)</f>
        <v>731.7</v>
      </c>
      <c r="N14" s="440">
        <f>SUM(N5:N12)</f>
        <v>2655.8</v>
      </c>
    </row>
    <row r="15" spans="2:14" ht="15">
      <c r="B15" s="441"/>
      <c r="C15" s="286"/>
      <c r="D15" s="135"/>
      <c r="E15" s="135"/>
      <c r="F15" s="138"/>
      <c r="G15" s="255"/>
      <c r="H15" s="256"/>
      <c r="I15" s="256"/>
      <c r="J15" s="257"/>
      <c r="K15" s="438"/>
      <c r="L15" s="520"/>
      <c r="M15" s="520"/>
      <c r="N15" s="520"/>
    </row>
    <row r="16" spans="2:14" ht="15">
      <c r="B16" s="431" t="s">
        <v>15</v>
      </c>
      <c r="C16" s="286"/>
      <c r="D16" s="135"/>
      <c r="E16" s="135"/>
      <c r="F16" s="139"/>
      <c r="G16" s="255"/>
      <c r="H16" s="256"/>
      <c r="I16" s="256"/>
      <c r="J16" s="257"/>
      <c r="K16" s="438"/>
      <c r="L16" s="520"/>
      <c r="M16" s="520"/>
      <c r="N16" s="520"/>
    </row>
    <row r="17" spans="2:14" ht="15.75">
      <c r="B17" s="436"/>
      <c r="C17" s="689"/>
      <c r="D17" s="596"/>
      <c r="E17" s="596"/>
      <c r="F17" s="134"/>
      <c r="G17" s="335"/>
      <c r="H17" s="253"/>
      <c r="I17" s="253"/>
      <c r="J17" s="254"/>
      <c r="K17" s="434"/>
      <c r="L17" s="518"/>
      <c r="M17" s="518"/>
      <c r="N17" s="518"/>
    </row>
    <row r="18" spans="2:14" ht="15.75">
      <c r="B18" s="433"/>
      <c r="C18" s="689"/>
      <c r="D18" s="596"/>
      <c r="E18" s="596"/>
      <c r="F18" s="134"/>
      <c r="G18" s="335"/>
      <c r="H18" s="253"/>
      <c r="I18" s="253"/>
      <c r="J18" s="254"/>
      <c r="K18" s="434"/>
      <c r="L18" s="518"/>
      <c r="M18" s="518"/>
      <c r="N18" s="518"/>
    </row>
    <row r="19" spans="2:14" ht="15.75">
      <c r="B19" s="436"/>
      <c r="C19" s="689"/>
      <c r="D19" s="596"/>
      <c r="E19" s="596"/>
      <c r="F19" s="134"/>
      <c r="G19" s="335"/>
      <c r="H19" s="253"/>
      <c r="I19" s="253"/>
      <c r="J19" s="254"/>
      <c r="K19" s="434"/>
      <c r="L19" s="519"/>
      <c r="M19" s="518"/>
      <c r="N19" s="518"/>
    </row>
    <row r="20" spans="2:14" ht="15.75">
      <c r="B20" s="442"/>
      <c r="C20" s="689"/>
      <c r="D20" s="596"/>
      <c r="E20" s="596"/>
      <c r="F20" s="134"/>
      <c r="G20" s="335"/>
      <c r="H20" s="253"/>
      <c r="I20" s="253"/>
      <c r="J20" s="254"/>
      <c r="K20" s="434"/>
      <c r="L20" s="518"/>
      <c r="M20" s="518"/>
      <c r="N20" s="518"/>
    </row>
    <row r="21" spans="2:14" ht="15.75">
      <c r="B21" s="433"/>
      <c r="C21" s="689"/>
      <c r="D21" s="596"/>
      <c r="E21" s="596"/>
      <c r="F21" s="134"/>
      <c r="G21" s="335"/>
      <c r="H21" s="253"/>
      <c r="I21" s="253"/>
      <c r="J21" s="254"/>
      <c r="K21" s="434"/>
      <c r="L21" s="519"/>
      <c r="M21" s="518"/>
      <c r="N21" s="518"/>
    </row>
    <row r="22" spans="2:14" ht="15.75">
      <c r="B22" s="436"/>
      <c r="C22" s="689"/>
      <c r="D22" s="596"/>
      <c r="E22" s="596"/>
      <c r="F22" s="134"/>
      <c r="G22" s="335"/>
      <c r="H22" s="253"/>
      <c r="I22" s="253"/>
      <c r="J22" s="254"/>
      <c r="K22" s="649"/>
      <c r="L22" s="518"/>
      <c r="M22" s="518"/>
      <c r="N22" s="518"/>
    </row>
    <row r="23" spans="2:14" ht="16.5" thickBot="1">
      <c r="B23" s="436"/>
      <c r="C23" s="286"/>
      <c r="D23" s="135"/>
      <c r="E23" s="135"/>
      <c r="F23" s="134"/>
      <c r="G23" s="79"/>
      <c r="H23" s="151"/>
      <c r="I23" s="151"/>
      <c r="J23" s="152"/>
      <c r="K23" s="443"/>
      <c r="L23" s="520"/>
      <c r="M23" s="520"/>
      <c r="N23" s="520"/>
    </row>
    <row r="24" spans="2:14" ht="15">
      <c r="B24" s="444" t="s">
        <v>23</v>
      </c>
      <c r="C24" s="445"/>
      <c r="D24" s="446"/>
      <c r="E24" s="447"/>
      <c r="F24" s="448"/>
      <c r="G24" s="449"/>
      <c r="H24" s="450"/>
      <c r="I24" s="450"/>
      <c r="J24" s="451"/>
      <c r="K24" s="452">
        <f>SUM(K15:K22)</f>
        <v>0</v>
      </c>
      <c r="L24" s="452">
        <f>SUM(L15:L22)</f>
        <v>0</v>
      </c>
      <c r="M24" s="452">
        <f>SUM(M15:M22)</f>
        <v>0</v>
      </c>
      <c r="N24" s="452">
        <f>SUM(N15:N22)</f>
        <v>0</v>
      </c>
    </row>
    <row r="25" spans="2:11" ht="15">
      <c r="B25" s="1"/>
      <c r="C25" s="1"/>
      <c r="D25" s="1"/>
      <c r="E25" s="1"/>
      <c r="F25" s="1"/>
      <c r="G25" s="1"/>
      <c r="H25" s="8"/>
      <c r="I25" s="8"/>
      <c r="J25" s="151"/>
      <c r="K25" s="8"/>
    </row>
    <row r="26" spans="2:11" ht="15">
      <c r="B26" s="1"/>
      <c r="C26" s="1"/>
      <c r="D26" s="1"/>
      <c r="E26" s="1"/>
      <c r="F26" s="1"/>
      <c r="G26" s="1"/>
      <c r="H26" s="8"/>
      <c r="I26" s="8"/>
      <c r="J26" s="151"/>
      <c r="K26" s="8"/>
    </row>
    <row r="27" spans="2:11" ht="15">
      <c r="B27" s="1"/>
      <c r="C27" s="1"/>
      <c r="D27" s="1"/>
      <c r="E27" s="1"/>
      <c r="F27" s="1"/>
      <c r="G27" s="1"/>
      <c r="H27" s="8"/>
      <c r="I27" s="8"/>
      <c r="J27" s="151"/>
      <c r="K27" s="8"/>
    </row>
  </sheetData>
  <sheetProtection/>
  <mergeCells count="8">
    <mergeCell ref="M1:M2"/>
    <mergeCell ref="N1:N2"/>
    <mergeCell ref="I1:I2"/>
    <mergeCell ref="H1:H2"/>
    <mergeCell ref="G1:G2"/>
    <mergeCell ref="K1:K2"/>
    <mergeCell ref="J1:J2"/>
    <mergeCell ref="L1:L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G173"/>
  <sheetViews>
    <sheetView zoomScalePageLayoutView="0" workbookViewId="0" topLeftCell="A1">
      <pane xSplit="3" ySplit="8" topLeftCell="D36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R9" sqref="R9:R75"/>
    </sheetView>
  </sheetViews>
  <sheetFormatPr defaultColWidth="9.140625" defaultRowHeight="15"/>
  <cols>
    <col min="2" max="2" width="9.7109375" style="0" bestFit="1" customWidth="1"/>
    <col min="3" max="3" width="12.8515625" style="0" customWidth="1"/>
    <col min="4" max="4" width="17.140625" style="101" customWidth="1"/>
    <col min="5" max="5" width="12.57421875" style="0" customWidth="1"/>
    <col min="6" max="6" width="14.57421875" style="0" customWidth="1"/>
    <col min="7" max="7" width="14.28125" style="0" bestFit="1" customWidth="1"/>
    <col min="8" max="8" width="12.140625" style="0" customWidth="1"/>
    <col min="9" max="9" width="16.00390625" style="0" customWidth="1"/>
    <col min="10" max="10" width="14.00390625" style="0" customWidth="1"/>
    <col min="11" max="11" width="11.57421875" style="0" bestFit="1" customWidth="1"/>
    <col min="12" max="13" width="11.57421875" style="340" customWidth="1"/>
    <col min="14" max="14" width="11.28125" style="0" bestFit="1" customWidth="1"/>
    <col min="15" max="15" width="14.28125" style="0" bestFit="1" customWidth="1"/>
    <col min="16" max="17" width="15.28125" style="0" bestFit="1" customWidth="1"/>
    <col min="18" max="18" width="12.57421875" style="0" bestFit="1" customWidth="1"/>
    <col min="19" max="19" width="14.28125" style="0" bestFit="1" customWidth="1"/>
    <col min="20" max="20" width="12.57421875" style="0" bestFit="1" customWidth="1"/>
    <col min="21" max="21" width="14.7109375" style="0" bestFit="1" customWidth="1"/>
    <col min="22" max="22" width="12.57421875" style="0" bestFit="1" customWidth="1"/>
    <col min="23" max="23" width="14.7109375" style="0" bestFit="1" customWidth="1"/>
    <col min="25" max="25" width="14.8515625" style="0" bestFit="1" customWidth="1"/>
    <col min="26" max="26" width="11.28125" style="0" bestFit="1" customWidth="1"/>
    <col min="27" max="27" width="15.28125" style="0" bestFit="1" customWidth="1"/>
    <col min="28" max="28" width="12.57421875" style="0" bestFit="1" customWidth="1"/>
    <col min="29" max="29" width="14.28125" style="0" bestFit="1" customWidth="1"/>
    <col min="32" max="32" width="12.57421875" style="0" bestFit="1" customWidth="1"/>
    <col min="33" max="33" width="14.7109375" style="0" bestFit="1" customWidth="1"/>
  </cols>
  <sheetData>
    <row r="1" s="340" customFormat="1" ht="15"/>
    <row r="2" s="340" customFormat="1" ht="15">
      <c r="Y2"/>
    </row>
    <row r="3" s="340" customFormat="1" ht="15"/>
    <row r="4" s="340" customFormat="1" ht="15"/>
    <row r="5" s="340" customFormat="1" ht="15"/>
    <row r="6" spans="1:21" ht="15">
      <c r="A6" s="364"/>
      <c r="B6" s="364"/>
      <c r="C6" s="364"/>
      <c r="D6" s="728">
        <v>44105</v>
      </c>
      <c r="E6" s="728"/>
      <c r="F6" s="650"/>
      <c r="G6" s="728">
        <v>44136</v>
      </c>
      <c r="H6" s="728"/>
      <c r="I6" s="364"/>
      <c r="J6" s="728">
        <v>44166</v>
      </c>
      <c r="K6" s="728"/>
      <c r="L6" s="682"/>
      <c r="M6" s="682"/>
      <c r="N6" s="364"/>
      <c r="O6" s="728" t="s">
        <v>292</v>
      </c>
      <c r="P6" s="728"/>
      <c r="Q6" s="728"/>
      <c r="R6" s="728"/>
      <c r="S6" s="728"/>
      <c r="T6" s="728"/>
      <c r="U6" s="728"/>
    </row>
    <row r="7" spans="1:23" ht="15">
      <c r="A7" s="340">
        <v>0.02612</v>
      </c>
      <c r="B7" s="340"/>
      <c r="C7" s="340"/>
      <c r="D7" s="340"/>
      <c r="E7" s="340"/>
      <c r="F7" s="155"/>
      <c r="G7" s="340"/>
      <c r="H7" s="340"/>
      <c r="I7" s="340"/>
      <c r="J7" s="340"/>
      <c r="K7" s="340"/>
      <c r="N7" s="340"/>
      <c r="O7" s="340"/>
      <c r="P7" s="340"/>
      <c r="Q7" s="340"/>
      <c r="R7" s="340"/>
      <c r="S7" s="340"/>
      <c r="T7" s="340"/>
      <c r="U7" s="340"/>
      <c r="V7" s="340"/>
      <c r="W7" s="340"/>
    </row>
    <row r="8" spans="1:33" s="121" customFormat="1" ht="45">
      <c r="A8" s="323"/>
      <c r="B8" s="730" t="s">
        <v>129</v>
      </c>
      <c r="C8" s="730"/>
      <c r="D8" s="662" t="s">
        <v>123</v>
      </c>
      <c r="E8" s="323" t="s">
        <v>93</v>
      </c>
      <c r="F8" s="675"/>
      <c r="G8" s="662" t="s">
        <v>123</v>
      </c>
      <c r="H8" s="323" t="s">
        <v>93</v>
      </c>
      <c r="I8" s="323"/>
      <c r="J8" s="662" t="s">
        <v>123</v>
      </c>
      <c r="K8" s="323" t="s">
        <v>93</v>
      </c>
      <c r="L8" s="323"/>
      <c r="M8" s="730" t="s">
        <v>129</v>
      </c>
      <c r="N8" s="730"/>
      <c r="O8" s="662" t="s">
        <v>123</v>
      </c>
      <c r="P8" s="323" t="s">
        <v>93</v>
      </c>
      <c r="Q8" s="662" t="s">
        <v>126</v>
      </c>
      <c r="R8" s="662" t="s">
        <v>125</v>
      </c>
      <c r="S8" s="662" t="s">
        <v>127</v>
      </c>
      <c r="T8" s="662" t="s">
        <v>128</v>
      </c>
      <c r="U8" s="323" t="s">
        <v>130</v>
      </c>
      <c r="V8" s="683"/>
      <c r="W8" s="675"/>
      <c r="X8" s="675"/>
      <c r="Y8" s="729"/>
      <c r="Z8" s="729"/>
      <c r="AA8" s="683"/>
      <c r="AB8" s="675"/>
      <c r="AC8" s="683"/>
      <c r="AD8" s="683"/>
      <c r="AE8" s="683"/>
      <c r="AF8" s="683"/>
      <c r="AG8" s="675"/>
    </row>
    <row r="9" spans="1:33" ht="15">
      <c r="A9" s="340"/>
      <c r="B9" s="155">
        <v>204</v>
      </c>
      <c r="C9" s="155" t="s">
        <v>105</v>
      </c>
      <c r="D9" s="678"/>
      <c r="E9" s="677"/>
      <c r="F9" s="677"/>
      <c r="G9" s="678"/>
      <c r="H9" s="677"/>
      <c r="I9" s="155"/>
      <c r="J9" s="678"/>
      <c r="K9" s="677"/>
      <c r="L9" s="677"/>
      <c r="M9" s="155">
        <v>204</v>
      </c>
      <c r="N9" s="155" t="s">
        <v>105</v>
      </c>
      <c r="O9" s="678">
        <f aca="true" t="shared" si="0" ref="O9:O28">J9+G9+D9</f>
        <v>0</v>
      </c>
      <c r="P9" s="678">
        <f aca="true" t="shared" si="1" ref="P9:P28">K9+H9+E9</f>
        <v>0</v>
      </c>
      <c r="Q9" s="678">
        <f aca="true" t="shared" si="2" ref="Q9:Q28">P9*$A$7</f>
        <v>0</v>
      </c>
      <c r="R9" s="679"/>
      <c r="S9" s="676">
        <v>397</v>
      </c>
      <c r="T9" s="680">
        <f>R9*S9</f>
        <v>0</v>
      </c>
      <c r="U9" s="114" t="e">
        <f>(O9-Q9-T9)/P9</f>
        <v>#DIV/0!</v>
      </c>
      <c r="V9" s="568"/>
      <c r="W9" s="587"/>
      <c r="X9" s="155"/>
      <c r="Y9" s="155"/>
      <c r="Z9" s="155"/>
      <c r="AA9" s="568"/>
      <c r="AB9" s="653"/>
      <c r="AC9" s="568"/>
      <c r="AD9" s="113"/>
      <c r="AE9" s="653"/>
      <c r="AF9" s="568"/>
      <c r="AG9" s="587"/>
    </row>
    <row r="10" spans="1:33" ht="15">
      <c r="A10" s="340"/>
      <c r="B10" s="155">
        <v>211</v>
      </c>
      <c r="C10" s="155" t="s">
        <v>124</v>
      </c>
      <c r="D10" s="678"/>
      <c r="E10" s="677"/>
      <c r="F10" s="677"/>
      <c r="G10" s="678"/>
      <c r="H10" s="677"/>
      <c r="I10" s="155"/>
      <c r="J10" s="678"/>
      <c r="K10" s="677"/>
      <c r="L10" s="677"/>
      <c r="M10" s="155">
        <v>211</v>
      </c>
      <c r="N10" s="155" t="s">
        <v>124</v>
      </c>
      <c r="O10" s="678">
        <f t="shared" si="0"/>
        <v>0</v>
      </c>
      <c r="P10" s="678">
        <f t="shared" si="1"/>
        <v>0</v>
      </c>
      <c r="Q10" s="678">
        <f t="shared" si="2"/>
        <v>0</v>
      </c>
      <c r="R10" s="679"/>
      <c r="S10" s="676">
        <v>16933</v>
      </c>
      <c r="T10" s="680">
        <f aca="true" t="shared" si="3" ref="T10:T28">R10*S10</f>
        <v>0</v>
      </c>
      <c r="U10" s="114" t="e">
        <f>(O10-Q10-T10)/P10</f>
        <v>#DIV/0!</v>
      </c>
      <c r="V10" s="568"/>
      <c r="W10" s="587"/>
      <c r="X10" s="155"/>
      <c r="Y10" s="155"/>
      <c r="Z10" s="155"/>
      <c r="AA10" s="568"/>
      <c r="AB10" s="653"/>
      <c r="AC10" s="568"/>
      <c r="AD10" s="113"/>
      <c r="AE10" s="653"/>
      <c r="AF10" s="568"/>
      <c r="AG10" s="587"/>
    </row>
    <row r="11" spans="2:33" s="340" customFormat="1" ht="15">
      <c r="B11" s="155">
        <v>212</v>
      </c>
      <c r="C11" s="155" t="s">
        <v>283</v>
      </c>
      <c r="D11" s="678"/>
      <c r="E11" s="677"/>
      <c r="F11" s="677"/>
      <c r="G11" s="678"/>
      <c r="H11" s="677"/>
      <c r="I11" s="155"/>
      <c r="J11" s="678"/>
      <c r="K11" s="677"/>
      <c r="L11" s="677"/>
      <c r="M11" s="155">
        <v>212</v>
      </c>
      <c r="N11" s="155" t="s">
        <v>283</v>
      </c>
      <c r="O11" s="678">
        <f t="shared" si="0"/>
        <v>0</v>
      </c>
      <c r="P11" s="678">
        <f t="shared" si="1"/>
        <v>0</v>
      </c>
      <c r="Q11" s="678">
        <f t="shared" si="2"/>
        <v>0</v>
      </c>
      <c r="R11" s="679"/>
      <c r="S11" s="676">
        <v>1</v>
      </c>
      <c r="T11" s="680">
        <f t="shared" si="3"/>
        <v>0</v>
      </c>
      <c r="U11" s="114">
        <v>0</v>
      </c>
      <c r="V11" s="568"/>
      <c r="W11" s="587"/>
      <c r="X11" s="155"/>
      <c r="Y11" s="155"/>
      <c r="Z11" s="155"/>
      <c r="AA11" s="568"/>
      <c r="AB11" s="653"/>
      <c r="AC11" s="568"/>
      <c r="AD11" s="113"/>
      <c r="AE11" s="653"/>
      <c r="AF11" s="568"/>
      <c r="AG11" s="587"/>
    </row>
    <row r="12" spans="1:33" ht="15">
      <c r="A12" s="340"/>
      <c r="B12" s="155">
        <v>213</v>
      </c>
      <c r="C12" s="155" t="s">
        <v>106</v>
      </c>
      <c r="D12" s="678"/>
      <c r="E12" s="677"/>
      <c r="F12" s="677"/>
      <c r="G12" s="678"/>
      <c r="H12" s="677"/>
      <c r="I12" s="155"/>
      <c r="J12" s="678"/>
      <c r="K12" s="677"/>
      <c r="L12" s="677"/>
      <c r="M12" s="155">
        <v>213</v>
      </c>
      <c r="N12" s="155" t="s">
        <v>106</v>
      </c>
      <c r="O12" s="678">
        <f t="shared" si="0"/>
        <v>0</v>
      </c>
      <c r="P12" s="678">
        <f t="shared" si="1"/>
        <v>0</v>
      </c>
      <c r="Q12" s="678">
        <f t="shared" si="2"/>
        <v>0</v>
      </c>
      <c r="R12" s="679"/>
      <c r="S12" s="676">
        <v>436</v>
      </c>
      <c r="T12" s="678">
        <f t="shared" si="3"/>
        <v>0</v>
      </c>
      <c r="U12" s="114" t="e">
        <f aca="true" t="shared" si="4" ref="U12:U28">(O12-Q12-T12)/P12</f>
        <v>#DIV/0!</v>
      </c>
      <c r="V12" s="568"/>
      <c r="W12" s="587"/>
      <c r="X12" s="155"/>
      <c r="Y12" s="155"/>
      <c r="Z12" s="155"/>
      <c r="AA12" s="568"/>
      <c r="AB12" s="653"/>
      <c r="AC12" s="568"/>
      <c r="AD12" s="113"/>
      <c r="AE12" s="653"/>
      <c r="AF12" s="568"/>
      <c r="AG12" s="587"/>
    </row>
    <row r="13" spans="1:33" ht="15">
      <c r="A13" s="340"/>
      <c r="B13" s="155">
        <v>214</v>
      </c>
      <c r="C13" s="155" t="s">
        <v>107</v>
      </c>
      <c r="D13" s="678"/>
      <c r="E13" s="677"/>
      <c r="F13" s="677"/>
      <c r="G13" s="678"/>
      <c r="H13" s="677"/>
      <c r="I13" s="155"/>
      <c r="J13" s="678"/>
      <c r="K13" s="677"/>
      <c r="L13" s="677"/>
      <c r="M13" s="155">
        <v>214</v>
      </c>
      <c r="N13" s="155" t="s">
        <v>107</v>
      </c>
      <c r="O13" s="678">
        <f t="shared" si="0"/>
        <v>0</v>
      </c>
      <c r="P13" s="678">
        <f t="shared" si="1"/>
        <v>0</v>
      </c>
      <c r="Q13" s="678">
        <f t="shared" si="2"/>
        <v>0</v>
      </c>
      <c r="R13" s="679"/>
      <c r="S13" s="676">
        <v>6</v>
      </c>
      <c r="T13" s="680">
        <f t="shared" si="3"/>
        <v>0</v>
      </c>
      <c r="U13" s="114" t="e">
        <f t="shared" si="4"/>
        <v>#DIV/0!</v>
      </c>
      <c r="V13" s="568"/>
      <c r="W13" s="587"/>
      <c r="X13" s="155"/>
      <c r="Y13" s="155"/>
      <c r="Z13" s="155"/>
      <c r="AA13" s="568"/>
      <c r="AB13" s="653"/>
      <c r="AC13" s="568"/>
      <c r="AD13" s="113"/>
      <c r="AE13" s="653"/>
      <c r="AF13" s="568"/>
      <c r="AG13" s="587"/>
    </row>
    <row r="14" spans="1:33" ht="15">
      <c r="A14" s="340"/>
      <c r="B14" s="155">
        <v>215</v>
      </c>
      <c r="C14" s="155" t="s">
        <v>108</v>
      </c>
      <c r="D14" s="678"/>
      <c r="E14" s="677"/>
      <c r="F14" s="677"/>
      <c r="G14" s="678"/>
      <c r="H14" s="677"/>
      <c r="I14" s="155"/>
      <c r="J14" s="678"/>
      <c r="K14" s="677"/>
      <c r="L14" s="677"/>
      <c r="M14" s="155">
        <v>215</v>
      </c>
      <c r="N14" s="155" t="s">
        <v>108</v>
      </c>
      <c r="O14" s="678">
        <f t="shared" si="0"/>
        <v>0</v>
      </c>
      <c r="P14" s="678">
        <f t="shared" si="1"/>
        <v>0</v>
      </c>
      <c r="Q14" s="678">
        <f t="shared" si="2"/>
        <v>0</v>
      </c>
      <c r="R14" s="679"/>
      <c r="S14" s="676">
        <v>3060</v>
      </c>
      <c r="T14" s="680">
        <f t="shared" si="3"/>
        <v>0</v>
      </c>
      <c r="U14" s="114" t="e">
        <f t="shared" si="4"/>
        <v>#DIV/0!</v>
      </c>
      <c r="V14" s="568"/>
      <c r="W14" s="587"/>
      <c r="X14" s="155"/>
      <c r="Y14" s="155"/>
      <c r="Z14" s="155"/>
      <c r="AA14" s="568"/>
      <c r="AB14" s="653"/>
      <c r="AC14" s="568"/>
      <c r="AD14" s="113"/>
      <c r="AE14" s="653"/>
      <c r="AF14" s="568"/>
      <c r="AG14" s="587"/>
    </row>
    <row r="15" spans="1:33" ht="15">
      <c r="A15" s="340"/>
      <c r="B15" s="155">
        <v>217</v>
      </c>
      <c r="C15" s="155" t="s">
        <v>109</v>
      </c>
      <c r="D15" s="678"/>
      <c r="E15" s="677"/>
      <c r="F15" s="677"/>
      <c r="G15" s="678"/>
      <c r="H15" s="677"/>
      <c r="I15" s="155"/>
      <c r="J15" s="678"/>
      <c r="K15" s="677"/>
      <c r="L15" s="677"/>
      <c r="M15" s="155">
        <v>217</v>
      </c>
      <c r="N15" s="155" t="s">
        <v>109</v>
      </c>
      <c r="O15" s="678">
        <f t="shared" si="0"/>
        <v>0</v>
      </c>
      <c r="P15" s="678">
        <f t="shared" si="1"/>
        <v>0</v>
      </c>
      <c r="Q15" s="678">
        <f t="shared" si="2"/>
        <v>0</v>
      </c>
      <c r="R15" s="679"/>
      <c r="S15" s="676">
        <v>9</v>
      </c>
      <c r="T15" s="680">
        <f t="shared" si="3"/>
        <v>0</v>
      </c>
      <c r="U15" s="114" t="e">
        <f t="shared" si="4"/>
        <v>#DIV/0!</v>
      </c>
      <c r="V15" s="568"/>
      <c r="W15" s="587"/>
      <c r="X15" s="155"/>
      <c r="Y15" s="155"/>
      <c r="Z15" s="155"/>
      <c r="AA15" s="568"/>
      <c r="AB15" s="653"/>
      <c r="AC15" s="568"/>
      <c r="AD15" s="113"/>
      <c r="AE15" s="653"/>
      <c r="AF15" s="568"/>
      <c r="AG15" s="587"/>
    </row>
    <row r="16" spans="1:33" ht="15">
      <c r="A16" s="340"/>
      <c r="B16" s="155">
        <v>220</v>
      </c>
      <c r="C16" s="155" t="s">
        <v>110</v>
      </c>
      <c r="D16" s="678"/>
      <c r="E16" s="677"/>
      <c r="F16" s="677"/>
      <c r="G16" s="678"/>
      <c r="H16" s="677"/>
      <c r="I16" s="155"/>
      <c r="J16" s="678"/>
      <c r="K16" s="677"/>
      <c r="L16" s="677"/>
      <c r="M16" s="155">
        <v>220</v>
      </c>
      <c r="N16" s="155" t="s">
        <v>110</v>
      </c>
      <c r="O16" s="678">
        <f t="shared" si="0"/>
        <v>0</v>
      </c>
      <c r="P16" s="678">
        <f t="shared" si="1"/>
        <v>0</v>
      </c>
      <c r="Q16" s="678">
        <f t="shared" si="2"/>
        <v>0</v>
      </c>
      <c r="R16" s="679"/>
      <c r="S16" s="676">
        <v>3</v>
      </c>
      <c r="T16" s="680">
        <f t="shared" si="3"/>
        <v>0</v>
      </c>
      <c r="U16" s="114" t="e">
        <f t="shared" si="4"/>
        <v>#DIV/0!</v>
      </c>
      <c r="V16" s="568"/>
      <c r="W16" s="587"/>
      <c r="X16" s="155"/>
      <c r="Y16" s="155"/>
      <c r="Z16" s="155"/>
      <c r="AA16" s="568"/>
      <c r="AB16" s="653"/>
      <c r="AC16" s="568"/>
      <c r="AD16" s="113"/>
      <c r="AE16" s="653"/>
      <c r="AF16" s="568"/>
      <c r="AG16" s="587"/>
    </row>
    <row r="17" spans="1:33" ht="15">
      <c r="A17" s="340"/>
      <c r="B17" s="155">
        <v>223</v>
      </c>
      <c r="C17" s="155" t="s">
        <v>111</v>
      </c>
      <c r="D17" s="678"/>
      <c r="E17" s="677"/>
      <c r="F17" s="677"/>
      <c r="G17" s="678"/>
      <c r="H17" s="677"/>
      <c r="I17" s="155"/>
      <c r="J17" s="678"/>
      <c r="K17" s="677"/>
      <c r="L17" s="677"/>
      <c r="M17" s="155">
        <v>223</v>
      </c>
      <c r="N17" s="155" t="s">
        <v>111</v>
      </c>
      <c r="O17" s="678">
        <f t="shared" si="0"/>
        <v>0</v>
      </c>
      <c r="P17" s="678">
        <f t="shared" si="1"/>
        <v>0</v>
      </c>
      <c r="Q17" s="678">
        <f t="shared" si="2"/>
        <v>0</v>
      </c>
      <c r="R17" s="679"/>
      <c r="S17" s="676">
        <v>4</v>
      </c>
      <c r="T17" s="680">
        <f t="shared" si="3"/>
        <v>0</v>
      </c>
      <c r="U17" s="114" t="e">
        <f t="shared" si="4"/>
        <v>#DIV/0!</v>
      </c>
      <c r="V17" s="568"/>
      <c r="W17" s="587"/>
      <c r="X17" s="155"/>
      <c r="Y17" s="155"/>
      <c r="Z17" s="155"/>
      <c r="AA17" s="568"/>
      <c r="AB17" s="653"/>
      <c r="AC17" s="568"/>
      <c r="AD17" s="113"/>
      <c r="AE17" s="653"/>
      <c r="AF17" s="568"/>
      <c r="AG17" s="587"/>
    </row>
    <row r="18" spans="1:33" ht="15">
      <c r="A18" s="340"/>
      <c r="B18" s="155">
        <v>225</v>
      </c>
      <c r="C18" s="155" t="s">
        <v>112</v>
      </c>
      <c r="D18" s="678"/>
      <c r="E18" s="677"/>
      <c r="F18" s="677"/>
      <c r="G18" s="678"/>
      <c r="H18" s="677"/>
      <c r="I18" s="155"/>
      <c r="J18" s="678"/>
      <c r="K18" s="677"/>
      <c r="L18" s="677"/>
      <c r="M18" s="155">
        <v>225</v>
      </c>
      <c r="N18" s="155" t="s">
        <v>112</v>
      </c>
      <c r="O18" s="678">
        <f t="shared" si="0"/>
        <v>0</v>
      </c>
      <c r="P18" s="678">
        <f t="shared" si="1"/>
        <v>0</v>
      </c>
      <c r="Q18" s="678">
        <f t="shared" si="2"/>
        <v>0</v>
      </c>
      <c r="R18" s="679"/>
      <c r="S18" s="676">
        <v>2</v>
      </c>
      <c r="T18" s="678">
        <f t="shared" si="3"/>
        <v>0</v>
      </c>
      <c r="U18" s="587" t="e">
        <f t="shared" si="4"/>
        <v>#DIV/0!</v>
      </c>
      <c r="V18" s="568"/>
      <c r="W18" s="587"/>
      <c r="X18" s="155"/>
      <c r="Y18" s="155"/>
      <c r="Z18" s="155"/>
      <c r="AA18" s="568"/>
      <c r="AB18" s="653"/>
      <c r="AC18" s="568"/>
      <c r="AD18" s="113"/>
      <c r="AE18" s="653"/>
      <c r="AF18" s="568"/>
      <c r="AG18" s="587"/>
    </row>
    <row r="19" spans="1:33" ht="15">
      <c r="A19" s="340"/>
      <c r="B19" s="155">
        <v>227</v>
      </c>
      <c r="C19" s="155" t="s">
        <v>113</v>
      </c>
      <c r="D19" s="678"/>
      <c r="E19" s="677"/>
      <c r="F19" s="677"/>
      <c r="G19" s="678"/>
      <c r="H19" s="677"/>
      <c r="I19" s="155"/>
      <c r="J19" s="678"/>
      <c r="K19" s="677"/>
      <c r="L19" s="677"/>
      <c r="M19" s="155">
        <v>227</v>
      </c>
      <c r="N19" s="155" t="s">
        <v>113</v>
      </c>
      <c r="O19" s="678">
        <f t="shared" si="0"/>
        <v>0</v>
      </c>
      <c r="P19" s="678">
        <f t="shared" si="1"/>
        <v>0</v>
      </c>
      <c r="Q19" s="678">
        <f t="shared" si="2"/>
        <v>0</v>
      </c>
      <c r="R19" s="679"/>
      <c r="S19" s="676">
        <v>361</v>
      </c>
      <c r="T19" s="680">
        <f t="shared" si="3"/>
        <v>0</v>
      </c>
      <c r="U19" s="114" t="e">
        <f t="shared" si="4"/>
        <v>#DIV/0!</v>
      </c>
      <c r="V19" s="568"/>
      <c r="W19" s="587"/>
      <c r="X19" s="155"/>
      <c r="Y19" s="155"/>
      <c r="Z19" s="155"/>
      <c r="AA19" s="568"/>
      <c r="AB19" s="653"/>
      <c r="AC19" s="568"/>
      <c r="AD19" s="113"/>
      <c r="AE19" s="653"/>
      <c r="AF19" s="568"/>
      <c r="AG19" s="587"/>
    </row>
    <row r="20" spans="1:33" ht="15">
      <c r="A20" s="340"/>
      <c r="B20" s="155">
        <v>229</v>
      </c>
      <c r="C20" s="155" t="s">
        <v>114</v>
      </c>
      <c r="D20" s="678"/>
      <c r="E20" s="677"/>
      <c r="F20" s="677"/>
      <c r="G20" s="678"/>
      <c r="H20" s="677"/>
      <c r="I20" s="155"/>
      <c r="J20" s="678"/>
      <c r="K20" s="677"/>
      <c r="L20" s="677"/>
      <c r="M20" s="155">
        <v>229</v>
      </c>
      <c r="N20" s="155" t="s">
        <v>114</v>
      </c>
      <c r="O20" s="678">
        <f t="shared" si="0"/>
        <v>0</v>
      </c>
      <c r="P20" s="678">
        <f t="shared" si="1"/>
        <v>0</v>
      </c>
      <c r="Q20" s="678">
        <f t="shared" si="2"/>
        <v>0</v>
      </c>
      <c r="R20" s="679"/>
      <c r="S20" s="676">
        <v>52</v>
      </c>
      <c r="T20" s="680">
        <f t="shared" si="3"/>
        <v>0</v>
      </c>
      <c r="U20" s="114" t="e">
        <f t="shared" si="4"/>
        <v>#DIV/0!</v>
      </c>
      <c r="V20" s="568"/>
      <c r="W20" s="587"/>
      <c r="X20" s="155"/>
      <c r="Y20" s="155"/>
      <c r="Z20" s="155"/>
      <c r="AA20" s="568"/>
      <c r="AB20" s="653"/>
      <c r="AC20" s="568"/>
      <c r="AD20" s="113"/>
      <c r="AE20" s="653"/>
      <c r="AF20" s="568"/>
      <c r="AG20" s="587"/>
    </row>
    <row r="21" spans="1:33" ht="15">
      <c r="A21" s="340"/>
      <c r="B21" s="155">
        <v>236</v>
      </c>
      <c r="C21" s="155" t="s">
        <v>115</v>
      </c>
      <c r="D21" s="678"/>
      <c r="E21" s="677"/>
      <c r="F21" s="677"/>
      <c r="G21" s="678"/>
      <c r="H21" s="677"/>
      <c r="I21" s="155"/>
      <c r="J21" s="678"/>
      <c r="K21" s="677"/>
      <c r="L21" s="677"/>
      <c r="M21" s="155">
        <v>236</v>
      </c>
      <c r="N21" s="155" t="s">
        <v>115</v>
      </c>
      <c r="O21" s="678">
        <f t="shared" si="0"/>
        <v>0</v>
      </c>
      <c r="P21" s="678">
        <f t="shared" si="1"/>
        <v>0</v>
      </c>
      <c r="Q21" s="678">
        <f t="shared" si="2"/>
        <v>0</v>
      </c>
      <c r="R21" s="679"/>
      <c r="S21" s="676">
        <v>0</v>
      </c>
      <c r="T21" s="680">
        <f t="shared" si="3"/>
        <v>0</v>
      </c>
      <c r="U21" s="114">
        <v>0</v>
      </c>
      <c r="V21" s="568"/>
      <c r="W21" s="587"/>
      <c r="X21" s="155"/>
      <c r="Y21" s="155"/>
      <c r="Z21" s="155"/>
      <c r="AA21" s="568"/>
      <c r="AB21" s="653"/>
      <c r="AC21" s="568"/>
      <c r="AD21" s="113"/>
      <c r="AE21" s="653"/>
      <c r="AF21" s="568"/>
      <c r="AG21" s="587"/>
    </row>
    <row r="22" spans="1:33" ht="15">
      <c r="A22" s="340"/>
      <c r="B22" s="155">
        <v>240</v>
      </c>
      <c r="C22" s="155" t="s">
        <v>116</v>
      </c>
      <c r="D22" s="678"/>
      <c r="E22" s="677"/>
      <c r="F22" s="677"/>
      <c r="G22" s="678"/>
      <c r="H22" s="677"/>
      <c r="I22" s="155"/>
      <c r="J22" s="678"/>
      <c r="K22" s="677"/>
      <c r="L22" s="677"/>
      <c r="M22" s="155">
        <v>240</v>
      </c>
      <c r="N22" s="155" t="s">
        <v>116</v>
      </c>
      <c r="O22" s="678">
        <f t="shared" si="0"/>
        <v>0</v>
      </c>
      <c r="P22" s="678">
        <f t="shared" si="1"/>
        <v>0</v>
      </c>
      <c r="Q22" s="678">
        <f t="shared" si="2"/>
        <v>0</v>
      </c>
      <c r="R22" s="679"/>
      <c r="S22" s="676">
        <v>141</v>
      </c>
      <c r="T22" s="680">
        <f t="shared" si="3"/>
        <v>0</v>
      </c>
      <c r="U22" s="114" t="e">
        <f t="shared" si="4"/>
        <v>#DIV/0!</v>
      </c>
      <c r="V22" s="568"/>
      <c r="W22" s="587"/>
      <c r="X22" s="155"/>
      <c r="Y22" s="155"/>
      <c r="Z22" s="155"/>
      <c r="AA22" s="568"/>
      <c r="AB22" s="653"/>
      <c r="AC22" s="568"/>
      <c r="AD22" s="113"/>
      <c r="AE22" s="653"/>
      <c r="AF22" s="568"/>
      <c r="AG22" s="587"/>
    </row>
    <row r="23" spans="1:33" ht="15">
      <c r="A23" s="340"/>
      <c r="B23" s="155">
        <v>244</v>
      </c>
      <c r="C23" s="155" t="s">
        <v>117</v>
      </c>
      <c r="D23" s="678"/>
      <c r="E23" s="677"/>
      <c r="F23" s="677"/>
      <c r="G23" s="678"/>
      <c r="H23" s="677"/>
      <c r="I23" s="155"/>
      <c r="J23" s="678"/>
      <c r="K23" s="677"/>
      <c r="L23" s="677"/>
      <c r="M23" s="155">
        <v>244</v>
      </c>
      <c r="N23" s="155" t="s">
        <v>117</v>
      </c>
      <c r="O23" s="678">
        <f t="shared" si="0"/>
        <v>0</v>
      </c>
      <c r="P23" s="678">
        <f t="shared" si="1"/>
        <v>0</v>
      </c>
      <c r="Q23" s="678">
        <f t="shared" si="2"/>
        <v>0</v>
      </c>
      <c r="R23" s="679"/>
      <c r="S23" s="676">
        <v>10</v>
      </c>
      <c r="T23" s="680">
        <f t="shared" si="3"/>
        <v>0</v>
      </c>
      <c r="U23" s="114" t="e">
        <f t="shared" si="4"/>
        <v>#DIV/0!</v>
      </c>
      <c r="V23" s="568"/>
      <c r="W23" s="587"/>
      <c r="X23" s="155"/>
      <c r="Y23" s="155"/>
      <c r="Z23" s="155"/>
      <c r="AA23" s="568"/>
      <c r="AB23" s="653"/>
      <c r="AC23" s="568"/>
      <c r="AD23" s="113"/>
      <c r="AE23" s="653"/>
      <c r="AF23" s="568"/>
      <c r="AG23" s="587"/>
    </row>
    <row r="24" spans="1:33" ht="15">
      <c r="A24" s="340"/>
      <c r="B24" s="155">
        <v>248</v>
      </c>
      <c r="C24" s="155" t="s">
        <v>118</v>
      </c>
      <c r="D24" s="678"/>
      <c r="E24" s="677"/>
      <c r="F24" s="677"/>
      <c r="G24" s="678"/>
      <c r="H24" s="677"/>
      <c r="I24" s="155"/>
      <c r="J24" s="678"/>
      <c r="K24" s="677"/>
      <c r="L24" s="677"/>
      <c r="M24" s="155">
        <v>248</v>
      </c>
      <c r="N24" s="155" t="s">
        <v>118</v>
      </c>
      <c r="O24" s="678">
        <f t="shared" si="0"/>
        <v>0</v>
      </c>
      <c r="P24" s="678">
        <f t="shared" si="1"/>
        <v>0</v>
      </c>
      <c r="Q24" s="678">
        <f t="shared" si="2"/>
        <v>0</v>
      </c>
      <c r="R24" s="679"/>
      <c r="S24" s="676">
        <v>4</v>
      </c>
      <c r="T24" s="678">
        <f t="shared" si="3"/>
        <v>0</v>
      </c>
      <c r="U24" s="114" t="e">
        <f t="shared" si="4"/>
        <v>#DIV/0!</v>
      </c>
      <c r="V24" s="568"/>
      <c r="W24" s="587"/>
      <c r="X24" s="155"/>
      <c r="Y24" s="155"/>
      <c r="Z24" s="155"/>
      <c r="AA24" s="568"/>
      <c r="AB24" s="653"/>
      <c r="AC24" s="568"/>
      <c r="AD24" s="113"/>
      <c r="AE24" s="653"/>
      <c r="AF24" s="568"/>
      <c r="AG24" s="587"/>
    </row>
    <row r="25" spans="1:33" ht="15">
      <c r="A25" s="340"/>
      <c r="B25" s="155">
        <v>256</v>
      </c>
      <c r="C25" s="155" t="s">
        <v>119</v>
      </c>
      <c r="D25" s="678"/>
      <c r="E25" s="677"/>
      <c r="F25" s="677"/>
      <c r="G25" s="678"/>
      <c r="H25" s="677"/>
      <c r="I25" s="155"/>
      <c r="J25" s="678"/>
      <c r="K25" s="677"/>
      <c r="L25" s="677"/>
      <c r="M25" s="155">
        <v>256</v>
      </c>
      <c r="N25" s="155" t="s">
        <v>119</v>
      </c>
      <c r="O25" s="680">
        <f t="shared" si="0"/>
        <v>0</v>
      </c>
      <c r="P25" s="680">
        <f t="shared" si="1"/>
        <v>0</v>
      </c>
      <c r="Q25" s="680">
        <f t="shared" si="2"/>
        <v>0</v>
      </c>
      <c r="R25" s="679"/>
      <c r="S25" s="676">
        <v>7</v>
      </c>
      <c r="T25" s="680">
        <f t="shared" si="3"/>
        <v>0</v>
      </c>
      <c r="U25" s="114" t="e">
        <f t="shared" si="4"/>
        <v>#DIV/0!</v>
      </c>
      <c r="V25" s="568"/>
      <c r="W25" s="587"/>
      <c r="X25" s="155"/>
      <c r="Y25" s="155"/>
      <c r="Z25" s="155"/>
      <c r="AA25" s="568"/>
      <c r="AB25" s="653"/>
      <c r="AC25" s="568"/>
      <c r="AD25" s="113"/>
      <c r="AE25" s="653"/>
      <c r="AF25" s="568"/>
      <c r="AG25" s="587"/>
    </row>
    <row r="26" spans="1:33" ht="15">
      <c r="A26" s="340"/>
      <c r="B26" s="155">
        <v>356</v>
      </c>
      <c r="C26" s="155" t="s">
        <v>120</v>
      </c>
      <c r="D26" s="678"/>
      <c r="E26" s="677"/>
      <c r="F26" s="677"/>
      <c r="G26" s="678"/>
      <c r="H26" s="677"/>
      <c r="I26" s="155"/>
      <c r="J26" s="678"/>
      <c r="K26" s="677"/>
      <c r="L26" s="677"/>
      <c r="M26" s="155">
        <v>356</v>
      </c>
      <c r="N26" s="155" t="s">
        <v>120</v>
      </c>
      <c r="O26" s="678">
        <f t="shared" si="0"/>
        <v>0</v>
      </c>
      <c r="P26" s="678">
        <f t="shared" si="1"/>
        <v>0</v>
      </c>
      <c r="Q26" s="678">
        <f t="shared" si="2"/>
        <v>0</v>
      </c>
      <c r="R26" s="679"/>
      <c r="S26" s="676">
        <v>4</v>
      </c>
      <c r="T26" s="680">
        <f t="shared" si="3"/>
        <v>0</v>
      </c>
      <c r="U26" s="114" t="e">
        <f t="shared" si="4"/>
        <v>#DIV/0!</v>
      </c>
      <c r="V26" s="568"/>
      <c r="W26" s="587"/>
      <c r="X26" s="155"/>
      <c r="Y26" s="155"/>
      <c r="Z26" s="155"/>
      <c r="AA26" s="568"/>
      <c r="AB26" s="653"/>
      <c r="AC26" s="568"/>
      <c r="AD26" s="113"/>
      <c r="AE26" s="653"/>
      <c r="AF26" s="568"/>
      <c r="AG26" s="587"/>
    </row>
    <row r="27" spans="1:33" ht="15">
      <c r="A27" s="340"/>
      <c r="B27" s="155">
        <v>358</v>
      </c>
      <c r="C27" s="155" t="s">
        <v>121</v>
      </c>
      <c r="D27" s="678"/>
      <c r="E27" s="677"/>
      <c r="F27" s="677"/>
      <c r="G27" s="678"/>
      <c r="H27" s="677"/>
      <c r="I27" s="155"/>
      <c r="J27" s="678"/>
      <c r="K27" s="677"/>
      <c r="L27" s="677"/>
      <c r="M27" s="155">
        <v>358</v>
      </c>
      <c r="N27" s="155" t="s">
        <v>121</v>
      </c>
      <c r="O27" s="678">
        <f t="shared" si="0"/>
        <v>0</v>
      </c>
      <c r="P27" s="678">
        <f t="shared" si="1"/>
        <v>0</v>
      </c>
      <c r="Q27" s="678">
        <f t="shared" si="2"/>
        <v>0</v>
      </c>
      <c r="R27" s="679"/>
      <c r="S27" s="676">
        <v>9</v>
      </c>
      <c r="T27" s="678">
        <f t="shared" si="3"/>
        <v>0</v>
      </c>
      <c r="U27" s="114" t="e">
        <f t="shared" si="4"/>
        <v>#DIV/0!</v>
      </c>
      <c r="V27" s="568"/>
      <c r="W27" s="587"/>
      <c r="X27" s="155"/>
      <c r="Y27" s="155"/>
      <c r="Z27" s="155"/>
      <c r="AA27" s="568"/>
      <c r="AB27" s="653"/>
      <c r="AC27" s="568"/>
      <c r="AD27" s="113"/>
      <c r="AE27" s="653"/>
      <c r="AF27" s="568"/>
      <c r="AG27" s="587"/>
    </row>
    <row r="28" spans="1:33" ht="15">
      <c r="A28" s="340"/>
      <c r="B28" s="155">
        <v>359</v>
      </c>
      <c r="C28" s="155" t="s">
        <v>122</v>
      </c>
      <c r="D28" s="678"/>
      <c r="E28" s="677"/>
      <c r="F28" s="677"/>
      <c r="G28" s="678"/>
      <c r="H28" s="677"/>
      <c r="I28" s="155"/>
      <c r="J28" s="678"/>
      <c r="K28" s="677"/>
      <c r="L28" s="677"/>
      <c r="M28" s="155">
        <v>359</v>
      </c>
      <c r="N28" s="155" t="s">
        <v>122</v>
      </c>
      <c r="O28" s="678">
        <f t="shared" si="0"/>
        <v>0</v>
      </c>
      <c r="P28" s="678">
        <f t="shared" si="1"/>
        <v>0</v>
      </c>
      <c r="Q28" s="678">
        <f t="shared" si="2"/>
        <v>0</v>
      </c>
      <c r="R28" s="679"/>
      <c r="S28" s="676">
        <v>3</v>
      </c>
      <c r="T28" s="678">
        <f t="shared" si="3"/>
        <v>0</v>
      </c>
      <c r="U28" s="114" t="e">
        <f t="shared" si="4"/>
        <v>#DIV/0!</v>
      </c>
      <c r="V28" s="568"/>
      <c r="W28" s="587"/>
      <c r="X28" s="155"/>
      <c r="Y28" s="155"/>
      <c r="Z28" s="155"/>
      <c r="AA28" s="568"/>
      <c r="AB28" s="653"/>
      <c r="AC28" s="568"/>
      <c r="AD28" s="113"/>
      <c r="AE28" s="653"/>
      <c r="AF28" s="568"/>
      <c r="AG28" s="587"/>
    </row>
    <row r="29" spans="1:33" ht="15">
      <c r="A29" s="340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340"/>
      <c r="P29" s="155"/>
      <c r="Q29" s="340"/>
      <c r="R29" s="322"/>
      <c r="S29" s="340"/>
      <c r="T29" s="340"/>
      <c r="U29" s="340"/>
      <c r="V29" s="155"/>
      <c r="W29" s="155"/>
      <c r="X29" s="155"/>
      <c r="Y29" s="155"/>
      <c r="Z29" s="155"/>
      <c r="AA29" s="155"/>
      <c r="AB29" s="155"/>
      <c r="AC29" s="155"/>
      <c r="AD29" s="327"/>
      <c r="AE29" s="155"/>
      <c r="AF29" s="155"/>
      <c r="AG29" s="155"/>
    </row>
    <row r="30" spans="1:33" ht="15">
      <c r="A30" s="340"/>
      <c r="B30" s="727" t="s">
        <v>132</v>
      </c>
      <c r="C30" s="727"/>
      <c r="D30" s="155"/>
      <c r="E30" s="155"/>
      <c r="F30" s="155"/>
      <c r="G30" s="155"/>
      <c r="H30" s="155"/>
      <c r="I30" s="155"/>
      <c r="J30" s="155"/>
      <c r="K30" s="155"/>
      <c r="L30" s="155"/>
      <c r="M30" s="727" t="s">
        <v>132</v>
      </c>
      <c r="N30" s="727"/>
      <c r="O30" s="340"/>
      <c r="P30" s="340"/>
      <c r="Q30" s="340"/>
      <c r="R30" s="322"/>
      <c r="S30" s="340"/>
      <c r="T30" s="340"/>
      <c r="U30" s="340"/>
      <c r="V30" s="155"/>
      <c r="W30" s="155"/>
      <c r="X30" s="155"/>
      <c r="Y30" s="729"/>
      <c r="Z30" s="729"/>
      <c r="AA30" s="155"/>
      <c r="AB30" s="155"/>
      <c r="AC30" s="155"/>
      <c r="AD30" s="327"/>
      <c r="AE30" s="155"/>
      <c r="AF30" s="155"/>
      <c r="AG30" s="155"/>
    </row>
    <row r="31" spans="1:33" ht="15">
      <c r="A31" s="340"/>
      <c r="B31" s="155">
        <v>211</v>
      </c>
      <c r="C31" s="155" t="s">
        <v>124</v>
      </c>
      <c r="D31" s="678"/>
      <c r="E31" s="677"/>
      <c r="F31" s="677"/>
      <c r="G31" s="678"/>
      <c r="H31" s="677"/>
      <c r="I31" s="155"/>
      <c r="J31" s="678"/>
      <c r="K31" s="677"/>
      <c r="L31" s="677"/>
      <c r="M31" s="155">
        <v>211</v>
      </c>
      <c r="N31" s="155" t="s">
        <v>124</v>
      </c>
      <c r="O31" s="678">
        <f aca="true" t="shared" si="5" ref="O31:O44">J31+G31+D31</f>
        <v>0</v>
      </c>
      <c r="P31" s="678">
        <f aca="true" t="shared" si="6" ref="P31:P44">K31+H31+E31</f>
        <v>0</v>
      </c>
      <c r="Q31" s="678">
        <f aca="true" t="shared" si="7" ref="Q31:Q44">P31*$A$7</f>
        <v>0</v>
      </c>
      <c r="R31" s="679"/>
      <c r="S31" s="676">
        <v>2316</v>
      </c>
      <c r="T31" s="680">
        <f aca="true" t="shared" si="8" ref="T31:T44">R31*S31</f>
        <v>0</v>
      </c>
      <c r="U31" s="114" t="e">
        <f>(O31-Q31-T31)/P31</f>
        <v>#DIV/0!</v>
      </c>
      <c r="V31" s="568"/>
      <c r="W31" s="587"/>
      <c r="X31" s="155"/>
      <c r="Y31" s="155"/>
      <c r="Z31" s="155"/>
      <c r="AA31" s="568"/>
      <c r="AB31" s="653"/>
      <c r="AC31" s="568"/>
      <c r="AD31" s="113"/>
      <c r="AE31" s="653"/>
      <c r="AF31" s="568"/>
      <c r="AG31" s="587"/>
    </row>
    <row r="32" spans="1:33" ht="15">
      <c r="A32" s="340"/>
      <c r="B32" s="155">
        <v>215</v>
      </c>
      <c r="C32" s="155" t="s">
        <v>108</v>
      </c>
      <c r="D32" s="678"/>
      <c r="E32" s="677"/>
      <c r="F32" s="677"/>
      <c r="G32" s="678"/>
      <c r="H32" s="677"/>
      <c r="I32" s="155"/>
      <c r="J32" s="678"/>
      <c r="K32" s="677"/>
      <c r="L32" s="677"/>
      <c r="M32" s="155">
        <v>215</v>
      </c>
      <c r="N32" s="155" t="s">
        <v>108</v>
      </c>
      <c r="O32" s="678">
        <f t="shared" si="5"/>
        <v>0</v>
      </c>
      <c r="P32" s="678">
        <f t="shared" si="6"/>
        <v>0</v>
      </c>
      <c r="Q32" s="678">
        <f t="shared" si="7"/>
        <v>0</v>
      </c>
      <c r="R32" s="679"/>
      <c r="S32" s="676">
        <v>2103</v>
      </c>
      <c r="T32" s="680">
        <f t="shared" si="8"/>
        <v>0</v>
      </c>
      <c r="U32" s="114" t="e">
        <f>(O32-Q32-T32)/P32</f>
        <v>#DIV/0!</v>
      </c>
      <c r="V32" s="568"/>
      <c r="W32" s="587"/>
      <c r="X32" s="155"/>
      <c r="Y32" s="155"/>
      <c r="Z32" s="155"/>
      <c r="AA32" s="568"/>
      <c r="AB32" s="653"/>
      <c r="AC32" s="568"/>
      <c r="AD32" s="113"/>
      <c r="AE32" s="653"/>
      <c r="AF32" s="568"/>
      <c r="AG32" s="587"/>
    </row>
    <row r="33" spans="1:33" ht="15">
      <c r="A33" s="340"/>
      <c r="B33" s="155">
        <v>217</v>
      </c>
      <c r="C33" s="155" t="s">
        <v>109</v>
      </c>
      <c r="D33" s="678"/>
      <c r="E33" s="677"/>
      <c r="F33" s="677"/>
      <c r="G33" s="678"/>
      <c r="H33" s="677"/>
      <c r="I33" s="155"/>
      <c r="J33" s="678"/>
      <c r="K33" s="677"/>
      <c r="L33" s="677"/>
      <c r="M33" s="155">
        <v>217</v>
      </c>
      <c r="N33" s="155" t="s">
        <v>109</v>
      </c>
      <c r="O33" s="678">
        <f t="shared" si="5"/>
        <v>0</v>
      </c>
      <c r="P33" s="678">
        <f t="shared" si="6"/>
        <v>0</v>
      </c>
      <c r="Q33" s="678">
        <f t="shared" si="7"/>
        <v>0</v>
      </c>
      <c r="R33" s="679"/>
      <c r="S33" s="676">
        <v>5</v>
      </c>
      <c r="T33" s="680">
        <f t="shared" si="8"/>
        <v>0</v>
      </c>
      <c r="U33" s="114" t="e">
        <f>(O33-Q33-T33)/P33</f>
        <v>#DIV/0!</v>
      </c>
      <c r="V33" s="568"/>
      <c r="W33" s="587"/>
      <c r="X33" s="155"/>
      <c r="Y33" s="155"/>
      <c r="Z33" s="155"/>
      <c r="AA33" s="568"/>
      <c r="AB33" s="653"/>
      <c r="AC33" s="568"/>
      <c r="AD33" s="113"/>
      <c r="AE33" s="653"/>
      <c r="AF33" s="568"/>
      <c r="AG33" s="587"/>
    </row>
    <row r="34" spans="1:33" ht="15">
      <c r="A34" s="340"/>
      <c r="B34" s="155">
        <v>220</v>
      </c>
      <c r="C34" s="155" t="s">
        <v>110</v>
      </c>
      <c r="D34" s="678"/>
      <c r="E34" s="677"/>
      <c r="F34" s="677"/>
      <c r="G34" s="678"/>
      <c r="H34" s="677"/>
      <c r="I34" s="155"/>
      <c r="J34" s="678"/>
      <c r="K34" s="677"/>
      <c r="L34" s="677"/>
      <c r="M34" s="155">
        <v>220</v>
      </c>
      <c r="N34" s="155" t="s">
        <v>110</v>
      </c>
      <c r="O34" s="678">
        <f t="shared" si="5"/>
        <v>0</v>
      </c>
      <c r="P34" s="678">
        <f t="shared" si="6"/>
        <v>0</v>
      </c>
      <c r="Q34" s="678">
        <f t="shared" si="7"/>
        <v>0</v>
      </c>
      <c r="R34" s="679"/>
      <c r="S34" s="676">
        <v>0</v>
      </c>
      <c r="T34" s="680">
        <f t="shared" si="8"/>
        <v>0</v>
      </c>
      <c r="U34" s="587">
        <v>0</v>
      </c>
      <c r="V34" s="568"/>
      <c r="W34" s="587"/>
      <c r="X34" s="155"/>
      <c r="Y34" s="155"/>
      <c r="Z34" s="155"/>
      <c r="AA34" s="568"/>
      <c r="AB34" s="653"/>
      <c r="AC34" s="568"/>
      <c r="AD34" s="113"/>
      <c r="AE34" s="653"/>
      <c r="AF34" s="568"/>
      <c r="AG34" s="587"/>
    </row>
    <row r="35" spans="1:33" ht="15">
      <c r="A35" s="340"/>
      <c r="B35" s="155">
        <v>223</v>
      </c>
      <c r="C35" s="155" t="s">
        <v>111</v>
      </c>
      <c r="D35" s="678"/>
      <c r="E35" s="677"/>
      <c r="F35" s="677"/>
      <c r="G35" s="678"/>
      <c r="H35" s="677"/>
      <c r="I35" s="155"/>
      <c r="J35" s="678"/>
      <c r="K35" s="677"/>
      <c r="L35" s="677"/>
      <c r="M35" s="155">
        <v>223</v>
      </c>
      <c r="N35" s="155" t="s">
        <v>111</v>
      </c>
      <c r="O35" s="678">
        <f t="shared" si="5"/>
        <v>0</v>
      </c>
      <c r="P35" s="678">
        <f t="shared" si="6"/>
        <v>0</v>
      </c>
      <c r="Q35" s="678">
        <f t="shared" si="7"/>
        <v>0</v>
      </c>
      <c r="R35" s="679"/>
      <c r="S35" s="676">
        <v>34</v>
      </c>
      <c r="T35" s="680">
        <f t="shared" si="8"/>
        <v>0</v>
      </c>
      <c r="U35" s="114" t="e">
        <f aca="true" t="shared" si="9" ref="U35:U44">(O35-Q35-T35)/P35</f>
        <v>#DIV/0!</v>
      </c>
      <c r="V35" s="568"/>
      <c r="W35" s="587"/>
      <c r="X35" s="155"/>
      <c r="Y35" s="155"/>
      <c r="Z35" s="155"/>
      <c r="AA35" s="568"/>
      <c r="AB35" s="653"/>
      <c r="AC35" s="568"/>
      <c r="AD35" s="113"/>
      <c r="AE35" s="653"/>
      <c r="AF35" s="568"/>
      <c r="AG35" s="587"/>
    </row>
    <row r="36" spans="1:33" ht="15">
      <c r="A36" s="340"/>
      <c r="B36" s="155">
        <v>225</v>
      </c>
      <c r="C36" s="155" t="s">
        <v>112</v>
      </c>
      <c r="D36" s="678"/>
      <c r="E36" s="677"/>
      <c r="F36" s="677"/>
      <c r="G36" s="678"/>
      <c r="H36" s="677"/>
      <c r="I36" s="155"/>
      <c r="J36" s="678"/>
      <c r="K36" s="677"/>
      <c r="L36" s="677"/>
      <c r="M36" s="155">
        <v>225</v>
      </c>
      <c r="N36" s="155" t="s">
        <v>112</v>
      </c>
      <c r="O36" s="678">
        <f t="shared" si="5"/>
        <v>0</v>
      </c>
      <c r="P36" s="678">
        <f t="shared" si="6"/>
        <v>0</v>
      </c>
      <c r="Q36" s="678">
        <f t="shared" si="7"/>
        <v>0</v>
      </c>
      <c r="R36" s="679"/>
      <c r="S36" s="676">
        <v>23</v>
      </c>
      <c r="T36" s="680">
        <f t="shared" si="8"/>
        <v>0</v>
      </c>
      <c r="U36" s="114" t="e">
        <f t="shared" si="9"/>
        <v>#DIV/0!</v>
      </c>
      <c r="V36" s="568"/>
      <c r="W36" s="587"/>
      <c r="X36" s="155"/>
      <c r="Y36" s="155"/>
      <c r="Z36" s="155"/>
      <c r="AA36" s="568"/>
      <c r="AB36" s="653"/>
      <c r="AC36" s="568"/>
      <c r="AD36" s="113"/>
      <c r="AE36" s="653"/>
      <c r="AF36" s="568"/>
      <c r="AG36" s="587"/>
    </row>
    <row r="37" spans="1:33" ht="15">
      <c r="A37" s="340"/>
      <c r="B37" s="155">
        <v>227</v>
      </c>
      <c r="C37" s="155" t="s">
        <v>113</v>
      </c>
      <c r="D37" s="678"/>
      <c r="E37" s="677"/>
      <c r="F37" s="677"/>
      <c r="G37" s="678"/>
      <c r="H37" s="677"/>
      <c r="I37" s="155"/>
      <c r="J37" s="678"/>
      <c r="K37" s="677"/>
      <c r="L37" s="677"/>
      <c r="M37" s="155">
        <v>227</v>
      </c>
      <c r="N37" s="155" t="s">
        <v>113</v>
      </c>
      <c r="O37" s="678">
        <f t="shared" si="5"/>
        <v>0</v>
      </c>
      <c r="P37" s="678">
        <f t="shared" si="6"/>
        <v>0</v>
      </c>
      <c r="Q37" s="678">
        <f t="shared" si="7"/>
        <v>0</v>
      </c>
      <c r="R37" s="679"/>
      <c r="S37" s="676">
        <v>138</v>
      </c>
      <c r="T37" s="680">
        <f t="shared" si="8"/>
        <v>0</v>
      </c>
      <c r="U37" s="114" t="e">
        <f t="shared" si="9"/>
        <v>#DIV/0!</v>
      </c>
      <c r="V37" s="568"/>
      <c r="W37" s="587"/>
      <c r="X37" s="155"/>
      <c r="Y37" s="155"/>
      <c r="Z37" s="155"/>
      <c r="AA37" s="568"/>
      <c r="AB37" s="653"/>
      <c r="AC37" s="568"/>
      <c r="AD37" s="113"/>
      <c r="AE37" s="653"/>
      <c r="AF37" s="568"/>
      <c r="AG37" s="587"/>
    </row>
    <row r="38" spans="1:33" ht="15">
      <c r="A38" s="340"/>
      <c r="B38" s="155">
        <v>229</v>
      </c>
      <c r="C38" s="155" t="s">
        <v>114</v>
      </c>
      <c r="D38" s="678"/>
      <c r="E38" s="677"/>
      <c r="F38" s="677"/>
      <c r="G38" s="678"/>
      <c r="H38" s="677"/>
      <c r="I38" s="155"/>
      <c r="J38" s="678"/>
      <c r="K38" s="677"/>
      <c r="L38" s="677"/>
      <c r="M38" s="155">
        <v>229</v>
      </c>
      <c r="N38" s="155" t="s">
        <v>114</v>
      </c>
      <c r="O38" s="678">
        <f t="shared" si="5"/>
        <v>0</v>
      </c>
      <c r="P38" s="678">
        <f t="shared" si="6"/>
        <v>0</v>
      </c>
      <c r="Q38" s="678">
        <f t="shared" si="7"/>
        <v>0</v>
      </c>
      <c r="R38" s="679"/>
      <c r="S38" s="676">
        <v>51</v>
      </c>
      <c r="T38" s="680">
        <f t="shared" si="8"/>
        <v>0</v>
      </c>
      <c r="U38" s="114" t="e">
        <f t="shared" si="9"/>
        <v>#DIV/0!</v>
      </c>
      <c r="V38" s="568"/>
      <c r="W38" s="587"/>
      <c r="X38" s="155"/>
      <c r="Y38" s="155"/>
      <c r="Z38" s="155"/>
      <c r="AA38" s="568"/>
      <c r="AB38" s="653"/>
      <c r="AC38" s="568"/>
      <c r="AD38" s="113"/>
      <c r="AE38" s="653"/>
      <c r="AF38" s="568"/>
      <c r="AG38" s="587"/>
    </row>
    <row r="39" spans="1:33" ht="15">
      <c r="A39" s="340"/>
      <c r="B39" s="155">
        <v>240</v>
      </c>
      <c r="C39" s="155" t="s">
        <v>116</v>
      </c>
      <c r="D39" s="678"/>
      <c r="E39" s="677"/>
      <c r="F39" s="677"/>
      <c r="G39" s="678"/>
      <c r="H39" s="677"/>
      <c r="I39" s="155"/>
      <c r="J39" s="678"/>
      <c r="K39" s="677"/>
      <c r="L39" s="677"/>
      <c r="M39" s="155">
        <v>240</v>
      </c>
      <c r="N39" s="155" t="s">
        <v>116</v>
      </c>
      <c r="O39" s="678">
        <f t="shared" si="5"/>
        <v>0</v>
      </c>
      <c r="P39" s="678">
        <f t="shared" si="6"/>
        <v>0</v>
      </c>
      <c r="Q39" s="678">
        <f t="shared" si="7"/>
        <v>0</v>
      </c>
      <c r="R39" s="679"/>
      <c r="S39" s="676">
        <v>162</v>
      </c>
      <c r="T39" s="680">
        <f t="shared" si="8"/>
        <v>0</v>
      </c>
      <c r="U39" s="114" t="e">
        <f t="shared" si="9"/>
        <v>#DIV/0!</v>
      </c>
      <c r="V39" s="568"/>
      <c r="W39" s="587"/>
      <c r="X39" s="155"/>
      <c r="Y39" s="155"/>
      <c r="Z39" s="155"/>
      <c r="AA39" s="568"/>
      <c r="AB39" s="653"/>
      <c r="AC39" s="568"/>
      <c r="AD39" s="113"/>
      <c r="AE39" s="653"/>
      <c r="AF39" s="568"/>
      <c r="AG39" s="587"/>
    </row>
    <row r="40" spans="1:33" ht="15">
      <c r="A40" s="340"/>
      <c r="B40" s="155">
        <v>242</v>
      </c>
      <c r="C40" s="155" t="s">
        <v>133</v>
      </c>
      <c r="D40" s="678"/>
      <c r="E40" s="677"/>
      <c r="F40" s="677"/>
      <c r="G40" s="678"/>
      <c r="H40" s="677"/>
      <c r="I40" s="155"/>
      <c r="J40" s="678"/>
      <c r="K40" s="677"/>
      <c r="L40" s="677"/>
      <c r="M40" s="155">
        <v>242</v>
      </c>
      <c r="N40" s="155" t="s">
        <v>133</v>
      </c>
      <c r="O40" s="678">
        <f t="shared" si="5"/>
        <v>0</v>
      </c>
      <c r="P40" s="678">
        <f t="shared" si="6"/>
        <v>0</v>
      </c>
      <c r="Q40" s="678">
        <f t="shared" si="7"/>
        <v>0</v>
      </c>
      <c r="R40" s="679"/>
      <c r="S40" s="676">
        <v>1</v>
      </c>
      <c r="T40" s="680">
        <f t="shared" si="8"/>
        <v>0</v>
      </c>
      <c r="U40" s="114" t="e">
        <f t="shared" si="9"/>
        <v>#DIV/0!</v>
      </c>
      <c r="V40" s="568"/>
      <c r="W40" s="587"/>
      <c r="X40" s="155"/>
      <c r="Y40" s="155"/>
      <c r="Z40" s="155"/>
      <c r="AA40" s="568"/>
      <c r="AB40" s="653"/>
      <c r="AC40" s="568"/>
      <c r="AD40" s="113"/>
      <c r="AE40" s="653"/>
      <c r="AF40" s="568"/>
      <c r="AG40" s="587"/>
    </row>
    <row r="41" spans="1:33" ht="15">
      <c r="A41" s="340"/>
      <c r="B41" s="155">
        <v>244</v>
      </c>
      <c r="C41" s="155" t="s">
        <v>117</v>
      </c>
      <c r="D41" s="678"/>
      <c r="E41" s="677"/>
      <c r="F41" s="677"/>
      <c r="G41" s="678"/>
      <c r="H41" s="677"/>
      <c r="I41" s="155"/>
      <c r="J41" s="678"/>
      <c r="K41" s="677"/>
      <c r="L41" s="677"/>
      <c r="M41" s="155">
        <v>244</v>
      </c>
      <c r="N41" s="155" t="s">
        <v>117</v>
      </c>
      <c r="O41" s="678">
        <f t="shared" si="5"/>
        <v>0</v>
      </c>
      <c r="P41" s="678">
        <f t="shared" si="6"/>
        <v>0</v>
      </c>
      <c r="Q41" s="678">
        <f t="shared" si="7"/>
        <v>0</v>
      </c>
      <c r="R41" s="679"/>
      <c r="S41" s="676">
        <v>7</v>
      </c>
      <c r="T41" s="680">
        <f t="shared" si="8"/>
        <v>0</v>
      </c>
      <c r="U41" s="114" t="e">
        <f t="shared" si="9"/>
        <v>#DIV/0!</v>
      </c>
      <c r="V41" s="568"/>
      <c r="W41" s="587"/>
      <c r="X41" s="155"/>
      <c r="Y41" s="155"/>
      <c r="Z41" s="155"/>
      <c r="AA41" s="568"/>
      <c r="AB41" s="653"/>
      <c r="AC41" s="568"/>
      <c r="AD41" s="113"/>
      <c r="AE41" s="653"/>
      <c r="AF41" s="568"/>
      <c r="AG41" s="587"/>
    </row>
    <row r="42" spans="1:33" ht="15">
      <c r="A42" s="340"/>
      <c r="B42" s="155">
        <v>248</v>
      </c>
      <c r="C42" s="155" t="s">
        <v>118</v>
      </c>
      <c r="D42" s="678"/>
      <c r="E42" s="677"/>
      <c r="F42" s="677"/>
      <c r="G42" s="678"/>
      <c r="H42" s="677"/>
      <c r="I42" s="155"/>
      <c r="J42" s="678"/>
      <c r="K42" s="677"/>
      <c r="L42" s="677"/>
      <c r="M42" s="155">
        <v>248</v>
      </c>
      <c r="N42" s="155" t="s">
        <v>118</v>
      </c>
      <c r="O42" s="678">
        <f t="shared" si="5"/>
        <v>0</v>
      </c>
      <c r="P42" s="678">
        <f t="shared" si="6"/>
        <v>0</v>
      </c>
      <c r="Q42" s="678">
        <f t="shared" si="7"/>
        <v>0</v>
      </c>
      <c r="R42" s="679"/>
      <c r="S42" s="676">
        <v>1</v>
      </c>
      <c r="T42" s="680">
        <f t="shared" si="8"/>
        <v>0</v>
      </c>
      <c r="U42" s="114" t="e">
        <f t="shared" si="9"/>
        <v>#DIV/0!</v>
      </c>
      <c r="V42" s="568"/>
      <c r="W42" s="587"/>
      <c r="X42" s="155"/>
      <c r="Y42" s="155"/>
      <c r="Z42" s="155"/>
      <c r="AA42" s="568"/>
      <c r="AB42" s="653"/>
      <c r="AC42" s="568"/>
      <c r="AD42" s="113"/>
      <c r="AE42" s="653"/>
      <c r="AF42" s="568"/>
      <c r="AG42" s="587"/>
    </row>
    <row r="43" spans="1:33" ht="15">
      <c r="A43" s="340"/>
      <c r="B43" s="155">
        <v>251</v>
      </c>
      <c r="C43" s="155" t="s">
        <v>134</v>
      </c>
      <c r="D43" s="678"/>
      <c r="E43" s="677"/>
      <c r="F43" s="677"/>
      <c r="G43" s="678"/>
      <c r="H43" s="677"/>
      <c r="I43" s="155"/>
      <c r="J43" s="678"/>
      <c r="K43" s="677"/>
      <c r="L43" s="677"/>
      <c r="M43" s="155">
        <v>251</v>
      </c>
      <c r="N43" s="155" t="s">
        <v>134</v>
      </c>
      <c r="O43" s="678">
        <f t="shared" si="5"/>
        <v>0</v>
      </c>
      <c r="P43" s="678">
        <f t="shared" si="6"/>
        <v>0</v>
      </c>
      <c r="Q43" s="678">
        <f t="shared" si="7"/>
        <v>0</v>
      </c>
      <c r="R43" s="679"/>
      <c r="S43" s="676">
        <v>4</v>
      </c>
      <c r="T43" s="680">
        <f t="shared" si="8"/>
        <v>0</v>
      </c>
      <c r="U43" s="114" t="e">
        <f t="shared" si="9"/>
        <v>#DIV/0!</v>
      </c>
      <c r="V43" s="568"/>
      <c r="W43" s="587"/>
      <c r="X43" s="155"/>
      <c r="Y43" s="155"/>
      <c r="Z43" s="155"/>
      <c r="AA43" s="568"/>
      <c r="AB43" s="653"/>
      <c r="AC43" s="568"/>
      <c r="AD43" s="113"/>
      <c r="AE43" s="653"/>
      <c r="AF43" s="568"/>
      <c r="AG43" s="587"/>
    </row>
    <row r="44" spans="1:33" ht="15">
      <c r="A44" s="340"/>
      <c r="B44" s="155">
        <v>358</v>
      </c>
      <c r="C44" s="155" t="s">
        <v>121</v>
      </c>
      <c r="D44" s="678"/>
      <c r="E44" s="677"/>
      <c r="F44" s="677"/>
      <c r="G44" s="678"/>
      <c r="H44" s="677"/>
      <c r="I44" s="155"/>
      <c r="J44" s="678"/>
      <c r="K44" s="677"/>
      <c r="L44" s="677"/>
      <c r="M44" s="155">
        <v>358</v>
      </c>
      <c r="N44" s="155" t="s">
        <v>121</v>
      </c>
      <c r="O44" s="678">
        <f t="shared" si="5"/>
        <v>0</v>
      </c>
      <c r="P44" s="678">
        <f t="shared" si="6"/>
        <v>0</v>
      </c>
      <c r="Q44" s="678">
        <f t="shared" si="7"/>
        <v>0</v>
      </c>
      <c r="R44" s="679"/>
      <c r="S44" s="676">
        <v>2</v>
      </c>
      <c r="T44" s="680">
        <f t="shared" si="8"/>
        <v>0</v>
      </c>
      <c r="U44" s="114" t="e">
        <f t="shared" si="9"/>
        <v>#DIV/0!</v>
      </c>
      <c r="V44" s="568"/>
      <c r="W44" s="587"/>
      <c r="X44" s="155"/>
      <c r="Y44" s="155"/>
      <c r="Z44" s="155"/>
      <c r="AA44" s="568"/>
      <c r="AB44" s="653"/>
      <c r="AC44" s="568"/>
      <c r="AD44" s="113"/>
      <c r="AE44" s="653"/>
      <c r="AF44" s="568"/>
      <c r="AG44" s="587"/>
    </row>
    <row r="45" spans="1:33" ht="15">
      <c r="A45" s="340"/>
      <c r="B45" s="155"/>
      <c r="C45" s="155"/>
      <c r="D45" s="678"/>
      <c r="E45" s="677"/>
      <c r="F45" s="677"/>
      <c r="G45" s="678"/>
      <c r="H45" s="677"/>
      <c r="I45" s="155"/>
      <c r="J45" s="678"/>
      <c r="K45" s="677"/>
      <c r="L45" s="677"/>
      <c r="M45" s="155"/>
      <c r="N45" s="155"/>
      <c r="O45" s="680"/>
      <c r="P45" s="681"/>
      <c r="Q45" s="340"/>
      <c r="R45" s="340"/>
      <c r="S45" s="155"/>
      <c r="T45" s="340"/>
      <c r="U45" s="340"/>
      <c r="V45" s="155"/>
      <c r="W45" s="155"/>
      <c r="X45" s="155"/>
      <c r="Y45" s="155"/>
      <c r="Z45" s="155"/>
      <c r="AA45" s="568"/>
      <c r="AB45" s="653"/>
      <c r="AC45" s="155"/>
      <c r="AD45" s="155"/>
      <c r="AE45" s="155"/>
      <c r="AF45" s="155"/>
      <c r="AG45" s="155"/>
    </row>
    <row r="46" spans="1:33" ht="15">
      <c r="A46" s="340"/>
      <c r="B46" s="726" t="s">
        <v>135</v>
      </c>
      <c r="C46" s="726"/>
      <c r="D46" s="678"/>
      <c r="E46" s="677"/>
      <c r="F46" s="677"/>
      <c r="G46" s="678"/>
      <c r="H46" s="677"/>
      <c r="I46" s="155"/>
      <c r="J46" s="678"/>
      <c r="K46" s="677"/>
      <c r="L46" s="677"/>
      <c r="M46" s="726" t="s">
        <v>135</v>
      </c>
      <c r="N46" s="726"/>
      <c r="O46" s="680"/>
      <c r="P46" s="681"/>
      <c r="Q46" s="340"/>
      <c r="R46" s="340"/>
      <c r="S46" s="340"/>
      <c r="T46" s="340"/>
      <c r="U46" s="340"/>
      <c r="V46" s="155"/>
      <c r="W46" s="155"/>
      <c r="X46" s="155"/>
      <c r="Y46" s="729"/>
      <c r="Z46" s="729"/>
      <c r="AA46" s="568"/>
      <c r="AB46" s="653"/>
      <c r="AC46" s="155"/>
      <c r="AD46" s="155"/>
      <c r="AE46" s="155"/>
      <c r="AF46" s="155"/>
      <c r="AG46" s="155"/>
    </row>
    <row r="47" spans="1:33" ht="15">
      <c r="A47" s="340"/>
      <c r="B47" s="155">
        <v>211</v>
      </c>
      <c r="C47" s="155" t="s">
        <v>124</v>
      </c>
      <c r="D47" s="678"/>
      <c r="E47" s="677"/>
      <c r="F47" s="677"/>
      <c r="G47" s="678"/>
      <c r="H47" s="677"/>
      <c r="I47" s="155"/>
      <c r="J47" s="678"/>
      <c r="K47" s="677"/>
      <c r="L47" s="677"/>
      <c r="M47" s="155">
        <v>211</v>
      </c>
      <c r="N47" s="155" t="s">
        <v>124</v>
      </c>
      <c r="O47" s="678">
        <f aca="true" t="shared" si="10" ref="O47:O56">J47+G47+D47</f>
        <v>0</v>
      </c>
      <c r="P47" s="678">
        <f aca="true" t="shared" si="11" ref="P47:P56">K47+H47+E47</f>
        <v>0</v>
      </c>
      <c r="Q47" s="680">
        <f aca="true" t="shared" si="12" ref="Q47:Q56">P47*$A$7</f>
        <v>0</v>
      </c>
      <c r="R47" s="679"/>
      <c r="S47" s="676">
        <v>247</v>
      </c>
      <c r="T47" s="680">
        <f aca="true" t="shared" si="13" ref="T47:T56">R47*S47</f>
        <v>0</v>
      </c>
      <c r="U47" s="114" t="e">
        <f aca="true" t="shared" si="14" ref="U47:U56">(O47-Q47-T47)/P47</f>
        <v>#DIV/0!</v>
      </c>
      <c r="V47" s="568"/>
      <c r="W47" s="587"/>
      <c r="X47" s="155"/>
      <c r="Y47" s="155"/>
      <c r="Z47" s="155"/>
      <c r="AA47" s="568"/>
      <c r="AB47" s="653"/>
      <c r="AC47" s="568"/>
      <c r="AD47" s="113"/>
      <c r="AE47" s="653"/>
      <c r="AF47" s="568"/>
      <c r="AG47" s="587"/>
    </row>
    <row r="48" spans="1:33" s="115" customFormat="1" ht="15">
      <c r="A48" s="340"/>
      <c r="B48" s="155">
        <v>214</v>
      </c>
      <c r="C48" s="155" t="s">
        <v>107</v>
      </c>
      <c r="D48" s="678"/>
      <c r="E48" s="677"/>
      <c r="F48" s="677"/>
      <c r="G48" s="678"/>
      <c r="H48" s="677"/>
      <c r="I48" s="155"/>
      <c r="J48" s="678"/>
      <c r="K48" s="677"/>
      <c r="L48" s="677"/>
      <c r="M48" s="155">
        <v>214</v>
      </c>
      <c r="N48" s="155" t="s">
        <v>107</v>
      </c>
      <c r="O48" s="678">
        <f t="shared" si="10"/>
        <v>0</v>
      </c>
      <c r="P48" s="678">
        <f t="shared" si="11"/>
        <v>0</v>
      </c>
      <c r="Q48" s="680">
        <f t="shared" si="12"/>
        <v>0</v>
      </c>
      <c r="R48" s="679"/>
      <c r="S48" s="676">
        <v>59</v>
      </c>
      <c r="T48" s="680">
        <f t="shared" si="13"/>
        <v>0</v>
      </c>
      <c r="U48" s="114" t="e">
        <f t="shared" si="14"/>
        <v>#DIV/0!</v>
      </c>
      <c r="V48" s="568"/>
      <c r="W48" s="587"/>
      <c r="X48" s="155"/>
      <c r="Y48" s="155"/>
      <c r="Z48" s="155"/>
      <c r="AA48" s="568"/>
      <c r="AB48" s="653"/>
      <c r="AC48" s="568"/>
      <c r="AD48" s="113"/>
      <c r="AE48" s="653"/>
      <c r="AF48" s="568"/>
      <c r="AG48" s="587"/>
    </row>
    <row r="49" spans="1:33" ht="15">
      <c r="A49" s="340"/>
      <c r="B49" s="155">
        <v>215</v>
      </c>
      <c r="C49" s="155" t="s">
        <v>108</v>
      </c>
      <c r="D49" s="678"/>
      <c r="E49" s="677"/>
      <c r="F49" s="677"/>
      <c r="G49" s="678"/>
      <c r="H49" s="677"/>
      <c r="I49" s="155"/>
      <c r="J49" s="678"/>
      <c r="K49" s="677"/>
      <c r="L49" s="677"/>
      <c r="M49" s="155">
        <v>215</v>
      </c>
      <c r="N49" s="155" t="s">
        <v>108</v>
      </c>
      <c r="O49" s="678">
        <f t="shared" si="10"/>
        <v>0</v>
      </c>
      <c r="P49" s="678">
        <f t="shared" si="11"/>
        <v>0</v>
      </c>
      <c r="Q49" s="680">
        <f t="shared" si="12"/>
        <v>0</v>
      </c>
      <c r="R49" s="679"/>
      <c r="S49" s="676">
        <v>209</v>
      </c>
      <c r="T49" s="680">
        <f t="shared" si="13"/>
        <v>0</v>
      </c>
      <c r="U49" s="114" t="e">
        <f t="shared" si="14"/>
        <v>#DIV/0!</v>
      </c>
      <c r="V49" s="568"/>
      <c r="W49" s="587"/>
      <c r="X49" s="155"/>
      <c r="Y49" s="155"/>
      <c r="Z49" s="155"/>
      <c r="AA49" s="568"/>
      <c r="AB49" s="653"/>
      <c r="AC49" s="568"/>
      <c r="AD49" s="113"/>
      <c r="AE49" s="653"/>
      <c r="AF49" s="568"/>
      <c r="AG49" s="587"/>
    </row>
    <row r="50" spans="1:33" ht="15">
      <c r="A50" s="340"/>
      <c r="B50" s="155">
        <v>223</v>
      </c>
      <c r="C50" s="155" t="s">
        <v>111</v>
      </c>
      <c r="D50" s="678"/>
      <c r="E50" s="677"/>
      <c r="F50" s="677"/>
      <c r="G50" s="678"/>
      <c r="H50" s="677"/>
      <c r="I50" s="155"/>
      <c r="J50" s="678"/>
      <c r="K50" s="677"/>
      <c r="L50" s="677"/>
      <c r="M50" s="155">
        <v>223</v>
      </c>
      <c r="N50" s="155" t="s">
        <v>111</v>
      </c>
      <c r="O50" s="678">
        <f t="shared" si="10"/>
        <v>0</v>
      </c>
      <c r="P50" s="678">
        <f t="shared" si="11"/>
        <v>0</v>
      </c>
      <c r="Q50" s="680">
        <f t="shared" si="12"/>
        <v>0</v>
      </c>
      <c r="R50" s="679"/>
      <c r="S50" s="676">
        <v>1</v>
      </c>
      <c r="T50" s="680">
        <f t="shared" si="13"/>
        <v>0</v>
      </c>
      <c r="U50" s="114" t="e">
        <f t="shared" si="14"/>
        <v>#DIV/0!</v>
      </c>
      <c r="V50" s="568"/>
      <c r="W50" s="587"/>
      <c r="X50" s="155"/>
      <c r="Y50" s="155"/>
      <c r="Z50" s="155"/>
      <c r="AA50" s="568"/>
      <c r="AB50" s="653"/>
      <c r="AC50" s="568"/>
      <c r="AD50" s="113"/>
      <c r="AE50" s="653"/>
      <c r="AF50" s="568"/>
      <c r="AG50" s="587"/>
    </row>
    <row r="51" spans="1:33" ht="15">
      <c r="A51" s="340"/>
      <c r="B51" s="155">
        <v>240</v>
      </c>
      <c r="C51" s="155" t="s">
        <v>116</v>
      </c>
      <c r="D51" s="678"/>
      <c r="E51" s="677"/>
      <c r="F51" s="677"/>
      <c r="G51" s="678"/>
      <c r="H51" s="677"/>
      <c r="I51" s="155"/>
      <c r="J51" s="678"/>
      <c r="K51" s="677"/>
      <c r="L51" s="677"/>
      <c r="M51" s="155">
        <v>240</v>
      </c>
      <c r="N51" s="155" t="s">
        <v>116</v>
      </c>
      <c r="O51" s="678">
        <f t="shared" si="10"/>
        <v>0</v>
      </c>
      <c r="P51" s="678">
        <f t="shared" si="11"/>
        <v>0</v>
      </c>
      <c r="Q51" s="680">
        <f t="shared" si="12"/>
        <v>0</v>
      </c>
      <c r="R51" s="679"/>
      <c r="S51" s="676">
        <v>37</v>
      </c>
      <c r="T51" s="680">
        <f t="shared" si="13"/>
        <v>0</v>
      </c>
      <c r="U51" s="114" t="e">
        <f t="shared" si="14"/>
        <v>#DIV/0!</v>
      </c>
      <c r="V51" s="568"/>
      <c r="W51" s="587"/>
      <c r="X51" s="155"/>
      <c r="Y51" s="155"/>
      <c r="Z51" s="155"/>
      <c r="AA51" s="568"/>
      <c r="AB51" s="653"/>
      <c r="AC51" s="568"/>
      <c r="AD51" s="113"/>
      <c r="AE51" s="653"/>
      <c r="AF51" s="568"/>
      <c r="AG51" s="587"/>
    </row>
    <row r="52" spans="2:33" s="340" customFormat="1" ht="15">
      <c r="B52" s="155">
        <v>244</v>
      </c>
      <c r="C52" s="155" t="s">
        <v>117</v>
      </c>
      <c r="D52" s="678"/>
      <c r="E52" s="677"/>
      <c r="F52" s="677"/>
      <c r="G52" s="678"/>
      <c r="H52" s="677"/>
      <c r="I52" s="155"/>
      <c r="J52" s="678"/>
      <c r="K52" s="677"/>
      <c r="L52" s="677"/>
      <c r="M52" s="155">
        <v>244</v>
      </c>
      <c r="N52" s="155" t="s">
        <v>117</v>
      </c>
      <c r="O52" s="678">
        <f t="shared" si="10"/>
        <v>0</v>
      </c>
      <c r="P52" s="678">
        <f t="shared" si="11"/>
        <v>0</v>
      </c>
      <c r="Q52" s="680">
        <f t="shared" si="12"/>
        <v>0</v>
      </c>
      <c r="R52" s="679"/>
      <c r="S52" s="676">
        <v>2</v>
      </c>
      <c r="T52" s="680">
        <f t="shared" si="13"/>
        <v>0</v>
      </c>
      <c r="U52" s="114" t="e">
        <f t="shared" si="14"/>
        <v>#DIV/0!</v>
      </c>
      <c r="V52" s="568"/>
      <c r="W52" s="587"/>
      <c r="X52" s="155"/>
      <c r="Y52" s="155"/>
      <c r="Z52" s="155"/>
      <c r="AA52" s="568"/>
      <c r="AB52" s="653"/>
      <c r="AC52" s="568"/>
      <c r="AD52" s="113"/>
      <c r="AE52" s="653"/>
      <c r="AF52" s="568"/>
      <c r="AG52" s="587"/>
    </row>
    <row r="53" spans="1:33" ht="15">
      <c r="A53" s="340"/>
      <c r="B53" s="155">
        <v>260</v>
      </c>
      <c r="C53" s="155" t="s">
        <v>136</v>
      </c>
      <c r="D53" s="678"/>
      <c r="E53" s="677"/>
      <c r="F53" s="677"/>
      <c r="G53" s="678"/>
      <c r="H53" s="677"/>
      <c r="I53" s="155"/>
      <c r="J53" s="678"/>
      <c r="K53" s="677"/>
      <c r="L53" s="677"/>
      <c r="M53" s="155">
        <v>260</v>
      </c>
      <c r="N53" s="155" t="s">
        <v>136</v>
      </c>
      <c r="O53" s="678">
        <f t="shared" si="10"/>
        <v>0</v>
      </c>
      <c r="P53" s="678">
        <f t="shared" si="11"/>
        <v>0</v>
      </c>
      <c r="Q53" s="680">
        <f t="shared" si="12"/>
        <v>0</v>
      </c>
      <c r="R53" s="679"/>
      <c r="S53" s="676">
        <v>147</v>
      </c>
      <c r="T53" s="680">
        <f t="shared" si="13"/>
        <v>0</v>
      </c>
      <c r="U53" s="114" t="e">
        <f t="shared" si="14"/>
        <v>#DIV/0!</v>
      </c>
      <c r="V53" s="568"/>
      <c r="W53" s="587"/>
      <c r="X53" s="155"/>
      <c r="Y53" s="155"/>
      <c r="Z53" s="155"/>
      <c r="AA53" s="568"/>
      <c r="AB53" s="653"/>
      <c r="AC53" s="568"/>
      <c r="AD53" s="113"/>
      <c r="AE53" s="653"/>
      <c r="AF53" s="568"/>
      <c r="AG53" s="587"/>
    </row>
    <row r="54" spans="1:33" ht="15">
      <c r="A54" s="340"/>
      <c r="B54" s="155">
        <v>264</v>
      </c>
      <c r="C54" s="155" t="s">
        <v>137</v>
      </c>
      <c r="D54" s="678"/>
      <c r="E54" s="677"/>
      <c r="F54" s="677"/>
      <c r="G54" s="678"/>
      <c r="H54" s="677"/>
      <c r="I54" s="155"/>
      <c r="J54" s="678"/>
      <c r="K54" s="677"/>
      <c r="L54" s="677"/>
      <c r="M54" s="155">
        <v>264</v>
      </c>
      <c r="N54" s="155" t="s">
        <v>137</v>
      </c>
      <c r="O54" s="678">
        <f t="shared" si="10"/>
        <v>0</v>
      </c>
      <c r="P54" s="678">
        <f t="shared" si="11"/>
        <v>0</v>
      </c>
      <c r="Q54" s="680">
        <f t="shared" si="12"/>
        <v>0</v>
      </c>
      <c r="R54" s="679"/>
      <c r="S54" s="676">
        <v>1</v>
      </c>
      <c r="T54" s="680">
        <f t="shared" si="13"/>
        <v>0</v>
      </c>
      <c r="U54" s="114" t="e">
        <f t="shared" si="14"/>
        <v>#DIV/0!</v>
      </c>
      <c r="V54" s="568"/>
      <c r="W54" s="587"/>
      <c r="X54" s="155"/>
      <c r="Y54" s="155"/>
      <c r="Z54" s="155"/>
      <c r="AA54" s="568"/>
      <c r="AB54" s="653"/>
      <c r="AC54" s="568"/>
      <c r="AD54" s="113"/>
      <c r="AE54" s="653"/>
      <c r="AF54" s="568"/>
      <c r="AG54" s="587"/>
    </row>
    <row r="55" spans="1:33" ht="15">
      <c r="A55" s="340"/>
      <c r="B55" s="155">
        <v>358</v>
      </c>
      <c r="C55" s="155" t="s">
        <v>121</v>
      </c>
      <c r="D55" s="678"/>
      <c r="E55" s="677"/>
      <c r="F55" s="677"/>
      <c r="G55" s="678"/>
      <c r="H55" s="677"/>
      <c r="I55" s="155"/>
      <c r="J55" s="678"/>
      <c r="K55" s="677"/>
      <c r="L55" s="677"/>
      <c r="M55" s="155">
        <v>358</v>
      </c>
      <c r="N55" s="155" t="s">
        <v>121</v>
      </c>
      <c r="O55" s="678">
        <f t="shared" si="10"/>
        <v>0</v>
      </c>
      <c r="P55" s="678">
        <f t="shared" si="11"/>
        <v>0</v>
      </c>
      <c r="Q55" s="680">
        <f t="shared" si="12"/>
        <v>0</v>
      </c>
      <c r="R55" s="679"/>
      <c r="S55" s="676">
        <v>1</v>
      </c>
      <c r="T55" s="680">
        <f t="shared" si="13"/>
        <v>0</v>
      </c>
      <c r="U55" s="114" t="e">
        <f t="shared" si="14"/>
        <v>#DIV/0!</v>
      </c>
      <c r="V55" s="568"/>
      <c r="W55" s="587"/>
      <c r="X55" s="155"/>
      <c r="Y55" s="155"/>
      <c r="Z55" s="155"/>
      <c r="AA55" s="568"/>
      <c r="AB55" s="653"/>
      <c r="AC55" s="568"/>
      <c r="AD55" s="113"/>
      <c r="AE55" s="653"/>
      <c r="AF55" s="568"/>
      <c r="AG55" s="587"/>
    </row>
    <row r="56" spans="1:33" ht="15">
      <c r="A56" s="340"/>
      <c r="B56" s="155">
        <v>359</v>
      </c>
      <c r="C56" s="155" t="s">
        <v>122</v>
      </c>
      <c r="D56" s="678"/>
      <c r="E56" s="677"/>
      <c r="F56" s="677"/>
      <c r="G56" s="678"/>
      <c r="H56" s="677"/>
      <c r="I56" s="155"/>
      <c r="J56" s="678"/>
      <c r="K56" s="677"/>
      <c r="L56" s="677"/>
      <c r="M56" s="155">
        <v>359</v>
      </c>
      <c r="N56" s="155" t="s">
        <v>122</v>
      </c>
      <c r="O56" s="678">
        <f t="shared" si="10"/>
        <v>0</v>
      </c>
      <c r="P56" s="678">
        <f t="shared" si="11"/>
        <v>0</v>
      </c>
      <c r="Q56" s="680">
        <f t="shared" si="12"/>
        <v>0</v>
      </c>
      <c r="R56" s="679"/>
      <c r="S56" s="676">
        <v>1</v>
      </c>
      <c r="T56" s="680">
        <f t="shared" si="13"/>
        <v>0</v>
      </c>
      <c r="U56" s="114" t="e">
        <f t="shared" si="14"/>
        <v>#DIV/0!</v>
      </c>
      <c r="V56" s="568"/>
      <c r="W56" s="587"/>
      <c r="X56" s="155"/>
      <c r="Y56" s="155"/>
      <c r="Z56" s="155"/>
      <c r="AA56" s="568"/>
      <c r="AB56" s="653"/>
      <c r="AC56" s="568"/>
      <c r="AD56" s="113"/>
      <c r="AE56" s="653"/>
      <c r="AF56" s="568"/>
      <c r="AG56" s="587"/>
    </row>
    <row r="57" spans="1:33" ht="15">
      <c r="A57" s="340"/>
      <c r="B57" s="155"/>
      <c r="C57" s="155"/>
      <c r="D57" s="678"/>
      <c r="E57" s="155"/>
      <c r="F57" s="155"/>
      <c r="G57" s="678"/>
      <c r="H57" s="155"/>
      <c r="I57" s="155"/>
      <c r="J57" s="678"/>
      <c r="K57" s="155"/>
      <c r="L57" s="155"/>
      <c r="M57" s="155"/>
      <c r="N57" s="155"/>
      <c r="O57" s="680"/>
      <c r="P57" s="340"/>
      <c r="Q57" s="340"/>
      <c r="R57" s="340"/>
      <c r="S57" s="340"/>
      <c r="T57" s="340"/>
      <c r="U57" s="340"/>
      <c r="V57" s="155"/>
      <c r="W57" s="155"/>
      <c r="X57" s="155"/>
      <c r="Y57" s="155"/>
      <c r="Z57" s="155"/>
      <c r="AA57" s="568"/>
      <c r="AB57" s="155"/>
      <c r="AC57" s="155"/>
      <c r="AD57" s="155"/>
      <c r="AE57" s="155"/>
      <c r="AF57" s="155"/>
      <c r="AG57" s="155"/>
    </row>
    <row r="58" spans="1:33" ht="15">
      <c r="A58" s="340"/>
      <c r="B58" s="727" t="s">
        <v>138</v>
      </c>
      <c r="C58" s="727"/>
      <c r="D58" s="678"/>
      <c r="E58" s="155"/>
      <c r="F58" s="155"/>
      <c r="G58" s="678"/>
      <c r="H58" s="155"/>
      <c r="I58" s="155"/>
      <c r="J58" s="678"/>
      <c r="K58" s="155"/>
      <c r="L58" s="155"/>
      <c r="M58" s="727" t="s">
        <v>138</v>
      </c>
      <c r="N58" s="727"/>
      <c r="O58" s="680"/>
      <c r="P58" s="340"/>
      <c r="Q58" s="340"/>
      <c r="R58" s="340"/>
      <c r="S58" s="340"/>
      <c r="T58" s="340"/>
      <c r="U58" s="340"/>
      <c r="V58" s="155"/>
      <c r="W58" s="155"/>
      <c r="X58" s="155"/>
      <c r="Y58" s="729"/>
      <c r="Z58" s="729"/>
      <c r="AA58" s="568"/>
      <c r="AB58" s="155"/>
      <c r="AC58" s="155"/>
      <c r="AD58" s="155"/>
      <c r="AE58" s="155"/>
      <c r="AF58" s="155"/>
      <c r="AG58" s="155"/>
    </row>
    <row r="59" spans="1:33" ht="15">
      <c r="A59" s="340"/>
      <c r="B59" s="155">
        <v>204</v>
      </c>
      <c r="C59" s="155" t="s">
        <v>105</v>
      </c>
      <c r="D59" s="678"/>
      <c r="E59" s="677"/>
      <c r="F59" s="677"/>
      <c r="G59" s="678"/>
      <c r="H59" s="677"/>
      <c r="I59" s="155"/>
      <c r="J59" s="678"/>
      <c r="K59" s="677"/>
      <c r="L59" s="677"/>
      <c r="M59" s="155">
        <v>204</v>
      </c>
      <c r="N59" s="155" t="s">
        <v>105</v>
      </c>
      <c r="O59" s="678">
        <f aca="true" t="shared" si="15" ref="O59:O75">J59+G59+D59</f>
        <v>0</v>
      </c>
      <c r="P59" s="678">
        <f aca="true" t="shared" si="16" ref="P59:P75">K59+H59+E59</f>
        <v>0</v>
      </c>
      <c r="Q59" s="678">
        <f aca="true" t="shared" si="17" ref="Q59:Q75">P59*$A$7</f>
        <v>0</v>
      </c>
      <c r="R59" s="679"/>
      <c r="S59" s="676">
        <v>43</v>
      </c>
      <c r="T59" s="680">
        <f>R59*S59</f>
        <v>0</v>
      </c>
      <c r="U59" s="114" t="e">
        <f>(O59-Q59-T59)/P59</f>
        <v>#DIV/0!</v>
      </c>
      <c r="V59" s="568"/>
      <c r="W59" s="587"/>
      <c r="X59" s="155"/>
      <c r="Y59" s="155"/>
      <c r="Z59" s="155"/>
      <c r="AA59" s="568"/>
      <c r="AB59" s="653"/>
      <c r="AC59" s="568"/>
      <c r="AD59" s="113"/>
      <c r="AE59" s="653"/>
      <c r="AF59" s="568"/>
      <c r="AG59" s="587"/>
    </row>
    <row r="60" spans="1:33" ht="15">
      <c r="A60" s="340"/>
      <c r="B60" s="155">
        <v>211</v>
      </c>
      <c r="C60" s="155" t="s">
        <v>124</v>
      </c>
      <c r="D60" s="678"/>
      <c r="E60" s="677"/>
      <c r="F60" s="677"/>
      <c r="G60" s="678"/>
      <c r="H60" s="677"/>
      <c r="I60" s="155"/>
      <c r="J60" s="678"/>
      <c r="K60" s="677"/>
      <c r="L60" s="677"/>
      <c r="M60" s="155">
        <v>211</v>
      </c>
      <c r="N60" s="155" t="s">
        <v>124</v>
      </c>
      <c r="O60" s="678">
        <f t="shared" si="15"/>
        <v>0</v>
      </c>
      <c r="P60" s="678">
        <f t="shared" si="16"/>
        <v>0</v>
      </c>
      <c r="Q60" s="680">
        <f t="shared" si="17"/>
        <v>0</v>
      </c>
      <c r="R60" s="679"/>
      <c r="S60" s="676">
        <v>2085</v>
      </c>
      <c r="T60" s="680">
        <f aca="true" t="shared" si="18" ref="T60:T75">R60*S60</f>
        <v>0</v>
      </c>
      <c r="U60" s="114" t="e">
        <f aca="true" t="shared" si="19" ref="U60:U75">(O60-Q60-T60)/P60</f>
        <v>#DIV/0!</v>
      </c>
      <c r="V60" s="568"/>
      <c r="W60" s="587"/>
      <c r="X60" s="155"/>
      <c r="Y60" s="155"/>
      <c r="Z60" s="155"/>
      <c r="AA60" s="568"/>
      <c r="AB60" s="653"/>
      <c r="AC60" s="568"/>
      <c r="AD60" s="113"/>
      <c r="AE60" s="653"/>
      <c r="AF60" s="568"/>
      <c r="AG60" s="587"/>
    </row>
    <row r="61" spans="1:33" ht="15">
      <c r="A61" s="340"/>
      <c r="B61" s="155">
        <v>213</v>
      </c>
      <c r="C61" s="155" t="s">
        <v>106</v>
      </c>
      <c r="D61" s="678"/>
      <c r="E61" s="677"/>
      <c r="F61" s="677"/>
      <c r="G61" s="678"/>
      <c r="H61" s="677"/>
      <c r="I61" s="155"/>
      <c r="J61" s="678"/>
      <c r="K61" s="677"/>
      <c r="L61" s="677"/>
      <c r="M61" s="155">
        <v>213</v>
      </c>
      <c r="N61" s="155" t="s">
        <v>106</v>
      </c>
      <c r="O61" s="678">
        <f t="shared" si="15"/>
        <v>0</v>
      </c>
      <c r="P61" s="678">
        <f t="shared" si="16"/>
        <v>0</v>
      </c>
      <c r="Q61" s="680">
        <f t="shared" si="17"/>
        <v>0</v>
      </c>
      <c r="R61" s="679"/>
      <c r="S61" s="676">
        <v>146</v>
      </c>
      <c r="T61" s="680">
        <f t="shared" si="18"/>
        <v>0</v>
      </c>
      <c r="U61" s="114" t="e">
        <f t="shared" si="19"/>
        <v>#DIV/0!</v>
      </c>
      <c r="V61" s="568"/>
      <c r="W61" s="587"/>
      <c r="X61" s="155"/>
      <c r="Y61" s="155"/>
      <c r="Z61" s="155"/>
      <c r="AA61" s="568"/>
      <c r="AB61" s="653"/>
      <c r="AC61" s="568"/>
      <c r="AD61" s="113"/>
      <c r="AE61" s="653"/>
      <c r="AF61" s="568"/>
      <c r="AG61" s="587"/>
    </row>
    <row r="62" spans="1:33" ht="15">
      <c r="A62" s="340"/>
      <c r="B62" s="155">
        <v>214</v>
      </c>
      <c r="C62" s="155" t="s">
        <v>107</v>
      </c>
      <c r="D62" s="678"/>
      <c r="E62" s="677"/>
      <c r="F62" s="677"/>
      <c r="G62" s="678"/>
      <c r="H62" s="677"/>
      <c r="I62" s="155"/>
      <c r="J62" s="678"/>
      <c r="K62" s="677"/>
      <c r="L62" s="677"/>
      <c r="M62" s="155">
        <v>214</v>
      </c>
      <c r="N62" s="155" t="s">
        <v>107</v>
      </c>
      <c r="O62" s="678">
        <f t="shared" si="15"/>
        <v>0</v>
      </c>
      <c r="P62" s="678">
        <f t="shared" si="16"/>
        <v>0</v>
      </c>
      <c r="Q62" s="680">
        <f t="shared" si="17"/>
        <v>0</v>
      </c>
      <c r="R62" s="679"/>
      <c r="S62" s="676">
        <v>20</v>
      </c>
      <c r="T62" s="680">
        <f t="shared" si="18"/>
        <v>0</v>
      </c>
      <c r="U62" s="114" t="e">
        <f t="shared" si="19"/>
        <v>#DIV/0!</v>
      </c>
      <c r="V62" s="568"/>
      <c r="W62" s="587"/>
      <c r="X62" s="155"/>
      <c r="Y62" s="155"/>
      <c r="Z62" s="155"/>
      <c r="AA62" s="568"/>
      <c r="AB62" s="653"/>
      <c r="AC62" s="568"/>
      <c r="AD62" s="113"/>
      <c r="AE62" s="653"/>
      <c r="AF62" s="568"/>
      <c r="AG62" s="587"/>
    </row>
    <row r="63" spans="1:33" ht="15">
      <c r="A63" s="340"/>
      <c r="B63" s="155">
        <v>215</v>
      </c>
      <c r="C63" s="155" t="s">
        <v>108</v>
      </c>
      <c r="D63" s="678"/>
      <c r="E63" s="677"/>
      <c r="F63" s="677"/>
      <c r="G63" s="678"/>
      <c r="H63" s="677"/>
      <c r="I63" s="155"/>
      <c r="J63" s="678"/>
      <c r="K63" s="677"/>
      <c r="L63" s="677"/>
      <c r="M63" s="155">
        <v>215</v>
      </c>
      <c r="N63" s="155" t="s">
        <v>108</v>
      </c>
      <c r="O63" s="678">
        <f t="shared" si="15"/>
        <v>0</v>
      </c>
      <c r="P63" s="678">
        <f t="shared" si="16"/>
        <v>0</v>
      </c>
      <c r="Q63" s="680">
        <f t="shared" si="17"/>
        <v>0</v>
      </c>
      <c r="R63" s="679"/>
      <c r="S63" s="676">
        <v>733</v>
      </c>
      <c r="T63" s="680">
        <f t="shared" si="18"/>
        <v>0</v>
      </c>
      <c r="U63" s="114" t="e">
        <f t="shared" si="19"/>
        <v>#DIV/0!</v>
      </c>
      <c r="V63" s="568"/>
      <c r="W63" s="587"/>
      <c r="X63" s="155"/>
      <c r="Y63" s="155"/>
      <c r="Z63" s="155"/>
      <c r="AA63" s="568"/>
      <c r="AB63" s="653"/>
      <c r="AC63" s="568"/>
      <c r="AD63" s="113"/>
      <c r="AE63" s="653"/>
      <c r="AF63" s="568"/>
      <c r="AG63" s="587"/>
    </row>
    <row r="64" spans="1:33" ht="15">
      <c r="A64" s="340"/>
      <c r="B64" s="155">
        <v>217</v>
      </c>
      <c r="C64" s="155" t="s">
        <v>109</v>
      </c>
      <c r="D64" s="678"/>
      <c r="E64" s="677"/>
      <c r="F64" s="677"/>
      <c r="G64" s="678"/>
      <c r="H64" s="677"/>
      <c r="I64" s="155"/>
      <c r="J64" s="678"/>
      <c r="K64" s="677"/>
      <c r="L64" s="677"/>
      <c r="M64" s="155">
        <v>217</v>
      </c>
      <c r="N64" s="155" t="s">
        <v>109</v>
      </c>
      <c r="O64" s="678">
        <f t="shared" si="15"/>
        <v>0</v>
      </c>
      <c r="P64" s="678">
        <f t="shared" si="16"/>
        <v>0</v>
      </c>
      <c r="Q64" s="680">
        <f t="shared" si="17"/>
        <v>0</v>
      </c>
      <c r="R64" s="679"/>
      <c r="S64" s="676">
        <v>3</v>
      </c>
      <c r="T64" s="680">
        <f t="shared" si="18"/>
        <v>0</v>
      </c>
      <c r="U64" s="114" t="e">
        <f t="shared" si="19"/>
        <v>#DIV/0!</v>
      </c>
      <c r="V64" s="568"/>
      <c r="W64" s="587"/>
      <c r="X64" s="155"/>
      <c r="Y64" s="155"/>
      <c r="Z64" s="155"/>
      <c r="AA64" s="568"/>
      <c r="AB64" s="653"/>
      <c r="AC64" s="568"/>
      <c r="AD64" s="113"/>
      <c r="AE64" s="653"/>
      <c r="AF64" s="568"/>
      <c r="AG64" s="587"/>
    </row>
    <row r="65" spans="1:33" ht="15">
      <c r="A65" s="340"/>
      <c r="B65" s="155">
        <v>218</v>
      </c>
      <c r="C65" s="155" t="s">
        <v>141</v>
      </c>
      <c r="D65" s="678"/>
      <c r="E65" s="677"/>
      <c r="F65" s="677"/>
      <c r="G65" s="678"/>
      <c r="H65" s="677"/>
      <c r="I65" s="155"/>
      <c r="J65" s="678"/>
      <c r="K65" s="677"/>
      <c r="L65" s="677"/>
      <c r="M65" s="155">
        <v>218</v>
      </c>
      <c r="N65" s="155" t="s">
        <v>141</v>
      </c>
      <c r="O65" s="678">
        <f t="shared" si="15"/>
        <v>0</v>
      </c>
      <c r="P65" s="678">
        <f t="shared" si="16"/>
        <v>0</v>
      </c>
      <c r="Q65" s="680">
        <f t="shared" si="17"/>
        <v>0</v>
      </c>
      <c r="R65" s="679"/>
      <c r="S65" s="676">
        <v>1</v>
      </c>
      <c r="T65" s="680">
        <f t="shared" si="18"/>
        <v>0</v>
      </c>
      <c r="U65" s="114" t="e">
        <f t="shared" si="19"/>
        <v>#DIV/0!</v>
      </c>
      <c r="V65" s="568"/>
      <c r="W65" s="587"/>
      <c r="X65" s="155"/>
      <c r="Y65" s="155"/>
      <c r="Z65" s="155"/>
      <c r="AA65" s="568"/>
      <c r="AB65" s="653"/>
      <c r="AC65" s="568"/>
      <c r="AD65" s="113"/>
      <c r="AE65" s="653"/>
      <c r="AF65" s="568"/>
      <c r="AG65" s="587"/>
    </row>
    <row r="66" spans="1:33" ht="15">
      <c r="A66" s="340"/>
      <c r="B66" s="155">
        <v>223</v>
      </c>
      <c r="C66" s="155" t="s">
        <v>111</v>
      </c>
      <c r="D66" s="678"/>
      <c r="E66" s="677"/>
      <c r="F66" s="677"/>
      <c r="G66" s="678"/>
      <c r="H66" s="677"/>
      <c r="I66" s="155"/>
      <c r="J66" s="678"/>
      <c r="K66" s="677"/>
      <c r="L66" s="677"/>
      <c r="M66" s="155">
        <v>223</v>
      </c>
      <c r="N66" s="155" t="s">
        <v>111</v>
      </c>
      <c r="O66" s="678">
        <f t="shared" si="15"/>
        <v>0</v>
      </c>
      <c r="P66" s="678">
        <f t="shared" si="16"/>
        <v>0</v>
      </c>
      <c r="Q66" s="680">
        <f t="shared" si="17"/>
        <v>0</v>
      </c>
      <c r="R66" s="679"/>
      <c r="S66" s="676">
        <v>3</v>
      </c>
      <c r="T66" s="680">
        <f t="shared" si="18"/>
        <v>0</v>
      </c>
      <c r="U66" s="114" t="e">
        <f t="shared" si="19"/>
        <v>#DIV/0!</v>
      </c>
      <c r="V66" s="568"/>
      <c r="W66" s="587"/>
      <c r="X66" s="155"/>
      <c r="Y66" s="155"/>
      <c r="Z66" s="155"/>
      <c r="AA66" s="568"/>
      <c r="AB66" s="653"/>
      <c r="AC66" s="568"/>
      <c r="AD66" s="113"/>
      <c r="AE66" s="653"/>
      <c r="AF66" s="568"/>
      <c r="AG66" s="587"/>
    </row>
    <row r="67" spans="1:33" ht="15">
      <c r="A67" s="340"/>
      <c r="B67" s="155">
        <v>225</v>
      </c>
      <c r="C67" s="155" t="s">
        <v>112</v>
      </c>
      <c r="D67" s="678"/>
      <c r="E67" s="677"/>
      <c r="F67" s="677"/>
      <c r="G67" s="678"/>
      <c r="H67" s="677"/>
      <c r="I67" s="155"/>
      <c r="J67" s="678"/>
      <c r="K67" s="677"/>
      <c r="L67" s="677"/>
      <c r="M67" s="155">
        <v>225</v>
      </c>
      <c r="N67" s="155" t="s">
        <v>112</v>
      </c>
      <c r="O67" s="678">
        <f t="shared" si="15"/>
        <v>0</v>
      </c>
      <c r="P67" s="678">
        <f t="shared" si="16"/>
        <v>0</v>
      </c>
      <c r="Q67" s="680">
        <f t="shared" si="17"/>
        <v>0</v>
      </c>
      <c r="R67" s="679"/>
      <c r="S67" s="676">
        <v>6</v>
      </c>
      <c r="T67" s="680">
        <f t="shared" si="18"/>
        <v>0</v>
      </c>
      <c r="U67" s="114" t="e">
        <f t="shared" si="19"/>
        <v>#DIV/0!</v>
      </c>
      <c r="V67" s="568"/>
      <c r="W67" s="587"/>
      <c r="X67" s="155"/>
      <c r="Y67" s="155"/>
      <c r="Z67" s="155"/>
      <c r="AA67" s="568"/>
      <c r="AB67" s="653"/>
      <c r="AC67" s="568"/>
      <c r="AD67" s="113"/>
      <c r="AE67" s="653"/>
      <c r="AF67" s="568"/>
      <c r="AG67" s="587"/>
    </row>
    <row r="68" spans="1:33" ht="15">
      <c r="A68" s="340"/>
      <c r="B68" s="155">
        <v>229</v>
      </c>
      <c r="C68" s="155" t="s">
        <v>114</v>
      </c>
      <c r="D68" s="678"/>
      <c r="E68" s="677"/>
      <c r="F68" s="677"/>
      <c r="G68" s="678"/>
      <c r="H68" s="677"/>
      <c r="I68" s="155"/>
      <c r="J68" s="678"/>
      <c r="K68" s="677"/>
      <c r="L68" s="677"/>
      <c r="M68" s="155">
        <v>229</v>
      </c>
      <c r="N68" s="155" t="s">
        <v>114</v>
      </c>
      <c r="O68" s="678">
        <f t="shared" si="15"/>
        <v>0</v>
      </c>
      <c r="P68" s="678">
        <f t="shared" si="16"/>
        <v>0</v>
      </c>
      <c r="Q68" s="680">
        <f t="shared" si="17"/>
        <v>0</v>
      </c>
      <c r="R68" s="679"/>
      <c r="S68" s="676">
        <v>27</v>
      </c>
      <c r="T68" s="680">
        <f t="shared" si="18"/>
        <v>0</v>
      </c>
      <c r="U68" s="114" t="e">
        <f t="shared" si="19"/>
        <v>#DIV/0!</v>
      </c>
      <c r="V68" s="568"/>
      <c r="W68" s="587"/>
      <c r="X68" s="155"/>
      <c r="Y68" s="155"/>
      <c r="Z68" s="155"/>
      <c r="AA68" s="568"/>
      <c r="AB68" s="653"/>
      <c r="AC68" s="568"/>
      <c r="AD68" s="113"/>
      <c r="AE68" s="653"/>
      <c r="AF68" s="568"/>
      <c r="AG68" s="587"/>
    </row>
    <row r="69" spans="1:33" ht="15">
      <c r="A69" s="340"/>
      <c r="B69" s="155">
        <v>240</v>
      </c>
      <c r="C69" s="155" t="s">
        <v>116</v>
      </c>
      <c r="D69" s="678"/>
      <c r="E69" s="677"/>
      <c r="F69" s="677"/>
      <c r="G69" s="678"/>
      <c r="H69" s="677"/>
      <c r="I69" s="155"/>
      <c r="J69" s="678"/>
      <c r="K69" s="677"/>
      <c r="L69" s="677"/>
      <c r="M69" s="155">
        <v>240</v>
      </c>
      <c r="N69" s="155" t="s">
        <v>116</v>
      </c>
      <c r="O69" s="678">
        <f t="shared" si="15"/>
        <v>0</v>
      </c>
      <c r="P69" s="678">
        <f t="shared" si="16"/>
        <v>0</v>
      </c>
      <c r="Q69" s="680">
        <f t="shared" si="17"/>
        <v>0</v>
      </c>
      <c r="R69" s="679"/>
      <c r="S69" s="676">
        <v>81</v>
      </c>
      <c r="T69" s="680">
        <f t="shared" si="18"/>
        <v>0</v>
      </c>
      <c r="U69" s="114" t="e">
        <f t="shared" si="19"/>
        <v>#DIV/0!</v>
      </c>
      <c r="V69" s="568"/>
      <c r="W69" s="587"/>
      <c r="X69" s="155"/>
      <c r="Y69" s="155"/>
      <c r="Z69" s="155"/>
      <c r="AA69" s="568"/>
      <c r="AB69" s="653"/>
      <c r="AC69" s="568"/>
      <c r="AD69" s="113"/>
      <c r="AE69" s="653"/>
      <c r="AF69" s="568"/>
      <c r="AG69" s="587"/>
    </row>
    <row r="70" spans="1:33" ht="15">
      <c r="A70" s="340"/>
      <c r="B70" s="155">
        <v>242</v>
      </c>
      <c r="C70" s="155" t="s">
        <v>133</v>
      </c>
      <c r="D70" s="678"/>
      <c r="E70" s="677"/>
      <c r="F70" s="677"/>
      <c r="G70" s="678"/>
      <c r="H70" s="677"/>
      <c r="I70" s="155"/>
      <c r="J70" s="678"/>
      <c r="K70" s="677"/>
      <c r="L70" s="677"/>
      <c r="M70" s="155">
        <v>242</v>
      </c>
      <c r="N70" s="155" t="s">
        <v>133</v>
      </c>
      <c r="O70" s="678">
        <f t="shared" si="15"/>
        <v>0</v>
      </c>
      <c r="P70" s="678">
        <f t="shared" si="16"/>
        <v>0</v>
      </c>
      <c r="Q70" s="680">
        <f t="shared" si="17"/>
        <v>0</v>
      </c>
      <c r="R70" s="679"/>
      <c r="S70" s="676">
        <v>6</v>
      </c>
      <c r="T70" s="680">
        <f t="shared" si="18"/>
        <v>0</v>
      </c>
      <c r="U70" s="114" t="e">
        <f t="shared" si="19"/>
        <v>#DIV/0!</v>
      </c>
      <c r="V70" s="568"/>
      <c r="W70" s="587"/>
      <c r="X70" s="155"/>
      <c r="Y70" s="155"/>
      <c r="Z70" s="155"/>
      <c r="AA70" s="568"/>
      <c r="AB70" s="653"/>
      <c r="AC70" s="568"/>
      <c r="AD70" s="113"/>
      <c r="AE70" s="653"/>
      <c r="AF70" s="568"/>
      <c r="AG70" s="587"/>
    </row>
    <row r="71" spans="1:33" ht="15">
      <c r="A71" s="340"/>
      <c r="B71" s="155">
        <v>244</v>
      </c>
      <c r="C71" s="155" t="s">
        <v>117</v>
      </c>
      <c r="D71" s="678"/>
      <c r="E71" s="677"/>
      <c r="F71" s="677"/>
      <c r="G71" s="678"/>
      <c r="H71" s="677"/>
      <c r="I71" s="155"/>
      <c r="J71" s="678"/>
      <c r="K71" s="677"/>
      <c r="L71" s="677"/>
      <c r="M71" s="155">
        <v>244</v>
      </c>
      <c r="N71" s="155" t="s">
        <v>117</v>
      </c>
      <c r="O71" s="678">
        <f t="shared" si="15"/>
        <v>0</v>
      </c>
      <c r="P71" s="678">
        <f t="shared" si="16"/>
        <v>0</v>
      </c>
      <c r="Q71" s="680">
        <f t="shared" si="17"/>
        <v>0</v>
      </c>
      <c r="R71" s="679"/>
      <c r="S71" s="676">
        <v>5</v>
      </c>
      <c r="T71" s="680">
        <f t="shared" si="18"/>
        <v>0</v>
      </c>
      <c r="U71" s="114" t="e">
        <f t="shared" si="19"/>
        <v>#DIV/0!</v>
      </c>
      <c r="V71" s="568"/>
      <c r="W71" s="587"/>
      <c r="X71" s="155"/>
      <c r="Y71" s="155"/>
      <c r="Z71" s="155"/>
      <c r="AA71" s="568"/>
      <c r="AB71" s="653"/>
      <c r="AC71" s="568"/>
      <c r="AD71" s="113"/>
      <c r="AE71" s="653"/>
      <c r="AF71" s="568"/>
      <c r="AG71" s="587"/>
    </row>
    <row r="72" spans="1:33" ht="15">
      <c r="A72" s="340"/>
      <c r="B72" s="155">
        <v>246</v>
      </c>
      <c r="C72" s="155" t="s">
        <v>139</v>
      </c>
      <c r="D72" s="678"/>
      <c r="E72" s="677"/>
      <c r="F72" s="677"/>
      <c r="G72" s="678"/>
      <c r="H72" s="677"/>
      <c r="I72" s="155"/>
      <c r="J72" s="678"/>
      <c r="K72" s="677"/>
      <c r="L72" s="677"/>
      <c r="M72" s="155">
        <v>246</v>
      </c>
      <c r="N72" s="155" t="s">
        <v>139</v>
      </c>
      <c r="O72" s="678">
        <f t="shared" si="15"/>
        <v>0</v>
      </c>
      <c r="P72" s="678">
        <f t="shared" si="16"/>
        <v>0</v>
      </c>
      <c r="Q72" s="680">
        <f t="shared" si="17"/>
        <v>0</v>
      </c>
      <c r="R72" s="679"/>
      <c r="S72" s="676">
        <v>1</v>
      </c>
      <c r="T72" s="680">
        <f t="shared" si="18"/>
        <v>0</v>
      </c>
      <c r="U72" s="114" t="e">
        <f t="shared" si="19"/>
        <v>#DIV/0!</v>
      </c>
      <c r="V72" s="568"/>
      <c r="W72" s="587"/>
      <c r="X72" s="155"/>
      <c r="Y72" s="155"/>
      <c r="Z72" s="155"/>
      <c r="AA72" s="568"/>
      <c r="AB72" s="653"/>
      <c r="AC72" s="568"/>
      <c r="AD72" s="113"/>
      <c r="AE72" s="653"/>
      <c r="AF72" s="568"/>
      <c r="AG72" s="587"/>
    </row>
    <row r="73" spans="1:33" ht="15">
      <c r="A73" s="340"/>
      <c r="B73" s="155">
        <v>251</v>
      </c>
      <c r="C73" s="155" t="s">
        <v>140</v>
      </c>
      <c r="D73" s="678"/>
      <c r="E73" s="677"/>
      <c r="F73" s="677"/>
      <c r="G73" s="678"/>
      <c r="H73" s="677"/>
      <c r="I73" s="155"/>
      <c r="J73" s="678"/>
      <c r="K73" s="677"/>
      <c r="L73" s="677"/>
      <c r="M73" s="155">
        <v>251</v>
      </c>
      <c r="N73" s="155" t="s">
        <v>140</v>
      </c>
      <c r="O73" s="678">
        <f t="shared" si="15"/>
        <v>0</v>
      </c>
      <c r="P73" s="678">
        <f t="shared" si="16"/>
        <v>0</v>
      </c>
      <c r="Q73" s="680">
        <f t="shared" si="17"/>
        <v>0</v>
      </c>
      <c r="R73" s="679"/>
      <c r="S73" s="676">
        <v>2</v>
      </c>
      <c r="T73" s="680">
        <f t="shared" si="18"/>
        <v>0</v>
      </c>
      <c r="U73" s="114" t="e">
        <f t="shared" si="19"/>
        <v>#DIV/0!</v>
      </c>
      <c r="V73" s="568"/>
      <c r="W73" s="587"/>
      <c r="X73" s="155"/>
      <c r="Y73" s="155"/>
      <c r="Z73" s="155"/>
      <c r="AA73" s="568"/>
      <c r="AB73" s="653"/>
      <c r="AC73" s="568"/>
      <c r="AD73" s="113"/>
      <c r="AE73" s="653"/>
      <c r="AF73" s="568"/>
      <c r="AG73" s="587"/>
    </row>
    <row r="74" spans="2:33" s="340" customFormat="1" ht="15">
      <c r="B74" s="655">
        <v>256</v>
      </c>
      <c r="C74" s="655" t="s">
        <v>119</v>
      </c>
      <c r="D74" s="678"/>
      <c r="E74" s="677"/>
      <c r="F74" s="677"/>
      <c r="G74" s="678"/>
      <c r="H74" s="677"/>
      <c r="I74" s="155"/>
      <c r="J74" s="678"/>
      <c r="K74" s="677"/>
      <c r="L74" s="677"/>
      <c r="M74" s="655">
        <v>256</v>
      </c>
      <c r="N74" s="655" t="s">
        <v>119</v>
      </c>
      <c r="O74" s="678">
        <f t="shared" si="15"/>
        <v>0</v>
      </c>
      <c r="P74" s="678">
        <f t="shared" si="16"/>
        <v>0</v>
      </c>
      <c r="Q74" s="680">
        <f t="shared" si="17"/>
        <v>0</v>
      </c>
      <c r="R74" s="679"/>
      <c r="S74" s="676">
        <v>2</v>
      </c>
      <c r="T74" s="680">
        <f t="shared" si="18"/>
        <v>0</v>
      </c>
      <c r="U74" s="114" t="e">
        <f t="shared" si="19"/>
        <v>#DIV/0!</v>
      </c>
      <c r="V74" s="568"/>
      <c r="W74" s="587"/>
      <c r="X74" s="155"/>
      <c r="Y74" s="155"/>
      <c r="Z74" s="155"/>
      <c r="AA74" s="568"/>
      <c r="AB74" s="653"/>
      <c r="AC74" s="568"/>
      <c r="AD74" s="113"/>
      <c r="AE74" s="653"/>
      <c r="AF74" s="568"/>
      <c r="AG74" s="587"/>
    </row>
    <row r="75" spans="1:33" ht="15">
      <c r="A75" s="340"/>
      <c r="B75" s="155">
        <v>358</v>
      </c>
      <c r="C75" s="155" t="s">
        <v>121</v>
      </c>
      <c r="D75" s="678"/>
      <c r="E75" s="677"/>
      <c r="F75" s="677"/>
      <c r="G75" s="678"/>
      <c r="H75" s="677"/>
      <c r="I75" s="155"/>
      <c r="J75" s="678"/>
      <c r="K75" s="677"/>
      <c r="L75" s="677"/>
      <c r="M75" s="155">
        <v>358</v>
      </c>
      <c r="N75" s="155" t="s">
        <v>121</v>
      </c>
      <c r="O75" s="678">
        <f t="shared" si="15"/>
        <v>0</v>
      </c>
      <c r="P75" s="678">
        <f t="shared" si="16"/>
        <v>0</v>
      </c>
      <c r="Q75" s="680">
        <f t="shared" si="17"/>
        <v>0</v>
      </c>
      <c r="R75" s="679"/>
      <c r="S75" s="676">
        <v>4</v>
      </c>
      <c r="T75" s="680">
        <f t="shared" si="18"/>
        <v>0</v>
      </c>
      <c r="U75" s="114" t="e">
        <f t="shared" si="19"/>
        <v>#DIV/0!</v>
      </c>
      <c r="V75" s="568"/>
      <c r="W75" s="587"/>
      <c r="X75" s="155"/>
      <c r="Y75" s="155"/>
      <c r="Z75" s="155"/>
      <c r="AA75" s="568"/>
      <c r="AB75" s="653"/>
      <c r="AC75" s="568"/>
      <c r="AD75" s="113"/>
      <c r="AE75" s="653"/>
      <c r="AF75" s="568"/>
      <c r="AG75" s="587"/>
    </row>
    <row r="76" spans="4:33" s="155" customFormat="1" ht="15">
      <c r="D76" s="678"/>
      <c r="E76" s="677"/>
      <c r="F76" s="677"/>
      <c r="G76" s="678"/>
      <c r="H76" s="677"/>
      <c r="J76" s="678"/>
      <c r="K76" s="677"/>
      <c r="L76" s="677"/>
      <c r="O76" s="678"/>
      <c r="P76" s="678"/>
      <c r="Q76" s="678"/>
      <c r="R76" s="684"/>
      <c r="S76" s="677"/>
      <c r="T76" s="678"/>
      <c r="U76" s="587"/>
      <c r="V76" s="568"/>
      <c r="W76" s="587"/>
      <c r="AA76" s="568"/>
      <c r="AB76" s="653"/>
      <c r="AC76" s="568"/>
      <c r="AD76" s="113"/>
      <c r="AE76" s="653"/>
      <c r="AF76" s="568"/>
      <c r="AG76" s="587"/>
    </row>
    <row r="77" spans="4:14" ht="15">
      <c r="D77" s="568"/>
      <c r="E77" s="155"/>
      <c r="H77" s="155"/>
      <c r="N77" s="340"/>
    </row>
    <row r="78" ht="15">
      <c r="D78" s="568"/>
    </row>
    <row r="79" ht="15">
      <c r="D79" s="100"/>
    </row>
    <row r="80" ht="15">
      <c r="D80" s="100"/>
    </row>
    <row r="81" ht="15">
      <c r="D81" s="100"/>
    </row>
    <row r="82" ht="15">
      <c r="D82" s="100"/>
    </row>
    <row r="83" ht="15">
      <c r="D83" s="100"/>
    </row>
    <row r="153" ht="15">
      <c r="D153" s="100"/>
    </row>
    <row r="154" ht="15">
      <c r="D154" s="100"/>
    </row>
    <row r="155" ht="15">
      <c r="D155" s="100"/>
    </row>
    <row r="156" ht="15">
      <c r="D156" s="100"/>
    </row>
    <row r="157" ht="15">
      <c r="D157" s="100"/>
    </row>
    <row r="158" ht="15">
      <c r="D158" s="100"/>
    </row>
    <row r="159" ht="15">
      <c r="D159" s="100"/>
    </row>
    <row r="160" ht="15">
      <c r="D160" s="100"/>
    </row>
    <row r="161" ht="15">
      <c r="D161" s="100"/>
    </row>
    <row r="162" ht="15">
      <c r="D162" s="100"/>
    </row>
    <row r="163" ht="15">
      <c r="D163" s="100"/>
    </row>
    <row r="164" ht="15">
      <c r="D164" s="100"/>
    </row>
    <row r="165" ht="15">
      <c r="D165" s="100"/>
    </row>
    <row r="166" ht="15">
      <c r="D166" s="100"/>
    </row>
    <row r="167" ht="15">
      <c r="D167" s="100"/>
    </row>
    <row r="168" ht="15">
      <c r="D168" s="100"/>
    </row>
    <row r="169" ht="15">
      <c r="D169" s="100"/>
    </row>
    <row r="170" ht="15">
      <c r="D170" s="100"/>
    </row>
    <row r="171" ht="15">
      <c r="D171" s="100"/>
    </row>
    <row r="172" ht="15">
      <c r="D172" s="100"/>
    </row>
    <row r="173" ht="15">
      <c r="D173" s="100"/>
    </row>
  </sheetData>
  <sheetProtection/>
  <mergeCells count="16">
    <mergeCell ref="Y8:Z8"/>
    <mergeCell ref="Y30:Z30"/>
    <mergeCell ref="Y46:Z46"/>
    <mergeCell ref="Y58:Z58"/>
    <mergeCell ref="B8:C8"/>
    <mergeCell ref="B30:C30"/>
    <mergeCell ref="B46:C46"/>
    <mergeCell ref="B58:C58"/>
    <mergeCell ref="M8:N8"/>
    <mergeCell ref="M30:N30"/>
    <mergeCell ref="M46:N46"/>
    <mergeCell ref="M58:N58"/>
    <mergeCell ref="D6:E6"/>
    <mergeCell ref="G6:H6"/>
    <mergeCell ref="J6:K6"/>
    <mergeCell ref="O6:U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W254"/>
  <sheetViews>
    <sheetView zoomScalePageLayoutView="0" workbookViewId="0" topLeftCell="E1">
      <selection activeCell="T6" sqref="T6:T14"/>
    </sheetView>
  </sheetViews>
  <sheetFormatPr defaultColWidth="9.140625" defaultRowHeight="15" outlineLevelRow="1"/>
  <cols>
    <col min="2" max="2" width="30.00390625" style="0" customWidth="1"/>
    <col min="4" max="4" width="13.421875" style="0" customWidth="1"/>
    <col min="5" max="5" width="15.421875" style="0" customWidth="1"/>
    <col min="6" max="6" width="10.7109375" style="0" customWidth="1"/>
    <col min="7" max="8" width="13.28125" style="156" customWidth="1"/>
    <col min="9" max="9" width="13.28125" style="321" customWidth="1"/>
    <col min="10" max="11" width="13.28125" style="156" customWidth="1"/>
    <col min="12" max="13" width="13.28125" style="0" customWidth="1"/>
    <col min="14" max="15" width="13.28125" style="340" customWidth="1"/>
    <col min="16" max="16" width="10.8515625" style="0" customWidth="1"/>
    <col min="17" max="17" width="11.7109375" style="0" customWidth="1"/>
    <col min="18" max="18" width="11.140625" style="0" customWidth="1"/>
    <col min="19" max="19" width="11.8515625" style="0" customWidth="1"/>
    <col min="20" max="21" width="11.57421875" style="0" customWidth="1"/>
    <col min="22" max="22" width="13.00390625" style="0" customWidth="1"/>
    <col min="23" max="23" width="12.7109375" style="0" customWidth="1"/>
  </cols>
  <sheetData>
    <row r="1" ht="15"/>
    <row r="2" ht="15"/>
    <row r="3" spans="12:13" ht="15.75" thickBot="1">
      <c r="L3" s="340"/>
      <c r="M3" s="340"/>
    </row>
    <row r="4" spans="4:23" ht="15.75" thickBot="1">
      <c r="D4" s="156"/>
      <c r="E4" s="156"/>
      <c r="F4" s="156"/>
      <c r="G4" s="272" t="s">
        <v>81</v>
      </c>
      <c r="I4" s="272" t="s">
        <v>76</v>
      </c>
      <c r="J4" s="89"/>
      <c r="K4" s="281" t="s">
        <v>82</v>
      </c>
      <c r="L4" s="341"/>
      <c r="M4" s="281" t="s">
        <v>80</v>
      </c>
      <c r="N4" s="341"/>
      <c r="O4" s="281" t="s">
        <v>210</v>
      </c>
      <c r="P4" s="341"/>
      <c r="Q4" s="281" t="s">
        <v>240</v>
      </c>
      <c r="R4" s="341"/>
      <c r="S4" s="281" t="s">
        <v>274</v>
      </c>
      <c r="T4" s="341"/>
      <c r="U4" s="281" t="s">
        <v>280</v>
      </c>
      <c r="V4" s="341"/>
      <c r="W4" s="281" t="s">
        <v>303</v>
      </c>
    </row>
    <row r="5" spans="4:23" ht="75.75" thickBot="1">
      <c r="D5" s="76" t="s">
        <v>51</v>
      </c>
      <c r="E5" s="76" t="s">
        <v>186</v>
      </c>
      <c r="F5" s="76" t="s">
        <v>79</v>
      </c>
      <c r="G5" s="282" t="s">
        <v>77</v>
      </c>
      <c r="H5" s="282" t="s">
        <v>77</v>
      </c>
      <c r="I5" s="282" t="s">
        <v>78</v>
      </c>
      <c r="J5" s="282" t="s">
        <v>77</v>
      </c>
      <c r="K5" s="282" t="s">
        <v>78</v>
      </c>
      <c r="L5" s="346" t="s">
        <v>77</v>
      </c>
      <c r="M5" s="347" t="s">
        <v>78</v>
      </c>
      <c r="N5" s="346" t="s">
        <v>77</v>
      </c>
      <c r="O5" s="347" t="s">
        <v>78</v>
      </c>
      <c r="P5" s="346" t="s">
        <v>77</v>
      </c>
      <c r="Q5" s="347" t="s">
        <v>78</v>
      </c>
      <c r="R5" s="346" t="s">
        <v>77</v>
      </c>
      <c r="S5" s="347" t="s">
        <v>78</v>
      </c>
      <c r="T5" s="346" t="s">
        <v>77</v>
      </c>
      <c r="U5" s="347" t="s">
        <v>78</v>
      </c>
      <c r="V5" s="346" t="s">
        <v>77</v>
      </c>
      <c r="W5" s="347" t="s">
        <v>78</v>
      </c>
    </row>
    <row r="6" spans="2:23" ht="15">
      <c r="B6" s="156" t="s">
        <v>2</v>
      </c>
      <c r="D6" s="274" t="s">
        <v>59</v>
      </c>
      <c r="E6" s="275" t="s">
        <v>174</v>
      </c>
      <c r="F6" s="276">
        <f>349/365</f>
        <v>0.9561643835616438</v>
      </c>
      <c r="G6" s="275"/>
      <c r="H6" s="329">
        <v>5</v>
      </c>
      <c r="I6" s="317">
        <f>$F6*H6</f>
        <v>4.780821917808219</v>
      </c>
      <c r="J6" s="316">
        <v>8</v>
      </c>
      <c r="K6" s="283">
        <f>$F6*J6</f>
        <v>7.64931506849315</v>
      </c>
      <c r="L6" s="329">
        <v>5</v>
      </c>
      <c r="M6" s="348">
        <f>$F6*L6</f>
        <v>4.780821917808219</v>
      </c>
      <c r="N6" s="329">
        <v>4</v>
      </c>
      <c r="O6" s="348">
        <f>$F6*N6</f>
        <v>3.824657534246575</v>
      </c>
      <c r="P6" s="329">
        <v>4</v>
      </c>
      <c r="Q6" s="348">
        <f>$F6*P6</f>
        <v>3.824657534246575</v>
      </c>
      <c r="R6" s="329">
        <v>5</v>
      </c>
      <c r="S6" s="348">
        <f>$F6*R6</f>
        <v>4.780821917808219</v>
      </c>
      <c r="T6" s="329">
        <v>9</v>
      </c>
      <c r="U6" s="348">
        <f>$F6*T6</f>
        <v>8.605479452054794</v>
      </c>
      <c r="V6" s="329">
        <v>0</v>
      </c>
      <c r="W6" s="348">
        <f>$F6*V6</f>
        <v>0</v>
      </c>
    </row>
    <row r="7" spans="4:23" ht="15">
      <c r="D7" s="277" t="s">
        <v>60</v>
      </c>
      <c r="E7" s="145" t="s">
        <v>175</v>
      </c>
      <c r="F7" s="278">
        <f>321/365</f>
        <v>0.8794520547945206</v>
      </c>
      <c r="G7" s="145"/>
      <c r="H7" s="328">
        <v>3</v>
      </c>
      <c r="I7" s="318">
        <f aca="true" t="shared" si="0" ref="I7:I17">$F7*H7</f>
        <v>2.638356164383562</v>
      </c>
      <c r="J7" s="273">
        <v>7</v>
      </c>
      <c r="K7" s="284">
        <f aca="true" t="shared" si="1" ref="K7:K17">$F7*J7</f>
        <v>6.156164383561644</v>
      </c>
      <c r="L7" s="328">
        <v>7</v>
      </c>
      <c r="M7" s="349">
        <f>$F7*L7</f>
        <v>6.156164383561644</v>
      </c>
      <c r="N7" s="328">
        <v>5</v>
      </c>
      <c r="O7" s="349">
        <f>$F7*N7</f>
        <v>4.397260273972603</v>
      </c>
      <c r="P7" s="328">
        <v>4</v>
      </c>
      <c r="Q7" s="349">
        <f>$F7*P7</f>
        <v>3.5178082191780824</v>
      </c>
      <c r="R7" s="328">
        <v>5</v>
      </c>
      <c r="S7" s="349">
        <f aca="true" t="shared" si="2" ref="S7:S17">$F7*R7</f>
        <v>4.397260273972603</v>
      </c>
      <c r="T7" s="328">
        <v>8</v>
      </c>
      <c r="U7" s="349">
        <f aca="true" t="shared" si="3" ref="U7:U17">$F7*T7</f>
        <v>7.035616438356165</v>
      </c>
      <c r="V7" s="328">
        <v>0</v>
      </c>
      <c r="W7" s="349">
        <f aca="true" t="shared" si="4" ref="W7:W17">$F7*V7</f>
        <v>0</v>
      </c>
    </row>
    <row r="8" spans="4:23" ht="15">
      <c r="D8" s="277" t="s">
        <v>61</v>
      </c>
      <c r="E8" s="145" t="s">
        <v>176</v>
      </c>
      <c r="F8" s="278">
        <f>290/365</f>
        <v>0.7945205479452054</v>
      </c>
      <c r="G8" s="145"/>
      <c r="H8" s="328">
        <v>3</v>
      </c>
      <c r="I8" s="318">
        <f t="shared" si="0"/>
        <v>2.383561643835616</v>
      </c>
      <c r="J8" s="273">
        <v>6</v>
      </c>
      <c r="K8" s="284">
        <f t="shared" si="1"/>
        <v>4.767123287671232</v>
      </c>
      <c r="L8" s="328">
        <v>2</v>
      </c>
      <c r="M8" s="349">
        <f aca="true" t="shared" si="5" ref="M8:M17">$F8*L8</f>
        <v>1.5890410958904109</v>
      </c>
      <c r="N8" s="328">
        <v>9</v>
      </c>
      <c r="O8" s="349">
        <f aca="true" t="shared" si="6" ref="O8:O17">$F8*N8</f>
        <v>7.150684931506849</v>
      </c>
      <c r="P8" s="328">
        <v>4</v>
      </c>
      <c r="Q8" s="349">
        <f aca="true" t="shared" si="7" ref="Q8:Q17">$F8*P8</f>
        <v>3.1780821917808217</v>
      </c>
      <c r="R8" s="328">
        <v>8</v>
      </c>
      <c r="S8" s="349">
        <f t="shared" si="2"/>
        <v>6.3561643835616435</v>
      </c>
      <c r="T8" s="328">
        <v>9</v>
      </c>
      <c r="U8" s="349">
        <f t="shared" si="3"/>
        <v>7.150684931506849</v>
      </c>
      <c r="V8" s="328">
        <v>0</v>
      </c>
      <c r="W8" s="349">
        <f t="shared" si="4"/>
        <v>0</v>
      </c>
    </row>
    <row r="9" spans="4:23" ht="15">
      <c r="D9" s="277" t="s">
        <v>63</v>
      </c>
      <c r="E9" s="145" t="s">
        <v>177</v>
      </c>
      <c r="F9" s="278">
        <f>260/365</f>
        <v>0.7123287671232876</v>
      </c>
      <c r="G9" s="145"/>
      <c r="H9" s="328">
        <v>7</v>
      </c>
      <c r="I9" s="318">
        <f t="shared" si="0"/>
        <v>4.986301369863013</v>
      </c>
      <c r="J9" s="273">
        <v>6</v>
      </c>
      <c r="K9" s="284">
        <f t="shared" si="1"/>
        <v>4.273972602739725</v>
      </c>
      <c r="L9" s="328">
        <v>9</v>
      </c>
      <c r="M9" s="349">
        <f t="shared" si="5"/>
        <v>6.410958904109589</v>
      </c>
      <c r="N9" s="328">
        <v>7</v>
      </c>
      <c r="O9" s="349">
        <f t="shared" si="6"/>
        <v>4.986301369863013</v>
      </c>
      <c r="P9" s="328">
        <v>0</v>
      </c>
      <c r="Q9" s="349">
        <f t="shared" si="7"/>
        <v>0</v>
      </c>
      <c r="R9" s="328">
        <v>5</v>
      </c>
      <c r="S9" s="349">
        <f t="shared" si="2"/>
        <v>3.5616438356164384</v>
      </c>
      <c r="T9" s="328">
        <v>7</v>
      </c>
      <c r="U9" s="349">
        <f t="shared" si="3"/>
        <v>4.986301369863013</v>
      </c>
      <c r="V9" s="328">
        <v>0</v>
      </c>
      <c r="W9" s="349">
        <f t="shared" si="4"/>
        <v>0</v>
      </c>
    </row>
    <row r="10" spans="4:23" ht="15">
      <c r="D10" s="277" t="s">
        <v>64</v>
      </c>
      <c r="E10" s="145" t="s">
        <v>178</v>
      </c>
      <c r="F10" s="278">
        <f>229/365</f>
        <v>0.6273972602739726</v>
      </c>
      <c r="G10" s="145"/>
      <c r="H10" s="328">
        <v>6</v>
      </c>
      <c r="I10" s="318">
        <f t="shared" si="0"/>
        <v>3.7643835616438355</v>
      </c>
      <c r="J10" s="273">
        <v>13</v>
      </c>
      <c r="K10" s="284">
        <f t="shared" si="1"/>
        <v>8.156164383561643</v>
      </c>
      <c r="L10" s="328">
        <v>7</v>
      </c>
      <c r="M10" s="349">
        <f t="shared" si="5"/>
        <v>4.391780821917808</v>
      </c>
      <c r="N10" s="328">
        <v>6</v>
      </c>
      <c r="O10" s="349">
        <f t="shared" si="6"/>
        <v>3.7643835616438355</v>
      </c>
      <c r="P10" s="328">
        <v>0</v>
      </c>
      <c r="Q10" s="349">
        <f t="shared" si="7"/>
        <v>0</v>
      </c>
      <c r="R10" s="328">
        <v>9</v>
      </c>
      <c r="S10" s="349">
        <f t="shared" si="2"/>
        <v>5.646575342465753</v>
      </c>
      <c r="T10" s="328">
        <v>8</v>
      </c>
      <c r="U10" s="349">
        <f t="shared" si="3"/>
        <v>5.019178082191781</v>
      </c>
      <c r="V10" s="328">
        <v>0</v>
      </c>
      <c r="W10" s="349">
        <f t="shared" si="4"/>
        <v>0</v>
      </c>
    </row>
    <row r="11" spans="4:23" ht="15">
      <c r="D11" s="277" t="s">
        <v>65</v>
      </c>
      <c r="E11" s="145" t="s">
        <v>179</v>
      </c>
      <c r="F11" s="278">
        <f>199/365</f>
        <v>0.5452054794520548</v>
      </c>
      <c r="G11" s="145"/>
      <c r="H11" s="328">
        <v>12</v>
      </c>
      <c r="I11" s="318">
        <f t="shared" si="0"/>
        <v>6.542465753424658</v>
      </c>
      <c r="J11" s="273">
        <v>6</v>
      </c>
      <c r="K11" s="284">
        <f t="shared" si="1"/>
        <v>3.271232876712329</v>
      </c>
      <c r="L11" s="328">
        <v>6</v>
      </c>
      <c r="M11" s="349">
        <f t="shared" si="5"/>
        <v>3.271232876712329</v>
      </c>
      <c r="N11" s="328">
        <v>13</v>
      </c>
      <c r="O11" s="349">
        <f t="shared" si="6"/>
        <v>7.087671232876712</v>
      </c>
      <c r="P11" s="328">
        <v>8</v>
      </c>
      <c r="Q11" s="349">
        <f t="shared" si="7"/>
        <v>4.361643835616438</v>
      </c>
      <c r="R11" s="328">
        <v>6</v>
      </c>
      <c r="S11" s="349">
        <f t="shared" si="2"/>
        <v>3.271232876712329</v>
      </c>
      <c r="T11" s="328">
        <v>3</v>
      </c>
      <c r="U11" s="349">
        <f t="shared" si="3"/>
        <v>1.6356164383561644</v>
      </c>
      <c r="V11" s="328">
        <v>0</v>
      </c>
      <c r="W11" s="349">
        <f t="shared" si="4"/>
        <v>0</v>
      </c>
    </row>
    <row r="12" spans="4:23" ht="15">
      <c r="D12" s="277" t="s">
        <v>52</v>
      </c>
      <c r="E12" s="145" t="s">
        <v>180</v>
      </c>
      <c r="F12" s="278">
        <f>168/365</f>
        <v>0.4602739726027397</v>
      </c>
      <c r="G12" s="75">
        <v>8</v>
      </c>
      <c r="H12" s="328">
        <v>4</v>
      </c>
      <c r="I12" s="318">
        <f t="shared" si="0"/>
        <v>1.841095890410959</v>
      </c>
      <c r="J12" s="322">
        <v>3</v>
      </c>
      <c r="K12" s="284">
        <f t="shared" si="1"/>
        <v>1.3808219178082193</v>
      </c>
      <c r="L12" s="342">
        <v>7</v>
      </c>
      <c r="M12" s="349">
        <f t="shared" si="5"/>
        <v>3.221917808219178</v>
      </c>
      <c r="N12" s="342">
        <v>7</v>
      </c>
      <c r="O12" s="349">
        <f t="shared" si="6"/>
        <v>3.221917808219178</v>
      </c>
      <c r="P12" s="342">
        <v>4</v>
      </c>
      <c r="Q12" s="349">
        <f t="shared" si="7"/>
        <v>1.841095890410959</v>
      </c>
      <c r="R12" s="342">
        <v>5</v>
      </c>
      <c r="S12" s="349">
        <f t="shared" si="2"/>
        <v>2.3013698630136985</v>
      </c>
      <c r="T12" s="342">
        <v>4</v>
      </c>
      <c r="U12" s="349">
        <f t="shared" si="3"/>
        <v>1.841095890410959</v>
      </c>
      <c r="V12" s="342">
        <v>0</v>
      </c>
      <c r="W12" s="349">
        <f t="shared" si="4"/>
        <v>0</v>
      </c>
    </row>
    <row r="13" spans="4:23" ht="15">
      <c r="D13" s="277" t="s">
        <v>53</v>
      </c>
      <c r="E13" s="145" t="s">
        <v>181</v>
      </c>
      <c r="F13" s="278">
        <f>137/365</f>
        <v>0.37534246575342467</v>
      </c>
      <c r="G13" s="75">
        <v>7</v>
      </c>
      <c r="H13" s="328">
        <v>12</v>
      </c>
      <c r="I13" s="318">
        <f t="shared" si="0"/>
        <v>4.5041095890410965</v>
      </c>
      <c r="J13" s="322">
        <v>7</v>
      </c>
      <c r="K13" s="284">
        <f t="shared" si="1"/>
        <v>2.627397260273973</v>
      </c>
      <c r="L13" s="342">
        <v>7</v>
      </c>
      <c r="M13" s="349">
        <f t="shared" si="5"/>
        <v>2.627397260273973</v>
      </c>
      <c r="N13" s="342">
        <v>7</v>
      </c>
      <c r="O13" s="349">
        <f t="shared" si="6"/>
        <v>2.627397260273973</v>
      </c>
      <c r="P13" s="342">
        <v>5</v>
      </c>
      <c r="Q13" s="349">
        <f t="shared" si="7"/>
        <v>1.8767123287671232</v>
      </c>
      <c r="R13" s="342">
        <v>10</v>
      </c>
      <c r="S13" s="349">
        <f t="shared" si="2"/>
        <v>3.7534246575342465</v>
      </c>
      <c r="T13" s="342">
        <v>6</v>
      </c>
      <c r="U13" s="349">
        <f t="shared" si="3"/>
        <v>2.2520547945205482</v>
      </c>
      <c r="V13" s="342">
        <v>0</v>
      </c>
      <c r="W13" s="349">
        <f t="shared" si="4"/>
        <v>0</v>
      </c>
    </row>
    <row r="14" spans="4:23" ht="15">
      <c r="D14" s="277" t="s">
        <v>54</v>
      </c>
      <c r="E14" s="145" t="s">
        <v>182</v>
      </c>
      <c r="F14" s="278">
        <f>107/365</f>
        <v>0.29315068493150687</v>
      </c>
      <c r="G14" s="75">
        <v>7</v>
      </c>
      <c r="H14" s="328">
        <v>13</v>
      </c>
      <c r="I14" s="318">
        <f t="shared" si="0"/>
        <v>3.8109589041095893</v>
      </c>
      <c r="J14" s="322">
        <v>7</v>
      </c>
      <c r="K14" s="284">
        <f t="shared" si="1"/>
        <v>2.052054794520548</v>
      </c>
      <c r="L14" s="387">
        <v>5</v>
      </c>
      <c r="M14" s="349">
        <f t="shared" si="5"/>
        <v>1.4657534246575343</v>
      </c>
      <c r="N14" s="342">
        <v>4</v>
      </c>
      <c r="O14" s="349">
        <f t="shared" si="6"/>
        <v>1.1726027397260275</v>
      </c>
      <c r="P14" s="342">
        <v>3</v>
      </c>
      <c r="Q14" s="349">
        <f t="shared" si="7"/>
        <v>0.8794520547945206</v>
      </c>
      <c r="R14" s="342">
        <v>5</v>
      </c>
      <c r="S14" s="349">
        <f t="shared" si="2"/>
        <v>1.4657534246575343</v>
      </c>
      <c r="T14" s="342">
        <v>7</v>
      </c>
      <c r="U14" s="349">
        <f t="shared" si="3"/>
        <v>2.052054794520548</v>
      </c>
      <c r="V14" s="342">
        <v>0</v>
      </c>
      <c r="W14" s="349">
        <f t="shared" si="4"/>
        <v>0</v>
      </c>
    </row>
    <row r="15" spans="4:23" ht="15">
      <c r="D15" s="277" t="s">
        <v>55</v>
      </c>
      <c r="E15" s="145" t="s">
        <v>183</v>
      </c>
      <c r="F15" s="278">
        <f>76/365</f>
        <v>0.20821917808219179</v>
      </c>
      <c r="G15" s="75">
        <v>4</v>
      </c>
      <c r="H15" s="328">
        <v>10</v>
      </c>
      <c r="I15" s="318">
        <f t="shared" si="0"/>
        <v>2.0821917808219177</v>
      </c>
      <c r="J15" s="156">
        <v>7</v>
      </c>
      <c r="K15" s="284">
        <f t="shared" si="1"/>
        <v>1.4575342465753425</v>
      </c>
      <c r="L15" s="387">
        <v>10</v>
      </c>
      <c r="M15" s="349">
        <f t="shared" si="5"/>
        <v>2.0821917808219177</v>
      </c>
      <c r="N15" s="342">
        <v>2</v>
      </c>
      <c r="O15" s="349">
        <f t="shared" si="6"/>
        <v>0.41643835616438357</v>
      </c>
      <c r="P15" s="342">
        <v>6</v>
      </c>
      <c r="Q15" s="349">
        <f t="shared" si="7"/>
        <v>1.2493150684931507</v>
      </c>
      <c r="R15" s="342">
        <v>5</v>
      </c>
      <c r="S15" s="349">
        <f t="shared" si="2"/>
        <v>1.0410958904109588</v>
      </c>
      <c r="T15" s="342">
        <v>0</v>
      </c>
      <c r="U15" s="349">
        <f t="shared" si="3"/>
        <v>0</v>
      </c>
      <c r="V15" s="342">
        <v>0</v>
      </c>
      <c r="W15" s="349">
        <f t="shared" si="4"/>
        <v>0</v>
      </c>
    </row>
    <row r="16" spans="4:23" ht="15">
      <c r="D16" s="277" t="s">
        <v>57</v>
      </c>
      <c r="E16" s="145" t="s">
        <v>184</v>
      </c>
      <c r="F16" s="278">
        <f>46/365</f>
        <v>0.12602739726027398</v>
      </c>
      <c r="G16" s="75">
        <v>6</v>
      </c>
      <c r="H16" s="328">
        <v>10</v>
      </c>
      <c r="I16" s="318">
        <f t="shared" si="0"/>
        <v>1.2602739726027399</v>
      </c>
      <c r="J16" s="156">
        <v>7</v>
      </c>
      <c r="K16" s="284">
        <f t="shared" si="1"/>
        <v>0.8821917808219178</v>
      </c>
      <c r="L16" s="387">
        <v>0</v>
      </c>
      <c r="M16" s="349">
        <f t="shared" si="5"/>
        <v>0</v>
      </c>
      <c r="N16" s="342">
        <v>4</v>
      </c>
      <c r="O16" s="349">
        <f t="shared" si="6"/>
        <v>0.5041095890410959</v>
      </c>
      <c r="P16" s="342">
        <v>5</v>
      </c>
      <c r="Q16" s="349">
        <f t="shared" si="7"/>
        <v>0.6301369863013699</v>
      </c>
      <c r="R16" s="342">
        <v>3</v>
      </c>
      <c r="S16" s="349">
        <f t="shared" si="2"/>
        <v>0.3780821917808219</v>
      </c>
      <c r="T16" s="342">
        <v>0</v>
      </c>
      <c r="U16" s="349">
        <f t="shared" si="3"/>
        <v>0</v>
      </c>
      <c r="V16" s="342">
        <v>0</v>
      </c>
      <c r="W16" s="349">
        <f t="shared" si="4"/>
        <v>0</v>
      </c>
    </row>
    <row r="17" spans="4:23" ht="15">
      <c r="D17" s="279" t="s">
        <v>58</v>
      </c>
      <c r="E17" s="25" t="s">
        <v>185</v>
      </c>
      <c r="F17" s="31">
        <f>15/365</f>
        <v>0.0410958904109589</v>
      </c>
      <c r="G17" s="75">
        <v>7</v>
      </c>
      <c r="H17" s="330">
        <v>4</v>
      </c>
      <c r="I17" s="318">
        <f t="shared" si="0"/>
        <v>0.1643835616438356</v>
      </c>
      <c r="J17" s="156">
        <v>0</v>
      </c>
      <c r="K17" s="285">
        <f t="shared" si="1"/>
        <v>0</v>
      </c>
      <c r="L17" s="388">
        <v>4</v>
      </c>
      <c r="M17" s="350">
        <f t="shared" si="5"/>
        <v>0.1643835616438356</v>
      </c>
      <c r="N17" s="344">
        <v>3</v>
      </c>
      <c r="O17" s="350">
        <f t="shared" si="6"/>
        <v>0.1232876712328767</v>
      </c>
      <c r="P17" s="344">
        <v>5</v>
      </c>
      <c r="Q17" s="350">
        <f t="shared" si="7"/>
        <v>0.2054794520547945</v>
      </c>
      <c r="R17" s="344">
        <v>4</v>
      </c>
      <c r="S17" s="349">
        <f t="shared" si="2"/>
        <v>0.1643835616438356</v>
      </c>
      <c r="T17" s="344">
        <v>0</v>
      </c>
      <c r="U17" s="349">
        <f t="shared" si="3"/>
        <v>0</v>
      </c>
      <c r="V17" s="344">
        <v>0</v>
      </c>
      <c r="W17" s="349">
        <f t="shared" si="4"/>
        <v>0</v>
      </c>
    </row>
    <row r="18" spans="4:23" ht="15">
      <c r="D18" s="77"/>
      <c r="E18" s="77"/>
      <c r="F18" s="77"/>
      <c r="G18" s="77">
        <f aca="true" t="shared" si="8" ref="G18:M18">SUM(G6:G17)</f>
        <v>39</v>
      </c>
      <c r="H18" s="77">
        <f t="shared" si="8"/>
        <v>89</v>
      </c>
      <c r="I18" s="77">
        <f t="shared" si="8"/>
        <v>38.75890410958904</v>
      </c>
      <c r="J18" s="77">
        <f t="shared" si="8"/>
        <v>77</v>
      </c>
      <c r="K18" s="77">
        <f t="shared" si="8"/>
        <v>42.673972602739724</v>
      </c>
      <c r="L18" s="343">
        <f t="shared" si="8"/>
        <v>69</v>
      </c>
      <c r="M18" s="343">
        <f t="shared" si="8"/>
        <v>36.16164383561644</v>
      </c>
      <c r="N18" s="343">
        <f aca="true" t="shared" si="9" ref="N18:S18">SUM(N6:N17)</f>
        <v>71</v>
      </c>
      <c r="O18" s="343">
        <f t="shared" si="9"/>
        <v>39.27671232876711</v>
      </c>
      <c r="P18" s="343">
        <f t="shared" si="9"/>
        <v>48</v>
      </c>
      <c r="Q18" s="343">
        <f t="shared" si="9"/>
        <v>21.564383561643833</v>
      </c>
      <c r="R18" s="343">
        <f t="shared" si="9"/>
        <v>70</v>
      </c>
      <c r="S18" s="343">
        <f t="shared" si="9"/>
        <v>37.11780821917808</v>
      </c>
      <c r="T18" s="343">
        <f>SUM(T6:T17)</f>
        <v>61</v>
      </c>
      <c r="U18" s="343">
        <f>SUM(U6:U17)</f>
        <v>40.57808219178083</v>
      </c>
      <c r="V18" s="343">
        <f>SUM(V6:V17)</f>
        <v>0</v>
      </c>
      <c r="W18" s="343">
        <f>SUM(W6:W17)</f>
        <v>0</v>
      </c>
    </row>
    <row r="20" spans="1:15" ht="15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345"/>
      <c r="M20" s="345"/>
      <c r="N20" s="345"/>
      <c r="O20" s="345"/>
    </row>
    <row r="21" spans="12:13" ht="15.75" hidden="1" outlineLevel="1" thickBot="1">
      <c r="L21" s="340"/>
      <c r="M21" s="340"/>
    </row>
    <row r="22" spans="1:15" ht="15.75" hidden="1" outlineLevel="1" thickBot="1">
      <c r="A22" s="156"/>
      <c r="B22" s="156"/>
      <c r="C22" s="156"/>
      <c r="D22" s="156"/>
      <c r="E22" s="156"/>
      <c r="F22" s="156"/>
      <c r="G22" s="272" t="s">
        <v>81</v>
      </c>
      <c r="I22" s="272" t="s">
        <v>76</v>
      </c>
      <c r="J22" s="89"/>
      <c r="K22" s="281" t="s">
        <v>82</v>
      </c>
      <c r="L22" s="341"/>
      <c r="M22" s="281" t="s">
        <v>80</v>
      </c>
      <c r="N22" s="341"/>
      <c r="O22" s="281" t="s">
        <v>210</v>
      </c>
    </row>
    <row r="23" spans="1:15" ht="45.75" hidden="1" outlineLevel="1" thickBot="1">
      <c r="A23" s="156"/>
      <c r="B23" s="156"/>
      <c r="C23" s="156"/>
      <c r="D23" s="76" t="s">
        <v>51</v>
      </c>
      <c r="E23" s="76" t="s">
        <v>186</v>
      </c>
      <c r="F23" s="76" t="s">
        <v>79</v>
      </c>
      <c r="G23" s="282" t="s">
        <v>77</v>
      </c>
      <c r="H23" s="282" t="s">
        <v>77</v>
      </c>
      <c r="I23" s="282" t="s">
        <v>78</v>
      </c>
      <c r="J23" s="282" t="s">
        <v>77</v>
      </c>
      <c r="K23" s="282" t="s">
        <v>78</v>
      </c>
      <c r="L23" s="346" t="s">
        <v>77</v>
      </c>
      <c r="M23" s="347" t="s">
        <v>78</v>
      </c>
      <c r="N23" s="346" t="s">
        <v>77</v>
      </c>
      <c r="O23" s="347" t="s">
        <v>78</v>
      </c>
    </row>
    <row r="24" spans="1:15" ht="15" hidden="1" outlineLevel="1">
      <c r="A24" s="156"/>
      <c r="B24" s="156" t="s">
        <v>6</v>
      </c>
      <c r="C24" s="156"/>
      <c r="D24" s="274" t="s">
        <v>59</v>
      </c>
      <c r="E24" s="275" t="s">
        <v>174</v>
      </c>
      <c r="F24" s="275">
        <f>349/365</f>
        <v>0.9561643835616438</v>
      </c>
      <c r="G24" s="87"/>
      <c r="H24" s="333">
        <v>0</v>
      </c>
      <c r="I24" s="318">
        <f aca="true" t="shared" si="10" ref="I24:I35">$F24*H24</f>
        <v>0</v>
      </c>
      <c r="J24" s="275">
        <v>0</v>
      </c>
      <c r="K24" s="283">
        <f aca="true" t="shared" si="11" ref="K24:K35">$F24*J24</f>
        <v>0</v>
      </c>
      <c r="L24" s="329">
        <v>0</v>
      </c>
      <c r="M24" s="348">
        <f>$F24*L24</f>
        <v>0</v>
      </c>
      <c r="N24" s="329">
        <v>0</v>
      </c>
      <c r="O24" s="348">
        <f>$F24*N24</f>
        <v>0</v>
      </c>
    </row>
    <row r="25" spans="1:15" ht="15" hidden="1" outlineLevel="1">
      <c r="A25" s="156"/>
      <c r="B25" s="156"/>
      <c r="C25" s="156"/>
      <c r="D25" s="277" t="s">
        <v>60</v>
      </c>
      <c r="E25" s="145" t="s">
        <v>175</v>
      </c>
      <c r="F25" s="145">
        <f>321/365</f>
        <v>0.8794520547945206</v>
      </c>
      <c r="G25" s="86"/>
      <c r="H25" s="325">
        <v>0</v>
      </c>
      <c r="I25" s="318">
        <f t="shared" si="10"/>
        <v>0</v>
      </c>
      <c r="J25" s="145">
        <v>0</v>
      </c>
      <c r="K25" s="284">
        <f t="shared" si="11"/>
        <v>0</v>
      </c>
      <c r="L25" s="328">
        <v>0</v>
      </c>
      <c r="M25" s="349">
        <f>$F25*L25</f>
        <v>0</v>
      </c>
      <c r="N25" s="328">
        <v>0</v>
      </c>
      <c r="O25" s="349">
        <f>$F25*N25</f>
        <v>0</v>
      </c>
    </row>
    <row r="26" spans="1:15" ht="15" hidden="1" outlineLevel="1">
      <c r="A26" s="156"/>
      <c r="B26" s="156"/>
      <c r="C26" s="156"/>
      <c r="D26" s="277" t="s">
        <v>61</v>
      </c>
      <c r="E26" s="145" t="s">
        <v>176</v>
      </c>
      <c r="F26" s="145">
        <f>290/365</f>
        <v>0.7945205479452054</v>
      </c>
      <c r="G26" s="86"/>
      <c r="H26" s="325">
        <v>0</v>
      </c>
      <c r="I26" s="318">
        <f t="shared" si="10"/>
        <v>0</v>
      </c>
      <c r="J26" s="145">
        <v>0</v>
      </c>
      <c r="K26" s="284">
        <f t="shared" si="11"/>
        <v>0</v>
      </c>
      <c r="L26" s="328">
        <v>0</v>
      </c>
      <c r="M26" s="349">
        <f aca="true" t="shared" si="12" ref="M26:M35">$F26*L26</f>
        <v>0</v>
      </c>
      <c r="N26" s="328">
        <v>0</v>
      </c>
      <c r="O26" s="349">
        <f aca="true" t="shared" si="13" ref="O26:O35">$F26*N26</f>
        <v>0</v>
      </c>
    </row>
    <row r="27" spans="1:15" ht="15" hidden="1" outlineLevel="1">
      <c r="A27" s="156"/>
      <c r="B27" s="156"/>
      <c r="C27" s="156"/>
      <c r="D27" s="277" t="s">
        <v>63</v>
      </c>
      <c r="E27" s="145" t="s">
        <v>177</v>
      </c>
      <c r="F27" s="145">
        <f>260/365</f>
        <v>0.7123287671232876</v>
      </c>
      <c r="G27" s="86"/>
      <c r="H27" s="325">
        <v>0</v>
      </c>
      <c r="I27" s="318">
        <f t="shared" si="10"/>
        <v>0</v>
      </c>
      <c r="J27" s="145">
        <v>607</v>
      </c>
      <c r="K27" s="284">
        <f t="shared" si="11"/>
        <v>432.3835616438356</v>
      </c>
      <c r="L27" s="328">
        <v>0</v>
      </c>
      <c r="M27" s="349">
        <f t="shared" si="12"/>
        <v>0</v>
      </c>
      <c r="N27" s="328">
        <v>0</v>
      </c>
      <c r="O27" s="349">
        <f t="shared" si="13"/>
        <v>0</v>
      </c>
    </row>
    <row r="28" spans="1:15" ht="15" hidden="1" outlineLevel="1">
      <c r="A28" s="156"/>
      <c r="B28" s="156"/>
      <c r="C28" s="156"/>
      <c r="D28" s="277" t="s">
        <v>64</v>
      </c>
      <c r="E28" s="145" t="s">
        <v>178</v>
      </c>
      <c r="F28" s="145">
        <f>229/365</f>
        <v>0.6273972602739726</v>
      </c>
      <c r="G28" s="86"/>
      <c r="H28" s="325">
        <v>250</v>
      </c>
      <c r="I28" s="318">
        <f t="shared" si="10"/>
        <v>156.84931506849315</v>
      </c>
      <c r="J28" s="145">
        <v>0</v>
      </c>
      <c r="K28" s="284">
        <f t="shared" si="11"/>
        <v>0</v>
      </c>
      <c r="L28" s="328">
        <v>0</v>
      </c>
      <c r="M28" s="349">
        <f t="shared" si="12"/>
        <v>0</v>
      </c>
      <c r="N28" s="328">
        <v>0</v>
      </c>
      <c r="O28" s="349">
        <f t="shared" si="13"/>
        <v>0</v>
      </c>
    </row>
    <row r="29" spans="1:15" ht="15" hidden="1" outlineLevel="1">
      <c r="A29" s="156"/>
      <c r="B29" s="156"/>
      <c r="C29" s="156"/>
      <c r="D29" s="277" t="s">
        <v>65</v>
      </c>
      <c r="E29" s="145" t="s">
        <v>179</v>
      </c>
      <c r="F29" s="145">
        <f>199/365</f>
        <v>0.5452054794520548</v>
      </c>
      <c r="G29" s="86"/>
      <c r="H29" s="325">
        <v>0</v>
      </c>
      <c r="I29" s="318">
        <f t="shared" si="10"/>
        <v>0</v>
      </c>
      <c r="J29" s="145">
        <v>0</v>
      </c>
      <c r="K29" s="284">
        <f t="shared" si="11"/>
        <v>0</v>
      </c>
      <c r="L29" s="328">
        <v>0</v>
      </c>
      <c r="M29" s="349">
        <f t="shared" si="12"/>
        <v>0</v>
      </c>
      <c r="N29" s="328">
        <v>0</v>
      </c>
      <c r="O29" s="349">
        <f t="shared" si="13"/>
        <v>0</v>
      </c>
    </row>
    <row r="30" spans="1:15" ht="15" hidden="1" outlineLevel="1">
      <c r="A30" s="156"/>
      <c r="B30" s="156"/>
      <c r="C30" s="156"/>
      <c r="D30" s="277" t="s">
        <v>52</v>
      </c>
      <c r="E30" s="145" t="s">
        <v>180</v>
      </c>
      <c r="F30" s="145">
        <f>168/365</f>
        <v>0.4602739726027397</v>
      </c>
      <c r="G30" s="86">
        <v>0</v>
      </c>
      <c r="H30" s="325">
        <v>0</v>
      </c>
      <c r="I30" s="318">
        <f t="shared" si="10"/>
        <v>0</v>
      </c>
      <c r="J30" s="145">
        <v>0</v>
      </c>
      <c r="K30" s="284">
        <f t="shared" si="11"/>
        <v>0</v>
      </c>
      <c r="L30" s="342">
        <v>0</v>
      </c>
      <c r="M30" s="349">
        <f t="shared" si="12"/>
        <v>0</v>
      </c>
      <c r="N30" s="342">
        <v>0</v>
      </c>
      <c r="O30" s="349">
        <f t="shared" si="13"/>
        <v>0</v>
      </c>
    </row>
    <row r="31" spans="1:15" ht="15" hidden="1" outlineLevel="1">
      <c r="A31" s="156"/>
      <c r="B31" s="156"/>
      <c r="C31" s="156"/>
      <c r="D31" s="277" t="s">
        <v>53</v>
      </c>
      <c r="E31" s="145" t="s">
        <v>181</v>
      </c>
      <c r="F31" s="145">
        <f>137/365</f>
        <v>0.37534246575342467</v>
      </c>
      <c r="G31" s="86">
        <v>0</v>
      </c>
      <c r="H31" s="325">
        <v>0</v>
      </c>
      <c r="I31" s="318">
        <f t="shared" si="10"/>
        <v>0</v>
      </c>
      <c r="J31" s="145">
        <v>0</v>
      </c>
      <c r="K31" s="284">
        <f t="shared" si="11"/>
        <v>0</v>
      </c>
      <c r="L31" s="342">
        <v>0</v>
      </c>
      <c r="M31" s="349">
        <f t="shared" si="12"/>
        <v>0</v>
      </c>
      <c r="N31" s="342">
        <v>0</v>
      </c>
      <c r="O31" s="349">
        <f t="shared" si="13"/>
        <v>0</v>
      </c>
    </row>
    <row r="32" spans="1:15" ht="15" hidden="1" outlineLevel="1">
      <c r="A32" s="156"/>
      <c r="B32" s="156"/>
      <c r="C32" s="156"/>
      <c r="D32" s="277" t="s">
        <v>54</v>
      </c>
      <c r="E32" s="145" t="s">
        <v>182</v>
      </c>
      <c r="F32" s="145">
        <f>107/365</f>
        <v>0.29315068493150687</v>
      </c>
      <c r="G32" s="86">
        <v>24</v>
      </c>
      <c r="H32" s="325">
        <v>0</v>
      </c>
      <c r="I32" s="318">
        <f t="shared" si="10"/>
        <v>0</v>
      </c>
      <c r="J32" s="145">
        <v>0</v>
      </c>
      <c r="K32" s="284">
        <f t="shared" si="11"/>
        <v>0</v>
      </c>
      <c r="L32" s="342">
        <v>0</v>
      </c>
      <c r="M32" s="349">
        <f t="shared" si="12"/>
        <v>0</v>
      </c>
      <c r="N32" s="342">
        <v>0</v>
      </c>
      <c r="O32" s="349">
        <f t="shared" si="13"/>
        <v>0</v>
      </c>
    </row>
    <row r="33" spans="1:15" ht="15" hidden="1" outlineLevel="1">
      <c r="A33" s="156"/>
      <c r="B33" s="156"/>
      <c r="C33" s="156"/>
      <c r="D33" s="277" t="s">
        <v>55</v>
      </c>
      <c r="E33" s="145" t="s">
        <v>183</v>
      </c>
      <c r="F33" s="145">
        <f>76/365</f>
        <v>0.20821917808219179</v>
      </c>
      <c r="G33" s="86">
        <v>593</v>
      </c>
      <c r="H33" s="325">
        <v>838</v>
      </c>
      <c r="I33" s="318">
        <f t="shared" si="10"/>
        <v>174.48767123287672</v>
      </c>
      <c r="J33" s="156">
        <v>0</v>
      </c>
      <c r="K33" s="284">
        <f t="shared" si="11"/>
        <v>0</v>
      </c>
      <c r="L33" s="342">
        <v>0</v>
      </c>
      <c r="M33" s="349">
        <f t="shared" si="12"/>
        <v>0</v>
      </c>
      <c r="N33" s="342">
        <v>0</v>
      </c>
      <c r="O33" s="349">
        <f t="shared" si="13"/>
        <v>0</v>
      </c>
    </row>
    <row r="34" spans="1:15" ht="15" hidden="1" outlineLevel="1">
      <c r="A34" s="156"/>
      <c r="B34" s="156"/>
      <c r="C34" s="156"/>
      <c r="D34" s="277" t="s">
        <v>57</v>
      </c>
      <c r="E34" s="145" t="s">
        <v>184</v>
      </c>
      <c r="F34" s="145">
        <f>46/365</f>
        <v>0.12602739726027398</v>
      </c>
      <c r="G34" s="86">
        <v>1062</v>
      </c>
      <c r="H34" s="325">
        <v>1117</v>
      </c>
      <c r="I34" s="318">
        <f t="shared" si="10"/>
        <v>140.77260273972604</v>
      </c>
      <c r="J34" s="156">
        <v>894</v>
      </c>
      <c r="K34" s="284">
        <f t="shared" si="11"/>
        <v>112.66849315068494</v>
      </c>
      <c r="L34" s="342">
        <v>0</v>
      </c>
      <c r="M34" s="349">
        <f t="shared" si="12"/>
        <v>0</v>
      </c>
      <c r="N34" s="342">
        <v>0</v>
      </c>
      <c r="O34" s="349">
        <f t="shared" si="13"/>
        <v>0</v>
      </c>
    </row>
    <row r="35" spans="1:15" ht="15" hidden="1" outlineLevel="1">
      <c r="A35" s="156"/>
      <c r="B35" s="156"/>
      <c r="C35" s="156"/>
      <c r="D35" s="279" t="s">
        <v>58</v>
      </c>
      <c r="E35" s="25" t="s">
        <v>185</v>
      </c>
      <c r="F35" s="25">
        <f>15/365</f>
        <v>0.0410958904109589</v>
      </c>
      <c r="G35" s="88">
        <v>0</v>
      </c>
      <c r="H35" s="334">
        <v>0</v>
      </c>
      <c r="I35" s="318">
        <f t="shared" si="10"/>
        <v>0</v>
      </c>
      <c r="J35" s="25">
        <v>708</v>
      </c>
      <c r="K35" s="285">
        <f t="shared" si="11"/>
        <v>29.0958904109589</v>
      </c>
      <c r="L35" s="344">
        <v>0</v>
      </c>
      <c r="M35" s="350">
        <f t="shared" si="12"/>
        <v>0</v>
      </c>
      <c r="N35" s="344">
        <v>0</v>
      </c>
      <c r="O35" s="350">
        <f t="shared" si="13"/>
        <v>0</v>
      </c>
    </row>
    <row r="36" spans="1:15" ht="15" hidden="1" outlineLevel="1">
      <c r="A36" s="156"/>
      <c r="B36" s="156"/>
      <c r="C36" s="156"/>
      <c r="D36" s="77"/>
      <c r="E36" s="77"/>
      <c r="F36" s="77"/>
      <c r="G36" s="77">
        <f aca="true" t="shared" si="14" ref="G36:M36">SUM(G24:G35)</f>
        <v>1679</v>
      </c>
      <c r="H36" s="77">
        <f t="shared" si="14"/>
        <v>2205</v>
      </c>
      <c r="I36" s="77">
        <f t="shared" si="14"/>
        <v>472.1095890410959</v>
      </c>
      <c r="J36" s="77">
        <f t="shared" si="14"/>
        <v>2209</v>
      </c>
      <c r="K36" s="77">
        <f t="shared" si="14"/>
        <v>574.1479452054795</v>
      </c>
      <c r="L36" s="343">
        <f t="shared" si="14"/>
        <v>0</v>
      </c>
      <c r="M36" s="343">
        <f t="shared" si="14"/>
        <v>0</v>
      </c>
      <c r="N36" s="343">
        <f>SUM(N24:N35)</f>
        <v>0</v>
      </c>
      <c r="O36" s="343">
        <f>SUM(O24:O35)</f>
        <v>0</v>
      </c>
    </row>
    <row r="37" spans="1:13" ht="15" hidden="1" outlineLevel="1">
      <c r="A37" s="156"/>
      <c r="B37" s="156"/>
      <c r="C37" s="156"/>
      <c r="D37" s="156"/>
      <c r="E37" s="156"/>
      <c r="F37" s="156"/>
      <c r="L37" s="340"/>
      <c r="M37" s="340"/>
    </row>
    <row r="38" spans="1:15" ht="15" hidden="1" outlineLevel="1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345"/>
      <c r="M38" s="345"/>
      <c r="N38" s="345"/>
      <c r="O38" s="345"/>
    </row>
    <row r="39" spans="12:13" ht="15.75" hidden="1" outlineLevel="1" thickBot="1">
      <c r="L39" s="340"/>
      <c r="M39" s="340"/>
    </row>
    <row r="40" spans="1:15" ht="15.75" hidden="1" outlineLevel="1" thickBot="1">
      <c r="A40" s="156"/>
      <c r="B40" s="156"/>
      <c r="C40" s="156"/>
      <c r="D40" s="156"/>
      <c r="E40" s="156"/>
      <c r="F40" s="156"/>
      <c r="G40" s="272" t="s">
        <v>81</v>
      </c>
      <c r="I40" s="272" t="s">
        <v>76</v>
      </c>
      <c r="J40" s="89"/>
      <c r="K40" s="281" t="s">
        <v>82</v>
      </c>
      <c r="L40" s="341"/>
      <c r="M40" s="281" t="s">
        <v>80</v>
      </c>
      <c r="N40" s="341"/>
      <c r="O40" s="281" t="s">
        <v>210</v>
      </c>
    </row>
    <row r="41" spans="1:15" ht="45.75" hidden="1" outlineLevel="1" thickBot="1">
      <c r="A41" s="156"/>
      <c r="B41" s="156"/>
      <c r="C41" s="156"/>
      <c r="D41" s="76" t="s">
        <v>51</v>
      </c>
      <c r="E41" s="76" t="s">
        <v>186</v>
      </c>
      <c r="F41" s="76" t="s">
        <v>79</v>
      </c>
      <c r="G41" s="282" t="s">
        <v>77</v>
      </c>
      <c r="H41" s="282" t="s">
        <v>77</v>
      </c>
      <c r="I41" s="282" t="s">
        <v>78</v>
      </c>
      <c r="J41" s="282" t="s">
        <v>77</v>
      </c>
      <c r="K41" s="282" t="s">
        <v>78</v>
      </c>
      <c r="L41" s="346" t="s">
        <v>77</v>
      </c>
      <c r="M41" s="347" t="s">
        <v>78</v>
      </c>
      <c r="N41" s="346" t="s">
        <v>77</v>
      </c>
      <c r="O41" s="347" t="s">
        <v>78</v>
      </c>
    </row>
    <row r="42" spans="1:15" ht="15" hidden="1" outlineLevel="1">
      <c r="A42" s="156"/>
      <c r="B42" s="156" t="s">
        <v>7</v>
      </c>
      <c r="C42" s="156"/>
      <c r="D42" s="274" t="s">
        <v>59</v>
      </c>
      <c r="E42" s="275" t="s">
        <v>174</v>
      </c>
      <c r="F42" s="275">
        <f>349/365</f>
        <v>0.9561643835616438</v>
      </c>
      <c r="G42" s="87"/>
      <c r="H42" s="333">
        <v>0</v>
      </c>
      <c r="I42" s="318">
        <f aca="true" t="shared" si="15" ref="I42:I53">$F42*H42</f>
        <v>0</v>
      </c>
      <c r="J42" s="275">
        <v>0</v>
      </c>
      <c r="K42" s="283">
        <f aca="true" t="shared" si="16" ref="K42:K53">$F42*J42</f>
        <v>0</v>
      </c>
      <c r="L42" s="329">
        <v>0</v>
      </c>
      <c r="M42" s="348">
        <f>$F42*L42</f>
        <v>0</v>
      </c>
      <c r="N42" s="329">
        <v>0</v>
      </c>
      <c r="O42" s="348">
        <f>$F42*N42</f>
        <v>0</v>
      </c>
    </row>
    <row r="43" spans="1:15" ht="15" hidden="1" outlineLevel="1">
      <c r="A43" s="156"/>
      <c r="B43" s="156"/>
      <c r="C43" s="156"/>
      <c r="D43" s="277" t="s">
        <v>60</v>
      </c>
      <c r="E43" s="145" t="s">
        <v>175</v>
      </c>
      <c r="F43" s="145">
        <f>321/365</f>
        <v>0.8794520547945206</v>
      </c>
      <c r="G43" s="86"/>
      <c r="H43" s="325">
        <v>0</v>
      </c>
      <c r="I43" s="318">
        <f t="shared" si="15"/>
        <v>0</v>
      </c>
      <c r="J43" s="145">
        <v>0</v>
      </c>
      <c r="K43" s="284">
        <f t="shared" si="16"/>
        <v>0</v>
      </c>
      <c r="L43" s="328">
        <v>0</v>
      </c>
      <c r="M43" s="349">
        <f>$F43*L43</f>
        <v>0</v>
      </c>
      <c r="N43" s="328">
        <v>0</v>
      </c>
      <c r="O43" s="349">
        <f>$F43*N43</f>
        <v>0</v>
      </c>
    </row>
    <row r="44" spans="1:15" ht="15" hidden="1" outlineLevel="1">
      <c r="A44" s="156"/>
      <c r="B44" s="156"/>
      <c r="C44" s="156"/>
      <c r="D44" s="277" t="s">
        <v>61</v>
      </c>
      <c r="E44" s="145" t="s">
        <v>176</v>
      </c>
      <c r="F44" s="145">
        <f>290/365</f>
        <v>0.7945205479452054</v>
      </c>
      <c r="G44" s="86"/>
      <c r="H44" s="325">
        <v>365</v>
      </c>
      <c r="I44" s="318">
        <f t="shared" si="15"/>
        <v>290</v>
      </c>
      <c r="J44" s="145">
        <v>261</v>
      </c>
      <c r="K44" s="284">
        <f t="shared" si="16"/>
        <v>207.36986301369862</v>
      </c>
      <c r="L44" s="328">
        <v>0</v>
      </c>
      <c r="M44" s="349">
        <f aca="true" t="shared" si="17" ref="M44:M53">$F44*L44</f>
        <v>0</v>
      </c>
      <c r="N44" s="328">
        <v>0</v>
      </c>
      <c r="O44" s="349">
        <f aca="true" t="shared" si="18" ref="O44:O53">$F44*N44</f>
        <v>0</v>
      </c>
    </row>
    <row r="45" spans="1:15" ht="15" hidden="1" outlineLevel="1">
      <c r="A45" s="156"/>
      <c r="B45" s="156"/>
      <c r="C45" s="156"/>
      <c r="D45" s="277" t="s">
        <v>63</v>
      </c>
      <c r="E45" s="145" t="s">
        <v>177</v>
      </c>
      <c r="F45" s="145">
        <f>260/365</f>
        <v>0.7123287671232876</v>
      </c>
      <c r="G45" s="86"/>
      <c r="H45" s="325">
        <v>0</v>
      </c>
      <c r="I45" s="318">
        <f t="shared" si="15"/>
        <v>0</v>
      </c>
      <c r="J45" s="145">
        <v>344</v>
      </c>
      <c r="K45" s="284">
        <f t="shared" si="16"/>
        <v>245.04109589041096</v>
      </c>
      <c r="L45" s="328">
        <v>0</v>
      </c>
      <c r="M45" s="349">
        <f t="shared" si="17"/>
        <v>0</v>
      </c>
      <c r="N45" s="328">
        <v>0</v>
      </c>
      <c r="O45" s="349">
        <f t="shared" si="18"/>
        <v>0</v>
      </c>
    </row>
    <row r="46" spans="1:15" ht="15" hidden="1" outlineLevel="1">
      <c r="A46" s="156"/>
      <c r="B46" s="156"/>
      <c r="C46" s="156"/>
      <c r="D46" s="277" t="s">
        <v>64</v>
      </c>
      <c r="E46" s="145" t="s">
        <v>178</v>
      </c>
      <c r="F46" s="145">
        <f>229/365</f>
        <v>0.6273972602739726</v>
      </c>
      <c r="G46" s="86"/>
      <c r="H46" s="325">
        <v>920</v>
      </c>
      <c r="I46" s="318">
        <f t="shared" si="15"/>
        <v>577.2054794520548</v>
      </c>
      <c r="J46" s="145">
        <v>367</v>
      </c>
      <c r="K46" s="284">
        <f t="shared" si="16"/>
        <v>230.25479452054793</v>
      </c>
      <c r="L46" s="328">
        <v>0</v>
      </c>
      <c r="M46" s="349">
        <f t="shared" si="17"/>
        <v>0</v>
      </c>
      <c r="N46" s="328">
        <v>0</v>
      </c>
      <c r="O46" s="349">
        <f t="shared" si="18"/>
        <v>0</v>
      </c>
    </row>
    <row r="47" spans="1:15" ht="15" hidden="1" outlineLevel="1">
      <c r="A47" s="156"/>
      <c r="B47" s="156"/>
      <c r="C47" s="156"/>
      <c r="D47" s="277" t="s">
        <v>65</v>
      </c>
      <c r="E47" s="145" t="s">
        <v>179</v>
      </c>
      <c r="F47" s="145">
        <f>199/365</f>
        <v>0.5452054794520548</v>
      </c>
      <c r="G47" s="86"/>
      <c r="H47" s="325">
        <v>0</v>
      </c>
      <c r="I47" s="318">
        <f t="shared" si="15"/>
        <v>0</v>
      </c>
      <c r="J47" s="145">
        <v>431</v>
      </c>
      <c r="K47" s="284">
        <f t="shared" si="16"/>
        <v>234.9835616438356</v>
      </c>
      <c r="L47" s="328">
        <v>0</v>
      </c>
      <c r="M47" s="349">
        <f t="shared" si="17"/>
        <v>0</v>
      </c>
      <c r="N47" s="328">
        <v>0</v>
      </c>
      <c r="O47" s="349">
        <f t="shared" si="18"/>
        <v>0</v>
      </c>
    </row>
    <row r="48" spans="1:15" ht="15" hidden="1" outlineLevel="1">
      <c r="A48" s="156"/>
      <c r="B48" s="156"/>
      <c r="C48" s="156"/>
      <c r="D48" s="277" t="s">
        <v>52</v>
      </c>
      <c r="E48" s="145" t="s">
        <v>180</v>
      </c>
      <c r="F48" s="145">
        <f>168/365</f>
        <v>0.4602739726027397</v>
      </c>
      <c r="G48" s="86">
        <v>403</v>
      </c>
      <c r="H48" s="325">
        <v>440</v>
      </c>
      <c r="I48" s="318">
        <f t="shared" si="15"/>
        <v>202.52054794520546</v>
      </c>
      <c r="J48" s="145">
        <v>253</v>
      </c>
      <c r="K48" s="284">
        <f t="shared" si="16"/>
        <v>116.44931506849315</v>
      </c>
      <c r="L48" s="342">
        <v>0</v>
      </c>
      <c r="M48" s="349">
        <f t="shared" si="17"/>
        <v>0</v>
      </c>
      <c r="N48" s="342">
        <v>0</v>
      </c>
      <c r="O48" s="349">
        <f t="shared" si="18"/>
        <v>0</v>
      </c>
    </row>
    <row r="49" spans="1:15" ht="15" hidden="1" outlineLevel="1">
      <c r="A49" s="156"/>
      <c r="B49" s="156"/>
      <c r="C49" s="156"/>
      <c r="D49" s="277" t="s">
        <v>53</v>
      </c>
      <c r="E49" s="145" t="s">
        <v>181</v>
      </c>
      <c r="F49" s="145">
        <f>137/365</f>
        <v>0.37534246575342467</v>
      </c>
      <c r="G49" s="86">
        <v>680</v>
      </c>
      <c r="H49" s="325">
        <v>498</v>
      </c>
      <c r="I49" s="318">
        <f t="shared" si="15"/>
        <v>186.9205479452055</v>
      </c>
      <c r="J49" s="145">
        <v>413</v>
      </c>
      <c r="K49" s="284">
        <f t="shared" si="16"/>
        <v>155.0164383561644</v>
      </c>
      <c r="L49" s="342">
        <v>0</v>
      </c>
      <c r="M49" s="349">
        <f t="shared" si="17"/>
        <v>0</v>
      </c>
      <c r="N49" s="342">
        <v>0</v>
      </c>
      <c r="O49" s="349">
        <f t="shared" si="18"/>
        <v>0</v>
      </c>
    </row>
    <row r="50" spans="1:15" ht="15" hidden="1" outlineLevel="1">
      <c r="A50" s="156"/>
      <c r="B50" s="156"/>
      <c r="C50" s="156"/>
      <c r="D50" s="277" t="s">
        <v>54</v>
      </c>
      <c r="E50" s="145" t="s">
        <v>182</v>
      </c>
      <c r="F50" s="145">
        <f>107/365</f>
        <v>0.29315068493150687</v>
      </c>
      <c r="G50" s="86">
        <v>1398</v>
      </c>
      <c r="H50" s="325">
        <v>0</v>
      </c>
      <c r="I50" s="318">
        <f t="shared" si="15"/>
        <v>0</v>
      </c>
      <c r="J50" s="145">
        <v>396</v>
      </c>
      <c r="K50" s="284">
        <f t="shared" si="16"/>
        <v>116.08767123287672</v>
      </c>
      <c r="L50" s="342">
        <v>0</v>
      </c>
      <c r="M50" s="349">
        <f t="shared" si="17"/>
        <v>0</v>
      </c>
      <c r="N50" s="342">
        <v>0</v>
      </c>
      <c r="O50" s="349">
        <f t="shared" si="18"/>
        <v>0</v>
      </c>
    </row>
    <row r="51" spans="1:15" ht="15" hidden="1" outlineLevel="1">
      <c r="A51" s="156"/>
      <c r="B51" s="156"/>
      <c r="C51" s="156"/>
      <c r="D51" s="277" t="s">
        <v>55</v>
      </c>
      <c r="E51" s="145" t="s">
        <v>183</v>
      </c>
      <c r="F51" s="145">
        <f>76/365</f>
        <v>0.20821917808219179</v>
      </c>
      <c r="G51" s="86">
        <v>362</v>
      </c>
      <c r="H51" s="325">
        <v>1147</v>
      </c>
      <c r="I51" s="318">
        <f t="shared" si="15"/>
        <v>238.82739726027398</v>
      </c>
      <c r="J51" s="156">
        <v>514</v>
      </c>
      <c r="K51" s="284">
        <f t="shared" si="16"/>
        <v>107.02465753424657</v>
      </c>
      <c r="L51" s="342">
        <v>0</v>
      </c>
      <c r="M51" s="349">
        <f t="shared" si="17"/>
        <v>0</v>
      </c>
      <c r="N51" s="342">
        <v>0</v>
      </c>
      <c r="O51" s="349">
        <f t="shared" si="18"/>
        <v>0</v>
      </c>
    </row>
    <row r="52" spans="1:15" ht="15" hidden="1" outlineLevel="1">
      <c r="A52" s="156"/>
      <c r="B52" s="156"/>
      <c r="C52" s="156"/>
      <c r="D52" s="277" t="s">
        <v>57</v>
      </c>
      <c r="E52" s="145" t="s">
        <v>184</v>
      </c>
      <c r="F52" s="145">
        <f>46/365</f>
        <v>0.12602739726027398</v>
      </c>
      <c r="G52" s="86">
        <v>333</v>
      </c>
      <c r="H52" s="325">
        <v>830</v>
      </c>
      <c r="I52" s="318">
        <f t="shared" si="15"/>
        <v>104.60273972602741</v>
      </c>
      <c r="J52" s="145">
        <v>0</v>
      </c>
      <c r="K52" s="284">
        <f t="shared" si="16"/>
        <v>0</v>
      </c>
      <c r="L52" s="342">
        <v>0</v>
      </c>
      <c r="M52" s="349">
        <f t="shared" si="17"/>
        <v>0</v>
      </c>
      <c r="N52" s="342">
        <v>0</v>
      </c>
      <c r="O52" s="349">
        <f t="shared" si="18"/>
        <v>0</v>
      </c>
    </row>
    <row r="53" spans="1:15" ht="15" hidden="1" outlineLevel="1">
      <c r="A53" s="156"/>
      <c r="B53" s="156"/>
      <c r="C53" s="156"/>
      <c r="D53" s="279" t="s">
        <v>58</v>
      </c>
      <c r="E53" s="25" t="s">
        <v>185</v>
      </c>
      <c r="F53" s="25">
        <f>15/365</f>
        <v>0.0410958904109589</v>
      </c>
      <c r="G53" s="88">
        <v>0</v>
      </c>
      <c r="H53" s="334">
        <v>0</v>
      </c>
      <c r="I53" s="318">
        <f t="shared" si="15"/>
        <v>0</v>
      </c>
      <c r="J53" s="25">
        <v>0</v>
      </c>
      <c r="K53" s="285">
        <f t="shared" si="16"/>
        <v>0</v>
      </c>
      <c r="L53" s="344">
        <v>0</v>
      </c>
      <c r="M53" s="350">
        <f t="shared" si="17"/>
        <v>0</v>
      </c>
      <c r="N53" s="344">
        <v>0</v>
      </c>
      <c r="O53" s="350">
        <f t="shared" si="18"/>
        <v>0</v>
      </c>
    </row>
    <row r="54" spans="1:15" ht="15" hidden="1" outlineLevel="1">
      <c r="A54" s="156"/>
      <c r="B54" s="156"/>
      <c r="C54" s="156"/>
      <c r="D54" s="77"/>
      <c r="E54" s="77"/>
      <c r="F54" s="77"/>
      <c r="G54" s="77">
        <f aca="true" t="shared" si="19" ref="G54:M54">SUM(G42:G53)</f>
        <v>3176</v>
      </c>
      <c r="H54" s="77">
        <f t="shared" si="19"/>
        <v>4200</v>
      </c>
      <c r="I54" s="77">
        <f t="shared" si="19"/>
        <v>1600.0767123287671</v>
      </c>
      <c r="J54" s="77">
        <f t="shared" si="19"/>
        <v>2979</v>
      </c>
      <c r="K54" s="77">
        <f t="shared" si="19"/>
        <v>1412.227397260274</v>
      </c>
      <c r="L54" s="343">
        <f t="shared" si="19"/>
        <v>0</v>
      </c>
      <c r="M54" s="343">
        <f t="shared" si="19"/>
        <v>0</v>
      </c>
      <c r="N54" s="343">
        <f>SUM(N42:N53)</f>
        <v>0</v>
      </c>
      <c r="O54" s="343">
        <f>SUM(O42:O53)</f>
        <v>0</v>
      </c>
    </row>
    <row r="55" spans="1:13" ht="15" hidden="1" outlineLevel="1">
      <c r="A55" s="156"/>
      <c r="B55" s="156"/>
      <c r="C55" s="156"/>
      <c r="D55" s="156"/>
      <c r="E55" s="156"/>
      <c r="F55" s="156"/>
      <c r="L55" s="340"/>
      <c r="M55" s="340"/>
    </row>
    <row r="56" spans="1:15" ht="15" hidden="1" outlineLevel="1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345"/>
      <c r="M56" s="345"/>
      <c r="N56" s="345"/>
      <c r="O56" s="345"/>
    </row>
    <row r="57" spans="12:13" ht="15.75" hidden="1" outlineLevel="1" thickBot="1">
      <c r="L57" s="340"/>
      <c r="M57" s="340"/>
    </row>
    <row r="58" spans="1:15" ht="15.75" hidden="1" outlineLevel="1" thickBot="1">
      <c r="A58" s="156"/>
      <c r="B58" s="156"/>
      <c r="C58" s="156"/>
      <c r="D58" s="156"/>
      <c r="E58" s="156"/>
      <c r="F58" s="156"/>
      <c r="G58" s="272" t="s">
        <v>81</v>
      </c>
      <c r="I58" s="272" t="s">
        <v>76</v>
      </c>
      <c r="J58" s="89"/>
      <c r="K58" s="281" t="s">
        <v>82</v>
      </c>
      <c r="L58" s="341"/>
      <c r="M58" s="281" t="s">
        <v>80</v>
      </c>
      <c r="N58" s="341"/>
      <c r="O58" s="281" t="s">
        <v>210</v>
      </c>
    </row>
    <row r="59" spans="1:15" ht="45.75" hidden="1" outlineLevel="1" thickBot="1">
      <c r="A59" s="156"/>
      <c r="B59" s="156"/>
      <c r="C59" s="156"/>
      <c r="D59" s="76" t="s">
        <v>51</v>
      </c>
      <c r="E59" s="76" t="s">
        <v>186</v>
      </c>
      <c r="F59" s="76" t="s">
        <v>79</v>
      </c>
      <c r="G59" s="282" t="s">
        <v>77</v>
      </c>
      <c r="H59" s="282" t="s">
        <v>77</v>
      </c>
      <c r="I59" s="282" t="s">
        <v>78</v>
      </c>
      <c r="J59" s="282" t="s">
        <v>77</v>
      </c>
      <c r="K59" s="282" t="s">
        <v>78</v>
      </c>
      <c r="L59" s="346" t="s">
        <v>77</v>
      </c>
      <c r="M59" s="347" t="s">
        <v>78</v>
      </c>
      <c r="N59" s="346" t="s">
        <v>77</v>
      </c>
      <c r="O59" s="347" t="s">
        <v>78</v>
      </c>
    </row>
    <row r="60" spans="1:15" ht="15" hidden="1" outlineLevel="1">
      <c r="A60" s="156"/>
      <c r="B60" s="156" t="s">
        <v>8</v>
      </c>
      <c r="C60" s="156"/>
      <c r="D60" s="274" t="s">
        <v>59</v>
      </c>
      <c r="E60" s="275" t="s">
        <v>174</v>
      </c>
      <c r="F60" s="275">
        <f>349/365</f>
        <v>0.9561643835616438</v>
      </c>
      <c r="G60" s="87"/>
      <c r="H60" s="333">
        <v>3419</v>
      </c>
      <c r="I60" s="318">
        <f aca="true" t="shared" si="20" ref="I60:I71">$F60*H60</f>
        <v>3269.1260273972603</v>
      </c>
      <c r="J60" s="275">
        <v>22670</v>
      </c>
      <c r="K60" s="283">
        <f aca="true" t="shared" si="21" ref="K60:K71">$F60*J60</f>
        <v>21676.246575342466</v>
      </c>
      <c r="L60" s="329">
        <v>0</v>
      </c>
      <c r="M60" s="348">
        <f>$F60*L60</f>
        <v>0</v>
      </c>
      <c r="N60" s="329">
        <v>0</v>
      </c>
      <c r="O60" s="348">
        <f>$F60*N60</f>
        <v>0</v>
      </c>
    </row>
    <row r="61" spans="1:15" ht="15" hidden="1" outlineLevel="1">
      <c r="A61" s="156"/>
      <c r="B61" s="156"/>
      <c r="C61" s="156"/>
      <c r="D61" s="277" t="s">
        <v>60</v>
      </c>
      <c r="E61" s="145" t="s">
        <v>175</v>
      </c>
      <c r="F61" s="145">
        <f>321/365</f>
        <v>0.8794520547945206</v>
      </c>
      <c r="G61" s="86"/>
      <c r="H61" s="325">
        <v>89640</v>
      </c>
      <c r="I61" s="318">
        <f t="shared" si="20"/>
        <v>78834.08219178082</v>
      </c>
      <c r="J61" s="145">
        <v>0</v>
      </c>
      <c r="K61" s="284">
        <f t="shared" si="21"/>
        <v>0</v>
      </c>
      <c r="L61" s="328">
        <v>0</v>
      </c>
      <c r="M61" s="349">
        <f>$F61*L61</f>
        <v>0</v>
      </c>
      <c r="N61" s="328">
        <v>0</v>
      </c>
      <c r="O61" s="349">
        <f>$F61*N61</f>
        <v>0</v>
      </c>
    </row>
    <row r="62" spans="1:15" ht="15" hidden="1" outlineLevel="1">
      <c r="A62" s="156"/>
      <c r="B62" s="156"/>
      <c r="C62" s="156"/>
      <c r="D62" s="277" t="s">
        <v>61</v>
      </c>
      <c r="E62" s="145" t="s">
        <v>176</v>
      </c>
      <c r="F62" s="145">
        <f>290/365</f>
        <v>0.7945205479452054</v>
      </c>
      <c r="G62" s="86"/>
      <c r="H62" s="325">
        <v>89266</v>
      </c>
      <c r="I62" s="318">
        <f t="shared" si="20"/>
        <v>70923.6712328767</v>
      </c>
      <c r="J62" s="145">
        <v>2298</v>
      </c>
      <c r="K62" s="284">
        <f t="shared" si="21"/>
        <v>1825.808219178082</v>
      </c>
      <c r="L62" s="328">
        <v>0</v>
      </c>
      <c r="M62" s="349">
        <f aca="true" t="shared" si="22" ref="M62:M71">$F62*L62</f>
        <v>0</v>
      </c>
      <c r="N62" s="328">
        <v>0</v>
      </c>
      <c r="O62" s="349">
        <f aca="true" t="shared" si="23" ref="O62:O71">$F62*N62</f>
        <v>0</v>
      </c>
    </row>
    <row r="63" spans="1:15" ht="15" hidden="1" outlineLevel="1">
      <c r="A63" s="156"/>
      <c r="B63" s="156"/>
      <c r="C63" s="156"/>
      <c r="D63" s="277" t="s">
        <v>63</v>
      </c>
      <c r="E63" s="145" t="s">
        <v>177</v>
      </c>
      <c r="F63" s="145">
        <f>260/365</f>
        <v>0.7123287671232876</v>
      </c>
      <c r="G63" s="86"/>
      <c r="H63" s="325">
        <v>35654</v>
      </c>
      <c r="I63" s="318">
        <f t="shared" si="20"/>
        <v>25397.369863013697</v>
      </c>
      <c r="J63" s="145">
        <v>5547</v>
      </c>
      <c r="K63" s="284">
        <f t="shared" si="21"/>
        <v>3951.2876712328766</v>
      </c>
      <c r="L63" s="328">
        <v>0</v>
      </c>
      <c r="M63" s="349">
        <f t="shared" si="22"/>
        <v>0</v>
      </c>
      <c r="N63" s="328">
        <v>0</v>
      </c>
      <c r="O63" s="349">
        <f t="shared" si="23"/>
        <v>0</v>
      </c>
    </row>
    <row r="64" spans="1:15" ht="15" hidden="1" outlineLevel="1">
      <c r="A64" s="156"/>
      <c r="B64" s="156"/>
      <c r="C64" s="156"/>
      <c r="D64" s="277" t="s">
        <v>64</v>
      </c>
      <c r="E64" s="145" t="s">
        <v>178</v>
      </c>
      <c r="F64" s="145">
        <f>229/365</f>
        <v>0.6273972602739726</v>
      </c>
      <c r="G64" s="86"/>
      <c r="H64" s="325">
        <v>25661</v>
      </c>
      <c r="I64" s="318">
        <f t="shared" si="20"/>
        <v>16099.64109589041</v>
      </c>
      <c r="J64" s="145">
        <v>6702</v>
      </c>
      <c r="K64" s="284">
        <f t="shared" si="21"/>
        <v>4204.816438356164</v>
      </c>
      <c r="L64" s="328">
        <v>0</v>
      </c>
      <c r="M64" s="349">
        <f t="shared" si="22"/>
        <v>0</v>
      </c>
      <c r="N64" s="328">
        <v>0</v>
      </c>
      <c r="O64" s="349">
        <f t="shared" si="23"/>
        <v>0</v>
      </c>
    </row>
    <row r="65" spans="1:15" ht="15" hidden="1" outlineLevel="1">
      <c r="A65" s="156"/>
      <c r="B65" s="156"/>
      <c r="C65" s="156"/>
      <c r="D65" s="277" t="s">
        <v>65</v>
      </c>
      <c r="E65" s="145" t="s">
        <v>179</v>
      </c>
      <c r="F65" s="145">
        <f>199/365</f>
        <v>0.5452054794520548</v>
      </c>
      <c r="G65" s="86"/>
      <c r="H65" s="325">
        <v>22672</v>
      </c>
      <c r="I65" s="318">
        <f t="shared" si="20"/>
        <v>12360.898630136986</v>
      </c>
      <c r="J65" s="145">
        <v>7548</v>
      </c>
      <c r="K65" s="284">
        <f t="shared" si="21"/>
        <v>4115.210958904109</v>
      </c>
      <c r="L65" s="328">
        <v>0</v>
      </c>
      <c r="M65" s="349">
        <f t="shared" si="22"/>
        <v>0</v>
      </c>
      <c r="N65" s="328">
        <v>0</v>
      </c>
      <c r="O65" s="349">
        <f t="shared" si="23"/>
        <v>0</v>
      </c>
    </row>
    <row r="66" spans="1:15" ht="15" hidden="1" outlineLevel="1">
      <c r="A66" s="156"/>
      <c r="B66" s="156"/>
      <c r="C66" s="156"/>
      <c r="D66" s="277" t="s">
        <v>52</v>
      </c>
      <c r="E66" s="145" t="s">
        <v>180</v>
      </c>
      <c r="F66" s="145">
        <f>168/365</f>
        <v>0.4602739726027397</v>
      </c>
      <c r="G66" s="86">
        <v>51580</v>
      </c>
      <c r="H66" s="325">
        <v>14274</v>
      </c>
      <c r="I66" s="318">
        <f t="shared" si="20"/>
        <v>6569.950684931507</v>
      </c>
      <c r="J66" s="145">
        <v>9930</v>
      </c>
      <c r="K66" s="284">
        <f t="shared" si="21"/>
        <v>4570.520547945205</v>
      </c>
      <c r="L66" s="342">
        <v>0</v>
      </c>
      <c r="M66" s="349">
        <f t="shared" si="22"/>
        <v>0</v>
      </c>
      <c r="N66" s="342">
        <v>0</v>
      </c>
      <c r="O66" s="349">
        <f t="shared" si="23"/>
        <v>0</v>
      </c>
    </row>
    <row r="67" spans="1:15" ht="15" hidden="1" outlineLevel="1">
      <c r="A67" s="156"/>
      <c r="B67" s="156"/>
      <c r="C67" s="156"/>
      <c r="D67" s="277" t="s">
        <v>53</v>
      </c>
      <c r="E67" s="145" t="s">
        <v>181</v>
      </c>
      <c r="F67" s="145">
        <f>137/365</f>
        <v>0.37534246575342467</v>
      </c>
      <c r="G67" s="86">
        <v>12357</v>
      </c>
      <c r="H67" s="325">
        <v>3021</v>
      </c>
      <c r="I67" s="318">
        <f t="shared" si="20"/>
        <v>1133.9095890410958</v>
      </c>
      <c r="J67" s="145">
        <v>24128</v>
      </c>
      <c r="K67" s="284">
        <f t="shared" si="21"/>
        <v>9056.26301369863</v>
      </c>
      <c r="L67" s="342">
        <v>0</v>
      </c>
      <c r="M67" s="349">
        <f t="shared" si="22"/>
        <v>0</v>
      </c>
      <c r="N67" s="342">
        <v>0</v>
      </c>
      <c r="O67" s="349">
        <f t="shared" si="23"/>
        <v>0</v>
      </c>
    </row>
    <row r="68" spans="1:15" ht="15" hidden="1" outlineLevel="1">
      <c r="A68" s="156"/>
      <c r="B68" s="156"/>
      <c r="C68" s="156"/>
      <c r="D68" s="277" t="s">
        <v>54</v>
      </c>
      <c r="E68" s="145" t="s">
        <v>182</v>
      </c>
      <c r="F68" s="145">
        <f>107/365</f>
        <v>0.29315068493150687</v>
      </c>
      <c r="G68" s="86">
        <v>80018</v>
      </c>
      <c r="H68" s="325">
        <v>11492</v>
      </c>
      <c r="I68" s="318">
        <f t="shared" si="20"/>
        <v>3368.887671232877</v>
      </c>
      <c r="J68" s="145">
        <v>42111</v>
      </c>
      <c r="K68" s="284">
        <f t="shared" si="21"/>
        <v>12344.868493150685</v>
      </c>
      <c r="L68" s="342">
        <v>0</v>
      </c>
      <c r="M68" s="349">
        <f t="shared" si="22"/>
        <v>0</v>
      </c>
      <c r="N68" s="342">
        <v>0</v>
      </c>
      <c r="O68" s="349">
        <f t="shared" si="23"/>
        <v>0</v>
      </c>
    </row>
    <row r="69" spans="1:15" ht="15" hidden="1" outlineLevel="1">
      <c r="A69" s="156"/>
      <c r="B69" s="156"/>
      <c r="C69" s="156"/>
      <c r="D69" s="277" t="s">
        <v>55</v>
      </c>
      <c r="E69" s="145" t="s">
        <v>183</v>
      </c>
      <c r="F69" s="145">
        <f>76/365</f>
        <v>0.20821917808219179</v>
      </c>
      <c r="G69" s="86">
        <v>34527</v>
      </c>
      <c r="H69" s="325">
        <v>49547</v>
      </c>
      <c r="I69" s="318">
        <f t="shared" si="20"/>
        <v>10316.635616438356</v>
      </c>
      <c r="J69" s="156">
        <v>26568</v>
      </c>
      <c r="K69" s="284">
        <f t="shared" si="21"/>
        <v>5531.967123287672</v>
      </c>
      <c r="L69" s="342">
        <v>0</v>
      </c>
      <c r="M69" s="349">
        <f t="shared" si="22"/>
        <v>0</v>
      </c>
      <c r="N69" s="342">
        <v>0</v>
      </c>
      <c r="O69" s="349">
        <f t="shared" si="23"/>
        <v>0</v>
      </c>
    </row>
    <row r="70" spans="1:15" ht="15" hidden="1" outlineLevel="1">
      <c r="A70" s="156"/>
      <c r="B70" s="156"/>
      <c r="C70" s="156"/>
      <c r="D70" s="277" t="s">
        <v>57</v>
      </c>
      <c r="E70" s="145" t="s">
        <v>184</v>
      </c>
      <c r="F70" s="145">
        <f>46/365</f>
        <v>0.12602739726027398</v>
      </c>
      <c r="G70" s="86">
        <v>76349</v>
      </c>
      <c r="H70" s="325">
        <v>0</v>
      </c>
      <c r="I70" s="318">
        <f t="shared" si="20"/>
        <v>0</v>
      </c>
      <c r="J70" s="6">
        <v>67370</v>
      </c>
      <c r="K70" s="284">
        <f t="shared" si="21"/>
        <v>8490.465753424658</v>
      </c>
      <c r="L70" s="342">
        <v>0</v>
      </c>
      <c r="M70" s="349">
        <f t="shared" si="22"/>
        <v>0</v>
      </c>
      <c r="N70" s="342">
        <v>0</v>
      </c>
      <c r="O70" s="349">
        <f t="shared" si="23"/>
        <v>0</v>
      </c>
    </row>
    <row r="71" spans="1:15" ht="15" hidden="1" outlineLevel="1">
      <c r="A71" s="156"/>
      <c r="B71" s="156"/>
      <c r="C71" s="156"/>
      <c r="D71" s="279" t="s">
        <v>58</v>
      </c>
      <c r="E71" s="25" t="s">
        <v>185</v>
      </c>
      <c r="F71" s="25">
        <f>15/365</f>
        <v>0.0410958904109589</v>
      </c>
      <c r="G71" s="88">
        <v>56373</v>
      </c>
      <c r="H71" s="334">
        <v>48200</v>
      </c>
      <c r="I71" s="318">
        <f t="shared" si="20"/>
        <v>1980.821917808219</v>
      </c>
      <c r="J71" s="6">
        <v>23972</v>
      </c>
      <c r="K71" s="285">
        <f t="shared" si="21"/>
        <v>985.1506849315068</v>
      </c>
      <c r="L71" s="344">
        <v>0</v>
      </c>
      <c r="M71" s="350">
        <f t="shared" si="22"/>
        <v>0</v>
      </c>
      <c r="N71" s="344">
        <v>0</v>
      </c>
      <c r="O71" s="350">
        <f t="shared" si="23"/>
        <v>0</v>
      </c>
    </row>
    <row r="72" spans="1:15" ht="15" hidden="1" outlineLevel="1">
      <c r="A72" s="156"/>
      <c r="B72" s="156"/>
      <c r="C72" s="156"/>
      <c r="D72" s="77"/>
      <c r="E72" s="77"/>
      <c r="F72" s="77"/>
      <c r="G72" s="77">
        <f aca="true" t="shared" si="24" ref="G72:M72">SUM(G60:G71)</f>
        <v>311204</v>
      </c>
      <c r="H72" s="77">
        <f t="shared" si="24"/>
        <v>392846</v>
      </c>
      <c r="I72" s="77">
        <f t="shared" si="24"/>
        <v>230254.9945205479</v>
      </c>
      <c r="J72" s="77">
        <f t="shared" si="24"/>
        <v>238844</v>
      </c>
      <c r="K72" s="77">
        <f t="shared" si="24"/>
        <v>76752.60547945205</v>
      </c>
      <c r="L72" s="343">
        <f t="shared" si="24"/>
        <v>0</v>
      </c>
      <c r="M72" s="343">
        <f t="shared" si="24"/>
        <v>0</v>
      </c>
      <c r="N72" s="343">
        <f>SUM(N60:N71)</f>
        <v>0</v>
      </c>
      <c r="O72" s="343">
        <f>SUM(O60:O71)</f>
        <v>0</v>
      </c>
    </row>
    <row r="73" spans="1:13" ht="15" hidden="1" outlineLevel="1">
      <c r="A73" s="156"/>
      <c r="B73" s="156"/>
      <c r="C73" s="156"/>
      <c r="D73" s="156"/>
      <c r="E73" s="156"/>
      <c r="F73" s="156"/>
      <c r="L73" s="340"/>
      <c r="M73" s="340"/>
    </row>
    <row r="74" spans="1:15" ht="15" hidden="1" outlineLevel="1">
      <c r="A74" s="280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345"/>
      <c r="M74" s="345"/>
      <c r="N74" s="345"/>
      <c r="O74" s="345"/>
    </row>
    <row r="75" spans="1:13" ht="15.75" hidden="1" outlineLevel="1" thickBot="1">
      <c r="A75" s="156"/>
      <c r="B75" s="156"/>
      <c r="C75" s="156"/>
      <c r="D75" s="156"/>
      <c r="E75" s="156"/>
      <c r="F75" s="156"/>
      <c r="L75" s="340"/>
      <c r="M75" s="340"/>
    </row>
    <row r="76" spans="1:15" ht="15.75" hidden="1" outlineLevel="1" thickBot="1">
      <c r="A76" s="156"/>
      <c r="B76" s="156"/>
      <c r="C76" s="156"/>
      <c r="D76" s="156"/>
      <c r="E76" s="156"/>
      <c r="F76" s="156"/>
      <c r="G76" s="272" t="s">
        <v>81</v>
      </c>
      <c r="I76" s="272" t="s">
        <v>76</v>
      </c>
      <c r="J76" s="89"/>
      <c r="K76" s="281" t="s">
        <v>82</v>
      </c>
      <c r="L76" s="341"/>
      <c r="M76" s="281" t="s">
        <v>80</v>
      </c>
      <c r="N76" s="341"/>
      <c r="O76" s="281" t="s">
        <v>210</v>
      </c>
    </row>
    <row r="77" spans="1:15" ht="45.75" hidden="1" outlineLevel="1" thickBot="1">
      <c r="A77" s="156"/>
      <c r="B77" s="156"/>
      <c r="C77" s="156"/>
      <c r="D77" s="76" t="s">
        <v>51</v>
      </c>
      <c r="E77" s="76" t="s">
        <v>186</v>
      </c>
      <c r="F77" s="76" t="s">
        <v>79</v>
      </c>
      <c r="G77" s="282" t="s">
        <v>77</v>
      </c>
      <c r="H77" s="282" t="s">
        <v>77</v>
      </c>
      <c r="I77" s="282" t="s">
        <v>78</v>
      </c>
      <c r="J77" s="282" t="s">
        <v>77</v>
      </c>
      <c r="K77" s="282" t="s">
        <v>78</v>
      </c>
      <c r="L77" s="346" t="s">
        <v>77</v>
      </c>
      <c r="M77" s="347" t="s">
        <v>78</v>
      </c>
      <c r="N77" s="346" t="s">
        <v>77</v>
      </c>
      <c r="O77" s="347" t="s">
        <v>78</v>
      </c>
    </row>
    <row r="78" spans="1:15" ht="15" hidden="1" outlineLevel="1">
      <c r="A78" s="156"/>
      <c r="B78" s="156" t="s">
        <v>9</v>
      </c>
      <c r="C78" s="156"/>
      <c r="D78" s="274" t="s">
        <v>59</v>
      </c>
      <c r="E78" s="275" t="s">
        <v>174</v>
      </c>
      <c r="F78" s="275">
        <f>349/365</f>
        <v>0.9561643835616438</v>
      </c>
      <c r="G78" s="87"/>
      <c r="H78" s="333">
        <v>10</v>
      </c>
      <c r="I78" s="318">
        <f aca="true" t="shared" si="25" ref="I78:I89">$F78*H78</f>
        <v>9.561643835616438</v>
      </c>
      <c r="J78" s="275">
        <v>0</v>
      </c>
      <c r="K78" s="283">
        <f aca="true" t="shared" si="26" ref="K78:K89">$F78*J78</f>
        <v>0</v>
      </c>
      <c r="L78" s="329">
        <v>0</v>
      </c>
      <c r="M78" s="348">
        <f>$F78*L78</f>
        <v>0</v>
      </c>
      <c r="N78" s="329">
        <v>0</v>
      </c>
      <c r="O78" s="348">
        <f>$F78*N78</f>
        <v>0</v>
      </c>
    </row>
    <row r="79" spans="1:15" ht="15" hidden="1" outlineLevel="1">
      <c r="A79" s="156"/>
      <c r="B79" s="156"/>
      <c r="C79" s="156"/>
      <c r="D79" s="277" t="s">
        <v>60</v>
      </c>
      <c r="E79" s="145" t="s">
        <v>175</v>
      </c>
      <c r="F79" s="145">
        <f>321/365</f>
        <v>0.8794520547945206</v>
      </c>
      <c r="G79" s="86"/>
      <c r="H79" s="325">
        <v>8</v>
      </c>
      <c r="I79" s="318">
        <f t="shared" si="25"/>
        <v>7.035616438356165</v>
      </c>
      <c r="J79" s="145">
        <v>2</v>
      </c>
      <c r="K79" s="284">
        <f t="shared" si="26"/>
        <v>1.7589041095890412</v>
      </c>
      <c r="L79" s="328">
        <v>0</v>
      </c>
      <c r="M79" s="349">
        <f>$F79*L79</f>
        <v>0</v>
      </c>
      <c r="N79" s="328">
        <v>0</v>
      </c>
      <c r="O79" s="349">
        <f>$F79*N79</f>
        <v>0</v>
      </c>
    </row>
    <row r="80" spans="1:15" ht="15" hidden="1" outlineLevel="1">
      <c r="A80" s="156"/>
      <c r="B80" s="156"/>
      <c r="C80" s="156"/>
      <c r="D80" s="277" t="s">
        <v>61</v>
      </c>
      <c r="E80" s="145" t="s">
        <v>176</v>
      </c>
      <c r="F80" s="145">
        <f>290/365</f>
        <v>0.7945205479452054</v>
      </c>
      <c r="G80" s="86"/>
      <c r="H80" s="325">
        <v>13</v>
      </c>
      <c r="I80" s="318">
        <f t="shared" si="25"/>
        <v>10.32876712328767</v>
      </c>
      <c r="J80" s="145">
        <v>1</v>
      </c>
      <c r="K80" s="284">
        <f t="shared" si="26"/>
        <v>0.7945205479452054</v>
      </c>
      <c r="L80" s="328">
        <v>0</v>
      </c>
      <c r="M80" s="349">
        <f aca="true" t="shared" si="27" ref="M80:M89">$F80*L80</f>
        <v>0</v>
      </c>
      <c r="N80" s="328">
        <v>0</v>
      </c>
      <c r="O80" s="349">
        <f aca="true" t="shared" si="28" ref="O80:O89">$F80*N80</f>
        <v>0</v>
      </c>
    </row>
    <row r="81" spans="1:15" ht="15" hidden="1" outlineLevel="1">
      <c r="A81" s="156"/>
      <c r="B81" s="156"/>
      <c r="C81" s="156"/>
      <c r="D81" s="277" t="s">
        <v>63</v>
      </c>
      <c r="E81" s="145" t="s">
        <v>177</v>
      </c>
      <c r="F81" s="145">
        <f>260/365</f>
        <v>0.7123287671232876</v>
      </c>
      <c r="G81" s="86"/>
      <c r="H81" s="325">
        <v>3</v>
      </c>
      <c r="I81" s="318">
        <f t="shared" si="25"/>
        <v>2.1369863013698627</v>
      </c>
      <c r="J81" s="145">
        <v>2</v>
      </c>
      <c r="K81" s="284">
        <f t="shared" si="26"/>
        <v>1.4246575342465753</v>
      </c>
      <c r="L81" s="328">
        <v>0</v>
      </c>
      <c r="M81" s="349">
        <f t="shared" si="27"/>
        <v>0</v>
      </c>
      <c r="N81" s="328">
        <v>0</v>
      </c>
      <c r="O81" s="349">
        <f t="shared" si="28"/>
        <v>0</v>
      </c>
    </row>
    <row r="82" spans="1:15" ht="15" hidden="1" outlineLevel="1">
      <c r="A82" s="156"/>
      <c r="B82" s="156"/>
      <c r="C82" s="156"/>
      <c r="D82" s="277" t="s">
        <v>64</v>
      </c>
      <c r="E82" s="145" t="s">
        <v>178</v>
      </c>
      <c r="F82" s="145">
        <f>229/365</f>
        <v>0.6273972602739726</v>
      </c>
      <c r="G82" s="86"/>
      <c r="H82" s="325">
        <v>15</v>
      </c>
      <c r="I82" s="318">
        <f t="shared" si="25"/>
        <v>9.410958904109588</v>
      </c>
      <c r="J82" s="145">
        <v>1</v>
      </c>
      <c r="K82" s="284">
        <f t="shared" si="26"/>
        <v>0.6273972602739726</v>
      </c>
      <c r="L82" s="328">
        <v>0</v>
      </c>
      <c r="M82" s="349">
        <f t="shared" si="27"/>
        <v>0</v>
      </c>
      <c r="N82" s="328">
        <v>0</v>
      </c>
      <c r="O82" s="349">
        <f t="shared" si="28"/>
        <v>0</v>
      </c>
    </row>
    <row r="83" spans="1:15" ht="15" hidden="1" outlineLevel="1">
      <c r="A83" s="156"/>
      <c r="B83" s="156"/>
      <c r="C83" s="156"/>
      <c r="D83" s="277" t="s">
        <v>65</v>
      </c>
      <c r="E83" s="145" t="s">
        <v>179</v>
      </c>
      <c r="F83" s="145">
        <f>199/365</f>
        <v>0.5452054794520548</v>
      </c>
      <c r="G83" s="86"/>
      <c r="H83" s="325">
        <v>13</v>
      </c>
      <c r="I83" s="318">
        <f t="shared" si="25"/>
        <v>7.087671232876712</v>
      </c>
      <c r="J83" s="145">
        <v>1</v>
      </c>
      <c r="K83" s="284">
        <f t="shared" si="26"/>
        <v>0.5452054794520548</v>
      </c>
      <c r="L83" s="328">
        <v>0</v>
      </c>
      <c r="M83" s="349">
        <f t="shared" si="27"/>
        <v>0</v>
      </c>
      <c r="N83" s="328">
        <v>0</v>
      </c>
      <c r="O83" s="349">
        <f t="shared" si="28"/>
        <v>0</v>
      </c>
    </row>
    <row r="84" spans="1:15" ht="15" hidden="1" outlineLevel="1">
      <c r="A84" s="156"/>
      <c r="B84" s="156"/>
      <c r="C84" s="156"/>
      <c r="D84" s="277" t="s">
        <v>52</v>
      </c>
      <c r="E84" s="145" t="s">
        <v>180</v>
      </c>
      <c r="F84" s="145">
        <f>168/365</f>
        <v>0.4602739726027397</v>
      </c>
      <c r="G84" s="86">
        <v>0</v>
      </c>
      <c r="H84" s="325">
        <v>2</v>
      </c>
      <c r="I84" s="318">
        <f t="shared" si="25"/>
        <v>0.9205479452054794</v>
      </c>
      <c r="J84" s="145">
        <v>0</v>
      </c>
      <c r="K84" s="284">
        <f t="shared" si="26"/>
        <v>0</v>
      </c>
      <c r="L84" s="342">
        <v>0</v>
      </c>
      <c r="M84" s="349">
        <f t="shared" si="27"/>
        <v>0</v>
      </c>
      <c r="N84" s="342">
        <v>0</v>
      </c>
      <c r="O84" s="349">
        <f t="shared" si="28"/>
        <v>0</v>
      </c>
    </row>
    <row r="85" spans="1:15" ht="15" hidden="1" outlineLevel="1">
      <c r="A85" s="156"/>
      <c r="B85" s="156"/>
      <c r="C85" s="156"/>
      <c r="D85" s="277" t="s">
        <v>53</v>
      </c>
      <c r="E85" s="145" t="s">
        <v>181</v>
      </c>
      <c r="F85" s="145">
        <f>137/365</f>
        <v>0.37534246575342467</v>
      </c>
      <c r="G85" s="86">
        <v>0</v>
      </c>
      <c r="H85" s="325">
        <v>28</v>
      </c>
      <c r="I85" s="318">
        <f t="shared" si="25"/>
        <v>10.509589041095891</v>
      </c>
      <c r="J85" s="145">
        <v>2</v>
      </c>
      <c r="K85" s="284">
        <f t="shared" si="26"/>
        <v>0.7506849315068493</v>
      </c>
      <c r="L85" s="342">
        <v>0</v>
      </c>
      <c r="M85" s="349">
        <f t="shared" si="27"/>
        <v>0</v>
      </c>
      <c r="N85" s="342">
        <v>0</v>
      </c>
      <c r="O85" s="349">
        <f t="shared" si="28"/>
        <v>0</v>
      </c>
    </row>
    <row r="86" spans="1:15" ht="15" hidden="1" outlineLevel="1">
      <c r="A86" s="156"/>
      <c r="B86" s="156"/>
      <c r="C86" s="156"/>
      <c r="D86" s="277" t="s">
        <v>54</v>
      </c>
      <c r="E86" s="145" t="s">
        <v>182</v>
      </c>
      <c r="F86" s="145">
        <f>107/365</f>
        <v>0.29315068493150687</v>
      </c>
      <c r="G86" s="86">
        <v>0</v>
      </c>
      <c r="H86" s="325">
        <v>6</v>
      </c>
      <c r="I86" s="318">
        <f t="shared" si="25"/>
        <v>1.7589041095890412</v>
      </c>
      <c r="J86" s="156">
        <v>2</v>
      </c>
      <c r="K86" s="284">
        <f t="shared" si="26"/>
        <v>0.5863013698630137</v>
      </c>
      <c r="L86" s="342">
        <v>0</v>
      </c>
      <c r="M86" s="349">
        <f t="shared" si="27"/>
        <v>0</v>
      </c>
      <c r="N86" s="342">
        <v>0</v>
      </c>
      <c r="O86" s="349">
        <f t="shared" si="28"/>
        <v>0</v>
      </c>
    </row>
    <row r="87" spans="1:15" ht="15" hidden="1" outlineLevel="1">
      <c r="A87" s="156"/>
      <c r="B87" s="156"/>
      <c r="C87" s="156"/>
      <c r="D87" s="277" t="s">
        <v>55</v>
      </c>
      <c r="E87" s="145" t="s">
        <v>183</v>
      </c>
      <c r="F87" s="145">
        <f>76/365</f>
        <v>0.20821917808219179</v>
      </c>
      <c r="G87" s="86">
        <v>0</v>
      </c>
      <c r="H87" s="325">
        <v>5</v>
      </c>
      <c r="I87" s="318">
        <f t="shared" si="25"/>
        <v>1.0410958904109588</v>
      </c>
      <c r="J87" s="145">
        <v>2</v>
      </c>
      <c r="K87" s="284">
        <f t="shared" si="26"/>
        <v>0.41643835616438357</v>
      </c>
      <c r="L87" s="342">
        <v>0</v>
      </c>
      <c r="M87" s="349">
        <f t="shared" si="27"/>
        <v>0</v>
      </c>
      <c r="N87" s="342">
        <v>0</v>
      </c>
      <c r="O87" s="349">
        <f t="shared" si="28"/>
        <v>0</v>
      </c>
    </row>
    <row r="88" spans="1:15" ht="15" hidden="1" outlineLevel="1">
      <c r="A88" s="156"/>
      <c r="B88" s="156"/>
      <c r="C88" s="156"/>
      <c r="D88" s="277" t="s">
        <v>57</v>
      </c>
      <c r="E88" s="145" t="s">
        <v>184</v>
      </c>
      <c r="F88" s="145">
        <f>46/365</f>
        <v>0.12602739726027398</v>
      </c>
      <c r="G88" s="86">
        <v>0</v>
      </c>
      <c r="H88" s="325">
        <v>7</v>
      </c>
      <c r="I88" s="318">
        <f t="shared" si="25"/>
        <v>0.8821917808219178</v>
      </c>
      <c r="J88" s="156">
        <v>1</v>
      </c>
      <c r="K88" s="284">
        <f t="shared" si="26"/>
        <v>0.12602739726027398</v>
      </c>
      <c r="L88" s="342">
        <v>0</v>
      </c>
      <c r="M88" s="349">
        <f t="shared" si="27"/>
        <v>0</v>
      </c>
      <c r="N88" s="342">
        <v>0</v>
      </c>
      <c r="O88" s="349">
        <f t="shared" si="28"/>
        <v>0</v>
      </c>
    </row>
    <row r="89" spans="1:15" ht="15" hidden="1" outlineLevel="1">
      <c r="A89" s="156"/>
      <c r="B89" s="156"/>
      <c r="C89" s="156"/>
      <c r="D89" s="279" t="s">
        <v>58</v>
      </c>
      <c r="E89" s="25" t="s">
        <v>185</v>
      </c>
      <c r="F89" s="25">
        <f>15/365</f>
        <v>0.0410958904109589</v>
      </c>
      <c r="G89" s="88">
        <v>0</v>
      </c>
      <c r="H89" s="334">
        <v>2</v>
      </c>
      <c r="I89" s="318">
        <f t="shared" si="25"/>
        <v>0.0821917808219178</v>
      </c>
      <c r="J89" s="156">
        <v>2</v>
      </c>
      <c r="K89" s="285">
        <f t="shared" si="26"/>
        <v>0.0821917808219178</v>
      </c>
      <c r="L89" s="344">
        <v>0</v>
      </c>
      <c r="M89" s="350">
        <f t="shared" si="27"/>
        <v>0</v>
      </c>
      <c r="N89" s="344">
        <v>0</v>
      </c>
      <c r="O89" s="350">
        <f t="shared" si="28"/>
        <v>0</v>
      </c>
    </row>
    <row r="90" spans="1:15" ht="15" hidden="1" outlineLevel="1">
      <c r="A90" s="156"/>
      <c r="B90" s="156"/>
      <c r="C90" s="156"/>
      <c r="D90" s="77"/>
      <c r="E90" s="77"/>
      <c r="F90" s="77"/>
      <c r="G90" s="77">
        <f aca="true" t="shared" si="29" ref="G90:M90">SUM(G78:G89)</f>
        <v>0</v>
      </c>
      <c r="H90" s="77">
        <f t="shared" si="29"/>
        <v>112</v>
      </c>
      <c r="I90" s="77">
        <f t="shared" si="29"/>
        <v>60.75616438356164</v>
      </c>
      <c r="J90" s="77">
        <f t="shared" si="29"/>
        <v>16</v>
      </c>
      <c r="K90" s="77">
        <f t="shared" si="29"/>
        <v>7.112328767123288</v>
      </c>
      <c r="L90" s="343">
        <f t="shared" si="29"/>
        <v>0</v>
      </c>
      <c r="M90" s="343">
        <f t="shared" si="29"/>
        <v>0</v>
      </c>
      <c r="N90" s="343">
        <f>SUM(N78:N89)</f>
        <v>0</v>
      </c>
      <c r="O90" s="343">
        <f>SUM(O78:O89)</f>
        <v>0</v>
      </c>
    </row>
    <row r="91" spans="1:13" ht="15" hidden="1" outlineLevel="1">
      <c r="A91" s="156"/>
      <c r="B91" s="156"/>
      <c r="C91" s="156"/>
      <c r="D91" s="156"/>
      <c r="E91" s="156"/>
      <c r="F91" s="156"/>
      <c r="L91" s="340"/>
      <c r="M91" s="340"/>
    </row>
    <row r="92" spans="1:15" ht="15" hidden="1" outlineLevel="1">
      <c r="A92" s="280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345"/>
      <c r="M92" s="345"/>
      <c r="N92" s="345"/>
      <c r="O92" s="345"/>
    </row>
    <row r="93" spans="12:13" ht="15.75" hidden="1" outlineLevel="1" thickBot="1">
      <c r="L93" s="340"/>
      <c r="M93" s="340"/>
    </row>
    <row r="94" spans="1:17" ht="15.75" hidden="1" outlineLevel="1" thickBot="1">
      <c r="A94" s="156"/>
      <c r="B94" s="156"/>
      <c r="C94" s="156"/>
      <c r="D94" s="156"/>
      <c r="E94" s="156"/>
      <c r="F94" s="156"/>
      <c r="G94" s="272" t="s">
        <v>81</v>
      </c>
      <c r="I94" s="272" t="s">
        <v>76</v>
      </c>
      <c r="J94" s="89"/>
      <c r="K94" s="281" t="s">
        <v>82</v>
      </c>
      <c r="L94" s="341"/>
      <c r="M94" s="281" t="s">
        <v>80</v>
      </c>
      <c r="N94" s="341"/>
      <c r="O94" s="281" t="s">
        <v>210</v>
      </c>
      <c r="P94" s="341"/>
      <c r="Q94" s="281" t="s">
        <v>240</v>
      </c>
    </row>
    <row r="95" spans="1:17" ht="45.75" hidden="1" outlineLevel="1" thickBot="1">
      <c r="A95" s="156"/>
      <c r="B95" s="156"/>
      <c r="C95" s="156"/>
      <c r="D95" s="76" t="s">
        <v>51</v>
      </c>
      <c r="E95" s="76" t="s">
        <v>186</v>
      </c>
      <c r="F95" s="76" t="s">
        <v>79</v>
      </c>
      <c r="G95" s="282" t="s">
        <v>77</v>
      </c>
      <c r="H95" s="282" t="s">
        <v>77</v>
      </c>
      <c r="I95" s="282" t="s">
        <v>78</v>
      </c>
      <c r="J95" s="282" t="s">
        <v>77</v>
      </c>
      <c r="K95" s="282" t="s">
        <v>78</v>
      </c>
      <c r="L95" s="346" t="s">
        <v>77</v>
      </c>
      <c r="M95" s="347" t="s">
        <v>78</v>
      </c>
      <c r="N95" s="346" t="s">
        <v>77</v>
      </c>
      <c r="O95" s="347" t="s">
        <v>78</v>
      </c>
      <c r="P95" s="346" t="s">
        <v>77</v>
      </c>
      <c r="Q95" s="347" t="s">
        <v>78</v>
      </c>
    </row>
    <row r="96" spans="1:17" ht="15" hidden="1" outlineLevel="1">
      <c r="A96" s="156"/>
      <c r="B96" s="156" t="s">
        <v>10</v>
      </c>
      <c r="C96" s="156"/>
      <c r="D96" s="274" t="s">
        <v>59</v>
      </c>
      <c r="E96" s="275" t="s">
        <v>174</v>
      </c>
      <c r="F96" s="275">
        <f>349/365</f>
        <v>0.9561643835616438</v>
      </c>
      <c r="G96" s="87"/>
      <c r="H96" s="333">
        <v>82</v>
      </c>
      <c r="I96" s="318">
        <f aca="true" t="shared" si="30" ref="I96:I107">$F96*H96</f>
        <v>78.40547945205479</v>
      </c>
      <c r="J96" s="275">
        <v>231</v>
      </c>
      <c r="K96" s="283">
        <f aca="true" t="shared" si="31" ref="K96:K107">$F96*J96</f>
        <v>220.8739726027397</v>
      </c>
      <c r="L96" s="329">
        <v>18</v>
      </c>
      <c r="M96" s="348">
        <f>$F96*L96</f>
        <v>17.21095890410959</v>
      </c>
      <c r="N96" s="329">
        <v>0</v>
      </c>
      <c r="O96" s="348">
        <f>$F96*N96</f>
        <v>0</v>
      </c>
      <c r="P96" s="329">
        <v>0</v>
      </c>
      <c r="Q96" s="348">
        <f>$F96*P96</f>
        <v>0</v>
      </c>
    </row>
    <row r="97" spans="1:17" ht="15" hidden="1" outlineLevel="1">
      <c r="A97" s="156"/>
      <c r="B97" s="156"/>
      <c r="C97" s="156"/>
      <c r="D97" s="277" t="s">
        <v>60</v>
      </c>
      <c r="E97" s="145" t="s">
        <v>175</v>
      </c>
      <c r="F97" s="145">
        <f>321/365</f>
        <v>0.8794520547945206</v>
      </c>
      <c r="G97" s="86"/>
      <c r="H97" s="325">
        <v>299</v>
      </c>
      <c r="I97" s="318">
        <f t="shared" si="30"/>
        <v>262.95616438356166</v>
      </c>
      <c r="J97" s="145">
        <v>237</v>
      </c>
      <c r="K97" s="284">
        <f t="shared" si="31"/>
        <v>208.4301369863014</v>
      </c>
      <c r="L97" s="328">
        <v>17</v>
      </c>
      <c r="M97" s="349">
        <f>$F97*L97</f>
        <v>14.95068493150685</v>
      </c>
      <c r="N97" s="328">
        <v>0</v>
      </c>
      <c r="O97" s="349">
        <f>$F97*N97</f>
        <v>0</v>
      </c>
      <c r="P97" s="328">
        <v>0</v>
      </c>
      <c r="Q97" s="349">
        <f>$F97*P97</f>
        <v>0</v>
      </c>
    </row>
    <row r="98" spans="1:17" ht="15" hidden="1" outlineLevel="1">
      <c r="A98" s="156"/>
      <c r="B98" s="156"/>
      <c r="C98" s="156"/>
      <c r="D98" s="277" t="s">
        <v>61</v>
      </c>
      <c r="E98" s="145" t="s">
        <v>176</v>
      </c>
      <c r="F98" s="145">
        <f>290/365</f>
        <v>0.7945205479452054</v>
      </c>
      <c r="G98" s="86"/>
      <c r="H98" s="325">
        <v>221</v>
      </c>
      <c r="I98" s="318">
        <f t="shared" si="30"/>
        <v>175.5890410958904</v>
      </c>
      <c r="J98" s="145">
        <v>170</v>
      </c>
      <c r="K98" s="284">
        <f t="shared" si="31"/>
        <v>135.06849315068493</v>
      </c>
      <c r="L98" s="328">
        <v>0</v>
      </c>
      <c r="M98" s="349">
        <f aca="true" t="shared" si="32" ref="M98:M107">$F98*L98</f>
        <v>0</v>
      </c>
      <c r="N98" s="328">
        <v>0</v>
      </c>
      <c r="O98" s="349">
        <f aca="true" t="shared" si="33" ref="O98:O107">$F98*N98</f>
        <v>0</v>
      </c>
      <c r="P98" s="328">
        <v>0</v>
      </c>
      <c r="Q98" s="349">
        <f aca="true" t="shared" si="34" ref="Q98:Q107">$F98*P98</f>
        <v>0</v>
      </c>
    </row>
    <row r="99" spans="1:17" ht="15" hidden="1" outlineLevel="1">
      <c r="A99" s="156"/>
      <c r="B99" s="156"/>
      <c r="C99" s="156"/>
      <c r="D99" s="277" t="s">
        <v>63</v>
      </c>
      <c r="E99" s="145" t="s">
        <v>177</v>
      </c>
      <c r="F99" s="145">
        <f>260/365</f>
        <v>0.7123287671232876</v>
      </c>
      <c r="G99" s="86"/>
      <c r="H99" s="325">
        <v>275</v>
      </c>
      <c r="I99" s="318">
        <f t="shared" si="30"/>
        <v>195.8904109589041</v>
      </c>
      <c r="J99" s="145">
        <v>150</v>
      </c>
      <c r="K99" s="284">
        <f t="shared" si="31"/>
        <v>106.84931506849314</v>
      </c>
      <c r="L99" s="328">
        <v>0</v>
      </c>
      <c r="M99" s="349">
        <f t="shared" si="32"/>
        <v>0</v>
      </c>
      <c r="N99" s="328">
        <v>0</v>
      </c>
      <c r="O99" s="349">
        <f t="shared" si="33"/>
        <v>0</v>
      </c>
      <c r="P99" s="328">
        <v>0</v>
      </c>
      <c r="Q99" s="349">
        <f t="shared" si="34"/>
        <v>0</v>
      </c>
    </row>
    <row r="100" spans="1:17" ht="15" hidden="1" outlineLevel="1">
      <c r="A100" s="156"/>
      <c r="B100" s="156"/>
      <c r="C100" s="156"/>
      <c r="D100" s="277" t="s">
        <v>64</v>
      </c>
      <c r="E100" s="145" t="s">
        <v>178</v>
      </c>
      <c r="F100" s="145">
        <f>229/365</f>
        <v>0.6273972602739726</v>
      </c>
      <c r="G100" s="86"/>
      <c r="H100" s="325">
        <v>204</v>
      </c>
      <c r="I100" s="318">
        <f t="shared" si="30"/>
        <v>127.9890410958904</v>
      </c>
      <c r="J100" s="145">
        <v>187</v>
      </c>
      <c r="K100" s="284">
        <f t="shared" si="31"/>
        <v>117.32328767123288</v>
      </c>
      <c r="L100" s="328">
        <v>0</v>
      </c>
      <c r="M100" s="349">
        <f t="shared" si="32"/>
        <v>0</v>
      </c>
      <c r="N100" s="328">
        <v>0</v>
      </c>
      <c r="O100" s="349">
        <f t="shared" si="33"/>
        <v>0</v>
      </c>
      <c r="P100" s="328">
        <v>0</v>
      </c>
      <c r="Q100" s="349">
        <f t="shared" si="34"/>
        <v>0</v>
      </c>
    </row>
    <row r="101" spans="1:17" ht="15" hidden="1" outlineLevel="1">
      <c r="A101" s="156"/>
      <c r="B101" s="156"/>
      <c r="C101" s="156"/>
      <c r="D101" s="277" t="s">
        <v>65</v>
      </c>
      <c r="E101" s="145" t="s">
        <v>179</v>
      </c>
      <c r="F101" s="145">
        <f>199/365</f>
        <v>0.5452054794520548</v>
      </c>
      <c r="G101" s="86"/>
      <c r="H101" s="325">
        <v>293</v>
      </c>
      <c r="I101" s="318">
        <f t="shared" si="30"/>
        <v>159.74520547945204</v>
      </c>
      <c r="J101" s="145">
        <v>216</v>
      </c>
      <c r="K101" s="284">
        <f t="shared" si="31"/>
        <v>117.76438356164383</v>
      </c>
      <c r="L101" s="328">
        <v>0</v>
      </c>
      <c r="M101" s="349">
        <f t="shared" si="32"/>
        <v>0</v>
      </c>
      <c r="N101" s="328">
        <v>0</v>
      </c>
      <c r="O101" s="349">
        <f t="shared" si="33"/>
        <v>0</v>
      </c>
      <c r="P101" s="328">
        <v>0</v>
      </c>
      <c r="Q101" s="349">
        <f t="shared" si="34"/>
        <v>0</v>
      </c>
    </row>
    <row r="102" spans="1:17" ht="15" hidden="1" outlineLevel="1">
      <c r="A102" s="156"/>
      <c r="B102" s="156"/>
      <c r="C102" s="156"/>
      <c r="D102" s="277" t="s">
        <v>52</v>
      </c>
      <c r="E102" s="145" t="s">
        <v>180</v>
      </c>
      <c r="F102" s="145">
        <f>168/365</f>
        <v>0.4602739726027397</v>
      </c>
      <c r="G102" s="86">
        <v>0</v>
      </c>
      <c r="H102" s="325">
        <v>183</v>
      </c>
      <c r="I102" s="318">
        <f t="shared" si="30"/>
        <v>84.23013698630137</v>
      </c>
      <c r="J102" s="145">
        <v>82</v>
      </c>
      <c r="K102" s="284">
        <f t="shared" si="31"/>
        <v>37.74246575342466</v>
      </c>
      <c r="L102" s="342">
        <v>0</v>
      </c>
      <c r="M102" s="349">
        <f t="shared" si="32"/>
        <v>0</v>
      </c>
      <c r="N102" s="342">
        <v>0</v>
      </c>
      <c r="O102" s="349">
        <f t="shared" si="33"/>
        <v>0</v>
      </c>
      <c r="P102" s="342">
        <v>0</v>
      </c>
      <c r="Q102" s="349">
        <f t="shared" si="34"/>
        <v>0</v>
      </c>
    </row>
    <row r="103" spans="1:17" ht="15" hidden="1" outlineLevel="1">
      <c r="A103" s="156"/>
      <c r="B103" s="156"/>
      <c r="C103" s="156"/>
      <c r="D103" s="277" t="s">
        <v>53</v>
      </c>
      <c r="E103" s="145" t="s">
        <v>181</v>
      </c>
      <c r="F103" s="145">
        <f>137/365</f>
        <v>0.37534246575342467</v>
      </c>
      <c r="G103" s="86">
        <v>0</v>
      </c>
      <c r="H103" s="325">
        <v>259</v>
      </c>
      <c r="I103" s="318">
        <f t="shared" si="30"/>
        <v>97.21369863013699</v>
      </c>
      <c r="J103" s="145">
        <v>122</v>
      </c>
      <c r="K103" s="284">
        <f t="shared" si="31"/>
        <v>45.79178082191781</v>
      </c>
      <c r="L103" s="342">
        <v>0</v>
      </c>
      <c r="M103" s="349">
        <f t="shared" si="32"/>
        <v>0</v>
      </c>
      <c r="N103" s="342">
        <v>0</v>
      </c>
      <c r="O103" s="349">
        <f t="shared" si="33"/>
        <v>0</v>
      </c>
      <c r="P103" s="342">
        <v>0</v>
      </c>
      <c r="Q103" s="349">
        <f t="shared" si="34"/>
        <v>0</v>
      </c>
    </row>
    <row r="104" spans="1:17" ht="15" hidden="1" outlineLevel="1">
      <c r="A104" s="156"/>
      <c r="B104" s="156"/>
      <c r="C104" s="156"/>
      <c r="D104" s="277" t="s">
        <v>54</v>
      </c>
      <c r="E104" s="145" t="s">
        <v>182</v>
      </c>
      <c r="F104" s="145">
        <f>107/365</f>
        <v>0.29315068493150687</v>
      </c>
      <c r="G104" s="86">
        <v>0</v>
      </c>
      <c r="H104" s="325">
        <v>173</v>
      </c>
      <c r="I104" s="318">
        <f t="shared" si="30"/>
        <v>50.71506849315069</v>
      </c>
      <c r="J104" s="145">
        <v>168</v>
      </c>
      <c r="K104" s="284">
        <f t="shared" si="31"/>
        <v>49.24931506849315</v>
      </c>
      <c r="L104" s="342">
        <v>0</v>
      </c>
      <c r="M104" s="349">
        <f t="shared" si="32"/>
        <v>0</v>
      </c>
      <c r="N104" s="342">
        <v>0</v>
      </c>
      <c r="O104" s="349">
        <f t="shared" si="33"/>
        <v>0</v>
      </c>
      <c r="P104" s="342">
        <v>0</v>
      </c>
      <c r="Q104" s="349">
        <f t="shared" si="34"/>
        <v>0</v>
      </c>
    </row>
    <row r="105" spans="1:17" ht="15" hidden="1" outlineLevel="1">
      <c r="A105" s="156"/>
      <c r="B105" s="156"/>
      <c r="C105" s="156"/>
      <c r="D105" s="277" t="s">
        <v>55</v>
      </c>
      <c r="E105" s="145" t="s">
        <v>183</v>
      </c>
      <c r="F105" s="145">
        <f>76/365</f>
        <v>0.20821917808219179</v>
      </c>
      <c r="G105" s="86">
        <v>0</v>
      </c>
      <c r="H105" s="325">
        <v>207</v>
      </c>
      <c r="I105" s="318">
        <f t="shared" si="30"/>
        <v>43.1013698630137</v>
      </c>
      <c r="J105" s="156">
        <v>194</v>
      </c>
      <c r="K105" s="284">
        <f t="shared" si="31"/>
        <v>40.394520547945206</v>
      </c>
      <c r="L105" s="342">
        <v>0</v>
      </c>
      <c r="M105" s="349">
        <f t="shared" si="32"/>
        <v>0</v>
      </c>
      <c r="N105" s="342">
        <v>0</v>
      </c>
      <c r="O105" s="349">
        <f t="shared" si="33"/>
        <v>0</v>
      </c>
      <c r="P105" s="342">
        <v>0</v>
      </c>
      <c r="Q105" s="349">
        <f t="shared" si="34"/>
        <v>0</v>
      </c>
    </row>
    <row r="106" spans="1:17" ht="15" hidden="1" outlineLevel="1">
      <c r="A106" s="156"/>
      <c r="B106" s="156"/>
      <c r="C106" s="156"/>
      <c r="D106" s="277" t="s">
        <v>57</v>
      </c>
      <c r="E106" s="145" t="s">
        <v>184</v>
      </c>
      <c r="F106" s="145">
        <f>46/365</f>
        <v>0.12602739726027398</v>
      </c>
      <c r="G106" s="86">
        <v>0</v>
      </c>
      <c r="H106" s="325">
        <v>217</v>
      </c>
      <c r="I106" s="318">
        <f t="shared" si="30"/>
        <v>27.347945205479455</v>
      </c>
      <c r="J106" s="156">
        <v>69</v>
      </c>
      <c r="K106" s="284">
        <f t="shared" si="31"/>
        <v>8.695890410958905</v>
      </c>
      <c r="L106" s="342">
        <v>0</v>
      </c>
      <c r="M106" s="349">
        <f t="shared" si="32"/>
        <v>0</v>
      </c>
      <c r="N106" s="342">
        <v>0</v>
      </c>
      <c r="O106" s="349">
        <f t="shared" si="33"/>
        <v>0</v>
      </c>
      <c r="P106" s="342">
        <v>0</v>
      </c>
      <c r="Q106" s="349">
        <f t="shared" si="34"/>
        <v>0</v>
      </c>
    </row>
    <row r="107" spans="1:17" ht="15" hidden="1" outlineLevel="1">
      <c r="A107" s="156"/>
      <c r="B107" s="156"/>
      <c r="C107" s="156"/>
      <c r="D107" s="279" t="s">
        <v>58</v>
      </c>
      <c r="E107" s="25" t="s">
        <v>185</v>
      </c>
      <c r="F107" s="25">
        <f>15/365</f>
        <v>0.0410958904109589</v>
      </c>
      <c r="G107" s="88">
        <v>0</v>
      </c>
      <c r="H107" s="334">
        <v>171</v>
      </c>
      <c r="I107" s="318">
        <f t="shared" si="30"/>
        <v>7.027397260273972</v>
      </c>
      <c r="J107" s="156">
        <v>23</v>
      </c>
      <c r="K107" s="285">
        <f t="shared" si="31"/>
        <v>0.9452054794520548</v>
      </c>
      <c r="L107" s="344">
        <v>0</v>
      </c>
      <c r="M107" s="350">
        <f t="shared" si="32"/>
        <v>0</v>
      </c>
      <c r="N107" s="344">
        <v>0</v>
      </c>
      <c r="O107" s="350">
        <f t="shared" si="33"/>
        <v>0</v>
      </c>
      <c r="P107" s="344">
        <v>0</v>
      </c>
      <c r="Q107" s="350">
        <f t="shared" si="34"/>
        <v>0</v>
      </c>
    </row>
    <row r="108" spans="1:17" ht="15" hidden="1" outlineLevel="1">
      <c r="A108" s="156"/>
      <c r="B108" s="156"/>
      <c r="C108" s="156"/>
      <c r="D108" s="77"/>
      <c r="E108" s="77"/>
      <c r="F108" s="77"/>
      <c r="G108" s="77">
        <f aca="true" t="shared" si="35" ref="G108:M108">SUM(G96:G107)</f>
        <v>0</v>
      </c>
      <c r="H108" s="77">
        <f t="shared" si="35"/>
        <v>2584</v>
      </c>
      <c r="I108" s="77">
        <f t="shared" si="35"/>
        <v>1310.2109589041097</v>
      </c>
      <c r="J108" s="77">
        <f t="shared" si="35"/>
        <v>1849</v>
      </c>
      <c r="K108" s="77">
        <f t="shared" si="35"/>
        <v>1089.1287671232876</v>
      </c>
      <c r="L108" s="343">
        <f t="shared" si="35"/>
        <v>35</v>
      </c>
      <c r="M108" s="343">
        <f t="shared" si="35"/>
        <v>32.16164383561644</v>
      </c>
      <c r="N108" s="343">
        <f>SUM(N96:N107)</f>
        <v>0</v>
      </c>
      <c r="O108" s="343">
        <f>SUM(O96:O107)</f>
        <v>0</v>
      </c>
      <c r="P108" s="343">
        <f>SUM(P96:P107)</f>
        <v>0</v>
      </c>
      <c r="Q108" s="343">
        <f>SUM(Q96:Q107)</f>
        <v>0</v>
      </c>
    </row>
    <row r="109" spans="1:13" ht="15" hidden="1" outlineLevel="1">
      <c r="A109" s="156"/>
      <c r="B109" s="156"/>
      <c r="C109" s="156"/>
      <c r="D109" s="156"/>
      <c r="E109" s="156"/>
      <c r="F109" s="156"/>
      <c r="L109" s="340"/>
      <c r="M109" s="340"/>
    </row>
    <row r="110" spans="1:15" ht="15" hidden="1" outlineLevel="1">
      <c r="A110" s="280"/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345"/>
      <c r="M110" s="345"/>
      <c r="N110" s="345"/>
      <c r="O110" s="345"/>
    </row>
    <row r="111" spans="12:13" ht="15.75" hidden="1" outlineLevel="1" thickBot="1">
      <c r="L111" s="340"/>
      <c r="M111" s="340"/>
    </row>
    <row r="112" spans="1:15" ht="15.75" hidden="1" outlineLevel="1" thickBot="1">
      <c r="A112" s="156"/>
      <c r="B112" s="156"/>
      <c r="C112" s="156"/>
      <c r="D112" s="156"/>
      <c r="E112" s="156"/>
      <c r="F112" s="156"/>
      <c r="G112" s="272" t="s">
        <v>81</v>
      </c>
      <c r="I112" s="272" t="s">
        <v>76</v>
      </c>
      <c r="J112" s="89"/>
      <c r="K112" s="281" t="s">
        <v>82</v>
      </c>
      <c r="L112" s="341"/>
      <c r="M112" s="281" t="s">
        <v>80</v>
      </c>
      <c r="N112" s="341"/>
      <c r="O112" s="281" t="s">
        <v>210</v>
      </c>
    </row>
    <row r="113" spans="1:15" ht="45.75" hidden="1" outlineLevel="1" thickBot="1">
      <c r="A113" s="156"/>
      <c r="B113" s="156"/>
      <c r="C113" s="156"/>
      <c r="D113" s="76" t="s">
        <v>51</v>
      </c>
      <c r="E113" s="76" t="s">
        <v>186</v>
      </c>
      <c r="F113" s="76" t="s">
        <v>79</v>
      </c>
      <c r="G113" s="282" t="s">
        <v>77</v>
      </c>
      <c r="H113" s="282" t="s">
        <v>77</v>
      </c>
      <c r="I113" s="282" t="s">
        <v>78</v>
      </c>
      <c r="J113" s="282" t="s">
        <v>77</v>
      </c>
      <c r="K113" s="282" t="s">
        <v>78</v>
      </c>
      <c r="L113" s="346" t="s">
        <v>77</v>
      </c>
      <c r="M113" s="347" t="s">
        <v>78</v>
      </c>
      <c r="N113" s="346" t="s">
        <v>77</v>
      </c>
      <c r="O113" s="347" t="s">
        <v>78</v>
      </c>
    </row>
    <row r="114" spans="1:15" ht="15" hidden="1" outlineLevel="1">
      <c r="A114" s="156"/>
      <c r="B114" s="156" t="s">
        <v>12</v>
      </c>
      <c r="C114" s="156"/>
      <c r="D114" s="274" t="s">
        <v>59</v>
      </c>
      <c r="E114" s="275" t="s">
        <v>174</v>
      </c>
      <c r="F114" s="275">
        <f>349/365</f>
        <v>0.9561643835616438</v>
      </c>
      <c r="G114" s="87"/>
      <c r="H114" s="333">
        <v>30000</v>
      </c>
      <c r="I114" s="318">
        <f aca="true" t="shared" si="36" ref="I114:I125">$F114*H114</f>
        <v>28684.931506849312</v>
      </c>
      <c r="J114" s="275">
        <v>5000</v>
      </c>
      <c r="K114" s="283">
        <f aca="true" t="shared" si="37" ref="K114:K125">$F114*J114</f>
        <v>4780.821917808219</v>
      </c>
      <c r="L114" s="329">
        <v>0</v>
      </c>
      <c r="M114" s="348">
        <f>$F114*L114</f>
        <v>0</v>
      </c>
      <c r="N114" s="329">
        <v>0</v>
      </c>
      <c r="O114" s="348">
        <f>$F114*N114</f>
        <v>0</v>
      </c>
    </row>
    <row r="115" spans="1:15" ht="15" hidden="1" outlineLevel="1">
      <c r="A115" s="156"/>
      <c r="B115" s="156"/>
      <c r="C115" s="156"/>
      <c r="D115" s="277" t="s">
        <v>60</v>
      </c>
      <c r="E115" s="145" t="s">
        <v>175</v>
      </c>
      <c r="F115" s="145">
        <f>321/365</f>
        <v>0.8794520547945206</v>
      </c>
      <c r="G115" s="86"/>
      <c r="H115" s="325">
        <v>0</v>
      </c>
      <c r="I115" s="318">
        <f t="shared" si="36"/>
        <v>0</v>
      </c>
      <c r="J115" s="145">
        <v>0</v>
      </c>
      <c r="K115" s="284">
        <f t="shared" si="37"/>
        <v>0</v>
      </c>
      <c r="L115" s="328">
        <v>0</v>
      </c>
      <c r="M115" s="349">
        <f>$F115*L115</f>
        <v>0</v>
      </c>
      <c r="N115" s="328">
        <v>0</v>
      </c>
      <c r="O115" s="349">
        <f>$F115*N115</f>
        <v>0</v>
      </c>
    </row>
    <row r="116" spans="1:15" ht="15" hidden="1" outlineLevel="1">
      <c r="A116" s="156"/>
      <c r="B116" s="156"/>
      <c r="C116" s="156"/>
      <c r="D116" s="277" t="s">
        <v>61</v>
      </c>
      <c r="E116" s="145" t="s">
        <v>176</v>
      </c>
      <c r="F116" s="145">
        <f>290/365</f>
        <v>0.7945205479452054</v>
      </c>
      <c r="G116" s="86"/>
      <c r="H116" s="325">
        <v>0</v>
      </c>
      <c r="I116" s="318">
        <f t="shared" si="36"/>
        <v>0</v>
      </c>
      <c r="J116" s="145">
        <v>0</v>
      </c>
      <c r="K116" s="284">
        <f t="shared" si="37"/>
        <v>0</v>
      </c>
      <c r="L116" s="328">
        <v>0</v>
      </c>
      <c r="M116" s="349">
        <f aca="true" t="shared" si="38" ref="M116:M125">$F116*L116</f>
        <v>0</v>
      </c>
      <c r="N116" s="328">
        <v>0</v>
      </c>
      <c r="O116" s="349">
        <f aca="true" t="shared" si="39" ref="O116:O125">$F116*N116</f>
        <v>0</v>
      </c>
    </row>
    <row r="117" spans="1:15" ht="15" hidden="1" outlineLevel="1">
      <c r="A117" s="156"/>
      <c r="B117" s="156"/>
      <c r="C117" s="156"/>
      <c r="D117" s="277" t="s">
        <v>63</v>
      </c>
      <c r="E117" s="145" t="s">
        <v>177</v>
      </c>
      <c r="F117" s="145">
        <f>260/365</f>
        <v>0.7123287671232876</v>
      </c>
      <c r="G117" s="86"/>
      <c r="H117" s="325">
        <v>0</v>
      </c>
      <c r="I117" s="318">
        <f t="shared" si="36"/>
        <v>0</v>
      </c>
      <c r="J117" s="145">
        <v>0</v>
      </c>
      <c r="K117" s="284">
        <f t="shared" si="37"/>
        <v>0</v>
      </c>
      <c r="L117" s="328">
        <v>0</v>
      </c>
      <c r="M117" s="349">
        <f t="shared" si="38"/>
        <v>0</v>
      </c>
      <c r="N117" s="328">
        <v>0</v>
      </c>
      <c r="O117" s="349">
        <f t="shared" si="39"/>
        <v>0</v>
      </c>
    </row>
    <row r="118" spans="1:15" ht="15" hidden="1" outlineLevel="1">
      <c r="A118" s="156"/>
      <c r="B118" s="156"/>
      <c r="C118" s="156"/>
      <c r="D118" s="277" t="s">
        <v>64</v>
      </c>
      <c r="E118" s="145" t="s">
        <v>178</v>
      </c>
      <c r="F118" s="145">
        <f>229/365</f>
        <v>0.6273972602739726</v>
      </c>
      <c r="G118" s="86"/>
      <c r="H118" s="325">
        <v>0</v>
      </c>
      <c r="I118" s="318">
        <f t="shared" si="36"/>
        <v>0</v>
      </c>
      <c r="J118" s="145">
        <v>0</v>
      </c>
      <c r="K118" s="284">
        <f t="shared" si="37"/>
        <v>0</v>
      </c>
      <c r="L118" s="328">
        <v>0</v>
      </c>
      <c r="M118" s="349">
        <f t="shared" si="38"/>
        <v>0</v>
      </c>
      <c r="N118" s="328">
        <v>0</v>
      </c>
      <c r="O118" s="349">
        <f t="shared" si="39"/>
        <v>0</v>
      </c>
    </row>
    <row r="119" spans="1:15" ht="15" hidden="1" outlineLevel="1">
      <c r="A119" s="156"/>
      <c r="B119" s="156"/>
      <c r="C119" s="156"/>
      <c r="D119" s="277" t="s">
        <v>65</v>
      </c>
      <c r="E119" s="145" t="s">
        <v>179</v>
      </c>
      <c r="F119" s="145">
        <f>199/365</f>
        <v>0.5452054794520548</v>
      </c>
      <c r="G119" s="86"/>
      <c r="H119" s="325">
        <v>0</v>
      </c>
      <c r="I119" s="318">
        <f t="shared" si="36"/>
        <v>0</v>
      </c>
      <c r="J119" s="145">
        <v>0</v>
      </c>
      <c r="K119" s="284">
        <f t="shared" si="37"/>
        <v>0</v>
      </c>
      <c r="L119" s="328">
        <v>0</v>
      </c>
      <c r="M119" s="349">
        <f t="shared" si="38"/>
        <v>0</v>
      </c>
      <c r="N119" s="328">
        <v>0</v>
      </c>
      <c r="O119" s="349">
        <f t="shared" si="39"/>
        <v>0</v>
      </c>
    </row>
    <row r="120" spans="1:15" ht="15" hidden="1" outlineLevel="1">
      <c r="A120" s="156"/>
      <c r="B120" s="156"/>
      <c r="C120" s="156"/>
      <c r="D120" s="277" t="s">
        <v>52</v>
      </c>
      <c r="E120" s="145" t="s">
        <v>180</v>
      </c>
      <c r="F120" s="145">
        <f>168/365</f>
        <v>0.4602739726027397</v>
      </c>
      <c r="G120" s="86">
        <v>30000</v>
      </c>
      <c r="H120" s="325">
        <v>0</v>
      </c>
      <c r="I120" s="318">
        <f t="shared" si="36"/>
        <v>0</v>
      </c>
      <c r="J120" s="145">
        <v>0</v>
      </c>
      <c r="K120" s="284">
        <f t="shared" si="37"/>
        <v>0</v>
      </c>
      <c r="L120" s="342">
        <v>0</v>
      </c>
      <c r="M120" s="349">
        <f t="shared" si="38"/>
        <v>0</v>
      </c>
      <c r="N120" s="342">
        <v>0</v>
      </c>
      <c r="O120" s="349">
        <f t="shared" si="39"/>
        <v>0</v>
      </c>
    </row>
    <row r="121" spans="1:15" ht="15" hidden="1" outlineLevel="1">
      <c r="A121" s="156"/>
      <c r="B121" s="156"/>
      <c r="C121" s="156"/>
      <c r="D121" s="277" t="s">
        <v>53</v>
      </c>
      <c r="E121" s="145" t="s">
        <v>181</v>
      </c>
      <c r="F121" s="145">
        <f>137/365</f>
        <v>0.37534246575342467</v>
      </c>
      <c r="G121" s="86">
        <v>0</v>
      </c>
      <c r="H121" s="325">
        <v>0</v>
      </c>
      <c r="I121" s="318">
        <f t="shared" si="36"/>
        <v>0</v>
      </c>
      <c r="J121" s="145">
        <v>0</v>
      </c>
      <c r="K121" s="284">
        <f t="shared" si="37"/>
        <v>0</v>
      </c>
      <c r="L121" s="342">
        <v>0</v>
      </c>
      <c r="M121" s="349">
        <f t="shared" si="38"/>
        <v>0</v>
      </c>
      <c r="N121" s="342">
        <v>0</v>
      </c>
      <c r="O121" s="349">
        <f t="shared" si="39"/>
        <v>0</v>
      </c>
    </row>
    <row r="122" spans="1:15" ht="15" hidden="1" outlineLevel="1">
      <c r="A122" s="156"/>
      <c r="B122" s="156"/>
      <c r="C122" s="156"/>
      <c r="D122" s="277" t="s">
        <v>54</v>
      </c>
      <c r="E122" s="145" t="s">
        <v>182</v>
      </c>
      <c r="F122" s="145">
        <f>107/365</f>
        <v>0.29315068493150687</v>
      </c>
      <c r="G122" s="86">
        <v>0</v>
      </c>
      <c r="H122" s="325">
        <v>0</v>
      </c>
      <c r="I122" s="318">
        <f t="shared" si="36"/>
        <v>0</v>
      </c>
      <c r="J122" s="145">
        <v>0</v>
      </c>
      <c r="K122" s="284">
        <f t="shared" si="37"/>
        <v>0</v>
      </c>
      <c r="L122" s="342">
        <v>0</v>
      </c>
      <c r="M122" s="349">
        <f t="shared" si="38"/>
        <v>0</v>
      </c>
      <c r="N122" s="342">
        <v>0</v>
      </c>
      <c r="O122" s="349">
        <f t="shared" si="39"/>
        <v>0</v>
      </c>
    </row>
    <row r="123" spans="1:15" ht="15" hidden="1" outlineLevel="1">
      <c r="A123" s="156"/>
      <c r="B123" s="156"/>
      <c r="C123" s="156"/>
      <c r="D123" s="277" t="s">
        <v>55</v>
      </c>
      <c r="E123" s="145" t="s">
        <v>183</v>
      </c>
      <c r="F123" s="145">
        <f>76/365</f>
        <v>0.20821917808219179</v>
      </c>
      <c r="G123" s="86">
        <v>0</v>
      </c>
      <c r="H123" s="325">
        <v>0</v>
      </c>
      <c r="I123" s="318">
        <f t="shared" si="36"/>
        <v>0</v>
      </c>
      <c r="J123" s="145">
        <v>0</v>
      </c>
      <c r="K123" s="284">
        <f t="shared" si="37"/>
        <v>0</v>
      </c>
      <c r="L123" s="342">
        <v>0</v>
      </c>
      <c r="M123" s="349">
        <f t="shared" si="38"/>
        <v>0</v>
      </c>
      <c r="N123" s="342">
        <v>0</v>
      </c>
      <c r="O123" s="349">
        <f t="shared" si="39"/>
        <v>0</v>
      </c>
    </row>
    <row r="124" spans="1:15" ht="15" hidden="1" outlineLevel="1">
      <c r="A124" s="156"/>
      <c r="B124" s="156"/>
      <c r="C124" s="156"/>
      <c r="D124" s="277" t="s">
        <v>57</v>
      </c>
      <c r="E124" s="145" t="s">
        <v>184</v>
      </c>
      <c r="F124" s="145">
        <f>46/365</f>
        <v>0.12602739726027398</v>
      </c>
      <c r="G124" s="86">
        <v>0</v>
      </c>
      <c r="H124" s="325">
        <v>0</v>
      </c>
      <c r="I124" s="318">
        <f t="shared" si="36"/>
        <v>0</v>
      </c>
      <c r="J124" s="145">
        <v>0</v>
      </c>
      <c r="K124" s="284">
        <f t="shared" si="37"/>
        <v>0</v>
      </c>
      <c r="L124" s="342">
        <v>0</v>
      </c>
      <c r="M124" s="349">
        <f t="shared" si="38"/>
        <v>0</v>
      </c>
      <c r="N124" s="342">
        <v>0</v>
      </c>
      <c r="O124" s="349">
        <f t="shared" si="39"/>
        <v>0</v>
      </c>
    </row>
    <row r="125" spans="1:15" ht="15" hidden="1" outlineLevel="1">
      <c r="A125" s="156"/>
      <c r="B125" s="156"/>
      <c r="C125" s="156"/>
      <c r="D125" s="279" t="s">
        <v>58</v>
      </c>
      <c r="E125" s="25" t="s">
        <v>185</v>
      </c>
      <c r="F125" s="25">
        <f>15/365</f>
        <v>0.0410958904109589</v>
      </c>
      <c r="G125" s="88">
        <v>0</v>
      </c>
      <c r="H125" s="334">
        <v>0</v>
      </c>
      <c r="I125" s="318">
        <f t="shared" si="36"/>
        <v>0</v>
      </c>
      <c r="J125" s="25">
        <v>0</v>
      </c>
      <c r="K125" s="285">
        <f t="shared" si="37"/>
        <v>0</v>
      </c>
      <c r="L125" s="344">
        <v>0</v>
      </c>
      <c r="M125" s="350">
        <f t="shared" si="38"/>
        <v>0</v>
      </c>
      <c r="N125" s="344">
        <v>0</v>
      </c>
      <c r="O125" s="350">
        <f t="shared" si="39"/>
        <v>0</v>
      </c>
    </row>
    <row r="126" spans="1:15" ht="15" hidden="1" outlineLevel="1">
      <c r="A126" s="156"/>
      <c r="B126" s="156"/>
      <c r="C126" s="156"/>
      <c r="D126" s="77"/>
      <c r="E126" s="77"/>
      <c r="F126" s="77"/>
      <c r="G126" s="77">
        <f aca="true" t="shared" si="40" ref="G126:M126">SUM(G114:G125)</f>
        <v>30000</v>
      </c>
      <c r="H126" s="77">
        <f t="shared" si="40"/>
        <v>30000</v>
      </c>
      <c r="I126" s="77">
        <f t="shared" si="40"/>
        <v>28684.931506849312</v>
      </c>
      <c r="J126" s="77">
        <f t="shared" si="40"/>
        <v>5000</v>
      </c>
      <c r="K126" s="77">
        <f t="shared" si="40"/>
        <v>4780.821917808219</v>
      </c>
      <c r="L126" s="343">
        <f t="shared" si="40"/>
        <v>0</v>
      </c>
      <c r="M126" s="343">
        <f t="shared" si="40"/>
        <v>0</v>
      </c>
      <c r="N126" s="343">
        <f>SUM(N114:N125)</f>
        <v>0</v>
      </c>
      <c r="O126" s="343">
        <f>SUM(O114:O125)</f>
        <v>0</v>
      </c>
    </row>
    <row r="127" spans="1:13" ht="15" hidden="1" outlineLevel="1">
      <c r="A127" s="156"/>
      <c r="B127" s="156"/>
      <c r="C127" s="156"/>
      <c r="D127" s="156"/>
      <c r="E127" s="156"/>
      <c r="F127" s="156"/>
      <c r="L127" s="340"/>
      <c r="M127" s="340"/>
    </row>
    <row r="128" spans="1:15" ht="15" hidden="1" outlineLevel="1">
      <c r="A128" s="280"/>
      <c r="B128" s="280"/>
      <c r="C128" s="280"/>
      <c r="D128" s="280"/>
      <c r="E128" s="280"/>
      <c r="F128" s="280"/>
      <c r="G128" s="280"/>
      <c r="H128" s="280"/>
      <c r="I128" s="280"/>
      <c r="J128" s="280"/>
      <c r="K128" s="280"/>
      <c r="L128" s="345"/>
      <c r="M128" s="345"/>
      <c r="N128" s="345"/>
      <c r="O128" s="345"/>
    </row>
    <row r="129" spans="12:13" ht="15.75" hidden="1" outlineLevel="1" thickBot="1">
      <c r="L129" s="340"/>
      <c r="M129" s="340"/>
    </row>
    <row r="130" spans="1:15" ht="15.75" hidden="1" outlineLevel="1" thickBot="1">
      <c r="A130" s="156"/>
      <c r="B130" s="156"/>
      <c r="C130" s="156"/>
      <c r="D130" s="156"/>
      <c r="E130" s="156"/>
      <c r="F130" s="156"/>
      <c r="G130" s="272" t="s">
        <v>81</v>
      </c>
      <c r="I130" s="272" t="s">
        <v>76</v>
      </c>
      <c r="J130" s="89"/>
      <c r="K130" s="281" t="s">
        <v>82</v>
      </c>
      <c r="L130" s="341"/>
      <c r="M130" s="281" t="s">
        <v>80</v>
      </c>
      <c r="N130" s="341"/>
      <c r="O130" s="281" t="s">
        <v>210</v>
      </c>
    </row>
    <row r="131" spans="1:15" ht="45.75" hidden="1" outlineLevel="1" thickBot="1">
      <c r="A131" s="156"/>
      <c r="B131" s="156"/>
      <c r="C131" s="156"/>
      <c r="D131" s="76" t="s">
        <v>51</v>
      </c>
      <c r="E131" s="76" t="s">
        <v>186</v>
      </c>
      <c r="F131" s="76" t="s">
        <v>79</v>
      </c>
      <c r="G131" s="282" t="s">
        <v>77</v>
      </c>
      <c r="H131" s="282" t="s">
        <v>77</v>
      </c>
      <c r="I131" s="282" t="s">
        <v>78</v>
      </c>
      <c r="J131" s="282" t="s">
        <v>77</v>
      </c>
      <c r="K131" s="282" t="s">
        <v>78</v>
      </c>
      <c r="L131" s="346" t="s">
        <v>77</v>
      </c>
      <c r="M131" s="347" t="s">
        <v>78</v>
      </c>
      <c r="N131" s="346" t="s">
        <v>77</v>
      </c>
      <c r="O131" s="347" t="s">
        <v>78</v>
      </c>
    </row>
    <row r="132" spans="1:15" ht="15" hidden="1" outlineLevel="1">
      <c r="A132" s="156"/>
      <c r="B132" s="156" t="s">
        <v>13</v>
      </c>
      <c r="C132" s="156"/>
      <c r="D132" s="274" t="s">
        <v>59</v>
      </c>
      <c r="E132" s="275" t="s">
        <v>174</v>
      </c>
      <c r="F132" s="275">
        <f>349/365</f>
        <v>0.9561643835616438</v>
      </c>
      <c r="G132" s="87"/>
      <c r="H132" s="333">
        <v>0</v>
      </c>
      <c r="I132" s="318">
        <f aca="true" t="shared" si="41" ref="I132:I143">$F132*H132</f>
        <v>0</v>
      </c>
      <c r="J132" s="275">
        <v>30</v>
      </c>
      <c r="K132" s="283">
        <f aca="true" t="shared" si="42" ref="K132:K143">$F132*J132</f>
        <v>28.684931506849313</v>
      </c>
      <c r="L132" s="329">
        <v>0</v>
      </c>
      <c r="M132" s="348">
        <f>$F132*L132</f>
        <v>0</v>
      </c>
      <c r="N132" s="329">
        <v>0</v>
      </c>
      <c r="O132" s="348">
        <f>$F132*N132</f>
        <v>0</v>
      </c>
    </row>
    <row r="133" spans="1:15" ht="15" hidden="1" outlineLevel="1">
      <c r="A133" s="156"/>
      <c r="B133" s="156"/>
      <c r="C133" s="156"/>
      <c r="D133" s="277" t="s">
        <v>60</v>
      </c>
      <c r="E133" s="145" t="s">
        <v>175</v>
      </c>
      <c r="F133" s="145">
        <f>321/365</f>
        <v>0.8794520547945206</v>
      </c>
      <c r="G133" s="86"/>
      <c r="H133" s="325">
        <v>0</v>
      </c>
      <c r="I133" s="318">
        <f t="shared" si="41"/>
        <v>0</v>
      </c>
      <c r="J133" s="145">
        <v>45</v>
      </c>
      <c r="K133" s="284">
        <f t="shared" si="42"/>
        <v>39.57534246575343</v>
      </c>
      <c r="L133" s="328">
        <v>0</v>
      </c>
      <c r="M133" s="349">
        <f>$F133*L133</f>
        <v>0</v>
      </c>
      <c r="N133" s="328">
        <v>0</v>
      </c>
      <c r="O133" s="349">
        <f>$F133*N133</f>
        <v>0</v>
      </c>
    </row>
    <row r="134" spans="1:15" ht="15" hidden="1" outlineLevel="1">
      <c r="A134" s="156"/>
      <c r="B134" s="156"/>
      <c r="C134" s="156"/>
      <c r="D134" s="277" t="s">
        <v>61</v>
      </c>
      <c r="E134" s="145" t="s">
        <v>176</v>
      </c>
      <c r="F134" s="145">
        <f>290/365</f>
        <v>0.7945205479452054</v>
      </c>
      <c r="G134" s="86"/>
      <c r="H134" s="325">
        <v>0</v>
      </c>
      <c r="I134" s="318">
        <f t="shared" si="41"/>
        <v>0</v>
      </c>
      <c r="J134" s="145">
        <v>48</v>
      </c>
      <c r="K134" s="284">
        <f t="shared" si="42"/>
        <v>38.13698630136986</v>
      </c>
      <c r="L134" s="328">
        <v>0</v>
      </c>
      <c r="M134" s="349">
        <f aca="true" t="shared" si="43" ref="M134:M143">$F134*L134</f>
        <v>0</v>
      </c>
      <c r="N134" s="328">
        <v>0</v>
      </c>
      <c r="O134" s="349">
        <f aca="true" t="shared" si="44" ref="O134:O143">$F134*N134</f>
        <v>0</v>
      </c>
    </row>
    <row r="135" spans="1:15" ht="15" hidden="1" outlineLevel="1">
      <c r="A135" s="156"/>
      <c r="B135" s="156"/>
      <c r="C135" s="156"/>
      <c r="D135" s="277" t="s">
        <v>63</v>
      </c>
      <c r="E135" s="145" t="s">
        <v>177</v>
      </c>
      <c r="F135" s="145">
        <f>260/365</f>
        <v>0.7123287671232876</v>
      </c>
      <c r="G135" s="86"/>
      <c r="H135" s="325">
        <v>1</v>
      </c>
      <c r="I135" s="318">
        <f t="shared" si="41"/>
        <v>0.7123287671232876</v>
      </c>
      <c r="J135" s="145">
        <v>39</v>
      </c>
      <c r="K135" s="284">
        <f t="shared" si="42"/>
        <v>27.78082191780822</v>
      </c>
      <c r="L135" s="328">
        <v>0</v>
      </c>
      <c r="M135" s="349">
        <f t="shared" si="43"/>
        <v>0</v>
      </c>
      <c r="N135" s="328">
        <v>0</v>
      </c>
      <c r="O135" s="349">
        <f t="shared" si="44"/>
        <v>0</v>
      </c>
    </row>
    <row r="136" spans="1:15" ht="15" hidden="1" outlineLevel="1">
      <c r="A136" s="156"/>
      <c r="B136" s="156"/>
      <c r="C136" s="156"/>
      <c r="D136" s="277" t="s">
        <v>64</v>
      </c>
      <c r="E136" s="145" t="s">
        <v>178</v>
      </c>
      <c r="F136" s="145">
        <f>229/365</f>
        <v>0.6273972602739726</v>
      </c>
      <c r="G136" s="86"/>
      <c r="H136" s="325">
        <v>26</v>
      </c>
      <c r="I136" s="318">
        <f t="shared" si="41"/>
        <v>16.312328767123287</v>
      </c>
      <c r="J136" s="145">
        <v>43</v>
      </c>
      <c r="K136" s="284">
        <f t="shared" si="42"/>
        <v>26.97808219178082</v>
      </c>
      <c r="L136" s="328">
        <v>0</v>
      </c>
      <c r="M136" s="349">
        <f t="shared" si="43"/>
        <v>0</v>
      </c>
      <c r="N136" s="328">
        <v>0</v>
      </c>
      <c r="O136" s="349">
        <f t="shared" si="44"/>
        <v>0</v>
      </c>
    </row>
    <row r="137" spans="1:15" ht="15" hidden="1" outlineLevel="1">
      <c r="A137" s="156"/>
      <c r="B137" s="156"/>
      <c r="C137" s="156"/>
      <c r="D137" s="277" t="s">
        <v>65</v>
      </c>
      <c r="E137" s="145" t="s">
        <v>179</v>
      </c>
      <c r="F137" s="145">
        <f>199/365</f>
        <v>0.5452054794520548</v>
      </c>
      <c r="G137" s="86"/>
      <c r="H137" s="325">
        <v>42</v>
      </c>
      <c r="I137" s="318">
        <f t="shared" si="41"/>
        <v>22.898630136986302</v>
      </c>
      <c r="J137" s="145">
        <v>37</v>
      </c>
      <c r="K137" s="284">
        <f t="shared" si="42"/>
        <v>20.172602739726027</v>
      </c>
      <c r="L137" s="328">
        <v>0</v>
      </c>
      <c r="M137" s="349">
        <f t="shared" si="43"/>
        <v>0</v>
      </c>
      <c r="N137" s="328">
        <v>0</v>
      </c>
      <c r="O137" s="349">
        <f t="shared" si="44"/>
        <v>0</v>
      </c>
    </row>
    <row r="138" spans="1:15" ht="15" hidden="1" outlineLevel="1">
      <c r="A138" s="156"/>
      <c r="B138" s="156"/>
      <c r="C138" s="156"/>
      <c r="D138" s="277" t="s">
        <v>52</v>
      </c>
      <c r="E138" s="145" t="s">
        <v>180</v>
      </c>
      <c r="F138" s="145">
        <f>168/365</f>
        <v>0.4602739726027397</v>
      </c>
      <c r="G138" s="86">
        <v>42</v>
      </c>
      <c r="H138" s="325">
        <v>69</v>
      </c>
      <c r="I138" s="318">
        <f t="shared" si="41"/>
        <v>31.75890410958904</v>
      </c>
      <c r="J138" s="145">
        <v>38</v>
      </c>
      <c r="K138" s="284">
        <f t="shared" si="42"/>
        <v>17.49041095890411</v>
      </c>
      <c r="L138" s="342">
        <v>0</v>
      </c>
      <c r="M138" s="349">
        <f t="shared" si="43"/>
        <v>0</v>
      </c>
      <c r="N138" s="342">
        <v>0</v>
      </c>
      <c r="O138" s="349">
        <f t="shared" si="44"/>
        <v>0</v>
      </c>
    </row>
    <row r="139" spans="1:15" ht="15" hidden="1" outlineLevel="1">
      <c r="A139" s="156"/>
      <c r="B139" s="156"/>
      <c r="C139" s="156"/>
      <c r="D139" s="277" t="s">
        <v>53</v>
      </c>
      <c r="E139" s="145" t="s">
        <v>181</v>
      </c>
      <c r="F139" s="145">
        <f>137/365</f>
        <v>0.37534246575342467</v>
      </c>
      <c r="G139" s="86">
        <v>83</v>
      </c>
      <c r="H139" s="325">
        <v>126</v>
      </c>
      <c r="I139" s="318">
        <f t="shared" si="41"/>
        <v>47.29315068493151</v>
      </c>
      <c r="J139" s="145">
        <v>70</v>
      </c>
      <c r="K139" s="284">
        <f t="shared" si="42"/>
        <v>26.273972602739725</v>
      </c>
      <c r="L139" s="342">
        <v>0</v>
      </c>
      <c r="M139" s="349">
        <f t="shared" si="43"/>
        <v>0</v>
      </c>
      <c r="N139" s="342">
        <v>0</v>
      </c>
      <c r="O139" s="349">
        <f t="shared" si="44"/>
        <v>0</v>
      </c>
    </row>
    <row r="140" spans="1:15" ht="15" hidden="1" outlineLevel="1">
      <c r="A140" s="156"/>
      <c r="B140" s="156"/>
      <c r="C140" s="156"/>
      <c r="D140" s="277" t="s">
        <v>54</v>
      </c>
      <c r="E140" s="145" t="s">
        <v>182</v>
      </c>
      <c r="F140" s="145">
        <f>107/365</f>
        <v>0.29315068493150687</v>
      </c>
      <c r="G140" s="86">
        <v>101</v>
      </c>
      <c r="H140" s="325">
        <v>87</v>
      </c>
      <c r="I140" s="318">
        <f t="shared" si="41"/>
        <v>25.504109589041096</v>
      </c>
      <c r="J140" s="145">
        <v>38</v>
      </c>
      <c r="K140" s="284">
        <f t="shared" si="42"/>
        <v>11.139726027397261</v>
      </c>
      <c r="L140" s="342">
        <v>0</v>
      </c>
      <c r="M140" s="349">
        <f t="shared" si="43"/>
        <v>0</v>
      </c>
      <c r="N140" s="342">
        <v>0</v>
      </c>
      <c r="O140" s="349">
        <f t="shared" si="44"/>
        <v>0</v>
      </c>
    </row>
    <row r="141" spans="1:15" ht="15" hidden="1" outlineLevel="1">
      <c r="A141" s="156"/>
      <c r="B141" s="156"/>
      <c r="C141" s="156"/>
      <c r="D141" s="277" t="s">
        <v>55</v>
      </c>
      <c r="E141" s="145" t="s">
        <v>183</v>
      </c>
      <c r="F141" s="145">
        <f>76/365</f>
        <v>0.20821917808219179</v>
      </c>
      <c r="G141" s="86">
        <v>138</v>
      </c>
      <c r="H141" s="325">
        <v>48</v>
      </c>
      <c r="I141" s="318">
        <f t="shared" si="41"/>
        <v>9.994520547945205</v>
      </c>
      <c r="J141" s="156">
        <v>40</v>
      </c>
      <c r="K141" s="284">
        <f t="shared" si="42"/>
        <v>8.32876712328767</v>
      </c>
      <c r="L141" s="342">
        <v>0</v>
      </c>
      <c r="M141" s="349">
        <f t="shared" si="43"/>
        <v>0</v>
      </c>
      <c r="N141" s="342">
        <v>0</v>
      </c>
      <c r="O141" s="349">
        <f t="shared" si="44"/>
        <v>0</v>
      </c>
    </row>
    <row r="142" spans="1:15" ht="15" hidden="1" outlineLevel="1">
      <c r="A142" s="156"/>
      <c r="B142" s="156"/>
      <c r="C142" s="156"/>
      <c r="D142" s="277" t="s">
        <v>57</v>
      </c>
      <c r="E142" s="145" t="s">
        <v>184</v>
      </c>
      <c r="F142" s="145">
        <f>46/365</f>
        <v>0.12602739726027398</v>
      </c>
      <c r="G142" s="86">
        <v>47</v>
      </c>
      <c r="H142" s="325">
        <v>49</v>
      </c>
      <c r="I142" s="318">
        <f t="shared" si="41"/>
        <v>6.175342465753425</v>
      </c>
      <c r="J142" s="156">
        <v>5</v>
      </c>
      <c r="K142" s="284">
        <f t="shared" si="42"/>
        <v>0.6301369863013699</v>
      </c>
      <c r="L142" s="342">
        <v>0</v>
      </c>
      <c r="M142" s="349">
        <f t="shared" si="43"/>
        <v>0</v>
      </c>
      <c r="N142" s="342">
        <v>0</v>
      </c>
      <c r="O142" s="349">
        <f t="shared" si="44"/>
        <v>0</v>
      </c>
    </row>
    <row r="143" spans="1:15" ht="15" hidden="1" outlineLevel="1">
      <c r="A143" s="156"/>
      <c r="B143" s="156"/>
      <c r="C143" s="156"/>
      <c r="D143" s="279" t="s">
        <v>58</v>
      </c>
      <c r="E143" s="25" t="s">
        <v>185</v>
      </c>
      <c r="F143" s="25">
        <f>15/365</f>
        <v>0.0410958904109589</v>
      </c>
      <c r="G143" s="88">
        <v>0</v>
      </c>
      <c r="H143" s="334">
        <v>50</v>
      </c>
      <c r="I143" s="318">
        <f t="shared" si="41"/>
        <v>2.054794520547945</v>
      </c>
      <c r="J143" s="156">
        <v>0</v>
      </c>
      <c r="K143" s="285">
        <f t="shared" si="42"/>
        <v>0</v>
      </c>
      <c r="L143" s="344">
        <v>0</v>
      </c>
      <c r="M143" s="350">
        <f t="shared" si="43"/>
        <v>0</v>
      </c>
      <c r="N143" s="344">
        <v>0</v>
      </c>
      <c r="O143" s="350">
        <f t="shared" si="44"/>
        <v>0</v>
      </c>
    </row>
    <row r="144" spans="1:15" ht="15" hidden="1" outlineLevel="1">
      <c r="A144" s="156"/>
      <c r="B144" s="156"/>
      <c r="C144" s="156"/>
      <c r="D144" s="77"/>
      <c r="E144" s="77"/>
      <c r="F144" s="77"/>
      <c r="G144" s="77">
        <f aca="true" t="shared" si="45" ref="G144:M144">SUM(G132:G143)</f>
        <v>411</v>
      </c>
      <c r="H144" s="77">
        <f t="shared" si="45"/>
        <v>498</v>
      </c>
      <c r="I144" s="77">
        <f t="shared" si="45"/>
        <v>162.70410958904108</v>
      </c>
      <c r="J144" s="77">
        <f t="shared" si="45"/>
        <v>433</v>
      </c>
      <c r="K144" s="77">
        <f t="shared" si="45"/>
        <v>245.1917808219178</v>
      </c>
      <c r="L144" s="343">
        <f t="shared" si="45"/>
        <v>0</v>
      </c>
      <c r="M144" s="343">
        <f t="shared" si="45"/>
        <v>0</v>
      </c>
      <c r="N144" s="343">
        <f>SUM(N132:N143)</f>
        <v>0</v>
      </c>
      <c r="O144" s="343">
        <f>SUM(O132:O143)</f>
        <v>0</v>
      </c>
    </row>
    <row r="145" spans="1:13" ht="15" hidden="1" outlineLevel="1">
      <c r="A145" s="156"/>
      <c r="B145" s="156"/>
      <c r="C145" s="156"/>
      <c r="D145" s="156"/>
      <c r="E145" s="156"/>
      <c r="F145" s="156"/>
      <c r="L145" s="340"/>
      <c r="M145" s="340"/>
    </row>
    <row r="146" spans="1:15" ht="15" hidden="1" outlineLevel="1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345"/>
      <c r="M146" s="345"/>
      <c r="N146" s="345"/>
      <c r="O146" s="345"/>
    </row>
    <row r="147" spans="12:13" ht="15.75" hidden="1" outlineLevel="1" thickBot="1">
      <c r="L147" s="340"/>
      <c r="M147" s="340"/>
    </row>
    <row r="148" spans="1:15" ht="15.75" hidden="1" outlineLevel="1" thickBot="1">
      <c r="A148" s="156"/>
      <c r="B148" s="156"/>
      <c r="C148" s="156"/>
      <c r="D148" s="156"/>
      <c r="E148" s="156"/>
      <c r="F148" s="156"/>
      <c r="G148" s="272" t="s">
        <v>81</v>
      </c>
      <c r="I148" s="272" t="s">
        <v>76</v>
      </c>
      <c r="J148" s="89"/>
      <c r="K148" s="281" t="s">
        <v>82</v>
      </c>
      <c r="L148" s="341"/>
      <c r="M148" s="281" t="s">
        <v>80</v>
      </c>
      <c r="N148" s="341"/>
      <c r="O148" s="281" t="s">
        <v>210</v>
      </c>
    </row>
    <row r="149" spans="1:15" ht="45.75" hidden="1" outlineLevel="1" thickBot="1">
      <c r="A149" s="156"/>
      <c r="B149" s="156"/>
      <c r="C149" s="156"/>
      <c r="D149" s="76" t="s">
        <v>51</v>
      </c>
      <c r="E149" s="76" t="s">
        <v>186</v>
      </c>
      <c r="F149" s="76" t="s">
        <v>79</v>
      </c>
      <c r="G149" s="282" t="s">
        <v>77</v>
      </c>
      <c r="H149" s="282" t="s">
        <v>77</v>
      </c>
      <c r="I149" s="282" t="s">
        <v>78</v>
      </c>
      <c r="J149" s="282" t="s">
        <v>77</v>
      </c>
      <c r="K149" s="282" t="s">
        <v>78</v>
      </c>
      <c r="L149" s="346" t="s">
        <v>77</v>
      </c>
      <c r="M149" s="347" t="s">
        <v>78</v>
      </c>
      <c r="N149" s="346" t="s">
        <v>77</v>
      </c>
      <c r="O149" s="347" t="s">
        <v>78</v>
      </c>
    </row>
    <row r="150" spans="1:15" ht="15" hidden="1" outlineLevel="1">
      <c r="A150" s="156"/>
      <c r="B150" t="s">
        <v>25</v>
      </c>
      <c r="C150" s="156"/>
      <c r="D150" s="274" t="s">
        <v>59</v>
      </c>
      <c r="E150" s="275" t="s">
        <v>174</v>
      </c>
      <c r="F150" s="275">
        <f>349/365</f>
        <v>0.9561643835616438</v>
      </c>
      <c r="G150" s="87">
        <v>0</v>
      </c>
      <c r="H150" s="333">
        <v>0</v>
      </c>
      <c r="I150" s="318">
        <f aca="true" t="shared" si="46" ref="I150:I161">$F150*H150</f>
        <v>0</v>
      </c>
      <c r="J150" s="275">
        <v>0</v>
      </c>
      <c r="K150" s="283">
        <f aca="true" t="shared" si="47" ref="K150:K161">$F150*J150</f>
        <v>0</v>
      </c>
      <c r="L150" s="329">
        <v>0</v>
      </c>
      <c r="M150" s="348">
        <f>$F150*L150</f>
        <v>0</v>
      </c>
      <c r="N150" s="329">
        <v>0</v>
      </c>
      <c r="O150" s="348">
        <f>$F150*N150</f>
        <v>0</v>
      </c>
    </row>
    <row r="151" spans="1:15" ht="15" hidden="1" outlineLevel="1">
      <c r="A151" s="156"/>
      <c r="B151" s="156"/>
      <c r="C151" s="156"/>
      <c r="D151" s="277" t="s">
        <v>60</v>
      </c>
      <c r="E151" s="145" t="s">
        <v>175</v>
      </c>
      <c r="F151" s="145">
        <f>321/365</f>
        <v>0.8794520547945206</v>
      </c>
      <c r="G151" s="86"/>
      <c r="H151" s="325">
        <v>0</v>
      </c>
      <c r="I151" s="318">
        <f t="shared" si="46"/>
        <v>0</v>
      </c>
      <c r="J151" s="145">
        <v>0</v>
      </c>
      <c r="K151" s="284">
        <f t="shared" si="47"/>
        <v>0</v>
      </c>
      <c r="L151" s="328">
        <v>0</v>
      </c>
      <c r="M151" s="349">
        <f>$F151*L151</f>
        <v>0</v>
      </c>
      <c r="N151" s="328">
        <v>0</v>
      </c>
      <c r="O151" s="349">
        <f>$F151*N151</f>
        <v>0</v>
      </c>
    </row>
    <row r="152" spans="1:15" ht="15" hidden="1" outlineLevel="1">
      <c r="A152" s="156"/>
      <c r="B152" s="156"/>
      <c r="C152" s="156"/>
      <c r="D152" s="277" t="s">
        <v>61</v>
      </c>
      <c r="E152" s="145" t="s">
        <v>176</v>
      </c>
      <c r="F152" s="145">
        <f>290/365</f>
        <v>0.7945205479452054</v>
      </c>
      <c r="G152" s="86"/>
      <c r="H152" s="325">
        <v>0</v>
      </c>
      <c r="I152" s="318">
        <f t="shared" si="46"/>
        <v>0</v>
      </c>
      <c r="J152" s="145">
        <v>0</v>
      </c>
      <c r="K152" s="284">
        <f t="shared" si="47"/>
        <v>0</v>
      </c>
      <c r="L152" s="328">
        <v>0</v>
      </c>
      <c r="M152" s="349">
        <f aca="true" t="shared" si="48" ref="M152:M161">$F152*L152</f>
        <v>0</v>
      </c>
      <c r="N152" s="328">
        <v>0</v>
      </c>
      <c r="O152" s="349">
        <f aca="true" t="shared" si="49" ref="O152:O161">$F152*N152</f>
        <v>0</v>
      </c>
    </row>
    <row r="153" spans="1:15" ht="15" hidden="1" outlineLevel="1">
      <c r="A153" s="156"/>
      <c r="B153" s="156"/>
      <c r="C153" s="156"/>
      <c r="D153" s="277" t="s">
        <v>63</v>
      </c>
      <c r="E153" s="145" t="s">
        <v>177</v>
      </c>
      <c r="F153" s="145">
        <f>260/365</f>
        <v>0.7123287671232876</v>
      </c>
      <c r="G153" s="86"/>
      <c r="H153" s="325">
        <v>0</v>
      </c>
      <c r="I153" s="318">
        <f t="shared" si="46"/>
        <v>0</v>
      </c>
      <c r="J153" s="90">
        <v>0</v>
      </c>
      <c r="K153" s="284">
        <f t="shared" si="47"/>
        <v>0</v>
      </c>
      <c r="L153" s="328">
        <v>0</v>
      </c>
      <c r="M153" s="349">
        <f t="shared" si="48"/>
        <v>0</v>
      </c>
      <c r="N153" s="328">
        <v>0</v>
      </c>
      <c r="O153" s="349">
        <f t="shared" si="49"/>
        <v>0</v>
      </c>
    </row>
    <row r="154" spans="1:15" ht="15" hidden="1" outlineLevel="1">
      <c r="A154" s="156"/>
      <c r="B154" s="156"/>
      <c r="C154" s="156"/>
      <c r="D154" s="277" t="s">
        <v>64</v>
      </c>
      <c r="E154" s="145" t="s">
        <v>178</v>
      </c>
      <c r="F154" s="145">
        <f>229/365</f>
        <v>0.6273972602739726</v>
      </c>
      <c r="G154" s="86"/>
      <c r="H154" s="325">
        <v>0</v>
      </c>
      <c r="I154" s="318">
        <f t="shared" si="46"/>
        <v>0</v>
      </c>
      <c r="J154" s="90">
        <v>0</v>
      </c>
      <c r="K154" s="284">
        <f t="shared" si="47"/>
        <v>0</v>
      </c>
      <c r="L154" s="328">
        <v>0</v>
      </c>
      <c r="M154" s="349">
        <f t="shared" si="48"/>
        <v>0</v>
      </c>
      <c r="N154" s="328">
        <v>0</v>
      </c>
      <c r="O154" s="349">
        <f t="shared" si="49"/>
        <v>0</v>
      </c>
    </row>
    <row r="155" spans="1:15" ht="15" hidden="1" outlineLevel="1">
      <c r="A155" s="156"/>
      <c r="B155" s="156"/>
      <c r="C155" s="156"/>
      <c r="D155" s="277" t="s">
        <v>65</v>
      </c>
      <c r="E155" s="145" t="s">
        <v>179</v>
      </c>
      <c r="F155" s="145">
        <f>199/365</f>
        <v>0.5452054794520548</v>
      </c>
      <c r="G155" s="86"/>
      <c r="H155" s="325">
        <v>0</v>
      </c>
      <c r="I155" s="318">
        <f t="shared" si="46"/>
        <v>0</v>
      </c>
      <c r="J155" s="90">
        <v>0</v>
      </c>
      <c r="K155" s="284">
        <f t="shared" si="47"/>
        <v>0</v>
      </c>
      <c r="L155" s="328">
        <v>0</v>
      </c>
      <c r="M155" s="349">
        <f t="shared" si="48"/>
        <v>0</v>
      </c>
      <c r="N155" s="328">
        <v>0</v>
      </c>
      <c r="O155" s="349">
        <f t="shared" si="49"/>
        <v>0</v>
      </c>
    </row>
    <row r="156" spans="1:15" ht="15" hidden="1" outlineLevel="1">
      <c r="A156" s="156"/>
      <c r="B156" s="156"/>
      <c r="C156" s="156"/>
      <c r="D156" s="277" t="s">
        <v>52</v>
      </c>
      <c r="E156" s="145" t="s">
        <v>180</v>
      </c>
      <c r="F156" s="145">
        <f>168/365</f>
        <v>0.4602739726027397</v>
      </c>
      <c r="G156" s="86">
        <v>0</v>
      </c>
      <c r="H156" s="325">
        <v>0</v>
      </c>
      <c r="I156" s="318">
        <f t="shared" si="46"/>
        <v>0</v>
      </c>
      <c r="J156" s="90">
        <v>0</v>
      </c>
      <c r="K156" s="284">
        <f t="shared" si="47"/>
        <v>0</v>
      </c>
      <c r="L156" s="342">
        <v>0</v>
      </c>
      <c r="M156" s="349">
        <f t="shared" si="48"/>
        <v>0</v>
      </c>
      <c r="N156" s="342">
        <v>0</v>
      </c>
      <c r="O156" s="349">
        <f t="shared" si="49"/>
        <v>0</v>
      </c>
    </row>
    <row r="157" spans="1:15" ht="15" hidden="1" outlineLevel="1">
      <c r="A157" s="156"/>
      <c r="B157" s="156"/>
      <c r="C157" s="156"/>
      <c r="D157" s="277" t="s">
        <v>53</v>
      </c>
      <c r="E157" s="145" t="s">
        <v>181</v>
      </c>
      <c r="F157" s="145">
        <f>137/365</f>
        <v>0.37534246575342467</v>
      </c>
      <c r="G157" s="86">
        <v>0</v>
      </c>
      <c r="H157" s="325">
        <v>0</v>
      </c>
      <c r="I157" s="318">
        <f t="shared" si="46"/>
        <v>0</v>
      </c>
      <c r="J157" s="90">
        <v>0</v>
      </c>
      <c r="K157" s="284">
        <f t="shared" si="47"/>
        <v>0</v>
      </c>
      <c r="L157" s="342">
        <v>0</v>
      </c>
      <c r="M157" s="349">
        <f t="shared" si="48"/>
        <v>0</v>
      </c>
      <c r="N157" s="342">
        <v>0</v>
      </c>
      <c r="O157" s="349">
        <f t="shared" si="49"/>
        <v>0</v>
      </c>
    </row>
    <row r="158" spans="1:15" ht="15" hidden="1" outlineLevel="1">
      <c r="A158" s="156"/>
      <c r="B158" s="156"/>
      <c r="C158" s="156"/>
      <c r="D158" s="277" t="s">
        <v>54</v>
      </c>
      <c r="E158" s="145" t="s">
        <v>182</v>
      </c>
      <c r="F158" s="145">
        <f>107/365</f>
        <v>0.29315068493150687</v>
      </c>
      <c r="G158" s="86">
        <v>0</v>
      </c>
      <c r="H158" s="325">
        <v>0</v>
      </c>
      <c r="I158" s="318">
        <f t="shared" si="46"/>
        <v>0</v>
      </c>
      <c r="J158" s="90">
        <v>0</v>
      </c>
      <c r="K158" s="284">
        <f t="shared" si="47"/>
        <v>0</v>
      </c>
      <c r="L158" s="342">
        <v>0</v>
      </c>
      <c r="M158" s="349">
        <f t="shared" si="48"/>
        <v>0</v>
      </c>
      <c r="N158" s="342">
        <v>0</v>
      </c>
      <c r="O158" s="349">
        <f t="shared" si="49"/>
        <v>0</v>
      </c>
    </row>
    <row r="159" spans="1:15" ht="15" hidden="1" outlineLevel="1">
      <c r="A159" s="156"/>
      <c r="B159" s="156"/>
      <c r="C159" s="156"/>
      <c r="D159" s="277" t="s">
        <v>55</v>
      </c>
      <c r="E159" s="145" t="s">
        <v>183</v>
      </c>
      <c r="F159" s="145">
        <f>76/365</f>
        <v>0.20821917808219179</v>
      </c>
      <c r="G159" s="86">
        <v>0</v>
      </c>
      <c r="H159" s="325">
        <v>0</v>
      </c>
      <c r="I159" s="318">
        <f t="shared" si="46"/>
        <v>0</v>
      </c>
      <c r="J159" s="90">
        <v>0</v>
      </c>
      <c r="K159" s="284">
        <f t="shared" si="47"/>
        <v>0</v>
      </c>
      <c r="L159" s="342">
        <v>0</v>
      </c>
      <c r="M159" s="349">
        <f t="shared" si="48"/>
        <v>0</v>
      </c>
      <c r="N159" s="342">
        <v>0</v>
      </c>
      <c r="O159" s="349">
        <f t="shared" si="49"/>
        <v>0</v>
      </c>
    </row>
    <row r="160" spans="1:15" ht="15" hidden="1" outlineLevel="1">
      <c r="A160" s="156"/>
      <c r="B160" s="156"/>
      <c r="C160" s="156"/>
      <c r="D160" s="277" t="s">
        <v>57</v>
      </c>
      <c r="E160" s="145" t="s">
        <v>184</v>
      </c>
      <c r="F160" s="145">
        <f>46/365</f>
        <v>0.12602739726027398</v>
      </c>
      <c r="G160" s="86">
        <v>0</v>
      </c>
      <c r="H160" s="325">
        <v>0</v>
      </c>
      <c r="I160" s="318">
        <f t="shared" si="46"/>
        <v>0</v>
      </c>
      <c r="J160" s="90">
        <v>0</v>
      </c>
      <c r="K160" s="284">
        <f t="shared" si="47"/>
        <v>0</v>
      </c>
      <c r="L160" s="342">
        <v>0</v>
      </c>
      <c r="M160" s="349">
        <f t="shared" si="48"/>
        <v>0</v>
      </c>
      <c r="N160" s="342">
        <v>0</v>
      </c>
      <c r="O160" s="349">
        <f t="shared" si="49"/>
        <v>0</v>
      </c>
    </row>
    <row r="161" spans="1:15" ht="15" hidden="1" outlineLevel="1">
      <c r="A161" s="156"/>
      <c r="B161" s="156"/>
      <c r="C161" s="156"/>
      <c r="D161" s="279" t="s">
        <v>58</v>
      </c>
      <c r="E161" s="25" t="s">
        <v>185</v>
      </c>
      <c r="F161" s="25">
        <f>15/365</f>
        <v>0.0410958904109589</v>
      </c>
      <c r="G161" s="88">
        <v>0</v>
      </c>
      <c r="H161" s="334">
        <v>0</v>
      </c>
      <c r="I161" s="318">
        <f t="shared" si="46"/>
        <v>0</v>
      </c>
      <c r="J161" s="25">
        <v>0</v>
      </c>
      <c r="K161" s="285">
        <f t="shared" si="47"/>
        <v>0</v>
      </c>
      <c r="L161" s="344">
        <v>0</v>
      </c>
      <c r="M161" s="350">
        <f t="shared" si="48"/>
        <v>0</v>
      </c>
      <c r="N161" s="344">
        <v>0</v>
      </c>
      <c r="O161" s="350">
        <f t="shared" si="49"/>
        <v>0</v>
      </c>
    </row>
    <row r="162" spans="1:15" ht="15" hidden="1" outlineLevel="1">
      <c r="A162" s="156"/>
      <c r="B162" s="156"/>
      <c r="C162" s="156"/>
      <c r="D162" s="77"/>
      <c r="E162" s="77"/>
      <c r="F162" s="77"/>
      <c r="G162" s="77">
        <f aca="true" t="shared" si="50" ref="G162:M162">SUM(G150:G161)</f>
        <v>0</v>
      </c>
      <c r="H162" s="77">
        <f t="shared" si="50"/>
        <v>0</v>
      </c>
      <c r="I162" s="77">
        <f t="shared" si="50"/>
        <v>0</v>
      </c>
      <c r="J162" s="77">
        <f t="shared" si="50"/>
        <v>0</v>
      </c>
      <c r="K162" s="77">
        <f t="shared" si="50"/>
        <v>0</v>
      </c>
      <c r="L162" s="343">
        <f t="shared" si="50"/>
        <v>0</v>
      </c>
      <c r="M162" s="343">
        <f t="shared" si="50"/>
        <v>0</v>
      </c>
      <c r="N162" s="343">
        <f>SUM(N150:N161)</f>
        <v>0</v>
      </c>
      <c r="O162" s="343">
        <f>SUM(O150:O161)</f>
        <v>0</v>
      </c>
    </row>
    <row r="163" spans="1:13" ht="15" hidden="1" outlineLevel="1">
      <c r="A163" s="156"/>
      <c r="B163" s="156"/>
      <c r="C163" s="156"/>
      <c r="D163" s="156"/>
      <c r="E163" s="156"/>
      <c r="F163" s="156"/>
      <c r="L163" s="340"/>
      <c r="M163" s="340"/>
    </row>
    <row r="164" spans="1:15" ht="15" hidden="1" outlineLevel="1">
      <c r="A164" s="280"/>
      <c r="B164" s="280"/>
      <c r="C164" s="280"/>
      <c r="D164" s="280"/>
      <c r="E164" s="280"/>
      <c r="F164" s="280"/>
      <c r="G164" s="280"/>
      <c r="H164" s="280"/>
      <c r="I164" s="280"/>
      <c r="J164" s="280"/>
      <c r="K164" s="280"/>
      <c r="L164" s="345"/>
      <c r="M164" s="345"/>
      <c r="N164" s="345"/>
      <c r="O164" s="345"/>
    </row>
    <row r="165" spans="12:13" ht="15.75" hidden="1" outlineLevel="1" thickBot="1">
      <c r="L165" s="340"/>
      <c r="M165" s="340"/>
    </row>
    <row r="166" spans="1:15" ht="15.75" hidden="1" outlineLevel="1" thickBot="1">
      <c r="A166" s="156"/>
      <c r="B166" s="156"/>
      <c r="C166" s="156"/>
      <c r="D166" s="156"/>
      <c r="E166" s="156"/>
      <c r="F166" s="156"/>
      <c r="G166" s="272" t="s">
        <v>81</v>
      </c>
      <c r="I166" s="272" t="s">
        <v>76</v>
      </c>
      <c r="J166" s="89"/>
      <c r="K166" s="281" t="s">
        <v>82</v>
      </c>
      <c r="L166" s="341"/>
      <c r="M166" s="281" t="s">
        <v>80</v>
      </c>
      <c r="N166" s="341"/>
      <c r="O166" s="281" t="s">
        <v>210</v>
      </c>
    </row>
    <row r="167" spans="1:15" ht="45.75" hidden="1" outlineLevel="1" thickBot="1">
      <c r="A167" s="156"/>
      <c r="B167" s="156"/>
      <c r="C167" s="156"/>
      <c r="D167" s="76" t="s">
        <v>51</v>
      </c>
      <c r="E167" s="76" t="s">
        <v>186</v>
      </c>
      <c r="F167" s="76" t="s">
        <v>79</v>
      </c>
      <c r="G167" s="282" t="s">
        <v>77</v>
      </c>
      <c r="H167" s="282" t="s">
        <v>77</v>
      </c>
      <c r="I167" s="282" t="s">
        <v>78</v>
      </c>
      <c r="J167" s="282" t="s">
        <v>77</v>
      </c>
      <c r="K167" s="282" t="s">
        <v>78</v>
      </c>
      <c r="L167" s="346" t="s">
        <v>77</v>
      </c>
      <c r="M167" s="347" t="s">
        <v>78</v>
      </c>
      <c r="N167" s="346" t="s">
        <v>77</v>
      </c>
      <c r="O167" s="347" t="s">
        <v>78</v>
      </c>
    </row>
    <row r="168" spans="1:15" ht="15" hidden="1" outlineLevel="1">
      <c r="A168" s="156"/>
      <c r="B168" t="s">
        <v>16</v>
      </c>
      <c r="C168" s="156"/>
      <c r="D168" s="274" t="s">
        <v>59</v>
      </c>
      <c r="E168" s="275" t="s">
        <v>174</v>
      </c>
      <c r="F168" s="275">
        <f>349/365</f>
        <v>0.9561643835616438</v>
      </c>
      <c r="G168" s="87"/>
      <c r="H168" s="333"/>
      <c r="I168" s="318">
        <f aca="true" t="shared" si="51" ref="I168:I179">$F168*H168</f>
        <v>0</v>
      </c>
      <c r="J168" s="275">
        <v>4</v>
      </c>
      <c r="K168" s="283">
        <f aca="true" t="shared" si="52" ref="K168:K179">$F168*J168</f>
        <v>3.824657534246575</v>
      </c>
      <c r="L168" s="329">
        <v>0</v>
      </c>
      <c r="M168" s="348">
        <f>$F168*L168</f>
        <v>0</v>
      </c>
      <c r="N168" s="329">
        <v>0</v>
      </c>
      <c r="O168" s="348">
        <f>$F168*N168</f>
        <v>0</v>
      </c>
    </row>
    <row r="169" spans="1:15" ht="15" hidden="1" outlineLevel="1">
      <c r="A169" s="156"/>
      <c r="B169" s="156"/>
      <c r="C169" s="156"/>
      <c r="D169" s="277" t="s">
        <v>60</v>
      </c>
      <c r="E169" s="145" t="s">
        <v>175</v>
      </c>
      <c r="F169" s="145">
        <f>321/365</f>
        <v>0.8794520547945206</v>
      </c>
      <c r="G169" s="86"/>
      <c r="H169" s="325">
        <v>0</v>
      </c>
      <c r="I169" s="318">
        <f t="shared" si="51"/>
        <v>0</v>
      </c>
      <c r="J169" s="145">
        <v>14</v>
      </c>
      <c r="K169" s="284">
        <f t="shared" si="52"/>
        <v>12.312328767123288</v>
      </c>
      <c r="L169" s="328">
        <v>0</v>
      </c>
      <c r="M169" s="349">
        <f>$F169*L169</f>
        <v>0</v>
      </c>
      <c r="N169" s="328">
        <v>0</v>
      </c>
      <c r="O169" s="349">
        <f>$F169*N169</f>
        <v>0</v>
      </c>
    </row>
    <row r="170" spans="1:15" ht="15" hidden="1" outlineLevel="1">
      <c r="A170" s="156"/>
      <c r="B170" s="156"/>
      <c r="C170" s="156"/>
      <c r="D170" s="277" t="s">
        <v>61</v>
      </c>
      <c r="E170" s="145" t="s">
        <v>176</v>
      </c>
      <c r="F170" s="145">
        <f>290/365</f>
        <v>0.7945205479452054</v>
      </c>
      <c r="G170" s="86"/>
      <c r="H170" s="325">
        <v>0</v>
      </c>
      <c r="I170" s="318">
        <f t="shared" si="51"/>
        <v>0</v>
      </c>
      <c r="J170" s="145">
        <v>6</v>
      </c>
      <c r="K170" s="284">
        <f t="shared" si="52"/>
        <v>4.767123287671232</v>
      </c>
      <c r="L170" s="328">
        <v>0</v>
      </c>
      <c r="M170" s="349">
        <f aca="true" t="shared" si="53" ref="M170:M179">$F170*L170</f>
        <v>0</v>
      </c>
      <c r="N170" s="328">
        <v>0</v>
      </c>
      <c r="O170" s="349">
        <f aca="true" t="shared" si="54" ref="O170:O179">$F170*N170</f>
        <v>0</v>
      </c>
    </row>
    <row r="171" spans="1:15" ht="15" hidden="1" outlineLevel="1">
      <c r="A171" s="156"/>
      <c r="B171" s="156"/>
      <c r="C171" s="156"/>
      <c r="D171" s="277" t="s">
        <v>63</v>
      </c>
      <c r="E171" s="145" t="s">
        <v>177</v>
      </c>
      <c r="F171" s="145">
        <f>260/365</f>
        <v>0.7123287671232876</v>
      </c>
      <c r="G171" s="86"/>
      <c r="H171" s="325">
        <v>0</v>
      </c>
      <c r="I171" s="318">
        <f t="shared" si="51"/>
        <v>0</v>
      </c>
      <c r="J171" s="90">
        <v>10</v>
      </c>
      <c r="K171" s="284">
        <f t="shared" si="52"/>
        <v>7.123287671232877</v>
      </c>
      <c r="L171" s="328">
        <v>0</v>
      </c>
      <c r="M171" s="349">
        <f t="shared" si="53"/>
        <v>0</v>
      </c>
      <c r="N171" s="328">
        <v>0</v>
      </c>
      <c r="O171" s="349">
        <f t="shared" si="54"/>
        <v>0</v>
      </c>
    </row>
    <row r="172" spans="1:15" ht="15" hidden="1" outlineLevel="1">
      <c r="A172" s="156"/>
      <c r="B172" s="156"/>
      <c r="C172" s="156"/>
      <c r="D172" s="277" t="s">
        <v>64</v>
      </c>
      <c r="E172" s="145" t="s">
        <v>178</v>
      </c>
      <c r="F172" s="145">
        <f>229/365</f>
        <v>0.6273972602739726</v>
      </c>
      <c r="G172" s="86"/>
      <c r="H172" s="325">
        <v>0</v>
      </c>
      <c r="I172" s="318">
        <f t="shared" si="51"/>
        <v>0</v>
      </c>
      <c r="J172" s="90">
        <v>10</v>
      </c>
      <c r="K172" s="284">
        <f t="shared" si="52"/>
        <v>6.273972602739725</v>
      </c>
      <c r="L172" s="328">
        <v>0</v>
      </c>
      <c r="M172" s="349">
        <f t="shared" si="53"/>
        <v>0</v>
      </c>
      <c r="N172" s="328">
        <v>0</v>
      </c>
      <c r="O172" s="349">
        <f t="shared" si="54"/>
        <v>0</v>
      </c>
    </row>
    <row r="173" spans="1:15" ht="15" hidden="1" outlineLevel="1">
      <c r="A173" s="156"/>
      <c r="B173" s="156"/>
      <c r="C173" s="156"/>
      <c r="D173" s="277" t="s">
        <v>65</v>
      </c>
      <c r="E173" s="145" t="s">
        <v>179</v>
      </c>
      <c r="F173" s="145">
        <f>199/365</f>
        <v>0.5452054794520548</v>
      </c>
      <c r="G173" s="86"/>
      <c r="H173" s="325">
        <v>0</v>
      </c>
      <c r="I173" s="318">
        <f t="shared" si="51"/>
        <v>0</v>
      </c>
      <c r="J173" s="90">
        <v>15</v>
      </c>
      <c r="K173" s="284">
        <f t="shared" si="52"/>
        <v>8.178082191780822</v>
      </c>
      <c r="L173" s="328">
        <v>0</v>
      </c>
      <c r="M173" s="349">
        <f t="shared" si="53"/>
        <v>0</v>
      </c>
      <c r="N173" s="328">
        <v>0</v>
      </c>
      <c r="O173" s="349">
        <f t="shared" si="54"/>
        <v>0</v>
      </c>
    </row>
    <row r="174" spans="1:15" ht="15" hidden="1" outlineLevel="1">
      <c r="A174" s="156"/>
      <c r="B174" s="156"/>
      <c r="C174" s="156"/>
      <c r="D174" s="277" t="s">
        <v>52</v>
      </c>
      <c r="E174" s="145" t="s">
        <v>180</v>
      </c>
      <c r="F174" s="145">
        <f>168/365</f>
        <v>0.4602739726027397</v>
      </c>
      <c r="G174" s="86">
        <v>0</v>
      </c>
      <c r="H174" s="325">
        <v>0</v>
      </c>
      <c r="I174" s="318">
        <f t="shared" si="51"/>
        <v>0</v>
      </c>
      <c r="J174" s="145">
        <v>5</v>
      </c>
      <c r="K174" s="284">
        <f t="shared" si="52"/>
        <v>2.3013698630136985</v>
      </c>
      <c r="L174" s="342">
        <v>0</v>
      </c>
      <c r="M174" s="349">
        <f t="shared" si="53"/>
        <v>0</v>
      </c>
      <c r="N174" s="342">
        <v>0</v>
      </c>
      <c r="O174" s="349">
        <f t="shared" si="54"/>
        <v>0</v>
      </c>
    </row>
    <row r="175" spans="1:15" ht="15" hidden="1" outlineLevel="1">
      <c r="A175" s="156"/>
      <c r="B175" s="156"/>
      <c r="C175" s="156"/>
      <c r="D175" s="277" t="s">
        <v>53</v>
      </c>
      <c r="E175" s="145" t="s">
        <v>181</v>
      </c>
      <c r="F175" s="145">
        <f>137/365</f>
        <v>0.37534246575342467</v>
      </c>
      <c r="G175" s="86">
        <v>0</v>
      </c>
      <c r="H175" s="325">
        <v>0</v>
      </c>
      <c r="I175" s="318">
        <f t="shared" si="51"/>
        <v>0</v>
      </c>
      <c r="J175" s="145">
        <v>4</v>
      </c>
      <c r="K175" s="284">
        <f t="shared" si="52"/>
        <v>1.5013698630136987</v>
      </c>
      <c r="L175" s="342">
        <v>0</v>
      </c>
      <c r="M175" s="349">
        <f t="shared" si="53"/>
        <v>0</v>
      </c>
      <c r="N175" s="342">
        <v>0</v>
      </c>
      <c r="O175" s="349">
        <f t="shared" si="54"/>
        <v>0</v>
      </c>
    </row>
    <row r="176" spans="1:15" ht="15" hidden="1" outlineLevel="1">
      <c r="A176" s="156"/>
      <c r="B176" s="156"/>
      <c r="C176" s="156"/>
      <c r="D176" s="277" t="s">
        <v>54</v>
      </c>
      <c r="E176" s="145" t="s">
        <v>182</v>
      </c>
      <c r="F176" s="145">
        <f>107/365</f>
        <v>0.29315068493150687</v>
      </c>
      <c r="G176" s="86">
        <v>0</v>
      </c>
      <c r="H176" s="325">
        <v>9</v>
      </c>
      <c r="I176" s="318">
        <f t="shared" si="51"/>
        <v>2.638356164383562</v>
      </c>
      <c r="J176" s="145">
        <v>5</v>
      </c>
      <c r="K176" s="284">
        <f t="shared" si="52"/>
        <v>1.4657534246575343</v>
      </c>
      <c r="L176" s="342">
        <v>0</v>
      </c>
      <c r="M176" s="349">
        <f t="shared" si="53"/>
        <v>0</v>
      </c>
      <c r="N176" s="342">
        <v>0</v>
      </c>
      <c r="O176" s="349">
        <f t="shared" si="54"/>
        <v>0</v>
      </c>
    </row>
    <row r="177" spans="1:15" ht="15" hidden="1" outlineLevel="1">
      <c r="A177" s="156"/>
      <c r="B177" s="156"/>
      <c r="C177" s="156"/>
      <c r="D177" s="277" t="s">
        <v>55</v>
      </c>
      <c r="E177" s="145" t="s">
        <v>183</v>
      </c>
      <c r="F177" s="145">
        <f>76/365</f>
        <v>0.20821917808219179</v>
      </c>
      <c r="G177" s="86">
        <v>0</v>
      </c>
      <c r="H177" s="325">
        <v>9</v>
      </c>
      <c r="I177" s="318">
        <f t="shared" si="51"/>
        <v>1.873972602739726</v>
      </c>
      <c r="J177" s="145">
        <v>1</v>
      </c>
      <c r="K177" s="284">
        <f t="shared" si="52"/>
        <v>0.20821917808219179</v>
      </c>
      <c r="L177" s="342">
        <v>0</v>
      </c>
      <c r="M177" s="349">
        <f t="shared" si="53"/>
        <v>0</v>
      </c>
      <c r="N177" s="342">
        <v>0</v>
      </c>
      <c r="O177" s="349">
        <f t="shared" si="54"/>
        <v>0</v>
      </c>
    </row>
    <row r="178" spans="1:15" ht="15" hidden="1" outlineLevel="1">
      <c r="A178" s="156"/>
      <c r="B178" s="156"/>
      <c r="C178" s="156"/>
      <c r="D178" s="277" t="s">
        <v>57</v>
      </c>
      <c r="E178" s="145" t="s">
        <v>184</v>
      </c>
      <c r="F178" s="145">
        <f>46/365</f>
        <v>0.12602739726027398</v>
      </c>
      <c r="G178" s="86">
        <v>0</v>
      </c>
      <c r="H178" s="325">
        <v>13</v>
      </c>
      <c r="I178" s="318">
        <f t="shared" si="51"/>
        <v>1.6383561643835618</v>
      </c>
      <c r="J178" s="145">
        <v>0</v>
      </c>
      <c r="K178" s="284">
        <f t="shared" si="52"/>
        <v>0</v>
      </c>
      <c r="L178" s="342">
        <v>0</v>
      </c>
      <c r="M178" s="349">
        <f t="shared" si="53"/>
        <v>0</v>
      </c>
      <c r="N178" s="342">
        <v>0</v>
      </c>
      <c r="O178" s="349">
        <f t="shared" si="54"/>
        <v>0</v>
      </c>
    </row>
    <row r="179" spans="1:15" ht="15" hidden="1" outlineLevel="1">
      <c r="A179" s="156"/>
      <c r="B179" s="156"/>
      <c r="C179" s="156"/>
      <c r="D179" s="279" t="s">
        <v>58</v>
      </c>
      <c r="E179" s="25" t="s">
        <v>185</v>
      </c>
      <c r="F179" s="25">
        <f>15/365</f>
        <v>0.0410958904109589</v>
      </c>
      <c r="G179" s="88">
        <v>0</v>
      </c>
      <c r="H179" s="334">
        <v>9</v>
      </c>
      <c r="I179" s="318">
        <f t="shared" si="51"/>
        <v>0.3698630136986301</v>
      </c>
      <c r="J179" s="25">
        <v>0</v>
      </c>
      <c r="K179" s="285">
        <f t="shared" si="52"/>
        <v>0</v>
      </c>
      <c r="L179" s="344">
        <v>0</v>
      </c>
      <c r="M179" s="350">
        <f t="shared" si="53"/>
        <v>0</v>
      </c>
      <c r="N179" s="344">
        <v>0</v>
      </c>
      <c r="O179" s="350">
        <f t="shared" si="54"/>
        <v>0</v>
      </c>
    </row>
    <row r="180" spans="1:15" ht="15" hidden="1" outlineLevel="1">
      <c r="A180" s="156"/>
      <c r="B180" s="156"/>
      <c r="C180" s="156"/>
      <c r="D180" s="77"/>
      <c r="E180" s="77"/>
      <c r="F180" s="77"/>
      <c r="G180" s="77">
        <f aca="true" t="shared" si="55" ref="G180:M180">SUM(G168:G179)</f>
        <v>0</v>
      </c>
      <c r="H180" s="77">
        <f t="shared" si="55"/>
        <v>40</v>
      </c>
      <c r="I180" s="77">
        <f t="shared" si="55"/>
        <v>6.52054794520548</v>
      </c>
      <c r="J180" s="77">
        <f t="shared" si="55"/>
        <v>74</v>
      </c>
      <c r="K180" s="77">
        <f t="shared" si="55"/>
        <v>47.95616438356164</v>
      </c>
      <c r="L180" s="343">
        <f t="shared" si="55"/>
        <v>0</v>
      </c>
      <c r="M180" s="343">
        <f t="shared" si="55"/>
        <v>0</v>
      </c>
      <c r="N180" s="343">
        <f>SUM(N168:N179)</f>
        <v>0</v>
      </c>
      <c r="O180" s="343">
        <f>SUM(O168:O179)</f>
        <v>0</v>
      </c>
    </row>
    <row r="181" spans="1:13" ht="15" hidden="1" outlineLevel="1">
      <c r="A181" s="156"/>
      <c r="B181" s="156"/>
      <c r="C181" s="156"/>
      <c r="D181" s="156"/>
      <c r="E181" s="156"/>
      <c r="F181" s="156"/>
      <c r="L181" s="340"/>
      <c r="M181" s="340"/>
    </row>
    <row r="182" spans="1:15" ht="15" hidden="1" outlineLevel="1">
      <c r="A182" s="280"/>
      <c r="B182" s="280"/>
      <c r="C182" s="280"/>
      <c r="D182" s="280"/>
      <c r="E182" s="280"/>
      <c r="F182" s="280"/>
      <c r="G182" s="280"/>
      <c r="H182" s="280"/>
      <c r="I182" s="280"/>
      <c r="J182" s="280"/>
      <c r="K182" s="280"/>
      <c r="L182" s="345"/>
      <c r="M182" s="345"/>
      <c r="N182" s="345"/>
      <c r="O182" s="345"/>
    </row>
    <row r="183" spans="12:13" ht="15.75" hidden="1" outlineLevel="1" thickBot="1">
      <c r="L183" s="340"/>
      <c r="M183" s="340"/>
    </row>
    <row r="184" spans="1:17" ht="15.75" hidden="1" outlineLevel="1" thickBot="1">
      <c r="A184" s="156"/>
      <c r="B184" s="156"/>
      <c r="C184" s="156"/>
      <c r="D184" s="156"/>
      <c r="E184" s="156"/>
      <c r="F184" s="156"/>
      <c r="G184" s="272" t="s">
        <v>81</v>
      </c>
      <c r="I184" s="272" t="s">
        <v>76</v>
      </c>
      <c r="J184" s="89"/>
      <c r="K184" s="281" t="s">
        <v>82</v>
      </c>
      <c r="L184" s="341"/>
      <c r="M184" s="281" t="s">
        <v>80</v>
      </c>
      <c r="N184" s="341"/>
      <c r="O184" s="281" t="s">
        <v>210</v>
      </c>
      <c r="P184" s="341"/>
      <c r="Q184" s="281" t="s">
        <v>240</v>
      </c>
    </row>
    <row r="185" spans="1:17" ht="45.75" hidden="1" outlineLevel="1" thickBot="1">
      <c r="A185" s="156"/>
      <c r="B185" s="156"/>
      <c r="C185" s="156"/>
      <c r="D185" s="76" t="s">
        <v>51</v>
      </c>
      <c r="E185" s="76" t="s">
        <v>186</v>
      </c>
      <c r="F185" s="76" t="s">
        <v>79</v>
      </c>
      <c r="G185" s="282" t="s">
        <v>77</v>
      </c>
      <c r="H185" s="282" t="s">
        <v>77</v>
      </c>
      <c r="I185" s="282" t="s">
        <v>78</v>
      </c>
      <c r="J185" s="282" t="s">
        <v>77</v>
      </c>
      <c r="K185" s="282" t="s">
        <v>78</v>
      </c>
      <c r="L185" s="346" t="s">
        <v>77</v>
      </c>
      <c r="M185" s="347" t="s">
        <v>78</v>
      </c>
      <c r="N185" s="346" t="s">
        <v>77</v>
      </c>
      <c r="O185" s="347" t="s">
        <v>78</v>
      </c>
      <c r="P185" s="346" t="s">
        <v>77</v>
      </c>
      <c r="Q185" s="347" t="s">
        <v>78</v>
      </c>
    </row>
    <row r="186" spans="1:17" ht="15" hidden="1" outlineLevel="1">
      <c r="A186" s="156"/>
      <c r="B186" t="s">
        <v>18</v>
      </c>
      <c r="C186" s="156"/>
      <c r="D186" s="274" t="s">
        <v>59</v>
      </c>
      <c r="E186" s="275" t="s">
        <v>174</v>
      </c>
      <c r="F186" s="275">
        <f>349/365</f>
        <v>0.9561643835616438</v>
      </c>
      <c r="G186" s="87"/>
      <c r="H186" s="333">
        <v>0</v>
      </c>
      <c r="I186" s="318">
        <f aca="true" t="shared" si="56" ref="I186:I197">$F186*H186</f>
        <v>0</v>
      </c>
      <c r="J186" s="275">
        <v>2</v>
      </c>
      <c r="K186" s="283">
        <f aca="true" t="shared" si="57" ref="K186:K197">$F186*J186</f>
        <v>1.9123287671232876</v>
      </c>
      <c r="L186" s="329">
        <v>2</v>
      </c>
      <c r="M186" s="348">
        <f>$F186*L186</f>
        <v>1.9123287671232876</v>
      </c>
      <c r="N186" s="329">
        <v>0</v>
      </c>
      <c r="O186" s="348">
        <f>$F186*N186</f>
        <v>0</v>
      </c>
      <c r="P186" s="329">
        <v>0</v>
      </c>
      <c r="Q186" s="348">
        <f>$F186*P186</f>
        <v>0</v>
      </c>
    </row>
    <row r="187" spans="1:17" ht="15" hidden="1" outlineLevel="1">
      <c r="A187" s="156"/>
      <c r="B187" s="156"/>
      <c r="C187" s="156"/>
      <c r="D187" s="277" t="s">
        <v>60</v>
      </c>
      <c r="E187" s="145" t="s">
        <v>175</v>
      </c>
      <c r="F187" s="145">
        <f>321/365</f>
        <v>0.8794520547945206</v>
      </c>
      <c r="G187" s="86"/>
      <c r="H187" s="325">
        <v>1</v>
      </c>
      <c r="I187" s="318">
        <f t="shared" si="56"/>
        <v>0.8794520547945206</v>
      </c>
      <c r="J187" s="145">
        <v>0</v>
      </c>
      <c r="K187" s="284">
        <f t="shared" si="57"/>
        <v>0</v>
      </c>
      <c r="L187" s="328">
        <v>1</v>
      </c>
      <c r="M187" s="349">
        <f>$F187*L187</f>
        <v>0.8794520547945206</v>
      </c>
      <c r="N187" s="328">
        <v>0</v>
      </c>
      <c r="O187" s="349">
        <f>$F187*N187</f>
        <v>0</v>
      </c>
      <c r="P187" s="328">
        <v>0</v>
      </c>
      <c r="Q187" s="349">
        <f>$F187*P187</f>
        <v>0</v>
      </c>
    </row>
    <row r="188" spans="1:17" ht="15" hidden="1" outlineLevel="1">
      <c r="A188" s="156"/>
      <c r="B188" s="156"/>
      <c r="C188" s="156"/>
      <c r="D188" s="277" t="s">
        <v>61</v>
      </c>
      <c r="E188" s="145" t="s">
        <v>176</v>
      </c>
      <c r="F188" s="145">
        <f>290/365</f>
        <v>0.7945205479452054</v>
      </c>
      <c r="G188" s="86"/>
      <c r="H188" s="325">
        <v>1</v>
      </c>
      <c r="I188" s="318">
        <f t="shared" si="56"/>
        <v>0.7945205479452054</v>
      </c>
      <c r="J188" s="145">
        <v>0</v>
      </c>
      <c r="K188" s="284">
        <f t="shared" si="57"/>
        <v>0</v>
      </c>
      <c r="L188" s="328">
        <v>3</v>
      </c>
      <c r="M188" s="349">
        <f aca="true" t="shared" si="58" ref="M188:M197">$F188*L188</f>
        <v>2.383561643835616</v>
      </c>
      <c r="N188" s="328">
        <v>0</v>
      </c>
      <c r="O188" s="349">
        <f aca="true" t="shared" si="59" ref="O188:O197">$F188*N188</f>
        <v>0</v>
      </c>
      <c r="P188" s="328">
        <v>0</v>
      </c>
      <c r="Q188" s="349">
        <f aca="true" t="shared" si="60" ref="Q188:Q197">$F188*P188</f>
        <v>0</v>
      </c>
    </row>
    <row r="189" spans="1:17" ht="15" hidden="1" outlineLevel="1">
      <c r="A189" s="156"/>
      <c r="B189" s="156"/>
      <c r="C189" s="156"/>
      <c r="D189" s="277" t="s">
        <v>63</v>
      </c>
      <c r="E189" s="145" t="s">
        <v>177</v>
      </c>
      <c r="F189" s="145">
        <f>260/365</f>
        <v>0.7123287671232876</v>
      </c>
      <c r="G189" s="86"/>
      <c r="H189" s="325">
        <v>1</v>
      </c>
      <c r="I189" s="318">
        <f t="shared" si="56"/>
        <v>0.7123287671232876</v>
      </c>
      <c r="J189" s="145">
        <v>0</v>
      </c>
      <c r="K189" s="284">
        <f t="shared" si="57"/>
        <v>0</v>
      </c>
      <c r="L189" s="328">
        <v>4</v>
      </c>
      <c r="M189" s="349">
        <f t="shared" si="58"/>
        <v>2.8493150684931505</v>
      </c>
      <c r="N189" s="328">
        <v>0</v>
      </c>
      <c r="O189" s="349">
        <f t="shared" si="59"/>
        <v>0</v>
      </c>
      <c r="P189" s="328">
        <v>0</v>
      </c>
      <c r="Q189" s="349">
        <f t="shared" si="60"/>
        <v>0</v>
      </c>
    </row>
    <row r="190" spans="1:17" ht="15" hidden="1" outlineLevel="1">
      <c r="A190" s="156"/>
      <c r="B190" s="156"/>
      <c r="C190" s="156"/>
      <c r="D190" s="277" t="s">
        <v>64</v>
      </c>
      <c r="E190" s="145" t="s">
        <v>178</v>
      </c>
      <c r="F190" s="145">
        <f>229/365</f>
        <v>0.6273972602739726</v>
      </c>
      <c r="G190" s="86"/>
      <c r="H190" s="325">
        <v>0</v>
      </c>
      <c r="I190" s="318">
        <f t="shared" si="56"/>
        <v>0</v>
      </c>
      <c r="J190" s="90">
        <v>0</v>
      </c>
      <c r="K190" s="284">
        <f t="shared" si="57"/>
        <v>0</v>
      </c>
      <c r="L190" s="328">
        <v>1</v>
      </c>
      <c r="M190" s="349">
        <f t="shared" si="58"/>
        <v>0.6273972602739726</v>
      </c>
      <c r="N190" s="328">
        <v>0</v>
      </c>
      <c r="O190" s="349">
        <f t="shared" si="59"/>
        <v>0</v>
      </c>
      <c r="P190" s="328">
        <v>0</v>
      </c>
      <c r="Q190" s="349">
        <f t="shared" si="60"/>
        <v>0</v>
      </c>
    </row>
    <row r="191" spans="1:17" ht="15" hidden="1" outlineLevel="1">
      <c r="A191" s="156"/>
      <c r="B191" s="156"/>
      <c r="C191" s="156"/>
      <c r="D191" s="277" t="s">
        <v>65</v>
      </c>
      <c r="E191" s="145" t="s">
        <v>179</v>
      </c>
      <c r="F191" s="145">
        <f>199/365</f>
        <v>0.5452054794520548</v>
      </c>
      <c r="G191" s="86"/>
      <c r="H191" s="325">
        <v>1</v>
      </c>
      <c r="I191" s="318">
        <f t="shared" si="56"/>
        <v>0.5452054794520548</v>
      </c>
      <c r="J191" s="145">
        <v>2</v>
      </c>
      <c r="K191" s="284">
        <f t="shared" si="57"/>
        <v>1.0904109589041096</v>
      </c>
      <c r="L191" s="328">
        <v>0</v>
      </c>
      <c r="M191" s="349">
        <f t="shared" si="58"/>
        <v>0</v>
      </c>
      <c r="N191" s="328">
        <v>0</v>
      </c>
      <c r="O191" s="349">
        <f t="shared" si="59"/>
        <v>0</v>
      </c>
      <c r="P191" s="328">
        <v>0</v>
      </c>
      <c r="Q191" s="349">
        <f t="shared" si="60"/>
        <v>0</v>
      </c>
    </row>
    <row r="192" spans="1:17" ht="15" hidden="1" outlineLevel="1">
      <c r="A192" s="156"/>
      <c r="B192" s="156"/>
      <c r="C192" s="156"/>
      <c r="D192" s="277" t="s">
        <v>52</v>
      </c>
      <c r="E192" s="145" t="s">
        <v>180</v>
      </c>
      <c r="F192" s="145">
        <f>168/365</f>
        <v>0.4602739726027397</v>
      </c>
      <c r="G192" s="86">
        <v>0</v>
      </c>
      <c r="H192" s="325">
        <v>0</v>
      </c>
      <c r="I192" s="318">
        <f t="shared" si="56"/>
        <v>0</v>
      </c>
      <c r="J192" s="145">
        <v>4</v>
      </c>
      <c r="K192" s="284">
        <f t="shared" si="57"/>
        <v>1.841095890410959</v>
      </c>
      <c r="L192" s="342">
        <v>0</v>
      </c>
      <c r="M192" s="349">
        <f t="shared" si="58"/>
        <v>0</v>
      </c>
      <c r="N192" s="342">
        <v>0</v>
      </c>
      <c r="O192" s="349">
        <f t="shared" si="59"/>
        <v>0</v>
      </c>
      <c r="P192" s="342">
        <v>0</v>
      </c>
      <c r="Q192" s="349">
        <f t="shared" si="60"/>
        <v>0</v>
      </c>
    </row>
    <row r="193" spans="1:17" ht="15" hidden="1" outlineLevel="1">
      <c r="A193" s="156"/>
      <c r="B193" s="156"/>
      <c r="C193" s="156"/>
      <c r="D193" s="277" t="s">
        <v>53</v>
      </c>
      <c r="E193" s="145" t="s">
        <v>181</v>
      </c>
      <c r="F193" s="145">
        <f>137/365</f>
        <v>0.37534246575342467</v>
      </c>
      <c r="G193" s="86">
        <v>0</v>
      </c>
      <c r="H193" s="325">
        <v>3</v>
      </c>
      <c r="I193" s="318">
        <f t="shared" si="56"/>
        <v>1.1260273972602741</v>
      </c>
      <c r="J193" s="145">
        <v>3</v>
      </c>
      <c r="K193" s="284">
        <f t="shared" si="57"/>
        <v>1.1260273972602741</v>
      </c>
      <c r="L193" s="342">
        <v>0</v>
      </c>
      <c r="M193" s="349">
        <f t="shared" si="58"/>
        <v>0</v>
      </c>
      <c r="N193" s="342">
        <v>0</v>
      </c>
      <c r="O193" s="349">
        <f t="shared" si="59"/>
        <v>0</v>
      </c>
      <c r="P193" s="342">
        <v>0</v>
      </c>
      <c r="Q193" s="349">
        <f t="shared" si="60"/>
        <v>0</v>
      </c>
    </row>
    <row r="194" spans="1:17" ht="15" hidden="1" outlineLevel="1">
      <c r="A194" s="156"/>
      <c r="B194" s="156"/>
      <c r="C194" s="156"/>
      <c r="D194" s="277" t="s">
        <v>54</v>
      </c>
      <c r="E194" s="145" t="s">
        <v>182</v>
      </c>
      <c r="F194" s="145">
        <f>107/365</f>
        <v>0.29315068493150687</v>
      </c>
      <c r="G194" s="86">
        <v>0</v>
      </c>
      <c r="H194" s="325">
        <v>1</v>
      </c>
      <c r="I194" s="318">
        <f t="shared" si="56"/>
        <v>0.29315068493150687</v>
      </c>
      <c r="J194" s="145">
        <v>0</v>
      </c>
      <c r="K194" s="284">
        <f t="shared" si="57"/>
        <v>0</v>
      </c>
      <c r="L194" s="342">
        <v>0</v>
      </c>
      <c r="M194" s="349">
        <f t="shared" si="58"/>
        <v>0</v>
      </c>
      <c r="N194" s="342">
        <v>0</v>
      </c>
      <c r="O194" s="349">
        <f t="shared" si="59"/>
        <v>0</v>
      </c>
      <c r="P194" s="342">
        <v>0</v>
      </c>
      <c r="Q194" s="349">
        <f t="shared" si="60"/>
        <v>0</v>
      </c>
    </row>
    <row r="195" spans="1:17" ht="15" hidden="1" outlineLevel="1">
      <c r="A195" s="156"/>
      <c r="B195" s="156"/>
      <c r="C195" s="156"/>
      <c r="D195" s="277" t="s">
        <v>55</v>
      </c>
      <c r="E195" s="145" t="s">
        <v>183</v>
      </c>
      <c r="F195" s="145">
        <f>76/365</f>
        <v>0.20821917808219179</v>
      </c>
      <c r="G195" s="86">
        <v>0</v>
      </c>
      <c r="H195" s="325">
        <v>1</v>
      </c>
      <c r="I195" s="318">
        <f t="shared" si="56"/>
        <v>0.20821917808219179</v>
      </c>
      <c r="J195" s="145">
        <v>0</v>
      </c>
      <c r="K195" s="284">
        <f t="shared" si="57"/>
        <v>0</v>
      </c>
      <c r="L195" s="342">
        <v>0</v>
      </c>
      <c r="M195" s="349">
        <f t="shared" si="58"/>
        <v>0</v>
      </c>
      <c r="N195" s="342">
        <v>0</v>
      </c>
      <c r="O195" s="349">
        <f t="shared" si="59"/>
        <v>0</v>
      </c>
      <c r="P195" s="342">
        <v>0</v>
      </c>
      <c r="Q195" s="349">
        <f t="shared" si="60"/>
        <v>0</v>
      </c>
    </row>
    <row r="196" spans="1:17" ht="15" hidden="1" outlineLevel="1">
      <c r="A196" s="156"/>
      <c r="B196" s="156"/>
      <c r="C196" s="156"/>
      <c r="D196" s="277" t="s">
        <v>57</v>
      </c>
      <c r="E196" s="145" t="s">
        <v>184</v>
      </c>
      <c r="F196" s="145">
        <f>46/365</f>
        <v>0.12602739726027398</v>
      </c>
      <c r="G196" s="86">
        <v>0</v>
      </c>
      <c r="H196" s="325">
        <v>3</v>
      </c>
      <c r="I196" s="318">
        <f t="shared" si="56"/>
        <v>0.3780821917808219</v>
      </c>
      <c r="J196" s="145">
        <v>0</v>
      </c>
      <c r="K196" s="284">
        <f t="shared" si="57"/>
        <v>0</v>
      </c>
      <c r="L196" s="342">
        <v>0</v>
      </c>
      <c r="M196" s="349">
        <f t="shared" si="58"/>
        <v>0</v>
      </c>
      <c r="N196" s="342">
        <v>0</v>
      </c>
      <c r="O196" s="349">
        <f t="shared" si="59"/>
        <v>0</v>
      </c>
      <c r="P196" s="342">
        <v>0</v>
      </c>
      <c r="Q196" s="349">
        <f t="shared" si="60"/>
        <v>0</v>
      </c>
    </row>
    <row r="197" spans="1:17" ht="15" hidden="1" outlineLevel="1">
      <c r="A197" s="156"/>
      <c r="B197" s="156"/>
      <c r="C197" s="156"/>
      <c r="D197" s="279" t="s">
        <v>58</v>
      </c>
      <c r="E197" s="25" t="s">
        <v>185</v>
      </c>
      <c r="F197" s="25">
        <f>15/365</f>
        <v>0.0410958904109589</v>
      </c>
      <c r="G197" s="88">
        <v>0</v>
      </c>
      <c r="H197" s="334">
        <v>1</v>
      </c>
      <c r="I197" s="318">
        <f t="shared" si="56"/>
        <v>0.0410958904109589</v>
      </c>
      <c r="J197" s="25">
        <v>0</v>
      </c>
      <c r="K197" s="285">
        <f t="shared" si="57"/>
        <v>0</v>
      </c>
      <c r="L197" s="344">
        <v>0</v>
      </c>
      <c r="M197" s="350">
        <f t="shared" si="58"/>
        <v>0</v>
      </c>
      <c r="N197" s="344">
        <v>0</v>
      </c>
      <c r="O197" s="350">
        <f t="shared" si="59"/>
        <v>0</v>
      </c>
      <c r="P197" s="344">
        <v>0</v>
      </c>
      <c r="Q197" s="350">
        <f t="shared" si="60"/>
        <v>0</v>
      </c>
    </row>
    <row r="198" spans="1:17" ht="15" hidden="1" outlineLevel="1">
      <c r="A198" s="156"/>
      <c r="B198" s="156"/>
      <c r="C198" s="156"/>
      <c r="D198" s="77"/>
      <c r="E198" s="77"/>
      <c r="F198" s="77"/>
      <c r="G198" s="77">
        <f aca="true" t="shared" si="61" ref="G198:M198">SUM(G186:G197)</f>
        <v>0</v>
      </c>
      <c r="H198" s="77">
        <f t="shared" si="61"/>
        <v>13</v>
      </c>
      <c r="I198" s="77">
        <f t="shared" si="61"/>
        <v>4.97808219178082</v>
      </c>
      <c r="J198" s="77">
        <f t="shared" si="61"/>
        <v>11</v>
      </c>
      <c r="K198" s="77">
        <f t="shared" si="61"/>
        <v>5.969863013698631</v>
      </c>
      <c r="L198" s="343">
        <f t="shared" si="61"/>
        <v>11</v>
      </c>
      <c r="M198" s="343">
        <f t="shared" si="61"/>
        <v>8.652054794520549</v>
      </c>
      <c r="N198" s="343">
        <f>SUM(N186:N197)</f>
        <v>0</v>
      </c>
      <c r="O198" s="343">
        <f>SUM(O186:O197)</f>
        <v>0</v>
      </c>
      <c r="P198" s="343">
        <f>SUM(P186:P197)</f>
        <v>0</v>
      </c>
      <c r="Q198" s="343">
        <f>SUM(Q186:Q197)</f>
        <v>0</v>
      </c>
    </row>
    <row r="199" spans="1:13" ht="15" hidden="1" outlineLevel="1">
      <c r="A199" s="156"/>
      <c r="B199" s="156"/>
      <c r="C199" s="156"/>
      <c r="D199" s="156"/>
      <c r="E199" s="156"/>
      <c r="F199" s="156"/>
      <c r="L199" s="340"/>
      <c r="M199" s="340"/>
    </row>
    <row r="200" spans="1:15" ht="15" hidden="1" outlineLevel="1">
      <c r="A200" s="280"/>
      <c r="B200" s="280"/>
      <c r="C200" s="280"/>
      <c r="D200" s="280"/>
      <c r="E200" s="280"/>
      <c r="F200" s="280"/>
      <c r="G200" s="280"/>
      <c r="H200" s="280"/>
      <c r="I200" s="280"/>
      <c r="J200" s="280"/>
      <c r="K200" s="280"/>
      <c r="L200" s="345"/>
      <c r="M200" s="345"/>
      <c r="N200" s="345"/>
      <c r="O200" s="345"/>
    </row>
    <row r="201" spans="12:13" ht="15.75" hidden="1" outlineLevel="1" thickBot="1">
      <c r="L201" s="340"/>
      <c r="M201" s="340"/>
    </row>
    <row r="202" spans="1:15" ht="15.75" hidden="1" outlineLevel="1" thickBot="1">
      <c r="A202" s="156"/>
      <c r="B202" s="156"/>
      <c r="C202" s="156"/>
      <c r="D202" s="156"/>
      <c r="E202" s="156"/>
      <c r="F202" s="156"/>
      <c r="G202" s="272" t="s">
        <v>81</v>
      </c>
      <c r="I202" s="272" t="s">
        <v>76</v>
      </c>
      <c r="J202" s="89"/>
      <c r="K202" s="281" t="s">
        <v>82</v>
      </c>
      <c r="L202" s="341"/>
      <c r="M202" s="281" t="s">
        <v>80</v>
      </c>
      <c r="N202" s="341"/>
      <c r="O202" s="281" t="s">
        <v>210</v>
      </c>
    </row>
    <row r="203" spans="1:15" ht="45.75" hidden="1" outlineLevel="1" thickBot="1">
      <c r="A203" s="156"/>
      <c r="B203" s="156"/>
      <c r="C203" s="156"/>
      <c r="D203" s="76" t="s">
        <v>51</v>
      </c>
      <c r="E203" s="76" t="s">
        <v>186</v>
      </c>
      <c r="F203" s="76" t="s">
        <v>79</v>
      </c>
      <c r="G203" s="282" t="s">
        <v>77</v>
      </c>
      <c r="H203" s="282" t="s">
        <v>77</v>
      </c>
      <c r="I203" s="282" t="s">
        <v>78</v>
      </c>
      <c r="J203" s="282" t="s">
        <v>77</v>
      </c>
      <c r="K203" s="282" t="s">
        <v>78</v>
      </c>
      <c r="L203" s="346" t="s">
        <v>77</v>
      </c>
      <c r="M203" s="347" t="s">
        <v>78</v>
      </c>
      <c r="N203" s="346" t="s">
        <v>77</v>
      </c>
      <c r="O203" s="347" t="s">
        <v>78</v>
      </c>
    </row>
    <row r="204" spans="1:15" ht="15" hidden="1" outlineLevel="1">
      <c r="A204" s="156"/>
      <c r="B204" t="s">
        <v>19</v>
      </c>
      <c r="C204" s="156"/>
      <c r="D204" s="274" t="s">
        <v>59</v>
      </c>
      <c r="E204" s="275" t="s">
        <v>174</v>
      </c>
      <c r="F204" s="275">
        <f>349/365</f>
        <v>0.9561643835616438</v>
      </c>
      <c r="G204" s="87"/>
      <c r="H204" s="333">
        <v>0</v>
      </c>
      <c r="I204" s="318">
        <f aca="true" t="shared" si="62" ref="I204:I215">$F204*H204</f>
        <v>0</v>
      </c>
      <c r="J204" s="275">
        <v>0</v>
      </c>
      <c r="K204" s="283">
        <f aca="true" t="shared" si="63" ref="K204:K215">$F204*J204</f>
        <v>0</v>
      </c>
      <c r="L204" s="329">
        <v>0</v>
      </c>
      <c r="M204" s="348">
        <f>$F204*L204</f>
        <v>0</v>
      </c>
      <c r="N204" s="329">
        <v>0</v>
      </c>
      <c r="O204" s="348">
        <f>$F204*N204</f>
        <v>0</v>
      </c>
    </row>
    <row r="205" spans="1:15" ht="15" hidden="1" outlineLevel="1">
      <c r="A205" s="156"/>
      <c r="B205" s="156"/>
      <c r="C205" s="156"/>
      <c r="D205" s="277" t="s">
        <v>60</v>
      </c>
      <c r="E205" s="145" t="s">
        <v>175</v>
      </c>
      <c r="F205" s="145">
        <f>321/365</f>
        <v>0.8794520547945206</v>
      </c>
      <c r="G205" s="86"/>
      <c r="H205" s="325">
        <v>0</v>
      </c>
      <c r="I205" s="318">
        <f t="shared" si="62"/>
        <v>0</v>
      </c>
      <c r="J205" s="145">
        <v>0</v>
      </c>
      <c r="K205" s="284">
        <f t="shared" si="63"/>
        <v>0</v>
      </c>
      <c r="L205" s="328">
        <v>0</v>
      </c>
      <c r="M205" s="349">
        <f>$F205*L205</f>
        <v>0</v>
      </c>
      <c r="N205" s="328">
        <v>0</v>
      </c>
      <c r="O205" s="349">
        <f>$F205*N205</f>
        <v>0</v>
      </c>
    </row>
    <row r="206" spans="1:15" ht="15" hidden="1" outlineLevel="1">
      <c r="A206" s="156"/>
      <c r="B206" s="156"/>
      <c r="C206" s="156"/>
      <c r="D206" s="277" t="s">
        <v>61</v>
      </c>
      <c r="E206" s="145" t="s">
        <v>176</v>
      </c>
      <c r="F206" s="145">
        <f>290/365</f>
        <v>0.7945205479452054</v>
      </c>
      <c r="G206" s="86"/>
      <c r="H206" s="325">
        <v>0</v>
      </c>
      <c r="I206" s="318">
        <f t="shared" si="62"/>
        <v>0</v>
      </c>
      <c r="J206" s="145">
        <v>0</v>
      </c>
      <c r="K206" s="284">
        <f t="shared" si="63"/>
        <v>0</v>
      </c>
      <c r="L206" s="328">
        <v>0</v>
      </c>
      <c r="M206" s="349">
        <f aca="true" t="shared" si="64" ref="M206:M215">$F206*L206</f>
        <v>0</v>
      </c>
      <c r="N206" s="328">
        <v>0</v>
      </c>
      <c r="O206" s="349">
        <f aca="true" t="shared" si="65" ref="O206:O215">$F206*N206</f>
        <v>0</v>
      </c>
    </row>
    <row r="207" spans="1:15" ht="15" hidden="1" outlineLevel="1">
      <c r="A207" s="156"/>
      <c r="B207" s="156"/>
      <c r="C207" s="156"/>
      <c r="D207" s="277" t="s">
        <v>63</v>
      </c>
      <c r="E207" s="145" t="s">
        <v>177</v>
      </c>
      <c r="F207" s="145">
        <f>260/365</f>
        <v>0.7123287671232876</v>
      </c>
      <c r="G207" s="86"/>
      <c r="H207" s="325">
        <v>0</v>
      </c>
      <c r="I207" s="318">
        <f t="shared" si="62"/>
        <v>0</v>
      </c>
      <c r="J207" s="90">
        <v>0</v>
      </c>
      <c r="K207" s="284">
        <f t="shared" si="63"/>
        <v>0</v>
      </c>
      <c r="L207" s="328">
        <v>0</v>
      </c>
      <c r="M207" s="349">
        <f t="shared" si="64"/>
        <v>0</v>
      </c>
      <c r="N207" s="328">
        <v>0</v>
      </c>
      <c r="O207" s="349">
        <f t="shared" si="65"/>
        <v>0</v>
      </c>
    </row>
    <row r="208" spans="1:15" ht="15" hidden="1" outlineLevel="1">
      <c r="A208" s="156"/>
      <c r="B208" s="156"/>
      <c r="C208" s="156"/>
      <c r="D208" s="277" t="s">
        <v>64</v>
      </c>
      <c r="E208" s="145" t="s">
        <v>178</v>
      </c>
      <c r="F208" s="145">
        <f>229/365</f>
        <v>0.6273972602739726</v>
      </c>
      <c r="G208" s="86"/>
      <c r="H208" s="325">
        <v>0</v>
      </c>
      <c r="I208" s="318">
        <f t="shared" si="62"/>
        <v>0</v>
      </c>
      <c r="J208" s="90">
        <v>0</v>
      </c>
      <c r="K208" s="284">
        <f t="shared" si="63"/>
        <v>0</v>
      </c>
      <c r="L208" s="328">
        <v>0</v>
      </c>
      <c r="M208" s="349">
        <f t="shared" si="64"/>
        <v>0</v>
      </c>
      <c r="N208" s="328">
        <v>0</v>
      </c>
      <c r="O208" s="349">
        <f t="shared" si="65"/>
        <v>0</v>
      </c>
    </row>
    <row r="209" spans="1:15" ht="15" hidden="1" outlineLevel="1">
      <c r="A209" s="156"/>
      <c r="B209" s="156"/>
      <c r="C209" s="156"/>
      <c r="D209" s="277" t="s">
        <v>65</v>
      </c>
      <c r="E209" s="145" t="s">
        <v>179</v>
      </c>
      <c r="F209" s="145">
        <f>199/365</f>
        <v>0.5452054794520548</v>
      </c>
      <c r="G209" s="86"/>
      <c r="H209" s="325">
        <v>0</v>
      </c>
      <c r="I209" s="318">
        <f t="shared" si="62"/>
        <v>0</v>
      </c>
      <c r="J209" s="90">
        <v>0</v>
      </c>
      <c r="K209" s="284">
        <f t="shared" si="63"/>
        <v>0</v>
      </c>
      <c r="L209" s="328">
        <v>0</v>
      </c>
      <c r="M209" s="349">
        <f t="shared" si="64"/>
        <v>0</v>
      </c>
      <c r="N209" s="328">
        <v>0</v>
      </c>
      <c r="O209" s="349">
        <f t="shared" si="65"/>
        <v>0</v>
      </c>
    </row>
    <row r="210" spans="1:15" ht="15" hidden="1" outlineLevel="1">
      <c r="A210" s="156"/>
      <c r="B210" s="156"/>
      <c r="C210" s="156"/>
      <c r="D210" s="277" t="s">
        <v>52</v>
      </c>
      <c r="E210" s="145" t="s">
        <v>180</v>
      </c>
      <c r="F210" s="145">
        <f>168/365</f>
        <v>0.4602739726027397</v>
      </c>
      <c r="G210" s="86">
        <v>0</v>
      </c>
      <c r="H210" s="325">
        <v>0</v>
      </c>
      <c r="I210" s="318">
        <f t="shared" si="62"/>
        <v>0</v>
      </c>
      <c r="J210" s="90">
        <v>0</v>
      </c>
      <c r="K210" s="284">
        <f t="shared" si="63"/>
        <v>0</v>
      </c>
      <c r="L210" s="342">
        <v>0</v>
      </c>
      <c r="M210" s="349">
        <f t="shared" si="64"/>
        <v>0</v>
      </c>
      <c r="N210" s="342">
        <v>0</v>
      </c>
      <c r="O210" s="349">
        <f t="shared" si="65"/>
        <v>0</v>
      </c>
    </row>
    <row r="211" spans="1:15" ht="15" hidden="1" outlineLevel="1">
      <c r="A211" s="156"/>
      <c r="B211" s="156"/>
      <c r="C211" s="156"/>
      <c r="D211" s="277" t="s">
        <v>53</v>
      </c>
      <c r="E211" s="145" t="s">
        <v>181</v>
      </c>
      <c r="F211" s="145">
        <f>137/365</f>
        <v>0.37534246575342467</v>
      </c>
      <c r="G211" s="86">
        <v>0</v>
      </c>
      <c r="H211" s="325">
        <v>0</v>
      </c>
      <c r="I211" s="318">
        <f t="shared" si="62"/>
        <v>0</v>
      </c>
      <c r="J211" s="90">
        <v>0</v>
      </c>
      <c r="K211" s="284">
        <f t="shared" si="63"/>
        <v>0</v>
      </c>
      <c r="L211" s="342">
        <v>0</v>
      </c>
      <c r="M211" s="349">
        <f t="shared" si="64"/>
        <v>0</v>
      </c>
      <c r="N211" s="342">
        <v>0</v>
      </c>
      <c r="O211" s="349">
        <f t="shared" si="65"/>
        <v>0</v>
      </c>
    </row>
    <row r="212" spans="1:15" ht="15" hidden="1" outlineLevel="1">
      <c r="A212" s="156"/>
      <c r="B212" s="156"/>
      <c r="C212" s="156"/>
      <c r="D212" s="277" t="s">
        <v>54</v>
      </c>
      <c r="E212" s="145" t="s">
        <v>182</v>
      </c>
      <c r="F212" s="145">
        <f>107/365</f>
        <v>0.29315068493150687</v>
      </c>
      <c r="G212" s="86">
        <v>0</v>
      </c>
      <c r="H212" s="325">
        <v>0</v>
      </c>
      <c r="I212" s="318">
        <f t="shared" si="62"/>
        <v>0</v>
      </c>
      <c r="J212" s="90">
        <v>0</v>
      </c>
      <c r="K212" s="284">
        <f t="shared" si="63"/>
        <v>0</v>
      </c>
      <c r="L212" s="342">
        <v>0</v>
      </c>
      <c r="M212" s="349">
        <f t="shared" si="64"/>
        <v>0</v>
      </c>
      <c r="N212" s="342">
        <v>0</v>
      </c>
      <c r="O212" s="349">
        <f t="shared" si="65"/>
        <v>0</v>
      </c>
    </row>
    <row r="213" spans="1:15" ht="15" hidden="1" outlineLevel="1">
      <c r="A213" s="156"/>
      <c r="B213" s="156"/>
      <c r="C213" s="156"/>
      <c r="D213" s="277" t="s">
        <v>55</v>
      </c>
      <c r="E213" s="145" t="s">
        <v>183</v>
      </c>
      <c r="F213" s="145">
        <f>76/365</f>
        <v>0.20821917808219179</v>
      </c>
      <c r="G213" s="86">
        <v>0</v>
      </c>
      <c r="H213" s="325">
        <v>0</v>
      </c>
      <c r="I213" s="318">
        <f t="shared" si="62"/>
        <v>0</v>
      </c>
      <c r="J213" s="90">
        <v>0</v>
      </c>
      <c r="K213" s="284">
        <f t="shared" si="63"/>
        <v>0</v>
      </c>
      <c r="L213" s="342">
        <v>0</v>
      </c>
      <c r="M213" s="349">
        <f t="shared" si="64"/>
        <v>0</v>
      </c>
      <c r="N213" s="342">
        <v>0</v>
      </c>
      <c r="O213" s="349">
        <f t="shared" si="65"/>
        <v>0</v>
      </c>
    </row>
    <row r="214" spans="1:15" ht="15" hidden="1" outlineLevel="1">
      <c r="A214" s="156"/>
      <c r="B214" s="156"/>
      <c r="C214" s="156"/>
      <c r="D214" s="277" t="s">
        <v>57</v>
      </c>
      <c r="E214" s="145" t="s">
        <v>184</v>
      </c>
      <c r="F214" s="145">
        <f>46/365</f>
        <v>0.12602739726027398</v>
      </c>
      <c r="G214" s="86">
        <v>0</v>
      </c>
      <c r="H214" s="325">
        <v>0</v>
      </c>
      <c r="I214" s="318">
        <f t="shared" si="62"/>
        <v>0</v>
      </c>
      <c r="J214" s="90">
        <v>0</v>
      </c>
      <c r="K214" s="284">
        <f t="shared" si="63"/>
        <v>0</v>
      </c>
      <c r="L214" s="342">
        <v>0</v>
      </c>
      <c r="M214" s="349">
        <f t="shared" si="64"/>
        <v>0</v>
      </c>
      <c r="N214" s="342">
        <v>0</v>
      </c>
      <c r="O214" s="349">
        <f t="shared" si="65"/>
        <v>0</v>
      </c>
    </row>
    <row r="215" spans="1:15" ht="15" hidden="1" outlineLevel="1">
      <c r="A215" s="156"/>
      <c r="B215" s="156"/>
      <c r="C215" s="156"/>
      <c r="D215" s="279" t="s">
        <v>58</v>
      </c>
      <c r="E215" s="25" t="s">
        <v>185</v>
      </c>
      <c r="F215" s="25">
        <f>15/365</f>
        <v>0.0410958904109589</v>
      </c>
      <c r="G215" s="88">
        <v>0</v>
      </c>
      <c r="H215" s="334">
        <v>0</v>
      </c>
      <c r="I215" s="318">
        <f t="shared" si="62"/>
        <v>0</v>
      </c>
      <c r="J215" s="25">
        <v>0</v>
      </c>
      <c r="K215" s="285">
        <f t="shared" si="63"/>
        <v>0</v>
      </c>
      <c r="L215" s="344">
        <v>0</v>
      </c>
      <c r="M215" s="350">
        <f t="shared" si="64"/>
        <v>0</v>
      </c>
      <c r="N215" s="344">
        <v>0</v>
      </c>
      <c r="O215" s="350">
        <f t="shared" si="65"/>
        <v>0</v>
      </c>
    </row>
    <row r="216" spans="1:15" ht="15" hidden="1" outlineLevel="1">
      <c r="A216" s="156"/>
      <c r="B216" s="156"/>
      <c r="C216" s="156"/>
      <c r="D216" s="77"/>
      <c r="E216" s="77"/>
      <c r="F216" s="77"/>
      <c r="G216" s="77">
        <f aca="true" t="shared" si="66" ref="G216:M216">SUM(G204:G215)</f>
        <v>0</v>
      </c>
      <c r="H216" s="77">
        <f t="shared" si="66"/>
        <v>0</v>
      </c>
      <c r="I216" s="77">
        <f t="shared" si="66"/>
        <v>0</v>
      </c>
      <c r="J216" s="77">
        <f t="shared" si="66"/>
        <v>0</v>
      </c>
      <c r="K216" s="77">
        <f t="shared" si="66"/>
        <v>0</v>
      </c>
      <c r="L216" s="343">
        <f t="shared" si="66"/>
        <v>0</v>
      </c>
      <c r="M216" s="343">
        <f t="shared" si="66"/>
        <v>0</v>
      </c>
      <c r="N216" s="343">
        <f>SUM(N204:N215)</f>
        <v>0</v>
      </c>
      <c r="O216" s="343">
        <f>SUM(O204:O215)</f>
        <v>0</v>
      </c>
    </row>
    <row r="217" spans="1:13" ht="15" hidden="1" outlineLevel="1">
      <c r="A217" s="156"/>
      <c r="B217" s="156"/>
      <c r="C217" s="156"/>
      <c r="D217" s="156"/>
      <c r="E217" s="156"/>
      <c r="F217" s="156"/>
      <c r="L217" s="340"/>
      <c r="M217" s="340"/>
    </row>
    <row r="218" spans="1:15" ht="15" hidden="1" outlineLevel="1">
      <c r="A218" s="280"/>
      <c r="B218" s="280"/>
      <c r="C218" s="280"/>
      <c r="D218" s="280"/>
      <c r="E218" s="280"/>
      <c r="F218" s="280"/>
      <c r="G218" s="280"/>
      <c r="H218" s="280"/>
      <c r="I218" s="280"/>
      <c r="J218" s="280"/>
      <c r="K218" s="280"/>
      <c r="L218" s="345"/>
      <c r="M218" s="345"/>
      <c r="N218" s="345"/>
      <c r="O218" s="345"/>
    </row>
    <row r="219" spans="12:13" ht="15.75" hidden="1" outlineLevel="1" thickBot="1">
      <c r="L219" s="340"/>
      <c r="M219" s="340"/>
    </row>
    <row r="220" spans="1:17" ht="15.75" hidden="1" outlineLevel="1" thickBot="1">
      <c r="A220" s="156"/>
      <c r="B220" s="156"/>
      <c r="C220" s="156"/>
      <c r="D220" s="156"/>
      <c r="E220" s="156"/>
      <c r="F220" s="156"/>
      <c r="G220" s="272" t="s">
        <v>81</v>
      </c>
      <c r="I220" s="272" t="s">
        <v>76</v>
      </c>
      <c r="J220" s="89"/>
      <c r="K220" s="281" t="s">
        <v>82</v>
      </c>
      <c r="L220" s="341"/>
      <c r="M220" s="281" t="s">
        <v>80</v>
      </c>
      <c r="N220" s="341"/>
      <c r="O220" s="281" t="s">
        <v>210</v>
      </c>
      <c r="P220" s="341"/>
      <c r="Q220" s="281" t="s">
        <v>240</v>
      </c>
    </row>
    <row r="221" spans="1:17" ht="45.75" hidden="1" outlineLevel="1" thickBot="1">
      <c r="A221" s="156"/>
      <c r="B221" s="156"/>
      <c r="C221" s="156"/>
      <c r="D221" s="76" t="s">
        <v>51</v>
      </c>
      <c r="E221" s="76" t="s">
        <v>186</v>
      </c>
      <c r="F221" s="76" t="s">
        <v>79</v>
      </c>
      <c r="G221" s="282" t="s">
        <v>77</v>
      </c>
      <c r="H221" s="282" t="s">
        <v>77</v>
      </c>
      <c r="I221" s="282" t="s">
        <v>78</v>
      </c>
      <c r="J221" s="282" t="s">
        <v>77</v>
      </c>
      <c r="K221" s="282" t="s">
        <v>78</v>
      </c>
      <c r="L221" s="346" t="s">
        <v>77</v>
      </c>
      <c r="M221" s="347" t="s">
        <v>78</v>
      </c>
      <c r="N221" s="346" t="s">
        <v>77</v>
      </c>
      <c r="O221" s="347" t="s">
        <v>78</v>
      </c>
      <c r="P221" s="346" t="s">
        <v>77</v>
      </c>
      <c r="Q221" s="347" t="s">
        <v>78</v>
      </c>
    </row>
    <row r="222" spans="1:17" ht="15" hidden="1" outlineLevel="1">
      <c r="A222" s="156"/>
      <c r="B222" t="s">
        <v>20</v>
      </c>
      <c r="C222" s="156"/>
      <c r="D222" s="274" t="s">
        <v>59</v>
      </c>
      <c r="E222" s="275" t="s">
        <v>174</v>
      </c>
      <c r="F222" s="275">
        <f>349/365</f>
        <v>0.9561643835616438</v>
      </c>
      <c r="G222" s="87"/>
      <c r="H222" s="333">
        <v>9</v>
      </c>
      <c r="I222" s="318">
        <f aca="true" t="shared" si="67" ref="I222:I233">$F222*H222</f>
        <v>8.605479452054794</v>
      </c>
      <c r="J222" s="275">
        <v>1</v>
      </c>
      <c r="K222" s="283">
        <f aca="true" t="shared" si="68" ref="K222:K233">$F222*J222</f>
        <v>0.9561643835616438</v>
      </c>
      <c r="L222" s="329">
        <v>31</v>
      </c>
      <c r="M222" s="348">
        <f>$F222*L222</f>
        <v>29.64109589041096</v>
      </c>
      <c r="N222" s="329">
        <v>0</v>
      </c>
      <c r="O222" s="348">
        <f>$F222*N222</f>
        <v>0</v>
      </c>
      <c r="P222" s="329">
        <v>0</v>
      </c>
      <c r="Q222" s="348">
        <f>$F222*P222</f>
        <v>0</v>
      </c>
    </row>
    <row r="223" spans="1:17" ht="15" hidden="1" outlineLevel="1">
      <c r="A223" s="156"/>
      <c r="B223" s="156"/>
      <c r="C223" s="156"/>
      <c r="D223" s="277" t="s">
        <v>60</v>
      </c>
      <c r="E223" s="145" t="s">
        <v>175</v>
      </c>
      <c r="F223" s="145">
        <f>321/365</f>
        <v>0.8794520547945206</v>
      </c>
      <c r="G223" s="86"/>
      <c r="H223" s="325">
        <v>27</v>
      </c>
      <c r="I223" s="318">
        <f t="shared" si="67"/>
        <v>23.745205479452057</v>
      </c>
      <c r="J223" s="145">
        <v>0</v>
      </c>
      <c r="K223" s="284">
        <f t="shared" si="68"/>
        <v>0</v>
      </c>
      <c r="L223" s="328">
        <v>38</v>
      </c>
      <c r="M223" s="349">
        <f>$F223*L223</f>
        <v>33.419178082191785</v>
      </c>
      <c r="N223" s="328">
        <v>0</v>
      </c>
      <c r="O223" s="349">
        <f>$F223*N223</f>
        <v>0</v>
      </c>
      <c r="P223" s="328">
        <v>0</v>
      </c>
      <c r="Q223" s="349">
        <f>$F223*P223</f>
        <v>0</v>
      </c>
    </row>
    <row r="224" spans="1:17" ht="15" hidden="1" outlineLevel="1">
      <c r="A224" s="156"/>
      <c r="B224" s="156"/>
      <c r="C224" s="156"/>
      <c r="D224" s="277" t="s">
        <v>61</v>
      </c>
      <c r="E224" s="145" t="s">
        <v>176</v>
      </c>
      <c r="F224" s="145">
        <f>290/365</f>
        <v>0.7945205479452054</v>
      </c>
      <c r="G224" s="86"/>
      <c r="H224" s="325">
        <v>16</v>
      </c>
      <c r="I224" s="318">
        <f t="shared" si="67"/>
        <v>12.712328767123287</v>
      </c>
      <c r="J224" s="145">
        <v>45</v>
      </c>
      <c r="K224" s="284">
        <f t="shared" si="68"/>
        <v>35.75342465753425</v>
      </c>
      <c r="L224" s="328">
        <v>7</v>
      </c>
      <c r="M224" s="349">
        <f aca="true" t="shared" si="69" ref="M224:M233">$F224*L224</f>
        <v>5.561643835616438</v>
      </c>
      <c r="N224" s="328">
        <v>0</v>
      </c>
      <c r="O224" s="349">
        <f aca="true" t="shared" si="70" ref="O224:O233">$F224*N224</f>
        <v>0</v>
      </c>
      <c r="P224" s="328">
        <v>0</v>
      </c>
      <c r="Q224" s="349">
        <f aca="true" t="shared" si="71" ref="Q224:Q233">$F224*P224</f>
        <v>0</v>
      </c>
    </row>
    <row r="225" spans="1:17" ht="15" hidden="1" outlineLevel="1">
      <c r="A225" s="156"/>
      <c r="B225" s="156"/>
      <c r="C225" s="156"/>
      <c r="D225" s="277" t="s">
        <v>63</v>
      </c>
      <c r="E225" s="145" t="s">
        <v>177</v>
      </c>
      <c r="F225" s="145">
        <f>260/365</f>
        <v>0.7123287671232876</v>
      </c>
      <c r="G225" s="86"/>
      <c r="H225" s="325">
        <v>13</v>
      </c>
      <c r="I225" s="318">
        <f t="shared" si="67"/>
        <v>9.26027397260274</v>
      </c>
      <c r="J225" s="145">
        <v>20</v>
      </c>
      <c r="K225" s="284">
        <f t="shared" si="68"/>
        <v>14.246575342465754</v>
      </c>
      <c r="L225" s="328">
        <v>24</v>
      </c>
      <c r="M225" s="349">
        <f t="shared" si="69"/>
        <v>17.0958904109589</v>
      </c>
      <c r="N225" s="328">
        <v>0</v>
      </c>
      <c r="O225" s="349">
        <f t="shared" si="70"/>
        <v>0</v>
      </c>
      <c r="P225" s="328">
        <v>0</v>
      </c>
      <c r="Q225" s="349">
        <f t="shared" si="71"/>
        <v>0</v>
      </c>
    </row>
    <row r="226" spans="1:17" ht="15" hidden="1" outlineLevel="1">
      <c r="A226" s="156"/>
      <c r="B226" s="156"/>
      <c r="C226" s="156"/>
      <c r="D226" s="277" t="s">
        <v>64</v>
      </c>
      <c r="E226" s="145" t="s">
        <v>178</v>
      </c>
      <c r="F226" s="145">
        <f>229/365</f>
        <v>0.6273972602739726</v>
      </c>
      <c r="G226" s="86"/>
      <c r="H226" s="325">
        <v>16</v>
      </c>
      <c r="I226" s="318">
        <f t="shared" si="67"/>
        <v>10.038356164383561</v>
      </c>
      <c r="J226" s="145">
        <v>48</v>
      </c>
      <c r="K226" s="284">
        <f t="shared" si="68"/>
        <v>30.115068493150684</v>
      </c>
      <c r="L226" s="328">
        <v>0</v>
      </c>
      <c r="M226" s="349">
        <f t="shared" si="69"/>
        <v>0</v>
      </c>
      <c r="N226" s="328">
        <v>0</v>
      </c>
      <c r="O226" s="349">
        <f t="shared" si="70"/>
        <v>0</v>
      </c>
      <c r="P226" s="328">
        <v>0</v>
      </c>
      <c r="Q226" s="349">
        <f t="shared" si="71"/>
        <v>0</v>
      </c>
    </row>
    <row r="227" spans="1:17" ht="15" hidden="1" outlineLevel="1">
      <c r="A227" s="156"/>
      <c r="B227" s="156"/>
      <c r="C227" s="156"/>
      <c r="D227" s="277" t="s">
        <v>65</v>
      </c>
      <c r="E227" s="145" t="s">
        <v>179</v>
      </c>
      <c r="F227" s="145">
        <f>199/365</f>
        <v>0.5452054794520548</v>
      </c>
      <c r="G227" s="86"/>
      <c r="H227" s="325">
        <v>29</v>
      </c>
      <c r="I227" s="318">
        <f t="shared" si="67"/>
        <v>15.810958904109588</v>
      </c>
      <c r="J227" s="145">
        <v>37</v>
      </c>
      <c r="K227" s="284">
        <f t="shared" si="68"/>
        <v>20.172602739726027</v>
      </c>
      <c r="L227" s="328">
        <v>0</v>
      </c>
      <c r="M227" s="349">
        <f t="shared" si="69"/>
        <v>0</v>
      </c>
      <c r="N227" s="328">
        <v>0</v>
      </c>
      <c r="O227" s="349">
        <f t="shared" si="70"/>
        <v>0</v>
      </c>
      <c r="P227" s="328">
        <v>0</v>
      </c>
      <c r="Q227" s="349">
        <f t="shared" si="71"/>
        <v>0</v>
      </c>
    </row>
    <row r="228" spans="1:17" ht="15" hidden="1" outlineLevel="1">
      <c r="A228" s="156"/>
      <c r="B228" s="156"/>
      <c r="C228" s="156"/>
      <c r="D228" s="277" t="s">
        <v>52</v>
      </c>
      <c r="E228" s="145" t="s">
        <v>180</v>
      </c>
      <c r="F228" s="145">
        <f>168/365</f>
        <v>0.4602739726027397</v>
      </c>
      <c r="G228" s="86"/>
      <c r="H228" s="325">
        <v>14</v>
      </c>
      <c r="I228" s="318">
        <f t="shared" si="67"/>
        <v>6.443835616438356</v>
      </c>
      <c r="J228" s="145">
        <v>20</v>
      </c>
      <c r="K228" s="284">
        <f t="shared" si="68"/>
        <v>9.205479452054794</v>
      </c>
      <c r="L228" s="342">
        <v>0</v>
      </c>
      <c r="M228" s="349">
        <f t="shared" si="69"/>
        <v>0</v>
      </c>
      <c r="N228" s="342">
        <v>0</v>
      </c>
      <c r="O228" s="349">
        <f t="shared" si="70"/>
        <v>0</v>
      </c>
      <c r="P228" s="342">
        <v>0</v>
      </c>
      <c r="Q228" s="349">
        <f t="shared" si="71"/>
        <v>0</v>
      </c>
    </row>
    <row r="229" spans="1:17" ht="15" hidden="1" outlineLevel="1">
      <c r="A229" s="156"/>
      <c r="B229" s="156"/>
      <c r="C229" s="156"/>
      <c r="D229" s="277" t="s">
        <v>53</v>
      </c>
      <c r="E229" s="145" t="s">
        <v>181</v>
      </c>
      <c r="F229" s="145">
        <f>137/365</f>
        <v>0.37534246575342467</v>
      </c>
      <c r="G229" s="86"/>
      <c r="H229" s="325">
        <v>17</v>
      </c>
      <c r="I229" s="318">
        <f t="shared" si="67"/>
        <v>6.38082191780822</v>
      </c>
      <c r="J229" s="145">
        <v>16</v>
      </c>
      <c r="K229" s="284">
        <f t="shared" si="68"/>
        <v>6.005479452054795</v>
      </c>
      <c r="L229" s="342">
        <v>0</v>
      </c>
      <c r="M229" s="349">
        <f t="shared" si="69"/>
        <v>0</v>
      </c>
      <c r="N229" s="342">
        <v>0</v>
      </c>
      <c r="O229" s="349">
        <f t="shared" si="70"/>
        <v>0</v>
      </c>
      <c r="P229" s="342">
        <v>0</v>
      </c>
      <c r="Q229" s="349">
        <f t="shared" si="71"/>
        <v>0</v>
      </c>
    </row>
    <row r="230" spans="1:17" ht="15" hidden="1" outlineLevel="1">
      <c r="A230" s="156"/>
      <c r="B230" s="156"/>
      <c r="C230" s="156"/>
      <c r="D230" s="277" t="s">
        <v>54</v>
      </c>
      <c r="E230" s="145" t="s">
        <v>182</v>
      </c>
      <c r="F230" s="145">
        <f>107/365</f>
        <v>0.29315068493150687</v>
      </c>
      <c r="G230" s="86"/>
      <c r="H230" s="325">
        <v>16</v>
      </c>
      <c r="I230" s="318">
        <f t="shared" si="67"/>
        <v>4.69041095890411</v>
      </c>
      <c r="J230" s="145">
        <v>3</v>
      </c>
      <c r="K230" s="284">
        <f t="shared" si="68"/>
        <v>0.8794520547945206</v>
      </c>
      <c r="L230" s="342">
        <v>0</v>
      </c>
      <c r="M230" s="349">
        <f t="shared" si="69"/>
        <v>0</v>
      </c>
      <c r="N230" s="342">
        <v>0</v>
      </c>
      <c r="O230" s="349">
        <f t="shared" si="70"/>
        <v>0</v>
      </c>
      <c r="P230" s="342">
        <v>0</v>
      </c>
      <c r="Q230" s="349">
        <f t="shared" si="71"/>
        <v>0</v>
      </c>
    </row>
    <row r="231" spans="1:17" ht="15" hidden="1" outlineLevel="1">
      <c r="A231" s="156"/>
      <c r="B231" s="156"/>
      <c r="C231" s="156"/>
      <c r="D231" s="277" t="s">
        <v>55</v>
      </c>
      <c r="E231" s="145" t="s">
        <v>183</v>
      </c>
      <c r="F231" s="145">
        <f>76/365</f>
        <v>0.20821917808219179</v>
      </c>
      <c r="G231" s="86"/>
      <c r="H231" s="325">
        <v>31</v>
      </c>
      <c r="I231" s="318">
        <f t="shared" si="67"/>
        <v>6.454794520547946</v>
      </c>
      <c r="J231" s="156">
        <v>1</v>
      </c>
      <c r="K231" s="284">
        <f t="shared" si="68"/>
        <v>0.20821917808219179</v>
      </c>
      <c r="L231" s="342">
        <v>0</v>
      </c>
      <c r="M231" s="349">
        <f t="shared" si="69"/>
        <v>0</v>
      </c>
      <c r="N231" s="342">
        <v>0</v>
      </c>
      <c r="O231" s="349">
        <f t="shared" si="70"/>
        <v>0</v>
      </c>
      <c r="P231" s="342">
        <v>0</v>
      </c>
      <c r="Q231" s="349">
        <f t="shared" si="71"/>
        <v>0</v>
      </c>
    </row>
    <row r="232" spans="1:17" ht="15" hidden="1" outlineLevel="1">
      <c r="A232" s="156"/>
      <c r="B232" s="156"/>
      <c r="C232" s="156"/>
      <c r="D232" s="277" t="s">
        <v>57</v>
      </c>
      <c r="E232" s="145" t="s">
        <v>184</v>
      </c>
      <c r="F232" s="145">
        <f>46/365</f>
        <v>0.12602739726027398</v>
      </c>
      <c r="G232" s="86"/>
      <c r="H232" s="325">
        <v>20</v>
      </c>
      <c r="I232" s="318">
        <f t="shared" si="67"/>
        <v>2.5205479452054798</v>
      </c>
      <c r="J232" s="156">
        <v>3</v>
      </c>
      <c r="K232" s="284">
        <f t="shared" si="68"/>
        <v>0.3780821917808219</v>
      </c>
      <c r="L232" s="342">
        <v>0</v>
      </c>
      <c r="M232" s="349">
        <f t="shared" si="69"/>
        <v>0</v>
      </c>
      <c r="N232" s="342">
        <v>0</v>
      </c>
      <c r="O232" s="349">
        <f t="shared" si="70"/>
        <v>0</v>
      </c>
      <c r="P232" s="342">
        <v>0</v>
      </c>
      <c r="Q232" s="349">
        <f t="shared" si="71"/>
        <v>0</v>
      </c>
    </row>
    <row r="233" spans="1:17" ht="15" hidden="1" outlineLevel="1">
      <c r="A233" s="156"/>
      <c r="B233" s="156"/>
      <c r="C233" s="156"/>
      <c r="D233" s="279" t="s">
        <v>58</v>
      </c>
      <c r="E233" s="25" t="s">
        <v>185</v>
      </c>
      <c r="F233" s="25">
        <f>15/365</f>
        <v>0.0410958904109589</v>
      </c>
      <c r="G233" s="88"/>
      <c r="H233" s="334">
        <v>92</v>
      </c>
      <c r="I233" s="318">
        <f t="shared" si="67"/>
        <v>3.780821917808219</v>
      </c>
      <c r="J233" s="156">
        <v>0</v>
      </c>
      <c r="K233" s="285">
        <f t="shared" si="68"/>
        <v>0</v>
      </c>
      <c r="L233" s="344">
        <v>0</v>
      </c>
      <c r="M233" s="350">
        <f t="shared" si="69"/>
        <v>0</v>
      </c>
      <c r="N233" s="344">
        <v>0</v>
      </c>
      <c r="O233" s="350">
        <f t="shared" si="70"/>
        <v>0</v>
      </c>
      <c r="P233" s="344">
        <v>0</v>
      </c>
      <c r="Q233" s="350">
        <f t="shared" si="71"/>
        <v>0</v>
      </c>
    </row>
    <row r="234" spans="1:17" ht="15" hidden="1" outlineLevel="1">
      <c r="A234" s="156"/>
      <c r="B234" s="156"/>
      <c r="C234" s="156"/>
      <c r="D234" s="77"/>
      <c r="E234" s="77"/>
      <c r="F234" s="77"/>
      <c r="G234" s="77">
        <f aca="true" t="shared" si="72" ref="G234:M234">SUM(G222:G233)</f>
        <v>0</v>
      </c>
      <c r="H234" s="77">
        <f t="shared" si="72"/>
        <v>300</v>
      </c>
      <c r="I234" s="77">
        <f t="shared" si="72"/>
        <v>110.44383561643835</v>
      </c>
      <c r="J234" s="77">
        <f t="shared" si="72"/>
        <v>194</v>
      </c>
      <c r="K234" s="77">
        <f t="shared" si="72"/>
        <v>117.92054794520548</v>
      </c>
      <c r="L234" s="343">
        <f t="shared" si="72"/>
        <v>100</v>
      </c>
      <c r="M234" s="343">
        <f t="shared" si="72"/>
        <v>85.71780821917808</v>
      </c>
      <c r="N234" s="343">
        <f>SUM(N222:N233)</f>
        <v>0</v>
      </c>
      <c r="O234" s="343">
        <f>SUM(O222:O233)</f>
        <v>0</v>
      </c>
      <c r="P234" s="343">
        <f>SUM(P222:P233)</f>
        <v>0</v>
      </c>
      <c r="Q234" s="343">
        <f>SUM(Q222:Q233)</f>
        <v>0</v>
      </c>
    </row>
    <row r="235" spans="1:13" ht="15" hidden="1" outlineLevel="1">
      <c r="A235" s="156"/>
      <c r="B235" s="156"/>
      <c r="C235" s="156"/>
      <c r="D235" s="156"/>
      <c r="E235" s="156"/>
      <c r="F235" s="156"/>
      <c r="L235" s="340"/>
      <c r="M235" s="340"/>
    </row>
    <row r="236" spans="1:15" ht="15" hidden="1" outlineLevel="1">
      <c r="A236" s="280"/>
      <c r="B236" s="280"/>
      <c r="C236" s="280"/>
      <c r="D236" s="280"/>
      <c r="E236" s="280"/>
      <c r="F236" s="280"/>
      <c r="G236" s="280"/>
      <c r="H236" s="280"/>
      <c r="I236" s="280"/>
      <c r="J236" s="280"/>
      <c r="K236" s="280"/>
      <c r="L236" s="345"/>
      <c r="M236" s="345"/>
      <c r="N236" s="345"/>
      <c r="O236" s="345"/>
    </row>
    <row r="237" spans="12:13" ht="15.75" hidden="1" outlineLevel="1" thickBot="1">
      <c r="L237" s="340"/>
      <c r="M237" s="340"/>
    </row>
    <row r="238" spans="1:15" ht="15.75" hidden="1" outlineLevel="1" thickBot="1">
      <c r="A238" s="156"/>
      <c r="B238" s="156"/>
      <c r="C238" s="156"/>
      <c r="D238" s="156"/>
      <c r="E238" s="156"/>
      <c r="F238" s="156"/>
      <c r="G238" s="272" t="s">
        <v>81</v>
      </c>
      <c r="I238" s="272" t="s">
        <v>76</v>
      </c>
      <c r="J238" s="89"/>
      <c r="K238" s="281" t="s">
        <v>82</v>
      </c>
      <c r="L238" s="341"/>
      <c r="M238" s="281" t="s">
        <v>80</v>
      </c>
      <c r="N238" s="341"/>
      <c r="O238" s="281" t="s">
        <v>210</v>
      </c>
    </row>
    <row r="239" spans="1:15" ht="45.75" hidden="1" outlineLevel="1" thickBot="1">
      <c r="A239" s="156"/>
      <c r="B239" s="156"/>
      <c r="C239" s="156"/>
      <c r="D239" s="76" t="s">
        <v>51</v>
      </c>
      <c r="E239" s="76" t="s">
        <v>186</v>
      </c>
      <c r="F239" s="76" t="s">
        <v>79</v>
      </c>
      <c r="G239" s="282" t="s">
        <v>77</v>
      </c>
      <c r="H239" s="282" t="s">
        <v>77</v>
      </c>
      <c r="I239" s="282" t="s">
        <v>78</v>
      </c>
      <c r="J239" s="282" t="s">
        <v>77</v>
      </c>
      <c r="K239" s="282" t="s">
        <v>78</v>
      </c>
      <c r="L239" s="346" t="s">
        <v>77</v>
      </c>
      <c r="M239" s="347" t="s">
        <v>78</v>
      </c>
      <c r="N239" s="346" t="s">
        <v>77</v>
      </c>
      <c r="O239" s="347" t="s">
        <v>78</v>
      </c>
    </row>
    <row r="240" spans="1:15" ht="15" hidden="1" outlineLevel="1">
      <c r="A240" s="156"/>
      <c r="B240" t="s">
        <v>21</v>
      </c>
      <c r="C240" s="156"/>
      <c r="D240" s="274" t="s">
        <v>59</v>
      </c>
      <c r="E240" s="275" t="s">
        <v>174</v>
      </c>
      <c r="F240" s="275">
        <f>349/365</f>
        <v>0.9561643835616438</v>
      </c>
      <c r="G240" s="87"/>
      <c r="H240" s="333">
        <v>2</v>
      </c>
      <c r="I240" s="318">
        <f aca="true" t="shared" si="73" ref="I240:I251">$F240*H240</f>
        <v>1.9123287671232876</v>
      </c>
      <c r="J240" s="275">
        <v>0</v>
      </c>
      <c r="K240" s="283">
        <f aca="true" t="shared" si="74" ref="K240:K251">$F240*J240</f>
        <v>0</v>
      </c>
      <c r="L240" s="329">
        <v>0</v>
      </c>
      <c r="M240" s="348">
        <f>$F240*L240</f>
        <v>0</v>
      </c>
      <c r="N240" s="329">
        <v>0</v>
      </c>
      <c r="O240" s="348">
        <f>$F240*N240</f>
        <v>0</v>
      </c>
    </row>
    <row r="241" spans="1:15" ht="15" hidden="1" outlineLevel="1">
      <c r="A241" s="156"/>
      <c r="B241" s="156"/>
      <c r="C241" s="156"/>
      <c r="D241" s="277" t="s">
        <v>60</v>
      </c>
      <c r="E241" s="145" t="s">
        <v>175</v>
      </c>
      <c r="F241" s="145">
        <f>321/365</f>
        <v>0.8794520547945206</v>
      </c>
      <c r="G241" s="86"/>
      <c r="H241" s="325">
        <v>0</v>
      </c>
      <c r="I241" s="318">
        <f t="shared" si="73"/>
        <v>0</v>
      </c>
      <c r="J241" s="145">
        <v>0</v>
      </c>
      <c r="K241" s="284">
        <f t="shared" si="74"/>
        <v>0</v>
      </c>
      <c r="L241" s="328">
        <v>0</v>
      </c>
      <c r="M241" s="349">
        <f>$F241*L241</f>
        <v>0</v>
      </c>
      <c r="N241" s="328">
        <v>0</v>
      </c>
      <c r="O241" s="349">
        <f>$F241*N241</f>
        <v>0</v>
      </c>
    </row>
    <row r="242" spans="1:15" ht="15" hidden="1" outlineLevel="1">
      <c r="A242" s="156"/>
      <c r="B242" s="156"/>
      <c r="C242" s="156"/>
      <c r="D242" s="277" t="s">
        <v>61</v>
      </c>
      <c r="E242" s="145" t="s">
        <v>176</v>
      </c>
      <c r="F242" s="145">
        <f>290/365</f>
        <v>0.7945205479452054</v>
      </c>
      <c r="G242" s="86"/>
      <c r="H242" s="325">
        <v>0</v>
      </c>
      <c r="I242" s="318">
        <f t="shared" si="73"/>
        <v>0</v>
      </c>
      <c r="J242" s="145">
        <v>0</v>
      </c>
      <c r="K242" s="284">
        <f t="shared" si="74"/>
        <v>0</v>
      </c>
      <c r="L242" s="328">
        <v>0</v>
      </c>
      <c r="M242" s="349">
        <f aca="true" t="shared" si="75" ref="M242:M251">$F242*L242</f>
        <v>0</v>
      </c>
      <c r="N242" s="328">
        <v>0</v>
      </c>
      <c r="O242" s="349">
        <f aca="true" t="shared" si="76" ref="O242:O251">$F242*N242</f>
        <v>0</v>
      </c>
    </row>
    <row r="243" spans="1:15" ht="15" hidden="1" outlineLevel="1">
      <c r="A243" s="156"/>
      <c r="B243" s="156"/>
      <c r="C243" s="156"/>
      <c r="D243" s="277" t="s">
        <v>63</v>
      </c>
      <c r="E243" s="145" t="s">
        <v>177</v>
      </c>
      <c r="F243" s="145">
        <f>260/365</f>
        <v>0.7123287671232876</v>
      </c>
      <c r="G243" s="86"/>
      <c r="H243" s="325">
        <v>0</v>
      </c>
      <c r="I243" s="318">
        <f t="shared" si="73"/>
        <v>0</v>
      </c>
      <c r="J243" s="145">
        <v>0</v>
      </c>
      <c r="K243" s="284">
        <f t="shared" si="74"/>
        <v>0</v>
      </c>
      <c r="L243" s="328">
        <v>0</v>
      </c>
      <c r="M243" s="349">
        <f t="shared" si="75"/>
        <v>0</v>
      </c>
      <c r="N243" s="328">
        <v>0</v>
      </c>
      <c r="O243" s="349">
        <f t="shared" si="76"/>
        <v>0</v>
      </c>
    </row>
    <row r="244" spans="1:15" ht="15" hidden="1" outlineLevel="1">
      <c r="A244" s="156"/>
      <c r="B244" s="156"/>
      <c r="C244" s="156"/>
      <c r="D244" s="277" t="s">
        <v>64</v>
      </c>
      <c r="E244" s="145" t="s">
        <v>178</v>
      </c>
      <c r="F244" s="145">
        <f>229/365</f>
        <v>0.6273972602739726</v>
      </c>
      <c r="G244" s="86"/>
      <c r="H244" s="325">
        <v>0</v>
      </c>
      <c r="I244" s="318">
        <f t="shared" si="73"/>
        <v>0</v>
      </c>
      <c r="J244" s="145">
        <v>0</v>
      </c>
      <c r="K244" s="284">
        <f t="shared" si="74"/>
        <v>0</v>
      </c>
      <c r="L244" s="328">
        <v>0</v>
      </c>
      <c r="M244" s="349">
        <f t="shared" si="75"/>
        <v>0</v>
      </c>
      <c r="N244" s="328">
        <v>0</v>
      </c>
      <c r="O244" s="349">
        <f t="shared" si="76"/>
        <v>0</v>
      </c>
    </row>
    <row r="245" spans="1:15" ht="15" hidden="1" outlineLevel="1">
      <c r="A245" s="156"/>
      <c r="B245" s="156"/>
      <c r="C245" s="156"/>
      <c r="D245" s="277" t="s">
        <v>65</v>
      </c>
      <c r="E245" s="145" t="s">
        <v>179</v>
      </c>
      <c r="F245" s="145">
        <f>199/365</f>
        <v>0.5452054794520548</v>
      </c>
      <c r="G245" s="86"/>
      <c r="H245" s="325">
        <v>0</v>
      </c>
      <c r="I245" s="318">
        <f t="shared" si="73"/>
        <v>0</v>
      </c>
      <c r="J245" s="145">
        <v>0</v>
      </c>
      <c r="K245" s="284">
        <f t="shared" si="74"/>
        <v>0</v>
      </c>
      <c r="L245" s="328">
        <v>0</v>
      </c>
      <c r="M245" s="349">
        <f t="shared" si="75"/>
        <v>0</v>
      </c>
      <c r="N245" s="328">
        <v>0</v>
      </c>
      <c r="O245" s="349">
        <f t="shared" si="76"/>
        <v>0</v>
      </c>
    </row>
    <row r="246" spans="1:15" ht="15" hidden="1" outlineLevel="1">
      <c r="A246" s="156"/>
      <c r="B246" s="156"/>
      <c r="C246" s="156"/>
      <c r="D246" s="277" t="s">
        <v>52</v>
      </c>
      <c r="E246" s="145" t="s">
        <v>180</v>
      </c>
      <c r="F246" s="145">
        <f>168/365</f>
        <v>0.4602739726027397</v>
      </c>
      <c r="G246" s="86">
        <v>15</v>
      </c>
      <c r="H246" s="325">
        <v>0</v>
      </c>
      <c r="I246" s="318">
        <f t="shared" si="73"/>
        <v>0</v>
      </c>
      <c r="J246" s="145">
        <v>0</v>
      </c>
      <c r="K246" s="284">
        <f t="shared" si="74"/>
        <v>0</v>
      </c>
      <c r="L246" s="342">
        <v>0</v>
      </c>
      <c r="M246" s="349">
        <f t="shared" si="75"/>
        <v>0</v>
      </c>
      <c r="N246" s="342">
        <v>0</v>
      </c>
      <c r="O246" s="349">
        <f t="shared" si="76"/>
        <v>0</v>
      </c>
    </row>
    <row r="247" spans="1:15" ht="15" hidden="1" outlineLevel="1">
      <c r="A247" s="156"/>
      <c r="B247" s="156"/>
      <c r="C247" s="156"/>
      <c r="D247" s="277" t="s">
        <v>53</v>
      </c>
      <c r="E247" s="145" t="s">
        <v>181</v>
      </c>
      <c r="F247" s="145">
        <f>137/365</f>
        <v>0.37534246575342467</v>
      </c>
      <c r="G247" s="86">
        <v>0</v>
      </c>
      <c r="H247" s="325">
        <v>0</v>
      </c>
      <c r="I247" s="318">
        <f t="shared" si="73"/>
        <v>0</v>
      </c>
      <c r="J247" s="145">
        <v>0</v>
      </c>
      <c r="K247" s="284">
        <f t="shared" si="74"/>
        <v>0</v>
      </c>
      <c r="L247" s="342">
        <v>0</v>
      </c>
      <c r="M247" s="349">
        <f t="shared" si="75"/>
        <v>0</v>
      </c>
      <c r="N247" s="342">
        <v>0</v>
      </c>
      <c r="O247" s="349">
        <f t="shared" si="76"/>
        <v>0</v>
      </c>
    </row>
    <row r="248" spans="1:15" ht="15" hidden="1" outlineLevel="1">
      <c r="A248" s="156"/>
      <c r="B248" s="156"/>
      <c r="C248" s="156"/>
      <c r="D248" s="277" t="s">
        <v>54</v>
      </c>
      <c r="E248" s="145" t="s">
        <v>182</v>
      </c>
      <c r="F248" s="145">
        <f>107/365</f>
        <v>0.29315068493150687</v>
      </c>
      <c r="G248" s="86">
        <v>0</v>
      </c>
      <c r="H248" s="325">
        <v>0</v>
      </c>
      <c r="I248" s="318">
        <f t="shared" si="73"/>
        <v>0</v>
      </c>
      <c r="J248" s="145">
        <v>0</v>
      </c>
      <c r="K248" s="284">
        <f t="shared" si="74"/>
        <v>0</v>
      </c>
      <c r="L248" s="342">
        <v>0</v>
      </c>
      <c r="M248" s="349">
        <f t="shared" si="75"/>
        <v>0</v>
      </c>
      <c r="N248" s="342">
        <v>0</v>
      </c>
      <c r="O248" s="349">
        <f t="shared" si="76"/>
        <v>0</v>
      </c>
    </row>
    <row r="249" spans="1:15" ht="15" hidden="1" outlineLevel="1">
      <c r="A249" s="156"/>
      <c r="B249" s="156"/>
      <c r="C249" s="156"/>
      <c r="D249" s="277" t="s">
        <v>55</v>
      </c>
      <c r="E249" s="145" t="s">
        <v>183</v>
      </c>
      <c r="F249" s="145">
        <f>76/365</f>
        <v>0.20821917808219179</v>
      </c>
      <c r="G249" s="86">
        <v>0</v>
      </c>
      <c r="H249" s="325">
        <v>0</v>
      </c>
      <c r="I249" s="318">
        <f t="shared" si="73"/>
        <v>0</v>
      </c>
      <c r="J249" s="145">
        <v>0</v>
      </c>
      <c r="K249" s="284">
        <f t="shared" si="74"/>
        <v>0</v>
      </c>
      <c r="L249" s="342">
        <v>0</v>
      </c>
      <c r="M249" s="349">
        <f t="shared" si="75"/>
        <v>0</v>
      </c>
      <c r="N249" s="342">
        <v>0</v>
      </c>
      <c r="O249" s="349">
        <f t="shared" si="76"/>
        <v>0</v>
      </c>
    </row>
    <row r="250" spans="1:15" ht="15" hidden="1" outlineLevel="1">
      <c r="A250" s="156"/>
      <c r="B250" s="156"/>
      <c r="C250" s="156"/>
      <c r="D250" s="277" t="s">
        <v>57</v>
      </c>
      <c r="E250" s="145" t="s">
        <v>184</v>
      </c>
      <c r="F250" s="145">
        <f>46/365</f>
        <v>0.12602739726027398</v>
      </c>
      <c r="G250" s="86">
        <v>0</v>
      </c>
      <c r="H250" s="325">
        <v>0</v>
      </c>
      <c r="I250" s="318">
        <f t="shared" si="73"/>
        <v>0</v>
      </c>
      <c r="J250" s="145">
        <v>0</v>
      </c>
      <c r="K250" s="284">
        <f t="shared" si="74"/>
        <v>0</v>
      </c>
      <c r="L250" s="342">
        <v>0</v>
      </c>
      <c r="M250" s="349">
        <f t="shared" si="75"/>
        <v>0</v>
      </c>
      <c r="N250" s="342">
        <v>0</v>
      </c>
      <c r="O250" s="349">
        <f t="shared" si="76"/>
        <v>0</v>
      </c>
    </row>
    <row r="251" spans="1:15" ht="15" hidden="1" outlineLevel="1">
      <c r="A251" s="156"/>
      <c r="B251" s="156"/>
      <c r="C251" s="156"/>
      <c r="D251" s="279" t="s">
        <v>58</v>
      </c>
      <c r="E251" s="25" t="s">
        <v>185</v>
      </c>
      <c r="F251" s="25">
        <f>15/365</f>
        <v>0.0410958904109589</v>
      </c>
      <c r="G251" s="88">
        <v>0</v>
      </c>
      <c r="H251" s="334">
        <v>0</v>
      </c>
      <c r="I251" s="318">
        <f t="shared" si="73"/>
        <v>0</v>
      </c>
      <c r="J251" s="25">
        <v>0</v>
      </c>
      <c r="K251" s="285">
        <f t="shared" si="74"/>
        <v>0</v>
      </c>
      <c r="L251" s="344">
        <v>0</v>
      </c>
      <c r="M251" s="350">
        <f t="shared" si="75"/>
        <v>0</v>
      </c>
      <c r="N251" s="344">
        <v>0</v>
      </c>
      <c r="O251" s="350">
        <f t="shared" si="76"/>
        <v>0</v>
      </c>
    </row>
    <row r="252" spans="1:15" ht="15" hidden="1" outlineLevel="1">
      <c r="A252" s="156"/>
      <c r="B252" s="156"/>
      <c r="C252" s="156"/>
      <c r="D252" s="77"/>
      <c r="E252" s="77"/>
      <c r="F252" s="77"/>
      <c r="G252" s="77">
        <f aca="true" t="shared" si="77" ref="G252:M252">SUM(G240:G251)</f>
        <v>15</v>
      </c>
      <c r="H252" s="77">
        <f t="shared" si="77"/>
        <v>2</v>
      </c>
      <c r="I252" s="77">
        <f t="shared" si="77"/>
        <v>1.9123287671232876</v>
      </c>
      <c r="J252" s="77">
        <f t="shared" si="77"/>
        <v>0</v>
      </c>
      <c r="K252" s="77">
        <f t="shared" si="77"/>
        <v>0</v>
      </c>
      <c r="L252" s="343">
        <f t="shared" si="77"/>
        <v>0</v>
      </c>
      <c r="M252" s="343">
        <f t="shared" si="77"/>
        <v>0</v>
      </c>
      <c r="N252" s="343">
        <f>SUM(N240:N251)</f>
        <v>0</v>
      </c>
      <c r="O252" s="343">
        <f>SUM(O240:O251)</f>
        <v>0</v>
      </c>
    </row>
    <row r="253" spans="1:13" ht="15" hidden="1" outlineLevel="1">
      <c r="A253" s="156"/>
      <c r="B253" s="156"/>
      <c r="C253" s="156"/>
      <c r="D253" s="156"/>
      <c r="E253" s="156"/>
      <c r="F253" s="156"/>
      <c r="L253" s="340"/>
      <c r="M253" s="340"/>
    </row>
    <row r="254" spans="1:15" ht="15" hidden="1" outlineLevel="1">
      <c r="A254" s="280"/>
      <c r="B254" s="280"/>
      <c r="C254" s="280"/>
      <c r="D254" s="280"/>
      <c r="E254" s="280"/>
      <c r="F254" s="280"/>
      <c r="G254" s="280"/>
      <c r="H254" s="280"/>
      <c r="I254" s="280"/>
      <c r="J254" s="280"/>
      <c r="K254" s="280"/>
      <c r="L254" s="345"/>
      <c r="M254" s="345"/>
      <c r="N254" s="345"/>
      <c r="O254" s="345"/>
    </row>
    <row r="255" ht="15" collapsed="1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s007506</cp:lastModifiedBy>
  <cp:lastPrinted>2019-10-22T13:37:58Z</cp:lastPrinted>
  <dcterms:created xsi:type="dcterms:W3CDTF">2017-09-06T16:00:40Z</dcterms:created>
  <dcterms:modified xsi:type="dcterms:W3CDTF">2022-11-15T14:43:46Z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f67b5e87-f208-4306-8213-c3d107fda4c3</vt:lpwstr>
  </property>
  <property fmtid="{D5CDD505-2E9C-101B-9397-08002B2CF9AE}" pid="3" name="bjSaver">
    <vt:lpwstr>6A8SrxgYPnHPzBbfLtJelfLhT12u1Hz3</vt:lpwstr>
  </property>
  <property fmtid="{D5CDD505-2E9C-101B-9397-08002B2CF9AE}" pid="4" name="bjDocumentSecurityLabel">
    <vt:lpwstr>Uncategorized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11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12" name="bjLabelHistoryID">
    <vt:lpwstr>{F3A5FC6C-6934-40AC-AFB5-BE92E6A78AA7}</vt:lpwstr>
  </property>
</Properties>
</file>