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b35b2eaaa32b5d/Documents/BPWD 2ND RESPONSE TO PSC/"/>
    </mc:Choice>
  </mc:AlternateContent>
  <xr:revisionPtr revIDLastSave="0" documentId="8_{446E1B3F-1CC2-4F3B-A9B1-63A4A236EDF8}" xr6:coauthVersionLast="47" xr6:coauthVersionMax="47" xr10:uidLastSave="{00000000-0000-0000-0000-000000000000}"/>
  <bookViews>
    <workbookView xWindow="-120" yWindow="-120" windowWidth="29040" windowHeight="15720" xr2:uid="{FA4361DC-2D89-4C97-90DD-F944AEC01471}"/>
  </bookViews>
  <sheets>
    <sheet name="Revenue w New Rates" sheetId="11" r:id="rId1"/>
    <sheet name="Test Yr 5 8&quot; " sheetId="19" r:id="rId2"/>
    <sheet name="5 8&quot; Totals by Rate Code" sheetId="2" r:id="rId3"/>
    <sheet name="Test Yr 1&quot; " sheetId="16" r:id="rId4"/>
    <sheet name="1&quot; Totals by Rate Code" sheetId="5" r:id="rId5"/>
    <sheet name="Test Year Rev 1.5 " sheetId="20" r:id="rId6"/>
    <sheet name="1.5&quot; Totals by Rate Code" sheetId="7" r:id="rId7"/>
    <sheet name="Test Yr Revenue 2&quot;" sheetId="10" r:id="rId8"/>
    <sheet name="2&quot; Totals by Rate Code" sheetId="9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0" l="1"/>
  <c r="D31" i="20"/>
  <c r="D30" i="20"/>
  <c r="C9" i="20"/>
  <c r="B9" i="20"/>
  <c r="B24" i="20" s="1"/>
  <c r="E24" i="20" s="1"/>
  <c r="E8" i="20"/>
  <c r="D8" i="20"/>
  <c r="F8" i="20" s="1"/>
  <c r="F9" i="20" s="1"/>
  <c r="D7" i="20"/>
  <c r="E7" i="20" s="1"/>
  <c r="E9" i="20" s="1"/>
  <c r="D6" i="20"/>
  <c r="D9" i="20" s="1"/>
  <c r="X105" i="2"/>
  <c r="J105" i="2"/>
  <c r="S105" i="2"/>
  <c r="R105" i="2"/>
  <c r="O105" i="2"/>
  <c r="N105" i="2"/>
  <c r="K105" i="2"/>
  <c r="G105" i="2"/>
  <c r="F105" i="2"/>
  <c r="C105" i="2"/>
  <c r="B105" i="2"/>
  <c r="D27" i="10"/>
  <c r="D26" i="10"/>
  <c r="E37" i="16"/>
  <c r="E36" i="16"/>
  <c r="E35" i="16"/>
  <c r="E34" i="16"/>
  <c r="D40" i="19"/>
  <c r="D39" i="19"/>
  <c r="D38" i="19"/>
  <c r="D37" i="19"/>
  <c r="D36" i="19"/>
  <c r="C11" i="19"/>
  <c r="B11" i="19"/>
  <c r="B22" i="19" s="1"/>
  <c r="E22" i="19" s="1"/>
  <c r="G10" i="19"/>
  <c r="F10" i="19"/>
  <c r="E10" i="19"/>
  <c r="D10" i="19"/>
  <c r="F9" i="19"/>
  <c r="E9" i="19"/>
  <c r="D9" i="19"/>
  <c r="E8" i="19"/>
  <c r="D8" i="19"/>
  <c r="D7" i="19"/>
  <c r="D6" i="19"/>
  <c r="C10" i="16"/>
  <c r="B10" i="16"/>
  <c r="B20" i="16" s="1"/>
  <c r="F20" i="16" s="1"/>
  <c r="G9" i="16"/>
  <c r="F9" i="16"/>
  <c r="E9" i="16"/>
  <c r="D9" i="16"/>
  <c r="F8" i="16"/>
  <c r="E8" i="16"/>
  <c r="D8" i="16"/>
  <c r="E7" i="16"/>
  <c r="F7" i="16" s="1"/>
  <c r="F10" i="16" s="1"/>
  <c r="D7" i="16"/>
  <c r="E6" i="16"/>
  <c r="D6" i="16"/>
  <c r="G13" i="10"/>
  <c r="R8" i="5"/>
  <c r="G52" i="2"/>
  <c r="S52" i="2"/>
  <c r="R52" i="2"/>
  <c r="O52" i="2"/>
  <c r="N52" i="2"/>
  <c r="K52" i="2"/>
  <c r="J52" i="2"/>
  <c r="C52" i="2"/>
  <c r="S29" i="2"/>
  <c r="R29" i="2"/>
  <c r="O29" i="2"/>
  <c r="N29" i="2"/>
  <c r="K29" i="2"/>
  <c r="G29" i="2"/>
  <c r="C29" i="2"/>
  <c r="W85" i="2"/>
  <c r="W84" i="2"/>
  <c r="W83" i="2"/>
  <c r="W82" i="2"/>
  <c r="W81" i="2"/>
  <c r="W80" i="2"/>
  <c r="W79" i="2"/>
  <c r="W78" i="2"/>
  <c r="W77" i="2"/>
  <c r="W76" i="2"/>
  <c r="W75" i="2"/>
  <c r="W74" i="2"/>
  <c r="W63" i="2"/>
  <c r="W62" i="2"/>
  <c r="W61" i="2"/>
  <c r="W60" i="2"/>
  <c r="W59" i="2"/>
  <c r="W58" i="2"/>
  <c r="W57" i="2"/>
  <c r="W56" i="2"/>
  <c r="W55" i="2"/>
  <c r="W54" i="2"/>
  <c r="W53" i="2"/>
  <c r="W40" i="2"/>
  <c r="W39" i="2"/>
  <c r="W38" i="2"/>
  <c r="W37" i="2"/>
  <c r="W36" i="2"/>
  <c r="W35" i="2"/>
  <c r="W34" i="2"/>
  <c r="W33" i="2"/>
  <c r="W32" i="2"/>
  <c r="W31" i="2"/>
  <c r="W105" i="2" s="1"/>
  <c r="W30" i="2"/>
  <c r="W19" i="2"/>
  <c r="W18" i="2"/>
  <c r="W17" i="2"/>
  <c r="W16" i="2"/>
  <c r="W15" i="2"/>
  <c r="W14" i="2"/>
  <c r="W13" i="2"/>
  <c r="W12" i="2"/>
  <c r="W11" i="2"/>
  <c r="W10" i="2"/>
  <c r="W9" i="2"/>
  <c r="W8" i="2"/>
  <c r="V85" i="2"/>
  <c r="V84" i="2"/>
  <c r="V83" i="2"/>
  <c r="V82" i="2"/>
  <c r="V81" i="2"/>
  <c r="V80" i="2"/>
  <c r="V79" i="2"/>
  <c r="V78" i="2"/>
  <c r="V77" i="2"/>
  <c r="V76" i="2"/>
  <c r="V75" i="2"/>
  <c r="V74" i="2"/>
  <c r="V63" i="2"/>
  <c r="V62" i="2"/>
  <c r="V61" i="2"/>
  <c r="V60" i="2"/>
  <c r="V59" i="2"/>
  <c r="V58" i="2"/>
  <c r="V57" i="2"/>
  <c r="V56" i="2"/>
  <c r="V55" i="2"/>
  <c r="V54" i="2"/>
  <c r="V53" i="2"/>
  <c r="V40" i="2"/>
  <c r="V39" i="2"/>
  <c r="V38" i="2"/>
  <c r="V37" i="2"/>
  <c r="V36" i="2"/>
  <c r="V35" i="2"/>
  <c r="V34" i="2"/>
  <c r="V33" i="2"/>
  <c r="V32" i="2"/>
  <c r="V31" i="2"/>
  <c r="V105" i="2" s="1"/>
  <c r="V30" i="2"/>
  <c r="V19" i="2"/>
  <c r="V18" i="2"/>
  <c r="V17" i="2"/>
  <c r="V16" i="2"/>
  <c r="V15" i="2"/>
  <c r="V14" i="2"/>
  <c r="V13" i="2"/>
  <c r="V12" i="2"/>
  <c r="V11" i="2"/>
  <c r="V10" i="2"/>
  <c r="V9" i="2"/>
  <c r="V8" i="2"/>
  <c r="S87" i="2"/>
  <c r="R87" i="2"/>
  <c r="S65" i="2"/>
  <c r="R65" i="2"/>
  <c r="R42" i="2"/>
  <c r="S42" i="2"/>
  <c r="S21" i="2"/>
  <c r="R21" i="2"/>
  <c r="X87" i="2"/>
  <c r="X65" i="2"/>
  <c r="X42" i="2"/>
  <c r="X21" i="2"/>
  <c r="F48" i="11"/>
  <c r="E48" i="11"/>
  <c r="G47" i="11"/>
  <c r="D47" i="11"/>
  <c r="G46" i="11"/>
  <c r="D46" i="11"/>
  <c r="G45" i="11"/>
  <c r="D45" i="11"/>
  <c r="G44" i="11"/>
  <c r="F42" i="11"/>
  <c r="E41" i="11"/>
  <c r="G41" i="11" s="1"/>
  <c r="C41" i="11"/>
  <c r="B41" i="11"/>
  <c r="E40" i="11"/>
  <c r="G40" i="11" s="1"/>
  <c r="C40" i="11"/>
  <c r="B40" i="11"/>
  <c r="C20" i="20" l="1"/>
  <c r="E20" i="20" s="1"/>
  <c r="C26" i="20"/>
  <c r="E26" i="20" s="1"/>
  <c r="C32" i="20"/>
  <c r="E32" i="20" s="1"/>
  <c r="C14" i="20"/>
  <c r="E14" i="20" s="1"/>
  <c r="C12" i="20"/>
  <c r="C15" i="20" s="1"/>
  <c r="C24" i="20"/>
  <c r="C30" i="20"/>
  <c r="C33" i="20" s="1"/>
  <c r="C18" i="20"/>
  <c r="C21" i="20" s="1"/>
  <c r="C13" i="20"/>
  <c r="E13" i="20" s="1"/>
  <c r="C31" i="20"/>
  <c r="E31" i="20" s="1"/>
  <c r="C19" i="20"/>
  <c r="E19" i="20" s="1"/>
  <c r="C25" i="20"/>
  <c r="E25" i="20" s="1"/>
  <c r="E27" i="20" s="1"/>
  <c r="B18" i="20"/>
  <c r="E18" i="20" s="1"/>
  <c r="E21" i="20" s="1"/>
  <c r="B30" i="20"/>
  <c r="E30" i="20" s="1"/>
  <c r="E33" i="20" s="1"/>
  <c r="B12" i="20"/>
  <c r="E12" i="20" s="1"/>
  <c r="G8" i="16"/>
  <c r="G10" i="16" s="1"/>
  <c r="C36" i="16" s="1"/>
  <c r="F36" i="16" s="1"/>
  <c r="H9" i="16"/>
  <c r="H10" i="16" s="1"/>
  <c r="C37" i="16" s="1"/>
  <c r="F37" i="16" s="1"/>
  <c r="E10" i="16"/>
  <c r="C13" i="16" s="1"/>
  <c r="B34" i="16"/>
  <c r="F34" i="16" s="1"/>
  <c r="F8" i="19"/>
  <c r="F11" i="19" s="1"/>
  <c r="C16" i="19" s="1"/>
  <c r="E16" i="19" s="1"/>
  <c r="G9" i="19"/>
  <c r="G11" i="19" s="1"/>
  <c r="B29" i="19"/>
  <c r="E29" i="19" s="1"/>
  <c r="B14" i="19"/>
  <c r="E14" i="19" s="1"/>
  <c r="H10" i="19"/>
  <c r="H11" i="19" s="1"/>
  <c r="C40" i="19" s="1"/>
  <c r="E40" i="19" s="1"/>
  <c r="B36" i="19"/>
  <c r="E36" i="19" s="1"/>
  <c r="D11" i="19"/>
  <c r="C36" i="19" s="1"/>
  <c r="E7" i="19"/>
  <c r="E11" i="19" s="1"/>
  <c r="C35" i="16"/>
  <c r="F35" i="16" s="1"/>
  <c r="C28" i="16"/>
  <c r="F28" i="16" s="1"/>
  <c r="C21" i="16"/>
  <c r="F21" i="16" s="1"/>
  <c r="C14" i="16"/>
  <c r="F14" i="16" s="1"/>
  <c r="B27" i="16"/>
  <c r="F27" i="16" s="1"/>
  <c r="B13" i="16"/>
  <c r="F13" i="16" s="1"/>
  <c r="S8" i="5"/>
  <c r="W52" i="2"/>
  <c r="W65" i="2" s="1"/>
  <c r="V52" i="2"/>
  <c r="V65" i="2" s="1"/>
  <c r="W29" i="2"/>
  <c r="W42" i="2" s="1"/>
  <c r="V29" i="2"/>
  <c r="X96" i="2"/>
  <c r="X95" i="2"/>
  <c r="R93" i="2"/>
  <c r="R95" i="2" s="1"/>
  <c r="X93" i="2"/>
  <c r="S93" i="2"/>
  <c r="S95" i="2" s="1"/>
  <c r="V87" i="2"/>
  <c r="W87" i="2"/>
  <c r="V21" i="2"/>
  <c r="W21" i="2"/>
  <c r="D41" i="11"/>
  <c r="B42" i="11"/>
  <c r="C42" i="11"/>
  <c r="E42" i="11"/>
  <c r="B48" i="11"/>
  <c r="C48" i="11"/>
  <c r="D40" i="11"/>
  <c r="D44" i="11"/>
  <c r="C27" i="20" l="1"/>
  <c r="E15" i="20"/>
  <c r="H15" i="20" s="1"/>
  <c r="C30" i="16"/>
  <c r="F30" i="16" s="1"/>
  <c r="C16" i="16"/>
  <c r="F16" i="16" s="1"/>
  <c r="C34" i="16"/>
  <c r="C38" i="16" s="1"/>
  <c r="C22" i="16"/>
  <c r="F22" i="16" s="1"/>
  <c r="C29" i="16"/>
  <c r="F29" i="16" s="1"/>
  <c r="C23" i="16"/>
  <c r="F23" i="16" s="1"/>
  <c r="C15" i="16"/>
  <c r="F15" i="16" s="1"/>
  <c r="C27" i="16"/>
  <c r="C20" i="16"/>
  <c r="C25" i="19"/>
  <c r="E25" i="19" s="1"/>
  <c r="C17" i="19"/>
  <c r="E17" i="19" s="1"/>
  <c r="C39" i="19"/>
  <c r="E39" i="19" s="1"/>
  <c r="C32" i="19"/>
  <c r="E32" i="19" s="1"/>
  <c r="C31" i="19"/>
  <c r="E31" i="19" s="1"/>
  <c r="C24" i="19"/>
  <c r="E24" i="19" s="1"/>
  <c r="C38" i="19"/>
  <c r="E38" i="19" s="1"/>
  <c r="C18" i="19"/>
  <c r="E18" i="19" s="1"/>
  <c r="C22" i="19"/>
  <c r="C14" i="19"/>
  <c r="C29" i="19"/>
  <c r="F38" i="16"/>
  <c r="C27" i="11"/>
  <c r="C31" i="11" s="1"/>
  <c r="C10" i="11"/>
  <c r="B27" i="11"/>
  <c r="B31" i="11" s="1"/>
  <c r="B10" i="11"/>
  <c r="B17" i="11" s="1"/>
  <c r="C37" i="19"/>
  <c r="E37" i="19" s="1"/>
  <c r="C23" i="19"/>
  <c r="E23" i="19" s="1"/>
  <c r="C30" i="19"/>
  <c r="E30" i="19" s="1"/>
  <c r="C15" i="19"/>
  <c r="E15" i="19" s="1"/>
  <c r="X98" i="2"/>
  <c r="R96" i="2"/>
  <c r="R98" i="2" s="1"/>
  <c r="S96" i="2"/>
  <c r="S98" i="2" s="1"/>
  <c r="W93" i="2"/>
  <c r="E50" i="11"/>
  <c r="F17" i="16" l="1"/>
  <c r="J17" i="16" s="1"/>
  <c r="C17" i="16"/>
  <c r="F31" i="16"/>
  <c r="C24" i="16"/>
  <c r="F24" i="16"/>
  <c r="C31" i="16"/>
  <c r="E19" i="19"/>
  <c r="I34" i="19" s="1"/>
  <c r="E33" i="19"/>
  <c r="E26" i="19"/>
  <c r="E41" i="19"/>
  <c r="C26" i="19"/>
  <c r="C41" i="19"/>
  <c r="C33" i="19"/>
  <c r="C19" i="19"/>
  <c r="C42" i="9"/>
  <c r="S19" i="9"/>
  <c r="S14" i="9"/>
  <c r="S12" i="9"/>
  <c r="S10" i="9"/>
  <c r="T42" i="9"/>
  <c r="O42" i="9"/>
  <c r="N42" i="9"/>
  <c r="K42" i="9"/>
  <c r="J42" i="9"/>
  <c r="G42" i="9"/>
  <c r="F42" i="9"/>
  <c r="B42" i="9"/>
  <c r="S40" i="9"/>
  <c r="R40" i="9"/>
  <c r="S39" i="9"/>
  <c r="R39" i="9"/>
  <c r="S38" i="9"/>
  <c r="R38" i="9"/>
  <c r="S37" i="9"/>
  <c r="R37" i="9"/>
  <c r="S36" i="9"/>
  <c r="R36" i="9"/>
  <c r="R35" i="9"/>
  <c r="S34" i="9"/>
  <c r="R34" i="9"/>
  <c r="S33" i="9"/>
  <c r="R33" i="9"/>
  <c r="S32" i="9"/>
  <c r="R32" i="9"/>
  <c r="S31" i="9"/>
  <c r="R31" i="9"/>
  <c r="S30" i="9"/>
  <c r="R30" i="9"/>
  <c r="S29" i="9"/>
  <c r="R29" i="9"/>
  <c r="T21" i="9"/>
  <c r="O21" i="9"/>
  <c r="N21" i="9"/>
  <c r="K21" i="9"/>
  <c r="J21" i="9"/>
  <c r="G21" i="9"/>
  <c r="F21" i="9"/>
  <c r="B21" i="9"/>
  <c r="R19" i="9"/>
  <c r="S18" i="9"/>
  <c r="R18" i="9"/>
  <c r="S17" i="9"/>
  <c r="R17" i="9"/>
  <c r="S16" i="9"/>
  <c r="R16" i="9"/>
  <c r="S15" i="9"/>
  <c r="R15" i="9"/>
  <c r="R14" i="9"/>
  <c r="S13" i="9"/>
  <c r="R13" i="9"/>
  <c r="R12" i="9"/>
  <c r="S11" i="9"/>
  <c r="R11" i="9"/>
  <c r="R10" i="9"/>
  <c r="S9" i="9"/>
  <c r="R9" i="9"/>
  <c r="S8" i="9"/>
  <c r="R8" i="9"/>
  <c r="T21" i="7"/>
  <c r="N21" i="7"/>
  <c r="K21" i="7"/>
  <c r="J21" i="7"/>
  <c r="G21" i="7"/>
  <c r="F21" i="7"/>
  <c r="S19" i="7"/>
  <c r="R19" i="7"/>
  <c r="R18" i="7"/>
  <c r="S18" i="7"/>
  <c r="S17" i="7"/>
  <c r="R17" i="7"/>
  <c r="S16" i="7"/>
  <c r="R16" i="7"/>
  <c r="S15" i="7"/>
  <c r="R15" i="7"/>
  <c r="R14" i="7"/>
  <c r="S14" i="7"/>
  <c r="R13" i="7"/>
  <c r="S13" i="7"/>
  <c r="S12" i="7"/>
  <c r="R12" i="7"/>
  <c r="S11" i="7"/>
  <c r="R11" i="7"/>
  <c r="S10" i="7"/>
  <c r="C21" i="7"/>
  <c r="R10" i="7"/>
  <c r="S9" i="7"/>
  <c r="R9" i="7"/>
  <c r="R8" i="7"/>
  <c r="O21" i="7"/>
  <c r="S35" i="9" l="1"/>
  <c r="S42" i="9" s="1"/>
  <c r="S43" i="9"/>
  <c r="T47" i="9"/>
  <c r="R42" i="9"/>
  <c r="N47" i="9"/>
  <c r="B7" i="10" s="1"/>
  <c r="D7" i="10" s="1"/>
  <c r="O47" i="9"/>
  <c r="C7" i="10" s="1"/>
  <c r="B47" i="9"/>
  <c r="B6" i="10" s="1"/>
  <c r="B8" i="10" s="1"/>
  <c r="B16" i="10" s="1"/>
  <c r="E16" i="10" s="1"/>
  <c r="R43" i="9"/>
  <c r="C21" i="9"/>
  <c r="C47" i="9" s="1"/>
  <c r="C6" i="10" s="1"/>
  <c r="R22" i="9"/>
  <c r="S21" i="9"/>
  <c r="R21" i="9"/>
  <c r="R21" i="7"/>
  <c r="S22" i="7"/>
  <c r="S8" i="7"/>
  <c r="S21" i="7" s="1"/>
  <c r="B21" i="7"/>
  <c r="R22" i="7" s="1"/>
  <c r="E7" i="10" l="1"/>
  <c r="E8" i="10" s="1"/>
  <c r="C8" i="10"/>
  <c r="D6" i="10"/>
  <c r="D8" i="10" s="1"/>
  <c r="B11" i="10"/>
  <c r="E11" i="10" s="1"/>
  <c r="B26" i="10"/>
  <c r="E26" i="10" s="1"/>
  <c r="B21" i="10"/>
  <c r="E21" i="10" s="1"/>
  <c r="R47" i="9"/>
  <c r="S47" i="9"/>
  <c r="C26" i="10"/>
  <c r="S22" i="9"/>
  <c r="C12" i="10" l="1"/>
  <c r="E12" i="10" s="1"/>
  <c r="E13" i="10" s="1"/>
  <c r="C27" i="10"/>
  <c r="E27" i="10" s="1"/>
  <c r="E28" i="10" s="1"/>
  <c r="C22" i="10"/>
  <c r="E22" i="10" s="1"/>
  <c r="E23" i="10" s="1"/>
  <c r="C17" i="10"/>
  <c r="E17" i="10" s="1"/>
  <c r="E18" i="10" s="1"/>
  <c r="C11" i="10"/>
  <c r="C16" i="10"/>
  <c r="C21" i="10"/>
  <c r="R19" i="5"/>
  <c r="S18" i="5"/>
  <c r="S17" i="5"/>
  <c r="R17" i="5"/>
  <c r="S14" i="5"/>
  <c r="R14" i="5"/>
  <c r="R12" i="5"/>
  <c r="S11" i="5"/>
  <c r="R10" i="5"/>
  <c r="R9" i="5"/>
  <c r="S13" i="5"/>
  <c r="T21" i="5"/>
  <c r="K21" i="5"/>
  <c r="J21" i="5"/>
  <c r="G21" i="5"/>
  <c r="F21" i="5"/>
  <c r="S19" i="5"/>
  <c r="R18" i="5"/>
  <c r="R16" i="5"/>
  <c r="S15" i="5"/>
  <c r="R15" i="5"/>
  <c r="R13" i="5"/>
  <c r="K42" i="2"/>
  <c r="O87" i="2"/>
  <c r="N87" i="2"/>
  <c r="K87" i="2"/>
  <c r="J87" i="2"/>
  <c r="G87" i="2"/>
  <c r="F87" i="2"/>
  <c r="C87" i="2"/>
  <c r="B87" i="2"/>
  <c r="O65" i="2"/>
  <c r="N65" i="2"/>
  <c r="K65" i="2"/>
  <c r="J65" i="2"/>
  <c r="G65" i="2"/>
  <c r="F65" i="2"/>
  <c r="C65" i="2"/>
  <c r="B65" i="2"/>
  <c r="J42" i="2"/>
  <c r="G42" i="2"/>
  <c r="F42" i="2"/>
  <c r="C42" i="2"/>
  <c r="B42" i="2"/>
  <c r="N42" i="2"/>
  <c r="K21" i="2"/>
  <c r="J21" i="2"/>
  <c r="G21" i="2"/>
  <c r="F21" i="2"/>
  <c r="C21" i="2"/>
  <c r="B21" i="2"/>
  <c r="C23" i="10" l="1"/>
  <c r="C13" i="10"/>
  <c r="C28" i="10"/>
  <c r="C18" i="10"/>
  <c r="S16" i="5"/>
  <c r="S9" i="5"/>
  <c r="V88" i="2"/>
  <c r="V66" i="2"/>
  <c r="V43" i="2"/>
  <c r="W66" i="2"/>
  <c r="W88" i="2"/>
  <c r="F93" i="2"/>
  <c r="F95" i="2" s="1"/>
  <c r="V42" i="2"/>
  <c r="J93" i="2"/>
  <c r="J95" i="2" s="1"/>
  <c r="K93" i="2"/>
  <c r="K95" i="2" s="1"/>
  <c r="G93" i="2"/>
  <c r="C93" i="2"/>
  <c r="B93" i="2"/>
  <c r="B21" i="5"/>
  <c r="S12" i="5"/>
  <c r="C21" i="5"/>
  <c r="S10" i="5"/>
  <c r="O21" i="5"/>
  <c r="N21" i="5"/>
  <c r="R11" i="5"/>
  <c r="R21" i="5" s="1"/>
  <c r="O21" i="2"/>
  <c r="O42" i="2"/>
  <c r="N21" i="2"/>
  <c r="V22" i="2" s="1"/>
  <c r="B96" i="2" l="1"/>
  <c r="W43" i="2"/>
  <c r="W22" i="2"/>
  <c r="F96" i="2"/>
  <c r="F98" i="2" s="1"/>
  <c r="J96" i="2"/>
  <c r="J98" i="2" s="1"/>
  <c r="B95" i="2"/>
  <c r="K96" i="2"/>
  <c r="K98" i="2" s="1"/>
  <c r="G96" i="2"/>
  <c r="G95" i="2"/>
  <c r="C96" i="2"/>
  <c r="C95" i="2"/>
  <c r="R22" i="5"/>
  <c r="S22" i="5"/>
  <c r="S21" i="5"/>
  <c r="N93" i="2"/>
  <c r="V93" i="2" s="1"/>
  <c r="O93" i="2"/>
  <c r="B98" i="2" l="1"/>
  <c r="C98" i="2"/>
  <c r="G98" i="2"/>
  <c r="O96" i="2"/>
  <c r="W96" i="2" s="1"/>
  <c r="O95" i="2"/>
  <c r="W95" i="2" s="1"/>
  <c r="N95" i="2"/>
  <c r="V95" i="2" s="1"/>
  <c r="N96" i="2"/>
  <c r="V96" i="2" s="1"/>
  <c r="W98" i="2" l="1"/>
  <c r="V98" i="2"/>
  <c r="O98" i="2"/>
  <c r="N98" i="2"/>
  <c r="D10" i="16"/>
</calcChain>
</file>

<file path=xl/sharedStrings.xml><?xml version="1.0" encoding="utf-8"?>
<sst xmlns="http://schemas.openxmlformats.org/spreadsheetml/2006/main" count="984" uniqueCount="96">
  <si>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</si>
  <si>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</si>
  <si>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</si>
  <si>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</si>
  <si>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</si>
  <si>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</si>
  <si>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</si>
  <si>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</si>
  <si>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</si>
  <si>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</si>
  <si>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</si>
  <si>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</si>
  <si>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</si>
  <si>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Actual Billing</t>
  </si>
  <si>
    <t>Residential</t>
  </si>
  <si>
    <t>1"</t>
  </si>
  <si>
    <t>1 1/2"</t>
  </si>
  <si>
    <t>2"</t>
  </si>
  <si>
    <t xml:space="preserve"> TEST YEAR BILLING ANALYSIS</t>
  </si>
  <si>
    <t>METER SIZE = 5/8 INCH</t>
  </si>
  <si>
    <t>Bills</t>
  </si>
  <si>
    <t>Gallons</t>
  </si>
  <si>
    <t>First 2,000</t>
  </si>
  <si>
    <t>Next 3,000</t>
  </si>
  <si>
    <t>Next 5,000</t>
  </si>
  <si>
    <t>Over 10,000</t>
  </si>
  <si>
    <t>Total</t>
  </si>
  <si>
    <t>Current Rates</t>
  </si>
  <si>
    <t>Rate</t>
  </si>
  <si>
    <t>Revenue</t>
  </si>
  <si>
    <t>New Rates</t>
  </si>
  <si>
    <t>10% Increase</t>
  </si>
  <si>
    <t>12% Increase</t>
  </si>
  <si>
    <t>Dollars</t>
  </si>
  <si>
    <t>GRAND TOTALS</t>
  </si>
  <si>
    <t>METER SIZE = 1 INCH</t>
  </si>
  <si>
    <t>First 5,000</t>
  </si>
  <si>
    <t>Total Billed</t>
  </si>
  <si>
    <t>First 10,000</t>
  </si>
  <si>
    <t>METER SIZE = 1.5 INCH</t>
  </si>
  <si>
    <t>METER SIZE = 2 INCH</t>
  </si>
  <si>
    <t>First 20,000</t>
  </si>
  <si>
    <t>Over 20,000</t>
  </si>
  <si>
    <t xml:space="preserve">             RECONCILIATION OF AMOUNT BILLED PER THE DISTRICT'S BILLING REGISTERS</t>
  </si>
  <si>
    <t xml:space="preserve">                     TO THE INCOME REPORTED IN THE PRO-FORMA INCOME STATEMENT</t>
  </si>
  <si>
    <t>Number</t>
  </si>
  <si>
    <t xml:space="preserve">Average </t>
  </si>
  <si>
    <t xml:space="preserve">of </t>
  </si>
  <si>
    <t>Bill</t>
  </si>
  <si>
    <t>Commercial &amp; Industrial</t>
  </si>
  <si>
    <t xml:space="preserve">     Total Billed</t>
  </si>
  <si>
    <t>Less Leak Adjustments</t>
  </si>
  <si>
    <t>Less Billing Errors</t>
  </si>
  <si>
    <t xml:space="preserve">                                 TO THE AMOUNT CALCULATED USING THE RATE TABLES</t>
  </si>
  <si>
    <t>Calculated Billing</t>
  </si>
  <si>
    <t>by Rate Table</t>
  </si>
  <si>
    <t xml:space="preserve">     Total Billed Using Rate Tables</t>
  </si>
  <si>
    <t xml:space="preserve">     Total Billed Per Billing Registers</t>
  </si>
  <si>
    <t xml:space="preserve">      Unexplained Difference</t>
  </si>
  <si>
    <t xml:space="preserve">                  CALCULATION OF INCREASE IN ANNUAL REVENUE FROM RATE INCREASE</t>
  </si>
  <si>
    <t>Proposed</t>
  </si>
  <si>
    <t>Rates</t>
  </si>
  <si>
    <t>Total Billing</t>
  </si>
  <si>
    <t>Increase In Annual Revenue With a Proposed Rate Increase</t>
  </si>
  <si>
    <t>Jan - Dec 2021</t>
  </si>
  <si>
    <t>RESIDENTIAL</t>
  </si>
  <si>
    <t>INDUSTRIAL</t>
  </si>
  <si>
    <t>TOTAL</t>
  </si>
  <si>
    <t>5/8" Residential</t>
  </si>
  <si>
    <t>Less Unbilled Revenue 12/31/20</t>
  </si>
  <si>
    <t>Plus Unbilled Revenue 12/31/21</t>
  </si>
  <si>
    <t>Next 10,000</t>
  </si>
  <si>
    <t>RATE CODE - WA-WB-WC-WD-WF - RESIDENTIAL</t>
  </si>
  <si>
    <t>RATE CODE - WG-WH-WI-WV - RESIDENTIAL</t>
  </si>
  <si>
    <t>RATE CODE - W2 - COMMERCIAL</t>
  </si>
  <si>
    <t>RATE CODE - W8 - WL - WP - WX - WZ</t>
  </si>
  <si>
    <t>RATE CODE - W0 - W9 - WJ - WK - WR - WY</t>
  </si>
  <si>
    <t>{101_200}</t>
  </si>
  <si>
    <t>{201+}</t>
  </si>
  <si>
    <t>0-100</t>
  </si>
  <si>
    <t>0-50</t>
  </si>
  <si>
    <t>51-100</t>
  </si>
  <si>
    <t>101-200</t>
  </si>
  <si>
    <t>201+</t>
  </si>
  <si>
    <t>RATE CODE - W1 - W4 - W5</t>
  </si>
  <si>
    <t>RATE CODE - WM - WN - WS - WT - WU</t>
  </si>
  <si>
    <t>RATE CODE - W3 - ZA - RESIDENTIAL</t>
  </si>
  <si>
    <t xml:space="preserve">                 BULLOCK PEN WATER DISTRICT</t>
  </si>
  <si>
    <t>RATE CODES - W1, W4, W5, WM, WN, WS, WT, WU</t>
  </si>
  <si>
    <t>BULLOCK PEN WATER DISTRICT</t>
  </si>
  <si>
    <t>RATE CODE - W8, WL, WP, WX, WZ</t>
  </si>
  <si>
    <t>RATE CODES - W0, W9, WJ, WK WR, WY</t>
  </si>
  <si>
    <t xml:space="preserve">                 BULLOCK PEN WATER DISTRICT </t>
  </si>
  <si>
    <t>RATE CODES - W3,ZA,WA,WB,WC,WD,WF,WG,WH,WI,WV,W2</t>
  </si>
  <si>
    <t>12.79% Increase</t>
  </si>
  <si>
    <t>Metered Water Sales Per Pro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</si>
</sst>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1" fillId="0" borderId="0" xfId="0" quotePrefix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4" fontId="0" fillId="0" borderId="3" xfId="0" applyNumberForma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3" fontId="0" fillId="0" borderId="9" xfId="0" applyNumberFormat="1" applyBorder="1"/>
    <xf numFmtId="2" fontId="0" fillId="0" borderId="9" xfId="0" applyNumberFormat="1" applyBorder="1"/>
    <xf numFmtId="9" fontId="0" fillId="0" borderId="9" xfId="0" applyNumberFormat="1" applyBorder="1"/>
    <xf numFmtId="0" fontId="0" fillId="0" borderId="9" xfId="0" applyBorder="1"/>
    <xf numFmtId="3" fontId="1" fillId="0" borderId="9" xfId="0" applyNumberFormat="1" applyFont="1" applyBorder="1"/>
    <xf numFmtId="4" fontId="1" fillId="0" borderId="9" xfId="0" applyNumberFormat="1" applyFont="1" applyBorder="1"/>
    <xf numFmtId="4" fontId="0" fillId="0" borderId="9" xfId="0" applyNumberFormat="1" applyBorder="1"/>
    <xf numFmtId="0" fontId="1" fillId="0" borderId="8" xfId="0" applyFont="1" applyBorder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left"/>
    </xf>
    <xf numFmtId="0" fontId="0" fillId="0" borderId="10" xfId="0" applyBorder="1"/>
    <xf numFmtId="3" fontId="0" fillId="0" borderId="1" xfId="0" applyNumberFormat="1" applyBorder="1"/>
    <xf numFmtId="0" fontId="0" fillId="0" borderId="8" xfId="0" applyBorder="1"/>
    <xf numFmtId="3" fontId="0" fillId="0" borderId="4" xfId="0" applyNumberFormat="1" applyBorder="1"/>
    <xf numFmtId="0" fontId="1" fillId="0" borderId="15" xfId="0" applyFont="1" applyBorder="1"/>
    <xf numFmtId="0" fontId="0" fillId="0" borderId="15" xfId="0" applyBorder="1"/>
    <xf numFmtId="0" fontId="0" fillId="0" borderId="7" xfId="0" applyBorder="1"/>
    <xf numFmtId="0" fontId="3" fillId="0" borderId="0" xfId="0" applyFont="1"/>
    <xf numFmtId="2" fontId="0" fillId="0" borderId="0" xfId="0" applyNumberFormat="1"/>
    <xf numFmtId="4" fontId="1" fillId="0" borderId="2" xfId="0" applyNumberFormat="1" applyFont="1" applyBorder="1"/>
    <xf numFmtId="3" fontId="0" fillId="0" borderId="2" xfId="0" applyNumberFormat="1" applyBorder="1"/>
    <xf numFmtId="4" fontId="1" fillId="0" borderId="3" xfId="0" applyNumberFormat="1" applyFont="1" applyBorder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3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/>
    <xf numFmtId="3" fontId="0" fillId="0" borderId="3" xfId="0" applyNumberFormat="1" applyBorder="1"/>
    <xf numFmtId="0" fontId="0" fillId="0" borderId="5" xfId="0" applyBorder="1"/>
    <xf numFmtId="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SOFFICE\pal\GCSSD%202016%20Rate%20Increase\GCSSD%20Income%20Calculation%20Using%20Rate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 Yr Res 5 8&quot; YA"/>
      <sheetName val="Test Yr Res 5 8&quot; YH"/>
      <sheetName val="Test Yr Com 5 8&quot; YB"/>
      <sheetName val="Test Yr Com 5 8&quot; YC"/>
      <sheetName val="Test Year Rev 1&quot;"/>
      <sheetName val="Test Ye Revnues 1.5&quot;"/>
      <sheetName val="Test Yr Revenue 2&quot; YF"/>
      <sheetName val="Test Yr Revenue 2&quot; YG"/>
      <sheetName val="Revenue w New Rates"/>
      <sheetName val="Actual Bills by Rate Code"/>
      <sheetName val="Commercial 3 4&quot; Sales"/>
      <sheetName val="1&quot; Sales"/>
      <sheetName val="1 1 2' Sales"/>
      <sheetName val="2&quot; Sales"/>
    </sheetNames>
    <sheetDataSet>
      <sheetData sheetId="0">
        <row r="13">
          <cell r="B13">
            <v>16205</v>
          </cell>
        </row>
        <row r="17">
          <cell r="F17">
            <v>570709.63</v>
          </cell>
        </row>
        <row r="38">
          <cell r="F38">
            <v>684803.70000000007</v>
          </cell>
        </row>
      </sheetData>
      <sheetData sheetId="1">
        <row r="13">
          <cell r="B13">
            <v>635</v>
          </cell>
        </row>
        <row r="17">
          <cell r="F17">
            <v>33051.129999999997</v>
          </cell>
        </row>
        <row r="38">
          <cell r="F38">
            <v>39656.58</v>
          </cell>
        </row>
      </sheetData>
      <sheetData sheetId="2">
        <row r="13">
          <cell r="B13">
            <v>447</v>
          </cell>
        </row>
        <row r="17">
          <cell r="F17">
            <v>16403</v>
          </cell>
        </row>
        <row r="38">
          <cell r="F38">
            <v>19683.599999999999</v>
          </cell>
        </row>
      </sheetData>
      <sheetData sheetId="3">
        <row r="13">
          <cell r="B13">
            <v>36</v>
          </cell>
        </row>
        <row r="17">
          <cell r="F17">
            <v>1764</v>
          </cell>
        </row>
        <row r="38">
          <cell r="F38">
            <v>2116.8000000000002</v>
          </cell>
        </row>
      </sheetData>
      <sheetData sheetId="4">
        <row r="12">
          <cell r="B12">
            <v>179</v>
          </cell>
        </row>
        <row r="15">
          <cell r="E15">
            <v>11650.5</v>
          </cell>
        </row>
        <row r="33">
          <cell r="E33">
            <v>13980.6</v>
          </cell>
        </row>
      </sheetData>
      <sheetData sheetId="5">
        <row r="11">
          <cell r="B11">
            <v>36</v>
          </cell>
        </row>
        <row r="13">
          <cell r="E13">
            <v>2910</v>
          </cell>
        </row>
        <row r="28">
          <cell r="E28">
            <v>3492</v>
          </cell>
        </row>
      </sheetData>
      <sheetData sheetId="6">
        <row r="11">
          <cell r="B11">
            <v>103</v>
          </cell>
        </row>
        <row r="13">
          <cell r="E13">
            <v>10480</v>
          </cell>
        </row>
        <row r="28">
          <cell r="E28">
            <v>12576</v>
          </cell>
        </row>
      </sheetData>
      <sheetData sheetId="7">
        <row r="11">
          <cell r="B11">
            <v>36</v>
          </cell>
        </row>
        <row r="13">
          <cell r="E13">
            <v>4210</v>
          </cell>
        </row>
        <row r="28">
          <cell r="E28">
            <v>5052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6942-684B-45BD-AA75-762765DC5C40}">
  <dimension ref="A3:G51"/>
  <sheetViews>
    <sheetView tabSelected="1" workbookViewId="0"/>
  </sheetViews>
  <sheetFormatPr defaultRowHeight="12.75" x14ac:dyDescent="0.2"/>
  <cols>
    <col min="1" max="1" width="34.7109375" customWidth="1"/>
    <col min="2" max="2" width="16.7109375" customWidth="1"/>
    <col min="3" max="3" width="8.140625" customWidth="1"/>
    <col min="4" max="4" width="8.85546875" customWidth="1"/>
    <col min="5" max="5" width="17.42578125" bestFit="1" customWidth="1"/>
    <col min="6" max="6" width="8.140625" customWidth="1"/>
  </cols>
  <sheetData>
    <row r="3" spans="1:4" ht="15" x14ac:dyDescent="0.25">
      <c r="A3" s="41" t="s">
        <v>43</v>
      </c>
    </row>
    <row r="4" spans="1:4" ht="15" x14ac:dyDescent="0.25">
      <c r="A4" s="41" t="s">
        <v>44</v>
      </c>
    </row>
    <row r="6" spans="1:4" x14ac:dyDescent="0.2">
      <c r="B6" s="1" t="s">
        <v>13</v>
      </c>
      <c r="C6" s="1" t="s">
        <v>45</v>
      </c>
      <c r="D6" s="1"/>
    </row>
    <row r="7" spans="1:4" x14ac:dyDescent="0.2">
      <c r="B7" s="1" t="s">
        <v>64</v>
      </c>
      <c r="C7" s="1" t="s">
        <v>47</v>
      </c>
      <c r="D7" s="1"/>
    </row>
    <row r="8" spans="1:4" x14ac:dyDescent="0.2">
      <c r="B8" s="1"/>
      <c r="C8" s="1" t="s">
        <v>20</v>
      </c>
    </row>
    <row r="9" spans="1:4" x14ac:dyDescent="0.2">
      <c r="B9" s="7"/>
    </row>
    <row r="10" spans="1:4" ht="13.5" thickBot="1" x14ac:dyDescent="0.25">
      <c r="A10" s="9" t="s">
        <v>50</v>
      </c>
      <c r="B10" s="43">
        <f>B48</f>
        <v>4325881</v>
      </c>
      <c r="C10" s="44">
        <f>C48</f>
        <v>89725</v>
      </c>
    </row>
    <row r="11" spans="1:4" ht="13.5" thickTop="1" x14ac:dyDescent="0.2">
      <c r="B11" s="3"/>
      <c r="C11" s="3"/>
      <c r="D11" s="2"/>
    </row>
    <row r="12" spans="1:4" x14ac:dyDescent="0.2">
      <c r="A12" t="s">
        <v>69</v>
      </c>
      <c r="B12" s="3">
        <v>-184687.38</v>
      </c>
      <c r="C12" s="3"/>
      <c r="D12" s="2"/>
    </row>
    <row r="13" spans="1:4" x14ac:dyDescent="0.2">
      <c r="A13" t="s">
        <v>70</v>
      </c>
      <c r="B13" s="3">
        <v>184517.23</v>
      </c>
      <c r="C13" s="3"/>
      <c r="D13" s="2"/>
    </row>
    <row r="14" spans="1:4" x14ac:dyDescent="0.2">
      <c r="A14" t="s">
        <v>51</v>
      </c>
      <c r="B14" s="3">
        <v>-21420.28</v>
      </c>
      <c r="C14" s="3"/>
      <c r="D14" s="2"/>
    </row>
    <row r="15" spans="1:4" x14ac:dyDescent="0.2">
      <c r="A15" t="s">
        <v>52</v>
      </c>
      <c r="B15" s="4">
        <v>-17657.5</v>
      </c>
      <c r="C15" s="3"/>
      <c r="D15" s="2"/>
    </row>
    <row r="16" spans="1:4" x14ac:dyDescent="0.2">
      <c r="B16" s="3"/>
      <c r="C16" s="3"/>
      <c r="D16" s="2"/>
    </row>
    <row r="17" spans="1:5" ht="13.5" thickBot="1" x14ac:dyDescent="0.25">
      <c r="A17" s="9" t="s">
        <v>95</v>
      </c>
      <c r="B17" s="45">
        <f>SUM(B10:B15)</f>
        <v>4286633.07</v>
      </c>
      <c r="C17" s="3"/>
      <c r="D17" s="2"/>
    </row>
    <row r="18" spans="1:5" ht="13.5" thickTop="1" x14ac:dyDescent="0.2">
      <c r="A18" s="9"/>
      <c r="B18" s="27"/>
      <c r="C18" s="3"/>
      <c r="D18" s="2"/>
    </row>
    <row r="19" spans="1:5" x14ac:dyDescent="0.2">
      <c r="C19" s="3"/>
      <c r="D19" s="2"/>
      <c r="E19" s="2"/>
    </row>
    <row r="20" spans="1:5" ht="15" x14ac:dyDescent="0.25">
      <c r="A20" s="41" t="s">
        <v>43</v>
      </c>
      <c r="C20" s="3"/>
      <c r="D20" s="2"/>
      <c r="E20" s="2"/>
    </row>
    <row r="21" spans="1:5" ht="15" x14ac:dyDescent="0.25">
      <c r="A21" s="41" t="s">
        <v>53</v>
      </c>
      <c r="C21" s="3"/>
      <c r="D21" s="2"/>
      <c r="E21" s="2"/>
    </row>
    <row r="22" spans="1:5" x14ac:dyDescent="0.2">
      <c r="C22" s="3"/>
      <c r="D22" s="2"/>
      <c r="E22" s="2"/>
    </row>
    <row r="23" spans="1:5" x14ac:dyDescent="0.2">
      <c r="B23" s="1" t="s">
        <v>54</v>
      </c>
      <c r="C23" s="1" t="s">
        <v>45</v>
      </c>
      <c r="D23" s="2"/>
      <c r="E23" s="2"/>
    </row>
    <row r="24" spans="1:5" x14ac:dyDescent="0.2">
      <c r="B24" s="1" t="s">
        <v>55</v>
      </c>
      <c r="C24" s="1" t="s">
        <v>47</v>
      </c>
      <c r="D24" s="2"/>
      <c r="E24" s="2"/>
    </row>
    <row r="25" spans="1:5" x14ac:dyDescent="0.2">
      <c r="B25" s="1" t="s">
        <v>64</v>
      </c>
      <c r="C25" s="1" t="s">
        <v>20</v>
      </c>
      <c r="D25" s="2"/>
      <c r="E25" s="2"/>
    </row>
    <row r="26" spans="1:5" x14ac:dyDescent="0.2">
      <c r="B26" s="6"/>
      <c r="D26" s="2"/>
      <c r="E26" s="2"/>
    </row>
    <row r="27" spans="1:5" x14ac:dyDescent="0.2">
      <c r="A27" s="9" t="s">
        <v>56</v>
      </c>
      <c r="B27" s="46">
        <f>B48</f>
        <v>4325881</v>
      </c>
      <c r="C27" s="46">
        <f>C48</f>
        <v>89725</v>
      </c>
      <c r="D27" s="2"/>
      <c r="E27" s="2"/>
    </row>
    <row r="28" spans="1:5" x14ac:dyDescent="0.2">
      <c r="A28" s="9"/>
      <c r="C28" s="3"/>
      <c r="D28" s="2"/>
      <c r="E28" s="2"/>
    </row>
    <row r="29" spans="1:5" x14ac:dyDescent="0.2">
      <c r="A29" s="9" t="s">
        <v>57</v>
      </c>
      <c r="B29" s="47">
        <v>4324208</v>
      </c>
      <c r="C29" s="47">
        <v>89725</v>
      </c>
      <c r="D29" s="2"/>
      <c r="E29" s="2"/>
    </row>
    <row r="30" spans="1:5" x14ac:dyDescent="0.2">
      <c r="C30" s="3"/>
      <c r="D30" s="2"/>
      <c r="E30" s="2"/>
    </row>
    <row r="31" spans="1:5" ht="13.5" thickBot="1" x14ac:dyDescent="0.25">
      <c r="A31" s="9" t="s">
        <v>58</v>
      </c>
      <c r="B31" s="48">
        <f>B27-B29</f>
        <v>1673</v>
      </c>
      <c r="C31" s="48">
        <f>C27-C29</f>
        <v>0</v>
      </c>
      <c r="D31" s="2"/>
      <c r="E31" s="2"/>
    </row>
    <row r="32" spans="1:5" ht="13.5" thickTop="1" x14ac:dyDescent="0.2">
      <c r="A32" s="9"/>
      <c r="B32" s="46"/>
      <c r="C32" s="46"/>
      <c r="D32" s="2"/>
      <c r="E32" s="2"/>
    </row>
    <row r="33" spans="1:7" x14ac:dyDescent="0.2">
      <c r="C33" s="3"/>
      <c r="D33" s="2"/>
      <c r="E33" s="2"/>
    </row>
    <row r="34" spans="1:7" ht="15" x14ac:dyDescent="0.25">
      <c r="A34" s="41" t="s">
        <v>59</v>
      </c>
      <c r="C34" s="3"/>
      <c r="D34" s="2"/>
      <c r="E34" s="2"/>
    </row>
    <row r="35" spans="1:7" x14ac:dyDescent="0.2">
      <c r="C35" s="3"/>
      <c r="D35" s="2"/>
      <c r="E35" s="2"/>
    </row>
    <row r="36" spans="1:7" x14ac:dyDescent="0.2">
      <c r="B36" s="1" t="s">
        <v>54</v>
      </c>
      <c r="C36" s="1" t="s">
        <v>45</v>
      </c>
      <c r="D36" s="1" t="s">
        <v>46</v>
      </c>
      <c r="E36" s="1" t="s">
        <v>54</v>
      </c>
      <c r="F36" s="1" t="s">
        <v>45</v>
      </c>
      <c r="G36" s="1" t="s">
        <v>46</v>
      </c>
    </row>
    <row r="37" spans="1:7" x14ac:dyDescent="0.2">
      <c r="B37" s="1" t="s">
        <v>55</v>
      </c>
      <c r="C37" s="1" t="s">
        <v>47</v>
      </c>
      <c r="D37" s="1" t="s">
        <v>48</v>
      </c>
      <c r="E37" s="1" t="s">
        <v>55</v>
      </c>
      <c r="F37" s="1" t="s">
        <v>47</v>
      </c>
      <c r="G37" s="1" t="s">
        <v>48</v>
      </c>
    </row>
    <row r="38" spans="1:7" x14ac:dyDescent="0.2">
      <c r="B38" s="1" t="s">
        <v>64</v>
      </c>
      <c r="C38" s="1" t="s">
        <v>20</v>
      </c>
      <c r="E38" s="1" t="s">
        <v>60</v>
      </c>
      <c r="F38" s="1" t="s">
        <v>20</v>
      </c>
    </row>
    <row r="39" spans="1:7" x14ac:dyDescent="0.2">
      <c r="B39" s="6"/>
      <c r="E39" s="6" t="s">
        <v>61</v>
      </c>
    </row>
    <row r="40" spans="1:7" hidden="1" x14ac:dyDescent="0.2">
      <c r="A40" t="s">
        <v>14</v>
      </c>
      <c r="B40" s="2">
        <f>'[1]Test Yr Res 5 8" YA'!F17+'[1]Test Yr Res 5 8" YH'!F17</f>
        <v>603760.76</v>
      </c>
      <c r="C40" s="2">
        <f>'[1]Test Yr Res 5 8" YA'!B13+'[1]Test Yr Res 5 8" YH'!B13</f>
        <v>16840</v>
      </c>
      <c r="D40" s="42">
        <f>B40/C40</f>
        <v>35.852776722090262</v>
      </c>
      <c r="E40" s="2">
        <f>'[1]Test Yr Res 5 8" YA'!F38+'[1]Test Yr Res 5 8" YH'!F38</f>
        <v>724460.28</v>
      </c>
      <c r="F40" s="2">
        <v>16840</v>
      </c>
      <c r="G40" s="42">
        <f>E40/F40</f>
        <v>43.020206650831355</v>
      </c>
    </row>
    <row r="41" spans="1:7" hidden="1" x14ac:dyDescent="0.2">
      <c r="A41" t="s">
        <v>49</v>
      </c>
      <c r="B41" s="35">
        <f>'[1]Test Yr Com 5 8" YB'!F17+'[1]Test Yr Com 5 8" YC'!F17+'[1]Test Year Rev 1"'!E15+'[1]Test Ye Revnues 1.5"'!E13+'[1]Test Yr Revenue 2" YF'!E13+'[1]Test Yr Revenue 2" YG'!E13</f>
        <v>47417.5</v>
      </c>
      <c r="C41" s="35">
        <f>'[1]Test Yr Com 5 8" YB'!B13+'[1]Test Yr Com 5 8" YC'!B13+'[1]Test Year Rev 1"'!B12+'[1]Test Ye Revnues 1.5"'!B11+'[1]Test Yr Revenue 2" YF'!B11+'[1]Test Yr Revenue 2" YG'!B11</f>
        <v>837</v>
      </c>
      <c r="D41" s="42">
        <f>B41/C41</f>
        <v>56.651732377538828</v>
      </c>
      <c r="E41" s="35">
        <f>'[1]Test Yr Com 5 8" YB'!F38+'[1]Test Yr Com 5 8" YC'!F38+'[1]Test Year Rev 1"'!E33+'[1]Test Ye Revnues 1.5"'!E28+'[1]Test Yr Revenue 2" YF'!E28+'[1]Test Yr Revenue 2" YG'!E28</f>
        <v>56901</v>
      </c>
      <c r="F41" s="35">
        <v>837</v>
      </c>
      <c r="G41" s="42">
        <f>E41/F41</f>
        <v>67.982078853046602</v>
      </c>
    </row>
    <row r="42" spans="1:7" ht="13.5" hidden="1" thickBot="1" x14ac:dyDescent="0.25">
      <c r="A42" t="s">
        <v>50</v>
      </c>
      <c r="B42" s="49">
        <f>SUM(B40:B41)</f>
        <v>651178.26</v>
      </c>
      <c r="C42" s="49">
        <f>SUM(C40:C41)</f>
        <v>17677</v>
      </c>
      <c r="D42" s="27"/>
      <c r="E42" s="48">
        <f>SUM(E40:E41)</f>
        <v>781361.28</v>
      </c>
      <c r="F42" s="49">
        <f t="shared" ref="F42" si="0">SUM(F40:F41)</f>
        <v>17677</v>
      </c>
      <c r="G42" s="27"/>
    </row>
    <row r="43" spans="1:7" x14ac:dyDescent="0.2">
      <c r="B43" s="2"/>
      <c r="C43" s="3"/>
    </row>
    <row r="44" spans="1:7" x14ac:dyDescent="0.2">
      <c r="A44" s="2" t="s">
        <v>68</v>
      </c>
      <c r="B44" s="2">
        <v>4138444</v>
      </c>
      <c r="C44" s="2">
        <v>88116</v>
      </c>
      <c r="D44" s="3">
        <f>B44/C44</f>
        <v>46.965863180353168</v>
      </c>
      <c r="E44" s="2">
        <v>4668763</v>
      </c>
      <c r="F44" s="2">
        <v>88116</v>
      </c>
      <c r="G44" s="3">
        <f>E44/F44</f>
        <v>52.984282082709157</v>
      </c>
    </row>
    <row r="45" spans="1:7" x14ac:dyDescent="0.2">
      <c r="A45" s="2" t="s">
        <v>15</v>
      </c>
      <c r="B45" s="2">
        <v>98743</v>
      </c>
      <c r="C45" s="2">
        <v>1192</v>
      </c>
      <c r="D45" s="3">
        <f>B45/C45</f>
        <v>82.838087248322154</v>
      </c>
      <c r="E45" s="2">
        <v>111393</v>
      </c>
      <c r="F45" s="2">
        <v>1192</v>
      </c>
      <c r="G45" s="3">
        <f>E45/F45</f>
        <v>93.450503355704697</v>
      </c>
    </row>
    <row r="46" spans="1:7" x14ac:dyDescent="0.2">
      <c r="A46" s="2" t="s">
        <v>16</v>
      </c>
      <c r="B46" s="2">
        <v>12096</v>
      </c>
      <c r="C46" s="2">
        <v>103</v>
      </c>
      <c r="D46" s="3">
        <f>B46/C46</f>
        <v>117.4368932038835</v>
      </c>
      <c r="E46" s="2">
        <v>13646</v>
      </c>
      <c r="F46" s="2">
        <v>103</v>
      </c>
      <c r="G46" s="3">
        <f>E46/F46</f>
        <v>132.48543689320388</v>
      </c>
    </row>
    <row r="47" spans="1:7" x14ac:dyDescent="0.2">
      <c r="A47" s="2" t="s">
        <v>17</v>
      </c>
      <c r="B47" s="35">
        <v>76598</v>
      </c>
      <c r="C47" s="35">
        <v>314</v>
      </c>
      <c r="D47" s="3">
        <f>B47/C47</f>
        <v>243.94267515923568</v>
      </c>
      <c r="E47" s="35">
        <v>86429</v>
      </c>
      <c r="F47" s="2">
        <v>314</v>
      </c>
      <c r="G47" s="3">
        <f>E47/F47</f>
        <v>275.25159235668792</v>
      </c>
    </row>
    <row r="48" spans="1:7" ht="13.5" thickBot="1" x14ac:dyDescent="0.25">
      <c r="A48" s="2" t="s">
        <v>62</v>
      </c>
      <c r="B48" s="50">
        <f>SUM(B44:B47)</f>
        <v>4325881</v>
      </c>
      <c r="C48" s="49">
        <f>SUM(C44:C47)</f>
        <v>89725</v>
      </c>
      <c r="D48" s="2"/>
      <c r="E48" s="50">
        <f>SUM(E44:E47)</f>
        <v>4880231</v>
      </c>
      <c r="F48" s="49">
        <f>SUM(F44:F47)</f>
        <v>89725</v>
      </c>
    </row>
    <row r="49" spans="1:6" ht="13.5" thickTop="1" x14ac:dyDescent="0.2">
      <c r="A49" s="2"/>
      <c r="B49" s="46"/>
      <c r="C49" s="46"/>
      <c r="D49" s="2"/>
      <c r="E49" s="46"/>
      <c r="F49" s="46"/>
    </row>
    <row r="50" spans="1:6" ht="13.5" thickBot="1" x14ac:dyDescent="0.25">
      <c r="A50" s="9" t="s">
        <v>63</v>
      </c>
      <c r="D50" s="2"/>
      <c r="E50" s="48">
        <f>E48-B48</f>
        <v>554350</v>
      </c>
    </row>
    <row r="51" spans="1:6" ht="13.5" thickTop="1" x14ac:dyDescent="0.2"/>
  </sheetData>
  <pageMargins left="0.25" right="0.25" top="0.75" bottom="0.75" header="0.3" footer="0.3"/>
  <pageSetup orientation="portrait" r:id="rId1"/>
  <headerFooter>
    <oddHeader>&amp;C&amp;"Arial,Bold"&amp;11Bullock Pen Water District&amp;R&amp;"Arial,Bold"&amp;14Second Request
Response 2.c.
Witness - Debbra Dedden, CPA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667E-F902-4864-A758-B38DCDB887C5}">
  <dimension ref="A1:I41"/>
  <sheetViews>
    <sheetView topLeftCell="A10" zoomScaleNormal="100" workbookViewId="0">
      <selection activeCell="I34" sqref="I34"/>
    </sheetView>
  </sheetViews>
  <sheetFormatPr defaultRowHeight="12.75" x14ac:dyDescent="0.2"/>
  <cols>
    <col min="1" max="1" width="11" style="9" bestFit="1" customWidth="1"/>
    <col min="2" max="7" width="9.7109375" style="9" customWidth="1"/>
    <col min="8" max="8" width="10.85546875" style="9" customWidth="1"/>
    <col min="9" max="9" width="11.7109375" style="9" bestFit="1" customWidth="1"/>
    <col min="10" max="16384" width="9.140625" style="9"/>
  </cols>
  <sheetData>
    <row r="1" spans="1:8" ht="24.95" customHeight="1" x14ac:dyDescent="0.2">
      <c r="A1" s="10"/>
      <c r="B1" s="11" t="s">
        <v>92</v>
      </c>
      <c r="C1" s="11"/>
      <c r="D1" s="11"/>
      <c r="E1" s="11"/>
      <c r="F1" s="11"/>
      <c r="G1" s="11"/>
      <c r="H1" s="12"/>
    </row>
    <row r="2" spans="1:8" ht="24.95" customHeight="1" x14ac:dyDescent="0.2">
      <c r="A2" s="13"/>
      <c r="B2" s="14"/>
      <c r="C2" s="14" t="s">
        <v>18</v>
      </c>
      <c r="D2" s="14"/>
      <c r="E2" s="14"/>
      <c r="F2" s="14"/>
      <c r="G2" s="14"/>
      <c r="H2" s="15"/>
    </row>
    <row r="3" spans="1:8" ht="24.95" customHeight="1" x14ac:dyDescent="0.2">
      <c r="A3" s="10" t="s">
        <v>93</v>
      </c>
      <c r="B3" s="11"/>
      <c r="C3" s="11"/>
      <c r="D3" s="11"/>
      <c r="E3" s="11"/>
      <c r="F3" s="11"/>
      <c r="G3" s="11"/>
      <c r="H3" s="16" t="s">
        <v>19</v>
      </c>
    </row>
    <row r="4" spans="1:8" x14ac:dyDescent="0.2">
      <c r="A4" s="10"/>
      <c r="H4" s="12"/>
    </row>
    <row r="5" spans="1:8" ht="20.100000000000001" customHeight="1" x14ac:dyDescent="0.2">
      <c r="A5" s="17"/>
      <c r="B5" s="18" t="s">
        <v>20</v>
      </c>
      <c r="C5" s="18" t="s">
        <v>21</v>
      </c>
      <c r="D5" s="17">
        <v>2</v>
      </c>
      <c r="E5" s="17">
        <v>3</v>
      </c>
      <c r="F5" s="17">
        <v>5</v>
      </c>
      <c r="G5" s="17">
        <v>10</v>
      </c>
      <c r="H5" s="17">
        <v>20</v>
      </c>
    </row>
    <row r="6" spans="1:8" ht="20.100000000000001" customHeight="1" x14ac:dyDescent="0.2">
      <c r="A6" s="17" t="s">
        <v>22</v>
      </c>
      <c r="B6" s="19">
        <v>34936</v>
      </c>
      <c r="C6" s="19">
        <v>44556</v>
      </c>
      <c r="D6" s="19">
        <f>C6</f>
        <v>44556</v>
      </c>
      <c r="E6" s="19"/>
      <c r="F6" s="19"/>
      <c r="G6" s="20"/>
      <c r="H6" s="19"/>
    </row>
    <row r="7" spans="1:8" ht="20.100000000000001" customHeight="1" x14ac:dyDescent="0.2">
      <c r="A7" s="17" t="s">
        <v>23</v>
      </c>
      <c r="B7" s="19">
        <v>36486</v>
      </c>
      <c r="C7" s="19">
        <v>139419</v>
      </c>
      <c r="D7" s="19">
        <f>B7*2</f>
        <v>72972</v>
      </c>
      <c r="E7" s="19">
        <f>C7-D7</f>
        <v>66447</v>
      </c>
      <c r="F7" s="19"/>
      <c r="G7" s="19"/>
      <c r="H7" s="19"/>
    </row>
    <row r="8" spans="1:8" ht="20.100000000000001" customHeight="1" x14ac:dyDescent="0.2">
      <c r="A8" s="17" t="s">
        <v>24</v>
      </c>
      <c r="B8" s="19">
        <v>13317</v>
      </c>
      <c r="C8" s="19">
        <v>95954</v>
      </c>
      <c r="D8" s="19">
        <f>B8*2</f>
        <v>26634</v>
      </c>
      <c r="E8" s="19">
        <f>B8*3</f>
        <v>39951</v>
      </c>
      <c r="F8" s="19">
        <f>C8-D8-E8</f>
        <v>29369</v>
      </c>
      <c r="G8" s="19"/>
      <c r="H8" s="19"/>
    </row>
    <row r="9" spans="1:8" ht="20.100000000000001" customHeight="1" x14ac:dyDescent="0.2">
      <c r="A9" s="17" t="s">
        <v>71</v>
      </c>
      <c r="B9" s="19">
        <v>2734</v>
      </c>
      <c r="C9" s="19">
        <v>36944</v>
      </c>
      <c r="D9" s="19">
        <f>B9*2</f>
        <v>5468</v>
      </c>
      <c r="E9" s="19">
        <f>B9*3</f>
        <v>8202</v>
      </c>
      <c r="F9" s="19">
        <f>B9*5</f>
        <v>13670</v>
      </c>
      <c r="G9" s="19">
        <f>C9-D9-E9-F9</f>
        <v>9604</v>
      </c>
      <c r="H9" s="19"/>
    </row>
    <row r="10" spans="1:8" ht="20.100000000000001" customHeight="1" x14ac:dyDescent="0.2">
      <c r="A10" s="17" t="s">
        <v>42</v>
      </c>
      <c r="B10" s="19">
        <v>643</v>
      </c>
      <c r="C10" s="19">
        <v>25906</v>
      </c>
      <c r="D10" s="19">
        <f>B10*2</f>
        <v>1286</v>
      </c>
      <c r="E10" s="19">
        <f>B10*3</f>
        <v>1929</v>
      </c>
      <c r="F10" s="19">
        <f>B10*5</f>
        <v>3215</v>
      </c>
      <c r="G10" s="19">
        <f>B10*10</f>
        <v>6430</v>
      </c>
      <c r="H10" s="19">
        <f>C10-D10-E10-F10-G10</f>
        <v>13046</v>
      </c>
    </row>
    <row r="11" spans="1:8" ht="24.95" customHeight="1" x14ac:dyDescent="0.2">
      <c r="A11" s="17" t="s">
        <v>26</v>
      </c>
      <c r="B11" s="19">
        <f>SUM(B6:B10)</f>
        <v>88116</v>
      </c>
      <c r="C11" s="19">
        <f t="shared" ref="C11:H11" si="0">SUM(C6:C10)</f>
        <v>342779</v>
      </c>
      <c r="D11" s="19">
        <f t="shared" si="0"/>
        <v>150916</v>
      </c>
      <c r="E11" s="19">
        <f t="shared" si="0"/>
        <v>116529</v>
      </c>
      <c r="F11" s="19">
        <f t="shared" si="0"/>
        <v>46254</v>
      </c>
      <c r="G11" s="19">
        <f t="shared" si="0"/>
        <v>16034</v>
      </c>
      <c r="H11" s="19">
        <f t="shared" si="0"/>
        <v>13046</v>
      </c>
    </row>
    <row r="12" spans="1:8" x14ac:dyDescent="0.2">
      <c r="A12" s="10" t="s">
        <v>27</v>
      </c>
    </row>
    <row r="13" spans="1:8" s="1" customFormat="1" ht="24.95" customHeight="1" x14ac:dyDescent="0.2">
      <c r="A13" s="18"/>
      <c r="B13" s="18" t="s">
        <v>20</v>
      </c>
      <c r="C13" s="18" t="s">
        <v>21</v>
      </c>
      <c r="D13" s="18" t="s">
        <v>28</v>
      </c>
      <c r="E13" s="18" t="s">
        <v>29</v>
      </c>
      <c r="F13" s="18"/>
      <c r="G13" s="18"/>
      <c r="H13" s="18"/>
    </row>
    <row r="14" spans="1:8" ht="20.100000000000001" customHeight="1" x14ac:dyDescent="0.2">
      <c r="A14" s="17" t="s">
        <v>22</v>
      </c>
      <c r="B14" s="19">
        <f>$B$11</f>
        <v>88116</v>
      </c>
      <c r="C14" s="19">
        <f>$D$11</f>
        <v>150916</v>
      </c>
      <c r="D14" s="20">
        <v>27.71</v>
      </c>
      <c r="E14" s="19">
        <f>B14*D14</f>
        <v>2441694.36</v>
      </c>
      <c r="F14" s="20"/>
      <c r="G14" s="20"/>
      <c r="H14" s="21"/>
    </row>
    <row r="15" spans="1:8" ht="20.100000000000001" customHeight="1" x14ac:dyDescent="0.2">
      <c r="A15" s="17" t="s">
        <v>23</v>
      </c>
      <c r="B15" s="22"/>
      <c r="C15" s="19">
        <f>$E$11</f>
        <v>116529</v>
      </c>
      <c r="D15" s="20">
        <v>9.36</v>
      </c>
      <c r="E15" s="19">
        <f>C15*D15</f>
        <v>1090711.44</v>
      </c>
      <c r="F15" s="20"/>
      <c r="G15" s="20"/>
      <c r="H15" s="21"/>
    </row>
    <row r="16" spans="1:8" ht="20.100000000000001" customHeight="1" x14ac:dyDescent="0.2">
      <c r="A16" s="17" t="s">
        <v>24</v>
      </c>
      <c r="B16" s="22"/>
      <c r="C16" s="19">
        <f>$F$11</f>
        <v>46254</v>
      </c>
      <c r="D16" s="20">
        <v>8.52</v>
      </c>
      <c r="E16" s="19">
        <f>C16*D16</f>
        <v>394084.07999999996</v>
      </c>
      <c r="F16" s="20"/>
      <c r="G16" s="20"/>
      <c r="H16" s="21"/>
    </row>
    <row r="17" spans="1:9" ht="20.100000000000001" customHeight="1" x14ac:dyDescent="0.2">
      <c r="A17" s="17" t="s">
        <v>71</v>
      </c>
      <c r="B17" s="22"/>
      <c r="C17" s="19">
        <f>$G$11</f>
        <v>16034</v>
      </c>
      <c r="D17" s="20">
        <v>7.67</v>
      </c>
      <c r="E17" s="19">
        <f>C17*D17</f>
        <v>122980.78</v>
      </c>
      <c r="F17" s="20"/>
      <c r="G17" s="20"/>
      <c r="H17" s="21"/>
    </row>
    <row r="18" spans="1:9" ht="20.100000000000001" customHeight="1" x14ac:dyDescent="0.2">
      <c r="A18" s="17" t="s">
        <v>42</v>
      </c>
      <c r="B18" s="22"/>
      <c r="C18" s="19">
        <f>$H$11</f>
        <v>13046</v>
      </c>
      <c r="D18" s="20">
        <v>6.82</v>
      </c>
      <c r="E18" s="19">
        <f>C18*D18</f>
        <v>88973.72</v>
      </c>
      <c r="F18" s="20"/>
      <c r="G18" s="20"/>
      <c r="H18" s="21"/>
      <c r="I18" s="27"/>
    </row>
    <row r="19" spans="1:9" ht="24.95" customHeight="1" x14ac:dyDescent="0.2">
      <c r="A19" s="17" t="s">
        <v>26</v>
      </c>
      <c r="B19" s="22"/>
      <c r="C19" s="19">
        <f>SUM(C14:C18)</f>
        <v>342779</v>
      </c>
      <c r="D19" s="19"/>
      <c r="E19" s="19">
        <f>SUM(E14:E18)</f>
        <v>4138444.38</v>
      </c>
      <c r="F19" s="17"/>
      <c r="G19" s="23"/>
      <c r="H19" s="24"/>
      <c r="I19" s="27">
        <v>4136764.21</v>
      </c>
    </row>
    <row r="20" spans="1:9" hidden="1" x14ac:dyDescent="0.2">
      <c r="A20" s="9" t="s">
        <v>30</v>
      </c>
      <c r="B20" s="9" t="s">
        <v>31</v>
      </c>
    </row>
    <row r="21" spans="1:9" ht="24.95" hidden="1" customHeight="1" x14ac:dyDescent="0.2">
      <c r="A21" s="18"/>
      <c r="B21" s="18" t="s">
        <v>20</v>
      </c>
      <c r="C21" s="18" t="s">
        <v>21</v>
      </c>
      <c r="D21" s="18" t="s">
        <v>28</v>
      </c>
      <c r="E21" s="18" t="s">
        <v>29</v>
      </c>
      <c r="F21" s="18"/>
      <c r="G21" s="18"/>
      <c r="H21" s="18"/>
    </row>
    <row r="22" spans="1:9" ht="24.95" hidden="1" customHeight="1" x14ac:dyDescent="0.2">
      <c r="A22" s="17" t="s">
        <v>22</v>
      </c>
      <c r="B22" s="19">
        <f>$B$11</f>
        <v>88116</v>
      </c>
      <c r="C22" s="19">
        <f>$D$11</f>
        <v>150916</v>
      </c>
      <c r="D22" s="20">
        <v>23.17</v>
      </c>
      <c r="E22" s="19">
        <f>B22*D22</f>
        <v>2041647.7200000002</v>
      </c>
      <c r="F22" s="20"/>
      <c r="G22" s="20"/>
      <c r="H22" s="21"/>
    </row>
    <row r="23" spans="1:9" ht="24.95" hidden="1" customHeight="1" x14ac:dyDescent="0.2">
      <c r="A23" s="17" t="s">
        <v>23</v>
      </c>
      <c r="B23" s="22"/>
      <c r="C23" s="19">
        <f>$E$11</f>
        <v>116529</v>
      </c>
      <c r="D23" s="20">
        <v>9.08</v>
      </c>
      <c r="E23" s="19">
        <f>C23*D23</f>
        <v>1058083.32</v>
      </c>
      <c r="F23" s="20"/>
      <c r="G23" s="20"/>
      <c r="H23" s="21"/>
    </row>
    <row r="24" spans="1:9" ht="24.95" hidden="1" customHeight="1" x14ac:dyDescent="0.2">
      <c r="A24" s="17" t="s">
        <v>24</v>
      </c>
      <c r="B24" s="22"/>
      <c r="C24" s="19">
        <f>$F$11</f>
        <v>46254</v>
      </c>
      <c r="D24" s="20">
        <v>7.44</v>
      </c>
      <c r="E24" s="19">
        <f>C24*D24</f>
        <v>344129.76</v>
      </c>
      <c r="F24" s="20"/>
      <c r="G24" s="20"/>
      <c r="H24" s="21"/>
    </row>
    <row r="25" spans="1:9" ht="24.95" hidden="1" customHeight="1" x14ac:dyDescent="0.2">
      <c r="A25" s="17" t="s">
        <v>25</v>
      </c>
      <c r="B25" s="22"/>
      <c r="C25" s="19">
        <f>$G$11</f>
        <v>16034</v>
      </c>
      <c r="D25" s="20">
        <v>5.84</v>
      </c>
      <c r="E25" s="19">
        <f>C25*D25</f>
        <v>93638.56</v>
      </c>
      <c r="F25" s="20"/>
      <c r="G25" s="20"/>
      <c r="H25" s="21"/>
    </row>
    <row r="26" spans="1:9" ht="24.95" hidden="1" customHeight="1" x14ac:dyDescent="0.2">
      <c r="A26" s="17" t="s">
        <v>26</v>
      </c>
      <c r="B26" s="22"/>
      <c r="C26" s="19">
        <f>SUM(C22:C25)</f>
        <v>329733</v>
      </c>
      <c r="D26" s="19"/>
      <c r="E26" s="19">
        <f>SUM(E22:E25)</f>
        <v>3537499.36</v>
      </c>
      <c r="F26" s="17"/>
      <c r="G26" s="17"/>
      <c r="H26" s="17"/>
    </row>
    <row r="27" spans="1:9" hidden="1" x14ac:dyDescent="0.2">
      <c r="A27" s="9" t="s">
        <v>30</v>
      </c>
      <c r="B27" s="9" t="s">
        <v>32</v>
      </c>
    </row>
    <row r="28" spans="1:9" ht="24.95" hidden="1" customHeight="1" x14ac:dyDescent="0.2">
      <c r="A28" s="18"/>
      <c r="B28" s="18" t="s">
        <v>20</v>
      </c>
      <c r="C28" s="18" t="s">
        <v>21</v>
      </c>
      <c r="D28" s="18" t="s">
        <v>28</v>
      </c>
      <c r="E28" s="18" t="s">
        <v>29</v>
      </c>
      <c r="F28" s="18"/>
      <c r="G28" s="18"/>
      <c r="H28" s="18"/>
    </row>
    <row r="29" spans="1:9" ht="24.95" hidden="1" customHeight="1" x14ac:dyDescent="0.2">
      <c r="A29" s="17" t="s">
        <v>22</v>
      </c>
      <c r="B29" s="19">
        <f>$B$11</f>
        <v>88116</v>
      </c>
      <c r="C29" s="19">
        <f>$D$11</f>
        <v>150916</v>
      </c>
      <c r="D29" s="20">
        <v>23.59</v>
      </c>
      <c r="E29" s="19">
        <f>B29*D29</f>
        <v>2078656.44</v>
      </c>
      <c r="F29" s="20"/>
      <c r="G29" s="20"/>
      <c r="H29" s="21"/>
    </row>
    <row r="30" spans="1:9" ht="24.95" hidden="1" customHeight="1" x14ac:dyDescent="0.2">
      <c r="A30" s="17" t="s">
        <v>23</v>
      </c>
      <c r="B30" s="22"/>
      <c r="C30" s="19">
        <f>$E$11</f>
        <v>116529</v>
      </c>
      <c r="D30" s="20">
        <v>9.24</v>
      </c>
      <c r="E30" s="19">
        <f>C30*D30</f>
        <v>1076727.96</v>
      </c>
      <c r="F30" s="20"/>
      <c r="G30" s="20"/>
      <c r="H30" s="21"/>
    </row>
    <row r="31" spans="1:9" ht="24.95" hidden="1" customHeight="1" x14ac:dyDescent="0.2">
      <c r="A31" s="17" t="s">
        <v>24</v>
      </c>
      <c r="B31" s="22"/>
      <c r="C31" s="19">
        <f>$F$11</f>
        <v>46254</v>
      </c>
      <c r="D31" s="20">
        <v>7.57</v>
      </c>
      <c r="E31" s="19">
        <f>C31*D31</f>
        <v>350142.78</v>
      </c>
      <c r="F31" s="20"/>
      <c r="G31" s="20"/>
      <c r="H31" s="21"/>
    </row>
    <row r="32" spans="1:9" ht="24.95" hidden="1" customHeight="1" x14ac:dyDescent="0.2">
      <c r="A32" s="17" t="s">
        <v>25</v>
      </c>
      <c r="B32" s="22"/>
      <c r="C32" s="19">
        <f>$G$11</f>
        <v>16034</v>
      </c>
      <c r="D32" s="20">
        <v>5.95</v>
      </c>
      <c r="E32" s="19">
        <f>C32*D32</f>
        <v>95402.3</v>
      </c>
      <c r="F32" s="20"/>
      <c r="G32" s="20"/>
      <c r="H32" s="21"/>
    </row>
    <row r="33" spans="1:9" ht="24.95" hidden="1" customHeight="1" x14ac:dyDescent="0.2">
      <c r="A33" s="17" t="s">
        <v>26</v>
      </c>
      <c r="B33" s="22"/>
      <c r="C33" s="19">
        <f>SUM(C29:C32)</f>
        <v>329733</v>
      </c>
      <c r="D33" s="19"/>
      <c r="E33" s="19">
        <f>SUM(E29:E32)</f>
        <v>3600929.4799999995</v>
      </c>
      <c r="F33" s="17"/>
      <c r="G33" s="17"/>
      <c r="H33" s="17"/>
    </row>
    <row r="34" spans="1:9" x14ac:dyDescent="0.2">
      <c r="A34" s="9" t="s">
        <v>30</v>
      </c>
      <c r="B34" s="9" t="s">
        <v>94</v>
      </c>
      <c r="I34" s="53">
        <f>I19-E19</f>
        <v>-1680.1699999999255</v>
      </c>
    </row>
    <row r="35" spans="1:9" ht="24.95" customHeight="1" x14ac:dyDescent="0.2">
      <c r="A35" s="18"/>
      <c r="B35" s="18" t="s">
        <v>20</v>
      </c>
      <c r="C35" s="18" t="s">
        <v>21</v>
      </c>
      <c r="D35" s="18" t="s">
        <v>28</v>
      </c>
      <c r="E35" s="18" t="s">
        <v>29</v>
      </c>
      <c r="F35" s="18"/>
      <c r="G35" s="18"/>
      <c r="H35" s="18"/>
    </row>
    <row r="36" spans="1:9" ht="24.95" customHeight="1" x14ac:dyDescent="0.2">
      <c r="A36" s="17" t="s">
        <v>22</v>
      </c>
      <c r="B36" s="19">
        <f>$B$11</f>
        <v>88116</v>
      </c>
      <c r="C36" s="19">
        <f>$D$11</f>
        <v>150916</v>
      </c>
      <c r="D36" s="20">
        <f>D14*1.1279+0.01</f>
        <v>31.264109000000001</v>
      </c>
      <c r="E36" s="19">
        <f>B36*D36</f>
        <v>2754868.2286439999</v>
      </c>
      <c r="F36" s="20"/>
      <c r="G36" s="20"/>
      <c r="H36" s="21"/>
    </row>
    <row r="37" spans="1:9" ht="24.95" customHeight="1" x14ac:dyDescent="0.2">
      <c r="A37" s="17" t="s">
        <v>23</v>
      </c>
      <c r="B37" s="22"/>
      <c r="C37" s="19">
        <f>$E$11</f>
        <v>116529</v>
      </c>
      <c r="D37" s="20">
        <f>D15*1.1279</f>
        <v>10.557143999999999</v>
      </c>
      <c r="E37" s="19">
        <f>C37*D37</f>
        <v>1230213.4331759999</v>
      </c>
      <c r="F37" s="20"/>
      <c r="G37" s="20"/>
      <c r="H37" s="21"/>
    </row>
    <row r="38" spans="1:9" ht="24.95" customHeight="1" x14ac:dyDescent="0.2">
      <c r="A38" s="17" t="s">
        <v>24</v>
      </c>
      <c r="B38" s="22"/>
      <c r="C38" s="19">
        <f>$F$11</f>
        <v>46254</v>
      </c>
      <c r="D38" s="20">
        <f>D16*1.1279</f>
        <v>9.6097079999999995</v>
      </c>
      <c r="E38" s="19">
        <f>C38*D38</f>
        <v>444487.43383199995</v>
      </c>
      <c r="F38" s="20"/>
      <c r="G38" s="20"/>
      <c r="H38" s="21"/>
    </row>
    <row r="39" spans="1:9" ht="24.95" customHeight="1" x14ac:dyDescent="0.2">
      <c r="A39" s="17" t="s">
        <v>71</v>
      </c>
      <c r="B39" s="22"/>
      <c r="C39" s="19">
        <f>$G$11</f>
        <v>16034</v>
      </c>
      <c r="D39" s="20">
        <f>D17*1.1279</f>
        <v>8.6509929999999997</v>
      </c>
      <c r="E39" s="19">
        <f>C39*D39</f>
        <v>138710.02176199999</v>
      </c>
      <c r="F39" s="20"/>
      <c r="G39" s="20"/>
      <c r="H39" s="21"/>
    </row>
    <row r="40" spans="1:9" ht="24.95" customHeight="1" x14ac:dyDescent="0.2">
      <c r="A40" s="17" t="s">
        <v>25</v>
      </c>
      <c r="B40" s="22"/>
      <c r="C40" s="19">
        <f>$H$11</f>
        <v>13046</v>
      </c>
      <c r="D40" s="20">
        <f>D18*1.1279+0.01</f>
        <v>7.7022779999999997</v>
      </c>
      <c r="E40" s="19">
        <f>C40*D40</f>
        <v>100483.918788</v>
      </c>
      <c r="F40" s="20"/>
      <c r="G40" s="20"/>
      <c r="H40" s="21"/>
    </row>
    <row r="41" spans="1:9" ht="24.95" customHeight="1" x14ac:dyDescent="0.2">
      <c r="A41" s="17" t="s">
        <v>26</v>
      </c>
      <c r="B41" s="22"/>
      <c r="C41" s="19">
        <f>SUM(C36:C40)</f>
        <v>342779</v>
      </c>
      <c r="D41" s="19"/>
      <c r="E41" s="19">
        <f>SUM(E36:E40)</f>
        <v>4668763.0362020005</v>
      </c>
      <c r="F41" s="17"/>
      <c r="G41" s="23"/>
      <c r="H41" s="24"/>
      <c r="I41" s="27"/>
    </row>
  </sheetData>
  <pageMargins left="0.75" right="0.7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046F0-4BAA-478F-8584-7EA8D835D97B}">
  <sheetPr>
    <pageSetUpPr fitToPage="1"/>
  </sheetPr>
  <dimension ref="A3:X105"/>
  <sheetViews>
    <sheetView topLeftCell="A4" workbookViewId="0">
      <selection activeCell="B108" sqref="B108"/>
    </sheetView>
  </sheetViews>
  <sheetFormatPr defaultRowHeight="12.75" x14ac:dyDescent="0.2"/>
  <cols>
    <col min="1" max="1" width="13" customWidth="1"/>
    <col min="2" max="2" width="11.42578125" customWidth="1"/>
    <col min="4" max="4" width="3.7109375" customWidth="1"/>
    <col min="5" max="5" width="11.5703125" customWidth="1"/>
    <col min="8" max="8" width="3.7109375" customWidth="1"/>
    <col min="9" max="9" width="11.5703125" customWidth="1"/>
    <col min="12" max="12" width="3.7109375" customWidth="1"/>
    <col min="13" max="13" width="11" customWidth="1"/>
    <col min="16" max="16" width="3.7109375" customWidth="1"/>
    <col min="17" max="17" width="11" customWidth="1"/>
    <col min="20" max="20" width="4" customWidth="1"/>
    <col min="21" max="21" width="11" customWidth="1"/>
    <col min="24" max="24" width="12.28515625" customWidth="1"/>
  </cols>
  <sheetData>
    <row r="3" spans="1:24" x14ac:dyDescent="0.2">
      <c r="A3" s="26" t="s">
        <v>19</v>
      </c>
    </row>
    <row r="4" spans="1:24" x14ac:dyDescent="0.2">
      <c r="A4" s="10" t="s">
        <v>86</v>
      </c>
      <c r="B4" s="11"/>
      <c r="C4" s="11"/>
    </row>
    <row r="5" spans="1:24" x14ac:dyDescent="0.2">
      <c r="A5" s="10"/>
      <c r="B5" s="9"/>
      <c r="C5" s="9"/>
    </row>
    <row r="6" spans="1:24" x14ac:dyDescent="0.2">
      <c r="A6" s="17"/>
      <c r="B6" s="18" t="s">
        <v>20</v>
      </c>
      <c r="C6" s="18" t="s">
        <v>21</v>
      </c>
      <c r="E6" s="17"/>
      <c r="F6" s="18" t="s">
        <v>20</v>
      </c>
      <c r="G6" s="18" t="s">
        <v>21</v>
      </c>
      <c r="I6" s="17"/>
      <c r="J6" s="18" t="s">
        <v>20</v>
      </c>
      <c r="K6" s="18" t="s">
        <v>21</v>
      </c>
      <c r="M6" s="17"/>
      <c r="N6" s="18" t="s">
        <v>20</v>
      </c>
      <c r="O6" s="18" t="s">
        <v>21</v>
      </c>
      <c r="Q6" s="17"/>
      <c r="R6" s="18" t="s">
        <v>20</v>
      </c>
      <c r="S6" s="18" t="s">
        <v>21</v>
      </c>
      <c r="U6" s="17"/>
      <c r="V6" s="18" t="s">
        <v>20</v>
      </c>
      <c r="W6" s="18" t="s">
        <v>21</v>
      </c>
      <c r="X6" s="18" t="s">
        <v>33</v>
      </c>
    </row>
    <row r="7" spans="1:24" x14ac:dyDescent="0.2">
      <c r="A7" s="17" t="s">
        <v>22</v>
      </c>
      <c r="B7" s="19"/>
      <c r="C7" s="19"/>
      <c r="E7" s="17" t="s">
        <v>23</v>
      </c>
      <c r="F7" s="19"/>
      <c r="G7" s="19"/>
      <c r="I7" s="17" t="s">
        <v>24</v>
      </c>
      <c r="J7" s="19"/>
      <c r="K7" s="19"/>
      <c r="M7" s="17" t="s">
        <v>71</v>
      </c>
      <c r="N7" s="19"/>
      <c r="O7" s="19"/>
      <c r="Q7" s="17" t="s">
        <v>42</v>
      </c>
      <c r="R7" s="19"/>
      <c r="S7" s="19"/>
      <c r="U7" s="17" t="s">
        <v>26</v>
      </c>
      <c r="V7" s="19"/>
      <c r="W7" s="19"/>
      <c r="X7" s="19"/>
    </row>
    <row r="8" spans="1:24" x14ac:dyDescent="0.2">
      <c r="A8" s="17" t="s">
        <v>0</v>
      </c>
      <c r="B8" s="19">
        <v>41</v>
      </c>
      <c r="C8" s="19">
        <v>50</v>
      </c>
      <c r="E8" s="17" t="s">
        <v>0</v>
      </c>
      <c r="F8" s="19">
        <v>88</v>
      </c>
      <c r="G8" s="19">
        <v>340</v>
      </c>
      <c r="I8" s="17" t="s">
        <v>0</v>
      </c>
      <c r="J8" s="19">
        <v>49</v>
      </c>
      <c r="K8" s="19">
        <v>353</v>
      </c>
      <c r="M8" s="17" t="s">
        <v>0</v>
      </c>
      <c r="N8" s="19">
        <v>9</v>
      </c>
      <c r="O8" s="19">
        <v>109</v>
      </c>
      <c r="Q8" s="17" t="s">
        <v>0</v>
      </c>
      <c r="R8" s="19">
        <v>2</v>
      </c>
      <c r="S8" s="19">
        <v>43</v>
      </c>
      <c r="U8" s="17" t="s">
        <v>0</v>
      </c>
      <c r="V8" s="19">
        <f>B8+F8+J8+N8+R8</f>
        <v>189</v>
      </c>
      <c r="W8" s="19">
        <f>C8+G8+K8+O8+S8</f>
        <v>895</v>
      </c>
      <c r="X8" s="25">
        <v>10151.530000000001</v>
      </c>
    </row>
    <row r="9" spans="1:24" x14ac:dyDescent="0.2">
      <c r="A9" s="17" t="s">
        <v>1</v>
      </c>
      <c r="B9" s="19">
        <v>67</v>
      </c>
      <c r="C9" s="19">
        <v>88</v>
      </c>
      <c r="E9" s="17" t="s">
        <v>1</v>
      </c>
      <c r="F9" s="19">
        <v>79</v>
      </c>
      <c r="G9" s="19">
        <v>309</v>
      </c>
      <c r="I9" s="17" t="s">
        <v>1</v>
      </c>
      <c r="J9" s="19">
        <v>39</v>
      </c>
      <c r="K9" s="19">
        <v>278</v>
      </c>
      <c r="M9" s="17" t="s">
        <v>1</v>
      </c>
      <c r="N9" s="19">
        <v>5</v>
      </c>
      <c r="O9" s="19">
        <v>65</v>
      </c>
      <c r="Q9" s="17" t="s">
        <v>1</v>
      </c>
      <c r="R9" s="19"/>
      <c r="S9" s="19"/>
      <c r="U9" s="17" t="s">
        <v>1</v>
      </c>
      <c r="V9" s="19">
        <f t="shared" ref="V9:V19" si="0">B9+F9+J9+N9+R9</f>
        <v>190</v>
      </c>
      <c r="W9" s="19">
        <f t="shared" ref="W9:W19" si="1">C9+G9+K9+O9+S9</f>
        <v>740</v>
      </c>
      <c r="X9" s="25">
        <v>8935.14</v>
      </c>
    </row>
    <row r="10" spans="1:24" x14ac:dyDescent="0.2">
      <c r="A10" s="17" t="s">
        <v>2</v>
      </c>
      <c r="B10" s="19">
        <v>70</v>
      </c>
      <c r="C10" s="19">
        <v>89</v>
      </c>
      <c r="E10" s="17" t="s">
        <v>2</v>
      </c>
      <c r="F10" s="19">
        <v>80</v>
      </c>
      <c r="G10" s="19">
        <v>312</v>
      </c>
      <c r="I10" s="17" t="s">
        <v>2</v>
      </c>
      <c r="J10" s="19">
        <v>39</v>
      </c>
      <c r="K10" s="19">
        <v>278</v>
      </c>
      <c r="M10" s="17" t="s">
        <v>2</v>
      </c>
      <c r="N10" s="19">
        <v>5</v>
      </c>
      <c r="O10" s="19">
        <v>65</v>
      </c>
      <c r="Q10" s="17" t="s">
        <v>2</v>
      </c>
      <c r="R10" s="19"/>
      <c r="S10" s="19"/>
      <c r="U10" s="17" t="s">
        <v>2</v>
      </c>
      <c r="V10" s="19">
        <f t="shared" si="0"/>
        <v>194</v>
      </c>
      <c r="W10" s="19">
        <f t="shared" si="1"/>
        <v>744</v>
      </c>
      <c r="X10" s="25">
        <v>9055.34</v>
      </c>
    </row>
    <row r="11" spans="1:24" x14ac:dyDescent="0.2">
      <c r="A11" s="17" t="s">
        <v>3</v>
      </c>
      <c r="B11" s="19">
        <v>50</v>
      </c>
      <c r="C11" s="19">
        <v>67</v>
      </c>
      <c r="E11" s="17" t="s">
        <v>3</v>
      </c>
      <c r="F11" s="19">
        <v>75</v>
      </c>
      <c r="G11" s="19">
        <v>284</v>
      </c>
      <c r="I11" s="17" t="s">
        <v>3</v>
      </c>
      <c r="J11" s="19">
        <v>50</v>
      </c>
      <c r="K11" s="19">
        <v>359</v>
      </c>
      <c r="M11" s="17" t="s">
        <v>3</v>
      </c>
      <c r="N11" s="19">
        <v>13</v>
      </c>
      <c r="O11" s="19">
        <v>159</v>
      </c>
      <c r="Q11" s="17" t="s">
        <v>3</v>
      </c>
      <c r="R11" s="19">
        <v>1</v>
      </c>
      <c r="S11" s="19">
        <v>21</v>
      </c>
      <c r="U11" s="17" t="s">
        <v>3</v>
      </c>
      <c r="V11" s="19">
        <f t="shared" si="0"/>
        <v>189</v>
      </c>
      <c r="W11" s="19">
        <f t="shared" si="1"/>
        <v>890</v>
      </c>
      <c r="X11" s="25">
        <v>10119.58</v>
      </c>
    </row>
    <row r="12" spans="1:24" x14ac:dyDescent="0.2">
      <c r="A12" s="17" t="s">
        <v>4</v>
      </c>
      <c r="B12" s="19">
        <v>59</v>
      </c>
      <c r="C12" s="19">
        <v>81</v>
      </c>
      <c r="E12" s="17" t="s">
        <v>4</v>
      </c>
      <c r="F12" s="19">
        <v>79</v>
      </c>
      <c r="G12" s="19">
        <v>303</v>
      </c>
      <c r="I12" s="17" t="s">
        <v>4</v>
      </c>
      <c r="J12" s="19">
        <v>41</v>
      </c>
      <c r="K12" s="19">
        <v>300</v>
      </c>
      <c r="M12" s="17" t="s">
        <v>4</v>
      </c>
      <c r="N12" s="19">
        <v>10</v>
      </c>
      <c r="O12" s="19">
        <v>133</v>
      </c>
      <c r="Q12" s="17" t="s">
        <v>4</v>
      </c>
      <c r="R12" s="19"/>
      <c r="S12" s="19"/>
      <c r="U12" s="17" t="s">
        <v>4</v>
      </c>
      <c r="V12" s="19">
        <f t="shared" si="0"/>
        <v>189</v>
      </c>
      <c r="W12" s="19">
        <f t="shared" si="1"/>
        <v>817</v>
      </c>
      <c r="X12" s="25">
        <v>9501.1299999999992</v>
      </c>
    </row>
    <row r="13" spans="1:24" x14ac:dyDescent="0.2">
      <c r="A13" s="17" t="s">
        <v>5</v>
      </c>
      <c r="B13" s="19">
        <v>51</v>
      </c>
      <c r="C13" s="19">
        <v>70</v>
      </c>
      <c r="E13" s="17" t="s">
        <v>5</v>
      </c>
      <c r="F13" s="19">
        <v>82</v>
      </c>
      <c r="G13" s="19">
        <v>319</v>
      </c>
      <c r="I13" s="17" t="s">
        <v>5</v>
      </c>
      <c r="J13" s="19">
        <v>40</v>
      </c>
      <c r="K13" s="19">
        <v>291</v>
      </c>
      <c r="M13" s="17" t="s">
        <v>5</v>
      </c>
      <c r="N13" s="19">
        <v>16</v>
      </c>
      <c r="O13" s="19">
        <v>194</v>
      </c>
      <c r="Q13" s="17" t="s">
        <v>5</v>
      </c>
      <c r="R13" s="19">
        <v>2</v>
      </c>
      <c r="S13" s="19">
        <v>53</v>
      </c>
      <c r="U13" s="17" t="s">
        <v>5</v>
      </c>
      <c r="V13" s="19">
        <f t="shared" si="0"/>
        <v>191</v>
      </c>
      <c r="W13" s="19">
        <f t="shared" si="1"/>
        <v>927</v>
      </c>
      <c r="X13" s="25">
        <v>10417.01</v>
      </c>
    </row>
    <row r="14" spans="1:24" x14ac:dyDescent="0.2">
      <c r="A14" s="17" t="s">
        <v>6</v>
      </c>
      <c r="B14" s="19">
        <v>56</v>
      </c>
      <c r="C14" s="19">
        <v>71</v>
      </c>
      <c r="E14" s="17" t="s">
        <v>6</v>
      </c>
      <c r="F14" s="19">
        <v>85</v>
      </c>
      <c r="G14" s="19">
        <v>322</v>
      </c>
      <c r="I14" s="17" t="s">
        <v>6</v>
      </c>
      <c r="J14" s="19">
        <v>39</v>
      </c>
      <c r="K14" s="19">
        <v>286</v>
      </c>
      <c r="M14" s="17" t="s">
        <v>6</v>
      </c>
      <c r="N14" s="19">
        <v>14</v>
      </c>
      <c r="O14" s="19">
        <v>192</v>
      </c>
      <c r="Q14" s="17" t="s">
        <v>6</v>
      </c>
      <c r="R14" s="19"/>
      <c r="S14" s="19"/>
      <c r="U14" s="17" t="s">
        <v>6</v>
      </c>
      <c r="V14" s="19">
        <f t="shared" si="0"/>
        <v>194</v>
      </c>
      <c r="W14" s="19">
        <f t="shared" si="1"/>
        <v>871</v>
      </c>
      <c r="X14" s="25">
        <v>10057.26</v>
      </c>
    </row>
    <row r="15" spans="1:24" x14ac:dyDescent="0.2">
      <c r="A15" s="17" t="s">
        <v>7</v>
      </c>
      <c r="B15" s="19">
        <v>49</v>
      </c>
      <c r="C15" s="19">
        <v>67</v>
      </c>
      <c r="E15" s="17" t="s">
        <v>7</v>
      </c>
      <c r="F15" s="19">
        <v>79</v>
      </c>
      <c r="G15" s="19">
        <v>322</v>
      </c>
      <c r="I15" s="17" t="s">
        <v>7</v>
      </c>
      <c r="J15" s="19">
        <v>46</v>
      </c>
      <c r="K15" s="19">
        <v>350</v>
      </c>
      <c r="M15" s="17" t="s">
        <v>7</v>
      </c>
      <c r="N15" s="19">
        <v>16</v>
      </c>
      <c r="O15" s="19">
        <v>233</v>
      </c>
      <c r="Q15" s="17" t="s">
        <v>7</v>
      </c>
      <c r="R15" s="19">
        <v>3</v>
      </c>
      <c r="S15" s="19">
        <v>70</v>
      </c>
      <c r="U15" s="17" t="s">
        <v>7</v>
      </c>
      <c r="V15" s="19">
        <f t="shared" si="0"/>
        <v>193</v>
      </c>
      <c r="W15" s="19">
        <f t="shared" si="1"/>
        <v>1042</v>
      </c>
      <c r="X15" s="25">
        <v>11398.28</v>
      </c>
    </row>
    <row r="16" spans="1:24" x14ac:dyDescent="0.2">
      <c r="A16" s="17" t="s">
        <v>8</v>
      </c>
      <c r="B16" s="19">
        <v>57</v>
      </c>
      <c r="C16" s="19">
        <v>81</v>
      </c>
      <c r="E16" s="17" t="s">
        <v>8</v>
      </c>
      <c r="F16" s="19">
        <v>80</v>
      </c>
      <c r="G16" s="19">
        <v>307</v>
      </c>
      <c r="I16" s="17" t="s">
        <v>8</v>
      </c>
      <c r="J16" s="19">
        <v>42</v>
      </c>
      <c r="K16" s="19">
        <v>316</v>
      </c>
      <c r="M16" s="17" t="s">
        <v>8</v>
      </c>
      <c r="N16" s="19">
        <v>13</v>
      </c>
      <c r="O16" s="19">
        <v>181</v>
      </c>
      <c r="Q16" s="17" t="s">
        <v>8</v>
      </c>
      <c r="R16" s="19"/>
      <c r="S16" s="19"/>
      <c r="U16" s="17" t="s">
        <v>8</v>
      </c>
      <c r="V16" s="19">
        <f t="shared" si="0"/>
        <v>192</v>
      </c>
      <c r="W16" s="19">
        <f t="shared" si="1"/>
        <v>885</v>
      </c>
      <c r="X16" s="25">
        <v>10088.73</v>
      </c>
    </row>
    <row r="17" spans="1:24" x14ac:dyDescent="0.2">
      <c r="A17" s="17" t="s">
        <v>9</v>
      </c>
      <c r="B17" s="19">
        <v>69</v>
      </c>
      <c r="C17" s="19">
        <v>100</v>
      </c>
      <c r="E17" s="17" t="s">
        <v>9</v>
      </c>
      <c r="F17" s="19">
        <v>81</v>
      </c>
      <c r="G17" s="19">
        <v>309</v>
      </c>
      <c r="I17" s="17" t="s">
        <v>9</v>
      </c>
      <c r="J17" s="19">
        <v>35</v>
      </c>
      <c r="K17" s="19">
        <v>256</v>
      </c>
      <c r="M17" s="17" t="s">
        <v>9</v>
      </c>
      <c r="N17" s="19">
        <v>8</v>
      </c>
      <c r="O17" s="19">
        <v>107</v>
      </c>
      <c r="Q17" s="17" t="s">
        <v>9</v>
      </c>
      <c r="R17" s="19">
        <v>2</v>
      </c>
      <c r="S17" s="19">
        <v>50</v>
      </c>
      <c r="U17" s="17" t="s">
        <v>9</v>
      </c>
      <c r="V17" s="19">
        <f t="shared" si="0"/>
        <v>195</v>
      </c>
      <c r="W17" s="19">
        <f t="shared" si="1"/>
        <v>822</v>
      </c>
      <c r="X17" s="25">
        <v>9587.7800000000007</v>
      </c>
    </row>
    <row r="18" spans="1:24" x14ac:dyDescent="0.2">
      <c r="A18" s="17" t="s">
        <v>10</v>
      </c>
      <c r="B18" s="19">
        <v>56</v>
      </c>
      <c r="C18" s="19">
        <v>75</v>
      </c>
      <c r="E18" s="17" t="s">
        <v>10</v>
      </c>
      <c r="F18" s="19">
        <v>90</v>
      </c>
      <c r="G18" s="19">
        <v>347</v>
      </c>
      <c r="I18" s="17" t="s">
        <v>10</v>
      </c>
      <c r="J18" s="19">
        <v>38</v>
      </c>
      <c r="K18" s="19">
        <v>270</v>
      </c>
      <c r="M18" s="17" t="s">
        <v>10</v>
      </c>
      <c r="N18" s="19">
        <v>10</v>
      </c>
      <c r="O18" s="19">
        <v>127</v>
      </c>
      <c r="Q18" s="17" t="s">
        <v>10</v>
      </c>
      <c r="R18" s="19"/>
      <c r="S18" s="19"/>
      <c r="U18" s="17" t="s">
        <v>10</v>
      </c>
      <c r="V18" s="19">
        <f t="shared" si="0"/>
        <v>194</v>
      </c>
      <c r="W18" s="19">
        <f t="shared" si="1"/>
        <v>819</v>
      </c>
      <c r="X18" s="25">
        <v>9601.39</v>
      </c>
    </row>
    <row r="19" spans="1:24" x14ac:dyDescent="0.2">
      <c r="A19" s="17" t="s">
        <v>11</v>
      </c>
      <c r="B19" s="19">
        <v>66</v>
      </c>
      <c r="C19" s="19">
        <v>95</v>
      </c>
      <c r="E19" s="17" t="s">
        <v>11</v>
      </c>
      <c r="F19" s="19">
        <v>77</v>
      </c>
      <c r="G19" s="19">
        <v>291</v>
      </c>
      <c r="I19" s="17" t="s">
        <v>11</v>
      </c>
      <c r="J19" s="19">
        <v>43</v>
      </c>
      <c r="K19" s="19">
        <v>301</v>
      </c>
      <c r="M19" s="17" t="s">
        <v>11</v>
      </c>
      <c r="N19" s="19">
        <v>7</v>
      </c>
      <c r="O19" s="19">
        <v>105</v>
      </c>
      <c r="Q19" s="17" t="s">
        <v>11</v>
      </c>
      <c r="R19" s="19"/>
      <c r="S19" s="19"/>
      <c r="U19" s="17" t="s">
        <v>11</v>
      </c>
      <c r="V19" s="19">
        <f t="shared" si="0"/>
        <v>193</v>
      </c>
      <c r="W19" s="19">
        <f t="shared" si="1"/>
        <v>792</v>
      </c>
      <c r="X19" s="25">
        <v>9333.7199999999993</v>
      </c>
    </row>
    <row r="20" spans="1:24" x14ac:dyDescent="0.2">
      <c r="A20" s="17"/>
      <c r="B20" s="19"/>
      <c r="C20" s="19"/>
      <c r="E20" s="17"/>
      <c r="F20" s="19"/>
      <c r="G20" s="19"/>
      <c r="I20" s="17"/>
      <c r="J20" s="19"/>
      <c r="K20" s="19"/>
      <c r="M20" s="17"/>
      <c r="N20" s="19"/>
      <c r="O20" s="19"/>
      <c r="Q20" s="17"/>
      <c r="R20" s="19"/>
      <c r="S20" s="19"/>
      <c r="U20" s="17"/>
      <c r="V20" s="19"/>
      <c r="W20" s="19"/>
      <c r="X20" s="25"/>
    </row>
    <row r="21" spans="1:24" x14ac:dyDescent="0.2">
      <c r="A21" s="17" t="s">
        <v>12</v>
      </c>
      <c r="B21" s="19">
        <f>SUM(B8:B20)</f>
        <v>691</v>
      </c>
      <c r="C21" s="19">
        <f>SUM(C8:C20)</f>
        <v>934</v>
      </c>
      <c r="E21" s="17"/>
      <c r="F21" s="19">
        <f t="shared" ref="F21:G21" si="2">SUM(F8:F20)</f>
        <v>975</v>
      </c>
      <c r="G21" s="19">
        <f t="shared" si="2"/>
        <v>3765</v>
      </c>
      <c r="I21" s="17"/>
      <c r="J21" s="19">
        <f t="shared" ref="J21:K21" si="3">SUM(J8:J20)</f>
        <v>501</v>
      </c>
      <c r="K21" s="19">
        <f t="shared" si="3"/>
        <v>3638</v>
      </c>
      <c r="M21" s="17"/>
      <c r="N21" s="19">
        <f t="shared" ref="N21:O21" si="4">SUM(N8:N20)</f>
        <v>126</v>
      </c>
      <c r="O21" s="19">
        <f t="shared" si="4"/>
        <v>1670</v>
      </c>
      <c r="Q21" s="17"/>
      <c r="R21" s="19">
        <f t="shared" ref="R21:S21" si="5">SUM(R8:R20)</f>
        <v>10</v>
      </c>
      <c r="S21" s="19">
        <f t="shared" si="5"/>
        <v>237</v>
      </c>
      <c r="U21" s="17"/>
      <c r="V21" s="19">
        <f t="shared" ref="V21:W21" si="6">SUM(V8:V20)</f>
        <v>2303</v>
      </c>
      <c r="W21" s="19">
        <f t="shared" si="6"/>
        <v>10244</v>
      </c>
      <c r="X21" s="25">
        <f>SUM(X8:X19)</f>
        <v>118246.88999999998</v>
      </c>
    </row>
    <row r="22" spans="1:24" x14ac:dyDescent="0.2">
      <c r="A22" s="17"/>
      <c r="B22" s="19"/>
      <c r="C22" s="19"/>
      <c r="V22" s="2">
        <f>B21+F21+J21+N21+R21</f>
        <v>2303</v>
      </c>
      <c r="W22" s="2">
        <f>C21+G21+K21+O21+S21</f>
        <v>10244</v>
      </c>
    </row>
    <row r="25" spans="1:24" x14ac:dyDescent="0.2">
      <c r="A25" s="10" t="s">
        <v>72</v>
      </c>
      <c r="B25" s="11"/>
      <c r="C25" s="11"/>
    </row>
    <row r="26" spans="1:24" x14ac:dyDescent="0.2">
      <c r="A26" s="10"/>
      <c r="B26" s="9"/>
      <c r="C26" s="9"/>
    </row>
    <row r="27" spans="1:24" x14ac:dyDescent="0.2">
      <c r="A27" s="17"/>
      <c r="B27" s="18" t="s">
        <v>20</v>
      </c>
      <c r="C27" s="18" t="s">
        <v>21</v>
      </c>
      <c r="E27" s="17"/>
      <c r="F27" s="18" t="s">
        <v>20</v>
      </c>
      <c r="G27" s="18" t="s">
        <v>21</v>
      </c>
      <c r="I27" s="17"/>
      <c r="J27" s="18" t="s">
        <v>20</v>
      </c>
      <c r="K27" s="18" t="s">
        <v>21</v>
      </c>
      <c r="M27" s="17"/>
      <c r="N27" s="18" t="s">
        <v>20</v>
      </c>
      <c r="O27" s="18" t="s">
        <v>21</v>
      </c>
      <c r="Q27" s="17"/>
      <c r="R27" s="18" t="s">
        <v>20</v>
      </c>
      <c r="S27" s="18" t="s">
        <v>21</v>
      </c>
      <c r="U27" s="17"/>
      <c r="V27" s="18" t="s">
        <v>20</v>
      </c>
      <c r="W27" s="18" t="s">
        <v>21</v>
      </c>
      <c r="X27" s="18" t="s">
        <v>33</v>
      </c>
    </row>
    <row r="28" spans="1:24" x14ac:dyDescent="0.2">
      <c r="A28" s="17" t="s">
        <v>22</v>
      </c>
      <c r="B28" s="19"/>
      <c r="C28" s="19"/>
      <c r="E28" s="17" t="s">
        <v>23</v>
      </c>
      <c r="F28" s="19"/>
      <c r="G28" s="19"/>
      <c r="I28" s="17" t="s">
        <v>24</v>
      </c>
      <c r="J28" s="19"/>
      <c r="K28" s="19"/>
      <c r="M28" s="17" t="s">
        <v>71</v>
      </c>
      <c r="N28" s="19"/>
      <c r="O28" s="19"/>
      <c r="Q28" s="17" t="s">
        <v>42</v>
      </c>
      <c r="R28" s="19"/>
      <c r="S28" s="19"/>
      <c r="U28" s="17" t="s">
        <v>25</v>
      </c>
      <c r="V28" s="19"/>
      <c r="W28" s="19"/>
      <c r="X28" s="19"/>
    </row>
    <row r="29" spans="1:24" x14ac:dyDescent="0.2">
      <c r="A29" s="17" t="s">
        <v>0</v>
      </c>
      <c r="B29" s="19">
        <v>2409</v>
      </c>
      <c r="C29" s="19">
        <f>2483+118+24+268+74</f>
        <v>2967</v>
      </c>
      <c r="E29" s="17" t="s">
        <v>0</v>
      </c>
      <c r="F29" s="19">
        <v>2850</v>
      </c>
      <c r="G29" s="19">
        <f>9031+291+61+1306+237</f>
        <v>10926</v>
      </c>
      <c r="I29" s="17" t="s">
        <v>0</v>
      </c>
      <c r="J29" s="19">
        <v>1234</v>
      </c>
      <c r="K29" s="19">
        <f>6742+197+88+1788+106</f>
        <v>8921</v>
      </c>
      <c r="M29" s="17" t="s">
        <v>0</v>
      </c>
      <c r="N29" s="19">
        <f>149+11+5+42+3</f>
        <v>210</v>
      </c>
      <c r="O29" s="19">
        <f>1978+146+71+558+48</f>
        <v>2801</v>
      </c>
      <c r="Q29" s="17" t="s">
        <v>0</v>
      </c>
      <c r="R29" s="19">
        <f>38+5+2+6</f>
        <v>51</v>
      </c>
      <c r="S29" s="19">
        <f>2051+677+46+259</f>
        <v>3033</v>
      </c>
      <c r="U29" s="17" t="s">
        <v>0</v>
      </c>
      <c r="V29" s="19">
        <f t="shared" ref="V29:V40" si="7">B29+F29+J29+N29+R29</f>
        <v>6754</v>
      </c>
      <c r="W29" s="19">
        <f t="shared" ref="W29:W40" si="8">C29+G29+K29+O29+S29</f>
        <v>28648</v>
      </c>
      <c r="X29" s="25">
        <v>335636.21</v>
      </c>
    </row>
    <row r="30" spans="1:24" x14ac:dyDescent="0.2">
      <c r="A30" s="17" t="s">
        <v>1</v>
      </c>
      <c r="B30" s="19">
        <v>2676</v>
      </c>
      <c r="C30" s="19">
        <v>3337</v>
      </c>
      <c r="E30" s="17" t="s">
        <v>1</v>
      </c>
      <c r="F30" s="19">
        <v>2849</v>
      </c>
      <c r="G30" s="19">
        <v>10786</v>
      </c>
      <c r="I30" s="17" t="s">
        <v>1</v>
      </c>
      <c r="J30" s="19">
        <v>1015</v>
      </c>
      <c r="K30" s="19">
        <v>7305</v>
      </c>
      <c r="M30" s="17" t="s">
        <v>1</v>
      </c>
      <c r="N30" s="19">
        <v>158</v>
      </c>
      <c r="O30" s="19">
        <v>2157</v>
      </c>
      <c r="Q30" s="17" t="s">
        <v>1</v>
      </c>
      <c r="R30" s="19">
        <v>50</v>
      </c>
      <c r="S30" s="19">
        <v>3323</v>
      </c>
      <c r="U30" s="17" t="s">
        <v>1</v>
      </c>
      <c r="V30" s="19">
        <f t="shared" si="7"/>
        <v>6748</v>
      </c>
      <c r="W30" s="19">
        <f t="shared" si="8"/>
        <v>26908</v>
      </c>
      <c r="X30" s="25">
        <v>320916.83</v>
      </c>
    </row>
    <row r="31" spans="1:24" x14ac:dyDescent="0.2">
      <c r="A31" s="17" t="s">
        <v>2</v>
      </c>
      <c r="B31" s="19">
        <v>3021</v>
      </c>
      <c r="C31" s="19">
        <v>3910</v>
      </c>
      <c r="E31" s="17" t="s">
        <v>2</v>
      </c>
      <c r="F31" s="19">
        <v>2750</v>
      </c>
      <c r="G31" s="19">
        <v>10731</v>
      </c>
      <c r="I31" s="17" t="s">
        <v>2</v>
      </c>
      <c r="J31" s="19">
        <v>796</v>
      </c>
      <c r="K31" s="19">
        <v>5639</v>
      </c>
      <c r="M31" s="17" t="s">
        <v>2</v>
      </c>
      <c r="N31" s="19">
        <v>143</v>
      </c>
      <c r="O31" s="19">
        <v>1803</v>
      </c>
      <c r="Q31" s="17" t="s">
        <v>2</v>
      </c>
      <c r="R31" s="19">
        <v>35</v>
      </c>
      <c r="S31" s="19">
        <v>1045</v>
      </c>
      <c r="U31" s="17" t="s">
        <v>2</v>
      </c>
      <c r="V31" s="19">
        <f t="shared" si="7"/>
        <v>6745</v>
      </c>
      <c r="W31" s="19">
        <f t="shared" si="8"/>
        <v>23128</v>
      </c>
      <c r="X31" s="25">
        <v>292905.15999999997</v>
      </c>
    </row>
    <row r="32" spans="1:24" x14ac:dyDescent="0.2">
      <c r="A32" s="17" t="s">
        <v>3</v>
      </c>
      <c r="B32" s="19">
        <v>2702</v>
      </c>
      <c r="C32" s="19">
        <v>3419</v>
      </c>
      <c r="E32" s="17" t="s">
        <v>3</v>
      </c>
      <c r="F32" s="19">
        <v>2865</v>
      </c>
      <c r="G32" s="19">
        <v>10824</v>
      </c>
      <c r="I32" s="17" t="s">
        <v>3</v>
      </c>
      <c r="J32" s="19">
        <v>981</v>
      </c>
      <c r="K32" s="19">
        <v>7050</v>
      </c>
      <c r="M32" s="17" t="s">
        <v>3</v>
      </c>
      <c r="N32" s="19">
        <v>165</v>
      </c>
      <c r="O32" s="19">
        <v>2209</v>
      </c>
      <c r="Q32" s="17" t="s">
        <v>3</v>
      </c>
      <c r="R32" s="19">
        <v>30</v>
      </c>
      <c r="S32" s="19">
        <v>1065</v>
      </c>
      <c r="U32" s="17" t="s">
        <v>3</v>
      </c>
      <c r="V32" s="19">
        <f t="shared" si="7"/>
        <v>6743</v>
      </c>
      <c r="W32" s="19">
        <f t="shared" si="8"/>
        <v>24567</v>
      </c>
      <c r="X32" s="25">
        <v>303894.21999999997</v>
      </c>
    </row>
    <row r="33" spans="1:24" x14ac:dyDescent="0.2">
      <c r="A33" s="17" t="s">
        <v>4</v>
      </c>
      <c r="B33" s="19">
        <v>3058</v>
      </c>
      <c r="C33" s="19">
        <v>3910</v>
      </c>
      <c r="E33" s="17" t="s">
        <v>4</v>
      </c>
      <c r="F33" s="19">
        <v>2750</v>
      </c>
      <c r="G33" s="19">
        <v>10202</v>
      </c>
      <c r="I33" s="17" t="s">
        <v>4</v>
      </c>
      <c r="J33" s="19">
        <v>796</v>
      </c>
      <c r="K33" s="19">
        <v>5639</v>
      </c>
      <c r="M33" s="17" t="s">
        <v>4</v>
      </c>
      <c r="N33" s="19">
        <v>135</v>
      </c>
      <c r="O33" s="19">
        <v>1803</v>
      </c>
      <c r="Q33" s="17" t="s">
        <v>4</v>
      </c>
      <c r="R33" s="19">
        <v>35</v>
      </c>
      <c r="S33" s="19">
        <v>1045</v>
      </c>
      <c r="U33" s="17" t="s">
        <v>4</v>
      </c>
      <c r="V33" s="19">
        <f t="shared" si="7"/>
        <v>6774</v>
      </c>
      <c r="W33" s="19">
        <f t="shared" si="8"/>
        <v>22599</v>
      </c>
      <c r="X33" s="25">
        <v>288741.42</v>
      </c>
    </row>
    <row r="34" spans="1:24" x14ac:dyDescent="0.2">
      <c r="A34" s="17" t="s">
        <v>5</v>
      </c>
      <c r="B34" s="19">
        <v>2328</v>
      </c>
      <c r="C34" s="19">
        <v>2949</v>
      </c>
      <c r="E34" s="17" t="s">
        <v>5</v>
      </c>
      <c r="F34" s="19">
        <v>2766</v>
      </c>
      <c r="G34" s="19">
        <v>10523</v>
      </c>
      <c r="I34" s="17" t="s">
        <v>5</v>
      </c>
      <c r="J34" s="19">
        <v>1270</v>
      </c>
      <c r="K34" s="19">
        <v>9264</v>
      </c>
      <c r="M34" s="17" t="s">
        <v>5</v>
      </c>
      <c r="N34" s="19">
        <v>355</v>
      </c>
      <c r="O34" s="19">
        <v>4619</v>
      </c>
      <c r="Q34" s="17" t="s">
        <v>5</v>
      </c>
      <c r="R34" s="19">
        <v>78</v>
      </c>
      <c r="S34" s="19">
        <v>2417</v>
      </c>
      <c r="U34" s="17" t="s">
        <v>5</v>
      </c>
      <c r="V34" s="19">
        <f t="shared" si="7"/>
        <v>6797</v>
      </c>
      <c r="W34" s="19">
        <f t="shared" si="8"/>
        <v>29772</v>
      </c>
      <c r="X34" s="25">
        <v>346571.27</v>
      </c>
    </row>
    <row r="35" spans="1:24" x14ac:dyDescent="0.2">
      <c r="A35" s="17" t="s">
        <v>6</v>
      </c>
      <c r="B35" s="19">
        <v>2655</v>
      </c>
      <c r="C35" s="19">
        <v>3419</v>
      </c>
      <c r="E35" s="17" t="s">
        <v>6</v>
      </c>
      <c r="F35" s="19">
        <v>2735</v>
      </c>
      <c r="G35" s="19">
        <v>10371</v>
      </c>
      <c r="I35" s="17" t="s">
        <v>6</v>
      </c>
      <c r="J35" s="19">
        <v>1056</v>
      </c>
      <c r="K35" s="19">
        <v>7662</v>
      </c>
      <c r="M35" s="17" t="s">
        <v>6</v>
      </c>
      <c r="N35" s="19">
        <v>263</v>
      </c>
      <c r="O35" s="19">
        <v>3710</v>
      </c>
      <c r="Q35" s="17" t="s">
        <v>6</v>
      </c>
      <c r="R35" s="19">
        <v>53</v>
      </c>
      <c r="S35" s="19">
        <v>1724</v>
      </c>
      <c r="U35" s="17" t="s">
        <v>6</v>
      </c>
      <c r="V35" s="19">
        <f t="shared" si="7"/>
        <v>6762</v>
      </c>
      <c r="W35" s="19">
        <f t="shared" si="8"/>
        <v>26886</v>
      </c>
      <c r="X35" s="25">
        <v>323823.71000000002</v>
      </c>
    </row>
    <row r="36" spans="1:24" x14ac:dyDescent="0.2">
      <c r="A36" s="17" t="s">
        <v>7</v>
      </c>
      <c r="B36" s="19">
        <v>2297</v>
      </c>
      <c r="C36" s="19">
        <v>2928</v>
      </c>
      <c r="E36" s="17" t="s">
        <v>7</v>
      </c>
      <c r="F36" s="19">
        <v>2695</v>
      </c>
      <c r="G36" s="19">
        <v>10375</v>
      </c>
      <c r="I36" s="17" t="s">
        <v>7</v>
      </c>
      <c r="J36" s="19">
        <v>1322</v>
      </c>
      <c r="K36" s="19">
        <v>9732</v>
      </c>
      <c r="M36" s="17" t="s">
        <v>7</v>
      </c>
      <c r="N36" s="19">
        <v>356</v>
      </c>
      <c r="O36" s="19">
        <v>4959</v>
      </c>
      <c r="Q36" s="17" t="s">
        <v>7</v>
      </c>
      <c r="R36" s="19">
        <v>85</v>
      </c>
      <c r="S36" s="19">
        <v>3155</v>
      </c>
      <c r="U36" s="17" t="s">
        <v>7</v>
      </c>
      <c r="V36" s="19">
        <f t="shared" si="7"/>
        <v>6755</v>
      </c>
      <c r="W36" s="19">
        <f t="shared" si="8"/>
        <v>31149</v>
      </c>
      <c r="X36" s="25">
        <v>357366.69</v>
      </c>
    </row>
    <row r="37" spans="1:24" x14ac:dyDescent="0.2">
      <c r="A37" s="17" t="s">
        <v>8</v>
      </c>
      <c r="B37" s="19">
        <v>2505</v>
      </c>
      <c r="C37" s="19">
        <v>3245</v>
      </c>
      <c r="E37" s="17" t="s">
        <v>8</v>
      </c>
      <c r="F37" s="19">
        <v>2837</v>
      </c>
      <c r="G37" s="19">
        <v>10869</v>
      </c>
      <c r="I37" s="17" t="s">
        <v>8</v>
      </c>
      <c r="J37" s="19">
        <v>1121</v>
      </c>
      <c r="K37" s="19">
        <v>8139</v>
      </c>
      <c r="M37" s="17" t="s">
        <v>8</v>
      </c>
      <c r="N37" s="19">
        <v>239</v>
      </c>
      <c r="O37" s="19">
        <v>3292</v>
      </c>
      <c r="Q37" s="17" t="s">
        <v>8</v>
      </c>
      <c r="R37" s="19">
        <v>64</v>
      </c>
      <c r="S37" s="19">
        <v>2357</v>
      </c>
      <c r="U37" s="17" t="s">
        <v>8</v>
      </c>
      <c r="V37" s="19">
        <f t="shared" si="7"/>
        <v>6766</v>
      </c>
      <c r="W37" s="19">
        <f t="shared" si="8"/>
        <v>27902</v>
      </c>
      <c r="X37" s="25">
        <v>331217.59000000003</v>
      </c>
    </row>
    <row r="38" spans="1:24" x14ac:dyDescent="0.2">
      <c r="A38" s="17" t="s">
        <v>9</v>
      </c>
      <c r="B38" s="19">
        <v>2938</v>
      </c>
      <c r="C38" s="19">
        <v>3794</v>
      </c>
      <c r="E38" s="17" t="s">
        <v>9</v>
      </c>
      <c r="F38" s="19">
        <v>2798</v>
      </c>
      <c r="G38" s="19">
        <v>10542</v>
      </c>
      <c r="I38" s="17" t="s">
        <v>9</v>
      </c>
      <c r="J38" s="19">
        <v>834</v>
      </c>
      <c r="K38" s="19">
        <v>5916</v>
      </c>
      <c r="M38" s="17" t="s">
        <v>9</v>
      </c>
      <c r="N38" s="19">
        <v>155</v>
      </c>
      <c r="O38" s="19">
        <v>2138</v>
      </c>
      <c r="Q38" s="17" t="s">
        <v>9</v>
      </c>
      <c r="R38" s="19">
        <v>45</v>
      </c>
      <c r="S38" s="19">
        <v>1693</v>
      </c>
      <c r="U38" s="17" t="s">
        <v>9</v>
      </c>
      <c r="V38" s="19">
        <f t="shared" si="7"/>
        <v>6770</v>
      </c>
      <c r="W38" s="19">
        <f t="shared" si="8"/>
        <v>24083</v>
      </c>
      <c r="X38" s="25">
        <v>299329.03999999998</v>
      </c>
    </row>
    <row r="39" spans="1:24" x14ac:dyDescent="0.2">
      <c r="A39" s="17" t="s">
        <v>10</v>
      </c>
      <c r="B39" s="19">
        <v>2672</v>
      </c>
      <c r="C39" s="19">
        <v>3375</v>
      </c>
      <c r="E39" s="17" t="s">
        <v>10</v>
      </c>
      <c r="F39" s="19">
        <v>2911</v>
      </c>
      <c r="G39" s="19">
        <v>11000</v>
      </c>
      <c r="I39" s="17" t="s">
        <v>10</v>
      </c>
      <c r="J39" s="19">
        <v>992</v>
      </c>
      <c r="K39" s="19">
        <v>7031</v>
      </c>
      <c r="M39" s="17" t="s">
        <v>10</v>
      </c>
      <c r="N39" s="19">
        <v>161</v>
      </c>
      <c r="O39" s="19">
        <v>2179</v>
      </c>
      <c r="Q39" s="17" t="s">
        <v>10</v>
      </c>
      <c r="R39" s="19">
        <v>44</v>
      </c>
      <c r="S39" s="19">
        <v>1399</v>
      </c>
      <c r="U39" s="17" t="s">
        <v>10</v>
      </c>
      <c r="V39" s="19">
        <f t="shared" si="7"/>
        <v>6780</v>
      </c>
      <c r="W39" s="19">
        <f t="shared" si="8"/>
        <v>24984</v>
      </c>
      <c r="X39" s="25">
        <v>308996.44</v>
      </c>
    </row>
    <row r="40" spans="1:24" x14ac:dyDescent="0.2">
      <c r="A40" s="17" t="s">
        <v>11</v>
      </c>
      <c r="B40" s="19">
        <v>3144</v>
      </c>
      <c r="C40" s="19">
        <v>3996</v>
      </c>
      <c r="E40" s="17" t="s">
        <v>11</v>
      </c>
      <c r="F40" s="19">
        <v>2750</v>
      </c>
      <c r="G40" s="19">
        <v>11221</v>
      </c>
      <c r="I40" s="17" t="s">
        <v>11</v>
      </c>
      <c r="J40" s="19">
        <v>720</v>
      </c>
      <c r="K40" s="19">
        <v>5086</v>
      </c>
      <c r="M40" s="17" t="s">
        <v>11</v>
      </c>
      <c r="N40" s="19">
        <v>119</v>
      </c>
      <c r="O40" s="19">
        <v>1577</v>
      </c>
      <c r="Q40" s="17" t="s">
        <v>11</v>
      </c>
      <c r="R40" s="19">
        <v>37</v>
      </c>
      <c r="S40" s="19">
        <v>2548</v>
      </c>
      <c r="U40" s="17" t="s">
        <v>11</v>
      </c>
      <c r="V40" s="19">
        <f t="shared" si="7"/>
        <v>6770</v>
      </c>
      <c r="W40" s="19">
        <f t="shared" si="8"/>
        <v>24428</v>
      </c>
      <c r="X40" s="25">
        <v>295283.90999999997</v>
      </c>
    </row>
    <row r="41" spans="1:24" x14ac:dyDescent="0.2">
      <c r="A41" s="17"/>
      <c r="B41" s="19"/>
      <c r="C41" s="19"/>
      <c r="E41" s="17"/>
      <c r="F41" s="19"/>
      <c r="G41" s="19"/>
      <c r="I41" s="17"/>
      <c r="J41" s="19"/>
      <c r="K41" s="19"/>
      <c r="M41" s="17"/>
      <c r="N41" s="19"/>
      <c r="O41" s="19"/>
      <c r="Q41" s="17"/>
      <c r="R41" s="19"/>
      <c r="S41" s="19"/>
      <c r="U41" s="17"/>
      <c r="V41" s="19"/>
      <c r="W41" s="19"/>
      <c r="X41" s="25"/>
    </row>
    <row r="42" spans="1:24" x14ac:dyDescent="0.2">
      <c r="A42" s="17" t="s">
        <v>12</v>
      </c>
      <c r="B42" s="19">
        <f>SUM(B29:B41)</f>
        <v>32405</v>
      </c>
      <c r="C42" s="19">
        <f>SUM(C29:C41)</f>
        <v>41249</v>
      </c>
      <c r="E42" s="17"/>
      <c r="F42" s="19">
        <f t="shared" ref="F42" si="9">SUM(F29:F41)</f>
        <v>33556</v>
      </c>
      <c r="G42" s="19">
        <f t="shared" ref="G42" si="10">SUM(G29:G41)</f>
        <v>128370</v>
      </c>
      <c r="I42" s="17"/>
      <c r="J42" s="19">
        <f t="shared" ref="J42" si="11">SUM(J29:J41)</f>
        <v>12137</v>
      </c>
      <c r="K42" s="19">
        <f t="shared" ref="K42" si="12">SUM(K29:K41)</f>
        <v>87384</v>
      </c>
      <c r="M42" s="17"/>
      <c r="N42" s="19">
        <f t="shared" ref="N42" si="13">SUM(N29:N41)</f>
        <v>2459</v>
      </c>
      <c r="O42" s="19">
        <f t="shared" ref="O42" si="14">SUM(O29:O41)</f>
        <v>33247</v>
      </c>
      <c r="Q42" s="17"/>
      <c r="R42" s="19">
        <f t="shared" ref="R42:S42" si="15">SUM(R29:R41)</f>
        <v>607</v>
      </c>
      <c r="S42" s="19">
        <f t="shared" si="15"/>
        <v>24804</v>
      </c>
      <c r="U42" s="17"/>
      <c r="V42" s="19">
        <f t="shared" ref="V42:W42" si="16">SUM(V29:V41)</f>
        <v>81164</v>
      </c>
      <c r="W42" s="19">
        <f t="shared" si="16"/>
        <v>315054</v>
      </c>
      <c r="X42" s="25">
        <f>SUM(X29:X40)</f>
        <v>3804682.4899999998</v>
      </c>
    </row>
    <row r="43" spans="1:24" x14ac:dyDescent="0.2">
      <c r="A43" s="17"/>
      <c r="B43" s="19"/>
      <c r="C43" s="19"/>
      <c r="V43" s="2">
        <f>B42+F42+J42+N42+R42</f>
        <v>81164</v>
      </c>
      <c r="W43" s="2">
        <f>C42+G42+K42+O42+S42</f>
        <v>315054</v>
      </c>
    </row>
    <row r="48" spans="1:24" x14ac:dyDescent="0.2">
      <c r="A48" s="10" t="s">
        <v>73</v>
      </c>
      <c r="B48" s="11"/>
      <c r="C48" s="11"/>
    </row>
    <row r="49" spans="1:24" x14ac:dyDescent="0.2">
      <c r="A49" s="10"/>
      <c r="B49" s="9"/>
      <c r="C49" s="9"/>
    </row>
    <row r="50" spans="1:24" x14ac:dyDescent="0.2">
      <c r="A50" s="17"/>
      <c r="B50" s="18" t="s">
        <v>20</v>
      </c>
      <c r="C50" s="18" t="s">
        <v>21</v>
      </c>
      <c r="E50" s="17"/>
      <c r="F50" s="18" t="s">
        <v>20</v>
      </c>
      <c r="G50" s="18" t="s">
        <v>21</v>
      </c>
      <c r="I50" s="17"/>
      <c r="J50" s="18" t="s">
        <v>20</v>
      </c>
      <c r="K50" s="18" t="s">
        <v>21</v>
      </c>
      <c r="M50" s="17"/>
      <c r="N50" s="18" t="s">
        <v>20</v>
      </c>
      <c r="O50" s="18" t="s">
        <v>21</v>
      </c>
      <c r="Q50" s="17"/>
      <c r="R50" s="18" t="s">
        <v>20</v>
      </c>
      <c r="S50" s="18" t="s">
        <v>21</v>
      </c>
      <c r="U50" s="17"/>
      <c r="V50" s="18" t="s">
        <v>20</v>
      </c>
      <c r="W50" s="18" t="s">
        <v>21</v>
      </c>
      <c r="X50" s="18" t="s">
        <v>33</v>
      </c>
    </row>
    <row r="51" spans="1:24" x14ac:dyDescent="0.2">
      <c r="A51" s="17" t="s">
        <v>22</v>
      </c>
      <c r="B51" s="19"/>
      <c r="C51" s="19"/>
      <c r="E51" s="17" t="s">
        <v>23</v>
      </c>
      <c r="F51" s="19"/>
      <c r="G51" s="19"/>
      <c r="I51" s="17" t="s">
        <v>24</v>
      </c>
      <c r="J51" s="19"/>
      <c r="K51" s="19"/>
      <c r="M51" s="17" t="s">
        <v>71</v>
      </c>
      <c r="N51" s="19"/>
      <c r="O51" s="19"/>
      <c r="Q51" s="17" t="s">
        <v>42</v>
      </c>
      <c r="R51" s="19"/>
      <c r="S51" s="19"/>
      <c r="U51" s="17" t="s">
        <v>25</v>
      </c>
      <c r="V51" s="19"/>
      <c r="W51" s="19"/>
      <c r="X51" s="19"/>
    </row>
    <row r="52" spans="1:24" x14ac:dyDescent="0.2">
      <c r="A52" s="17" t="s">
        <v>0</v>
      </c>
      <c r="B52" s="19">
        <v>120</v>
      </c>
      <c r="C52" s="19">
        <f>6+118+11+15</f>
        <v>150</v>
      </c>
      <c r="E52" s="17" t="s">
        <v>0</v>
      </c>
      <c r="F52" s="19">
        <v>166</v>
      </c>
      <c r="G52" s="19">
        <f>4+531+18+73</f>
        <v>626</v>
      </c>
      <c r="I52" s="17" t="s">
        <v>0</v>
      </c>
      <c r="J52" s="19">
        <f>2+61+1+7</f>
        <v>71</v>
      </c>
      <c r="K52" s="19">
        <f>14+433+10+53</f>
        <v>510</v>
      </c>
      <c r="M52" s="17" t="s">
        <v>0</v>
      </c>
      <c r="N52" s="19">
        <f>1+11+0+3</f>
        <v>15</v>
      </c>
      <c r="O52" s="19">
        <f>12+150+0+39</f>
        <v>201</v>
      </c>
      <c r="Q52" s="17" t="s">
        <v>0</v>
      </c>
      <c r="R52" s="19">
        <f>0+4+1+0</f>
        <v>5</v>
      </c>
      <c r="S52" s="19">
        <f>0+121+22+0</f>
        <v>143</v>
      </c>
      <c r="U52" s="17" t="s">
        <v>0</v>
      </c>
      <c r="V52" s="19">
        <f t="shared" ref="V52:V63" si="17">B52+F52+J52+N52+R52</f>
        <v>377</v>
      </c>
      <c r="W52" s="19">
        <f t="shared" ref="W52:W63" si="18">C52+G52+K52+O52+S52</f>
        <v>1630</v>
      </c>
      <c r="X52" s="25">
        <v>18998.080000000002</v>
      </c>
    </row>
    <row r="53" spans="1:24" x14ac:dyDescent="0.2">
      <c r="A53" s="17" t="s">
        <v>1</v>
      </c>
      <c r="B53" s="19">
        <v>168</v>
      </c>
      <c r="C53" s="19">
        <v>211</v>
      </c>
      <c r="E53" s="17" t="s">
        <v>1</v>
      </c>
      <c r="F53" s="19">
        <v>156</v>
      </c>
      <c r="G53" s="19">
        <v>557</v>
      </c>
      <c r="I53" s="17" t="s">
        <v>1</v>
      </c>
      <c r="J53" s="19">
        <v>47</v>
      </c>
      <c r="K53" s="19">
        <v>345</v>
      </c>
      <c r="M53" s="17" t="s">
        <v>1</v>
      </c>
      <c r="N53" s="19">
        <v>8</v>
      </c>
      <c r="O53" s="19">
        <v>111</v>
      </c>
      <c r="Q53" s="17" t="s">
        <v>1</v>
      </c>
      <c r="R53" s="19">
        <v>1</v>
      </c>
      <c r="S53" s="19">
        <v>21</v>
      </c>
      <c r="U53" s="17" t="s">
        <v>1</v>
      </c>
      <c r="V53" s="19">
        <f t="shared" si="17"/>
        <v>380</v>
      </c>
      <c r="W53" s="19">
        <f t="shared" si="18"/>
        <v>1245</v>
      </c>
      <c r="X53" s="25">
        <v>16037.74</v>
      </c>
    </row>
    <row r="54" spans="1:24" x14ac:dyDescent="0.2">
      <c r="A54" s="17" t="s">
        <v>2</v>
      </c>
      <c r="B54" s="19">
        <v>168</v>
      </c>
      <c r="C54" s="19">
        <v>211</v>
      </c>
      <c r="E54" s="17" t="s">
        <v>2</v>
      </c>
      <c r="F54" s="19">
        <v>156</v>
      </c>
      <c r="G54" s="19">
        <v>557</v>
      </c>
      <c r="I54" s="17" t="s">
        <v>2</v>
      </c>
      <c r="J54" s="19">
        <v>47</v>
      </c>
      <c r="K54" s="19">
        <v>345</v>
      </c>
      <c r="M54" s="17" t="s">
        <v>2</v>
      </c>
      <c r="N54" s="19">
        <v>8</v>
      </c>
      <c r="O54" s="19">
        <v>111</v>
      </c>
      <c r="Q54" s="17" t="s">
        <v>2</v>
      </c>
      <c r="R54" s="19">
        <v>1</v>
      </c>
      <c r="S54" s="19">
        <v>21</v>
      </c>
      <c r="U54" s="17" t="s">
        <v>2</v>
      </c>
      <c r="V54" s="19">
        <f t="shared" si="17"/>
        <v>380</v>
      </c>
      <c r="W54" s="19">
        <f t="shared" si="18"/>
        <v>1245</v>
      </c>
      <c r="X54" s="25">
        <v>16037.74</v>
      </c>
    </row>
    <row r="55" spans="1:24" x14ac:dyDescent="0.2">
      <c r="A55" s="17" t="s">
        <v>3</v>
      </c>
      <c r="B55" s="19">
        <v>156</v>
      </c>
      <c r="C55" s="19">
        <v>211</v>
      </c>
      <c r="E55" s="17" t="s">
        <v>3</v>
      </c>
      <c r="F55" s="19">
        <v>164</v>
      </c>
      <c r="G55" s="19">
        <v>614</v>
      </c>
      <c r="I55" s="17" t="s">
        <v>3</v>
      </c>
      <c r="J55" s="19">
        <v>53</v>
      </c>
      <c r="K55" s="19">
        <v>389</v>
      </c>
      <c r="M55" s="17" t="s">
        <v>3</v>
      </c>
      <c r="N55" s="19">
        <v>8</v>
      </c>
      <c r="O55" s="19">
        <v>117</v>
      </c>
      <c r="Q55" s="17" t="s">
        <v>3</v>
      </c>
      <c r="R55" s="19">
        <v>1</v>
      </c>
      <c r="S55" s="19">
        <v>23</v>
      </c>
      <c r="U55" s="17" t="s">
        <v>3</v>
      </c>
      <c r="V55" s="19">
        <f t="shared" si="17"/>
        <v>382</v>
      </c>
      <c r="W55" s="19">
        <f t="shared" si="18"/>
        <v>1354</v>
      </c>
      <c r="X55" s="25">
        <v>16826.04</v>
      </c>
    </row>
    <row r="56" spans="1:24" x14ac:dyDescent="0.2">
      <c r="A56" s="17" t="s">
        <v>4</v>
      </c>
      <c r="B56" s="19">
        <v>153</v>
      </c>
      <c r="C56" s="19">
        <v>199</v>
      </c>
      <c r="E56" s="17" t="s">
        <v>4</v>
      </c>
      <c r="F56" s="19">
        <v>165</v>
      </c>
      <c r="G56" s="19">
        <v>607</v>
      </c>
      <c r="I56" s="17" t="s">
        <v>4</v>
      </c>
      <c r="J56" s="19">
        <v>51</v>
      </c>
      <c r="K56" s="19">
        <v>377</v>
      </c>
      <c r="M56" s="17" t="s">
        <v>4</v>
      </c>
      <c r="N56" s="19">
        <v>14</v>
      </c>
      <c r="O56" s="19">
        <v>204</v>
      </c>
      <c r="Q56" s="17" t="s">
        <v>4</v>
      </c>
      <c r="R56" s="19">
        <v>2</v>
      </c>
      <c r="S56" s="19">
        <v>49</v>
      </c>
      <c r="U56" s="17" t="s">
        <v>4</v>
      </c>
      <c r="V56" s="19">
        <f t="shared" si="17"/>
        <v>385</v>
      </c>
      <c r="W56" s="19">
        <f t="shared" si="18"/>
        <v>1436</v>
      </c>
      <c r="X56" s="25">
        <v>17576.3</v>
      </c>
    </row>
    <row r="57" spans="1:24" x14ac:dyDescent="0.2">
      <c r="A57" s="17" t="s">
        <v>5</v>
      </c>
      <c r="B57" s="19">
        <v>131</v>
      </c>
      <c r="C57" s="19">
        <v>175</v>
      </c>
      <c r="E57" s="17" t="s">
        <v>5</v>
      </c>
      <c r="F57" s="19">
        <v>153</v>
      </c>
      <c r="G57" s="19">
        <v>575</v>
      </c>
      <c r="I57" s="17" t="s">
        <v>5</v>
      </c>
      <c r="J57" s="19">
        <v>71</v>
      </c>
      <c r="K57" s="19">
        <v>518</v>
      </c>
      <c r="M57" s="17" t="s">
        <v>5</v>
      </c>
      <c r="N57" s="19">
        <v>28</v>
      </c>
      <c r="O57" s="19">
        <v>380</v>
      </c>
      <c r="Q57" s="17" t="s">
        <v>5</v>
      </c>
      <c r="R57" s="19">
        <v>2</v>
      </c>
      <c r="S57" s="19">
        <v>53</v>
      </c>
      <c r="U57" s="17" t="s">
        <v>5</v>
      </c>
      <c r="V57" s="19">
        <f t="shared" si="17"/>
        <v>385</v>
      </c>
      <c r="W57" s="19">
        <f t="shared" si="18"/>
        <v>1701</v>
      </c>
      <c r="X57" s="25">
        <v>19752.169999999998</v>
      </c>
    </row>
    <row r="58" spans="1:24" x14ac:dyDescent="0.2">
      <c r="A58" s="17" t="s">
        <v>6</v>
      </c>
      <c r="B58" s="19">
        <v>157</v>
      </c>
      <c r="C58" s="19">
        <v>218</v>
      </c>
      <c r="E58" s="17" t="s">
        <v>6</v>
      </c>
      <c r="F58" s="19">
        <v>159</v>
      </c>
      <c r="G58" s="19">
        <v>598</v>
      </c>
      <c r="I58" s="17" t="s">
        <v>6</v>
      </c>
      <c r="J58" s="19">
        <v>55</v>
      </c>
      <c r="K58" s="19">
        <v>401</v>
      </c>
      <c r="M58" s="17" t="s">
        <v>6</v>
      </c>
      <c r="N58" s="19">
        <v>13</v>
      </c>
      <c r="O58" s="19">
        <v>166</v>
      </c>
      <c r="Q58" s="17" t="s">
        <v>6</v>
      </c>
      <c r="R58" s="19">
        <v>3</v>
      </c>
      <c r="S58" s="19">
        <v>192</v>
      </c>
      <c r="U58" s="17" t="s">
        <v>6</v>
      </c>
      <c r="V58" s="19">
        <f t="shared" si="17"/>
        <v>387</v>
      </c>
      <c r="W58" s="19">
        <f t="shared" si="18"/>
        <v>1575</v>
      </c>
      <c r="X58" s="25">
        <v>18553.060000000001</v>
      </c>
    </row>
    <row r="59" spans="1:24" x14ac:dyDescent="0.2">
      <c r="A59" s="17" t="s">
        <v>7</v>
      </c>
      <c r="B59" s="19">
        <v>114</v>
      </c>
      <c r="C59" s="19">
        <v>143</v>
      </c>
      <c r="E59" s="17" t="s">
        <v>7</v>
      </c>
      <c r="F59" s="19">
        <v>161</v>
      </c>
      <c r="G59" s="19">
        <v>607</v>
      </c>
      <c r="I59" s="17" t="s">
        <v>7</v>
      </c>
      <c r="J59" s="19">
        <v>78</v>
      </c>
      <c r="K59" s="19">
        <v>579</v>
      </c>
      <c r="M59" s="17" t="s">
        <v>7</v>
      </c>
      <c r="N59" s="19">
        <v>28</v>
      </c>
      <c r="O59" s="19">
        <v>368</v>
      </c>
      <c r="Q59" s="17" t="s">
        <v>7</v>
      </c>
      <c r="R59" s="19">
        <v>4</v>
      </c>
      <c r="S59" s="19">
        <v>190</v>
      </c>
      <c r="U59" s="17" t="s">
        <v>7</v>
      </c>
      <c r="V59" s="19">
        <f t="shared" si="17"/>
        <v>385</v>
      </c>
      <c r="W59" s="19">
        <f t="shared" si="18"/>
        <v>1887</v>
      </c>
      <c r="X59" s="25">
        <v>21193.62</v>
      </c>
    </row>
    <row r="60" spans="1:24" x14ac:dyDescent="0.2">
      <c r="A60" s="17" t="s">
        <v>8</v>
      </c>
      <c r="B60" s="19">
        <v>157</v>
      </c>
      <c r="C60" s="19">
        <v>192</v>
      </c>
      <c r="E60" s="17" t="s">
        <v>8</v>
      </c>
      <c r="F60" s="19">
        <v>167</v>
      </c>
      <c r="G60" s="19">
        <v>631</v>
      </c>
      <c r="I60" s="17" t="s">
        <v>8</v>
      </c>
      <c r="J60" s="19">
        <v>53</v>
      </c>
      <c r="K60" s="19">
        <v>384</v>
      </c>
      <c r="M60" s="17" t="s">
        <v>8</v>
      </c>
      <c r="N60" s="19">
        <v>8</v>
      </c>
      <c r="O60" s="19">
        <v>111</v>
      </c>
      <c r="Q60" s="17" t="s">
        <v>8</v>
      </c>
      <c r="R60" s="19">
        <v>3</v>
      </c>
      <c r="S60" s="19">
        <v>80</v>
      </c>
      <c r="U60" s="17" t="s">
        <v>8</v>
      </c>
      <c r="V60" s="19">
        <f t="shared" si="17"/>
        <v>388</v>
      </c>
      <c r="W60" s="19">
        <f t="shared" si="18"/>
        <v>1398</v>
      </c>
      <c r="X60" s="25">
        <v>17477.849999999999</v>
      </c>
    </row>
    <row r="61" spans="1:24" x14ac:dyDescent="0.2">
      <c r="A61" s="17" t="s">
        <v>9</v>
      </c>
      <c r="B61" s="19">
        <v>168</v>
      </c>
      <c r="C61" s="19">
        <v>211</v>
      </c>
      <c r="E61" s="17" t="s">
        <v>9</v>
      </c>
      <c r="F61" s="19">
        <v>161</v>
      </c>
      <c r="G61" s="19">
        <v>599</v>
      </c>
      <c r="I61" s="17" t="s">
        <v>9</v>
      </c>
      <c r="J61" s="19">
        <v>49</v>
      </c>
      <c r="K61" s="19">
        <v>351</v>
      </c>
      <c r="M61" s="17" t="s">
        <v>9</v>
      </c>
      <c r="N61" s="19">
        <v>8</v>
      </c>
      <c r="O61" s="19">
        <v>100</v>
      </c>
      <c r="Q61" s="17" t="s">
        <v>9</v>
      </c>
      <c r="R61" s="19">
        <v>1</v>
      </c>
      <c r="S61" s="19">
        <v>22</v>
      </c>
      <c r="U61" s="17" t="s">
        <v>9</v>
      </c>
      <c r="V61" s="19">
        <f t="shared" si="17"/>
        <v>387</v>
      </c>
      <c r="W61" s="19">
        <f t="shared" si="18"/>
        <v>1283</v>
      </c>
      <c r="X61" s="25">
        <v>16541.38</v>
      </c>
    </row>
    <row r="62" spans="1:24" x14ac:dyDescent="0.2">
      <c r="A62" s="17" t="s">
        <v>10</v>
      </c>
      <c r="B62" s="19">
        <v>158</v>
      </c>
      <c r="C62" s="19">
        <v>205</v>
      </c>
      <c r="E62" s="17" t="s">
        <v>10</v>
      </c>
      <c r="F62" s="19">
        <v>169</v>
      </c>
      <c r="G62" s="19">
        <v>640</v>
      </c>
      <c r="I62" s="17" t="s">
        <v>10</v>
      </c>
      <c r="J62" s="19">
        <v>53</v>
      </c>
      <c r="K62" s="19">
        <v>376</v>
      </c>
      <c r="M62" s="17" t="s">
        <v>10</v>
      </c>
      <c r="N62" s="19">
        <v>5</v>
      </c>
      <c r="O62" s="19">
        <v>69</v>
      </c>
      <c r="Q62" s="17" t="s">
        <v>10</v>
      </c>
      <c r="R62" s="19">
        <v>2</v>
      </c>
      <c r="S62" s="19">
        <v>50</v>
      </c>
      <c r="U62" s="17" t="s">
        <v>10</v>
      </c>
      <c r="V62" s="19">
        <f t="shared" si="17"/>
        <v>387</v>
      </c>
      <c r="W62" s="19">
        <f t="shared" si="18"/>
        <v>1340</v>
      </c>
      <c r="X62" s="25">
        <v>16907.41</v>
      </c>
    </row>
    <row r="63" spans="1:24" x14ac:dyDescent="0.2">
      <c r="A63" s="17" t="s">
        <v>11</v>
      </c>
      <c r="B63" s="19">
        <v>174</v>
      </c>
      <c r="C63" s="19">
        <v>239</v>
      </c>
      <c r="E63" s="17" t="s">
        <v>11</v>
      </c>
      <c r="F63" s="19">
        <v>163</v>
      </c>
      <c r="G63" s="19">
        <v>608</v>
      </c>
      <c r="I63" s="17" t="s">
        <v>11</v>
      </c>
      <c r="J63" s="19">
        <v>40</v>
      </c>
      <c r="K63" s="19">
        <v>286</v>
      </c>
      <c r="M63" s="17" t="s">
        <v>11</v>
      </c>
      <c r="N63" s="19">
        <v>6</v>
      </c>
      <c r="O63" s="19">
        <v>89</v>
      </c>
      <c r="Q63" s="17" t="s">
        <v>11</v>
      </c>
      <c r="R63" s="19">
        <v>1</v>
      </c>
      <c r="S63" s="19">
        <v>21</v>
      </c>
      <c r="U63" s="17" t="s">
        <v>11</v>
      </c>
      <c r="V63" s="19">
        <f t="shared" si="17"/>
        <v>384</v>
      </c>
      <c r="W63" s="19">
        <f t="shared" si="18"/>
        <v>1243</v>
      </c>
      <c r="X63" s="25">
        <v>15996.82</v>
      </c>
    </row>
    <row r="64" spans="1:24" x14ac:dyDescent="0.2">
      <c r="A64" s="17"/>
      <c r="B64" s="19"/>
      <c r="C64" s="19"/>
      <c r="E64" s="17"/>
      <c r="F64" s="19"/>
      <c r="G64" s="19"/>
      <c r="I64" s="17"/>
      <c r="J64" s="19"/>
      <c r="K64" s="19"/>
      <c r="M64" s="17"/>
      <c r="N64" s="19"/>
      <c r="O64" s="19"/>
      <c r="Q64" s="17"/>
      <c r="R64" s="19"/>
      <c r="S64" s="19"/>
      <c r="U64" s="17"/>
      <c r="V64" s="19"/>
      <c r="W64" s="19"/>
      <c r="X64" s="25"/>
    </row>
    <row r="65" spans="1:24" x14ac:dyDescent="0.2">
      <c r="A65" s="17" t="s">
        <v>12</v>
      </c>
      <c r="B65" s="19">
        <f>SUM(B52:B64)</f>
        <v>1824</v>
      </c>
      <c r="C65" s="19">
        <f>SUM(C52:C64)</f>
        <v>2365</v>
      </c>
      <c r="E65" s="17"/>
      <c r="F65" s="19">
        <f t="shared" ref="F65" si="19">SUM(F52:F64)</f>
        <v>1940</v>
      </c>
      <c r="G65" s="19">
        <f t="shared" ref="G65" si="20">SUM(G52:G64)</f>
        <v>7219</v>
      </c>
      <c r="I65" s="17"/>
      <c r="J65" s="19">
        <f t="shared" ref="J65" si="21">SUM(J52:J64)</f>
        <v>668</v>
      </c>
      <c r="K65" s="19">
        <f t="shared" ref="K65" si="22">SUM(K52:K64)</f>
        <v>4861</v>
      </c>
      <c r="M65" s="17"/>
      <c r="N65" s="19">
        <f t="shared" ref="N65" si="23">SUM(N52:N64)</f>
        <v>149</v>
      </c>
      <c r="O65" s="19">
        <f t="shared" ref="O65" si="24">SUM(O52:O64)</f>
        <v>2027</v>
      </c>
      <c r="Q65" s="17"/>
      <c r="R65" s="19">
        <f t="shared" ref="R65:S65" si="25">SUM(R52:R64)</f>
        <v>26</v>
      </c>
      <c r="S65" s="19">
        <f t="shared" si="25"/>
        <v>865</v>
      </c>
      <c r="U65" s="17"/>
      <c r="V65" s="19">
        <f t="shared" ref="V65:W65" si="26">SUM(V52:V64)</f>
        <v>4607</v>
      </c>
      <c r="W65" s="19">
        <f t="shared" si="26"/>
        <v>17337</v>
      </c>
      <c r="X65" s="25">
        <f>SUM(X52:X63)</f>
        <v>211898.21000000002</v>
      </c>
    </row>
    <row r="66" spans="1:24" x14ac:dyDescent="0.2">
      <c r="A66" s="17"/>
      <c r="B66" s="19"/>
      <c r="C66" s="19"/>
      <c r="V66" s="2">
        <f>B65+F65+J65+N65+R65</f>
        <v>4607</v>
      </c>
      <c r="W66" s="2">
        <f>C65+G65+K65+O65+S65</f>
        <v>17337</v>
      </c>
    </row>
    <row r="70" spans="1:24" x14ac:dyDescent="0.2">
      <c r="A70" s="10" t="s">
        <v>74</v>
      </c>
      <c r="B70" s="11"/>
      <c r="C70" s="11"/>
    </row>
    <row r="71" spans="1:24" x14ac:dyDescent="0.2">
      <c r="A71" s="10"/>
      <c r="B71" s="9"/>
      <c r="C71" s="9"/>
    </row>
    <row r="72" spans="1:24" x14ac:dyDescent="0.2">
      <c r="A72" s="17"/>
      <c r="B72" s="18" t="s">
        <v>20</v>
      </c>
      <c r="C72" s="18" t="s">
        <v>21</v>
      </c>
      <c r="E72" s="17"/>
      <c r="F72" s="18" t="s">
        <v>20</v>
      </c>
      <c r="G72" s="18" t="s">
        <v>21</v>
      </c>
      <c r="I72" s="17"/>
      <c r="J72" s="18" t="s">
        <v>20</v>
      </c>
      <c r="K72" s="18" t="s">
        <v>21</v>
      </c>
      <c r="M72" s="17"/>
      <c r="N72" s="18" t="s">
        <v>20</v>
      </c>
      <c r="O72" s="18" t="s">
        <v>21</v>
      </c>
      <c r="Q72" s="17"/>
      <c r="R72" s="18" t="s">
        <v>20</v>
      </c>
      <c r="S72" s="18" t="s">
        <v>21</v>
      </c>
      <c r="U72" s="17"/>
      <c r="V72" s="18" t="s">
        <v>20</v>
      </c>
      <c r="W72" s="18" t="s">
        <v>21</v>
      </c>
      <c r="X72" s="18" t="s">
        <v>33</v>
      </c>
    </row>
    <row r="73" spans="1:24" x14ac:dyDescent="0.2">
      <c r="A73" s="17" t="s">
        <v>22</v>
      </c>
      <c r="B73" s="19"/>
      <c r="C73" s="19"/>
      <c r="E73" s="17" t="s">
        <v>23</v>
      </c>
      <c r="F73" s="19"/>
      <c r="G73" s="19"/>
      <c r="I73" s="17" t="s">
        <v>24</v>
      </c>
      <c r="J73" s="19"/>
      <c r="K73" s="19"/>
      <c r="M73" s="17" t="s">
        <v>71</v>
      </c>
      <c r="N73" s="19"/>
      <c r="O73" s="19"/>
      <c r="Q73" s="17" t="s">
        <v>42</v>
      </c>
      <c r="R73" s="19"/>
      <c r="S73" s="19"/>
      <c r="U73" s="17" t="s">
        <v>25</v>
      </c>
      <c r="V73" s="19"/>
      <c r="W73" s="19"/>
      <c r="X73" s="19"/>
    </row>
    <row r="74" spans="1:24" x14ac:dyDescent="0.2">
      <c r="A74" s="17" t="s">
        <v>0</v>
      </c>
      <c r="B74" s="19"/>
      <c r="C74" s="19"/>
      <c r="E74" s="17" t="s">
        <v>0</v>
      </c>
      <c r="F74" s="19">
        <v>1</v>
      </c>
      <c r="G74" s="19">
        <v>4</v>
      </c>
      <c r="I74" s="17" t="s">
        <v>0</v>
      </c>
      <c r="J74" s="19">
        <v>1</v>
      </c>
      <c r="K74" s="19">
        <v>6</v>
      </c>
      <c r="M74" s="17" t="s">
        <v>0</v>
      </c>
      <c r="N74" s="19"/>
      <c r="O74" s="19"/>
      <c r="Q74" s="17" t="s">
        <v>0</v>
      </c>
      <c r="R74" s="19"/>
      <c r="S74" s="19"/>
      <c r="U74" s="17" t="s">
        <v>0</v>
      </c>
      <c r="V74" s="19">
        <f t="shared" ref="V74:V85" si="27">B74+F74+J74+N74+R74</f>
        <v>2</v>
      </c>
      <c r="W74" s="19">
        <f t="shared" ref="W74:W85" si="28">C74+G74+K74+O74+S74</f>
        <v>10</v>
      </c>
      <c r="X74" s="25">
        <v>110.74</v>
      </c>
    </row>
    <row r="75" spans="1:24" x14ac:dyDescent="0.2">
      <c r="A75" s="17" t="s">
        <v>1</v>
      </c>
      <c r="B75" s="19"/>
      <c r="C75" s="19"/>
      <c r="E75" s="17" t="s">
        <v>1</v>
      </c>
      <c r="F75" s="19">
        <v>1</v>
      </c>
      <c r="G75" s="19">
        <v>5</v>
      </c>
      <c r="I75" s="17" t="s">
        <v>1</v>
      </c>
      <c r="J75" s="19">
        <v>1</v>
      </c>
      <c r="K75" s="19">
        <v>6</v>
      </c>
      <c r="M75" s="17" t="s">
        <v>1</v>
      </c>
      <c r="N75" s="19"/>
      <c r="O75" s="19"/>
      <c r="Q75" s="17" t="s">
        <v>1</v>
      </c>
      <c r="R75" s="19"/>
      <c r="S75" s="19"/>
      <c r="U75" s="17" t="s">
        <v>1</v>
      </c>
      <c r="V75" s="19">
        <f t="shared" si="27"/>
        <v>2</v>
      </c>
      <c r="W75" s="19">
        <f t="shared" si="28"/>
        <v>11</v>
      </c>
      <c r="X75" s="25">
        <v>120.1</v>
      </c>
    </row>
    <row r="76" spans="1:24" x14ac:dyDescent="0.2">
      <c r="A76" s="17" t="s">
        <v>2</v>
      </c>
      <c r="B76" s="19"/>
      <c r="C76" s="19"/>
      <c r="E76" s="17" t="s">
        <v>2</v>
      </c>
      <c r="F76" s="19">
        <v>1</v>
      </c>
      <c r="G76" s="19">
        <v>5</v>
      </c>
      <c r="I76" s="17" t="s">
        <v>2</v>
      </c>
      <c r="J76" s="19">
        <v>1</v>
      </c>
      <c r="K76" s="19">
        <v>6</v>
      </c>
      <c r="M76" s="17" t="s">
        <v>2</v>
      </c>
      <c r="N76" s="19"/>
      <c r="O76" s="19"/>
      <c r="Q76" s="17" t="s">
        <v>2</v>
      </c>
      <c r="R76" s="19"/>
      <c r="S76" s="19"/>
      <c r="U76" s="17" t="s">
        <v>2</v>
      </c>
      <c r="V76" s="19">
        <f t="shared" si="27"/>
        <v>2</v>
      </c>
      <c r="W76" s="19">
        <f t="shared" si="28"/>
        <v>11</v>
      </c>
      <c r="X76" s="25">
        <v>120.1</v>
      </c>
    </row>
    <row r="77" spans="1:24" x14ac:dyDescent="0.2">
      <c r="A77" s="17" t="s">
        <v>3</v>
      </c>
      <c r="B77" s="19"/>
      <c r="C77" s="19"/>
      <c r="E77" s="17" t="s">
        <v>3</v>
      </c>
      <c r="F77" s="19">
        <v>1</v>
      </c>
      <c r="G77" s="19">
        <v>4</v>
      </c>
      <c r="I77" s="17" t="s">
        <v>3</v>
      </c>
      <c r="J77" s="19">
        <v>1</v>
      </c>
      <c r="K77" s="19">
        <v>8</v>
      </c>
      <c r="M77" s="17" t="s">
        <v>3</v>
      </c>
      <c r="N77" s="19"/>
      <c r="O77" s="19"/>
      <c r="Q77" s="17" t="s">
        <v>3</v>
      </c>
      <c r="R77" s="19"/>
      <c r="S77" s="19"/>
      <c r="U77" s="17" t="s">
        <v>3</v>
      </c>
      <c r="V77" s="19">
        <f t="shared" si="27"/>
        <v>2</v>
      </c>
      <c r="W77" s="19">
        <f t="shared" si="28"/>
        <v>12</v>
      </c>
      <c r="X77" s="25">
        <v>127.78</v>
      </c>
    </row>
    <row r="78" spans="1:24" x14ac:dyDescent="0.2">
      <c r="A78" s="17" t="s">
        <v>4</v>
      </c>
      <c r="B78" s="19">
        <v>1</v>
      </c>
      <c r="C78" s="19">
        <v>2</v>
      </c>
      <c r="E78" s="17" t="s">
        <v>4</v>
      </c>
      <c r="F78" s="19">
        <v>1</v>
      </c>
      <c r="G78" s="19">
        <v>3</v>
      </c>
      <c r="I78" s="17" t="s">
        <v>4</v>
      </c>
      <c r="J78" s="19">
        <v>1</v>
      </c>
      <c r="K78" s="19">
        <v>6</v>
      </c>
      <c r="M78" s="17" t="s">
        <v>4</v>
      </c>
      <c r="N78" s="19"/>
      <c r="O78" s="19"/>
      <c r="Q78" s="17" t="s">
        <v>4</v>
      </c>
      <c r="R78" s="19"/>
      <c r="S78" s="19"/>
      <c r="U78" s="17" t="s">
        <v>4</v>
      </c>
      <c r="V78" s="19">
        <f t="shared" si="27"/>
        <v>3</v>
      </c>
      <c r="W78" s="19">
        <f t="shared" si="28"/>
        <v>11</v>
      </c>
      <c r="X78" s="25">
        <v>129.09</v>
      </c>
    </row>
    <row r="79" spans="1:24" x14ac:dyDescent="0.2">
      <c r="A79" s="17" t="s">
        <v>5</v>
      </c>
      <c r="B79" s="19"/>
      <c r="C79" s="19"/>
      <c r="E79" s="17" t="s">
        <v>5</v>
      </c>
      <c r="F79" s="19">
        <v>1</v>
      </c>
      <c r="G79" s="19">
        <v>5</v>
      </c>
      <c r="I79" s="17" t="s">
        <v>5</v>
      </c>
      <c r="J79" s="19">
        <v>2</v>
      </c>
      <c r="K79" s="19">
        <v>13</v>
      </c>
      <c r="M79" s="17" t="s">
        <v>5</v>
      </c>
      <c r="N79" s="19"/>
      <c r="O79" s="19"/>
      <c r="Q79" s="17" t="s">
        <v>5</v>
      </c>
      <c r="R79" s="19"/>
      <c r="S79" s="19"/>
      <c r="U79" s="17" t="s">
        <v>5</v>
      </c>
      <c r="V79" s="19">
        <f t="shared" si="27"/>
        <v>3</v>
      </c>
      <c r="W79" s="19">
        <f t="shared" si="28"/>
        <v>18</v>
      </c>
      <c r="X79" s="25">
        <v>192.93</v>
      </c>
    </row>
    <row r="80" spans="1:24" x14ac:dyDescent="0.2">
      <c r="A80" s="17" t="s">
        <v>6</v>
      </c>
      <c r="B80" s="19">
        <v>2</v>
      </c>
      <c r="C80" s="19">
        <v>0</v>
      </c>
      <c r="E80" s="17" t="s">
        <v>6</v>
      </c>
      <c r="F80" s="19">
        <v>2</v>
      </c>
      <c r="G80" s="19">
        <v>9</v>
      </c>
      <c r="I80" s="17" t="s">
        <v>6</v>
      </c>
      <c r="J80" s="19"/>
      <c r="K80" s="19"/>
      <c r="M80" s="17" t="s">
        <v>6</v>
      </c>
      <c r="N80" s="19"/>
      <c r="O80" s="19"/>
      <c r="Q80" s="17" t="s">
        <v>6</v>
      </c>
      <c r="R80" s="19"/>
      <c r="S80" s="19"/>
      <c r="U80" s="17" t="s">
        <v>6</v>
      </c>
      <c r="V80" s="19">
        <f t="shared" si="27"/>
        <v>4</v>
      </c>
      <c r="W80" s="19">
        <f t="shared" si="28"/>
        <v>9</v>
      </c>
      <c r="X80" s="25">
        <v>157.63999999999999</v>
      </c>
    </row>
    <row r="81" spans="1:24" x14ac:dyDescent="0.2">
      <c r="A81" s="17" t="s">
        <v>7</v>
      </c>
      <c r="B81" s="19">
        <v>2</v>
      </c>
      <c r="C81" s="19">
        <v>1</v>
      </c>
      <c r="E81" s="17" t="s">
        <v>7</v>
      </c>
      <c r="F81" s="19">
        <v>1</v>
      </c>
      <c r="G81" s="19">
        <v>4</v>
      </c>
      <c r="I81" s="17" t="s">
        <v>7</v>
      </c>
      <c r="J81" s="19">
        <v>1</v>
      </c>
      <c r="K81" s="19">
        <v>7</v>
      </c>
      <c r="M81" s="17" t="s">
        <v>7</v>
      </c>
      <c r="N81" s="19"/>
      <c r="O81" s="19"/>
      <c r="Q81" s="17" t="s">
        <v>7</v>
      </c>
      <c r="R81" s="19"/>
      <c r="S81" s="19"/>
      <c r="U81" s="17" t="s">
        <v>7</v>
      </c>
      <c r="V81" s="19">
        <f t="shared" si="27"/>
        <v>4</v>
      </c>
      <c r="W81" s="19">
        <f t="shared" si="28"/>
        <v>12</v>
      </c>
      <c r="X81" s="25">
        <v>174.68</v>
      </c>
    </row>
    <row r="82" spans="1:24" x14ac:dyDescent="0.2">
      <c r="A82" s="17" t="s">
        <v>8</v>
      </c>
      <c r="B82" s="19">
        <v>3</v>
      </c>
      <c r="C82" s="19">
        <v>1</v>
      </c>
      <c r="E82" s="17" t="s">
        <v>8</v>
      </c>
      <c r="F82" s="19">
        <v>2</v>
      </c>
      <c r="G82" s="19">
        <v>9</v>
      </c>
      <c r="I82" s="17" t="s">
        <v>8</v>
      </c>
      <c r="J82" s="19">
        <v>1</v>
      </c>
      <c r="K82" s="19">
        <v>6</v>
      </c>
      <c r="M82" s="17" t="s">
        <v>8</v>
      </c>
      <c r="N82" s="19"/>
      <c r="O82" s="19"/>
      <c r="Q82" s="17" t="s">
        <v>8</v>
      </c>
      <c r="R82" s="19"/>
      <c r="S82" s="19"/>
      <c r="U82" s="17" t="s">
        <v>8</v>
      </c>
      <c r="V82" s="19">
        <f t="shared" si="27"/>
        <v>6</v>
      </c>
      <c r="W82" s="19">
        <f t="shared" si="28"/>
        <v>16</v>
      </c>
      <c r="X82" s="25">
        <v>249.66</v>
      </c>
    </row>
    <row r="83" spans="1:24" x14ac:dyDescent="0.2">
      <c r="A83" s="17" t="s">
        <v>9</v>
      </c>
      <c r="B83" s="19">
        <v>2</v>
      </c>
      <c r="C83" s="19">
        <v>0</v>
      </c>
      <c r="E83" s="17" t="s">
        <v>9</v>
      </c>
      <c r="F83" s="19">
        <v>2</v>
      </c>
      <c r="G83" s="19">
        <v>9</v>
      </c>
      <c r="I83" s="17" t="s">
        <v>9</v>
      </c>
      <c r="J83" s="19"/>
      <c r="K83" s="19"/>
      <c r="M83" s="17" t="s">
        <v>9</v>
      </c>
      <c r="N83" s="19"/>
      <c r="O83" s="19"/>
      <c r="Q83" s="17" t="s">
        <v>9</v>
      </c>
      <c r="R83" s="19"/>
      <c r="S83" s="19"/>
      <c r="U83" s="17" t="s">
        <v>9</v>
      </c>
      <c r="V83" s="19">
        <f t="shared" si="27"/>
        <v>4</v>
      </c>
      <c r="W83" s="19">
        <f t="shared" si="28"/>
        <v>9</v>
      </c>
      <c r="X83" s="25">
        <v>157.63999999999999</v>
      </c>
    </row>
    <row r="84" spans="1:24" x14ac:dyDescent="0.2">
      <c r="A84" s="17" t="s">
        <v>10</v>
      </c>
      <c r="B84" s="19">
        <v>3</v>
      </c>
      <c r="C84" s="19">
        <v>1</v>
      </c>
      <c r="E84" s="17" t="s">
        <v>10</v>
      </c>
      <c r="F84" s="19">
        <v>1</v>
      </c>
      <c r="G84" s="19">
        <v>4</v>
      </c>
      <c r="I84" s="17" t="s">
        <v>10</v>
      </c>
      <c r="J84" s="19">
        <v>1</v>
      </c>
      <c r="K84" s="19">
        <v>6</v>
      </c>
      <c r="M84" s="17" t="s">
        <v>10</v>
      </c>
      <c r="N84" s="19"/>
      <c r="O84" s="19"/>
      <c r="Q84" s="17" t="s">
        <v>10</v>
      </c>
      <c r="R84" s="19"/>
      <c r="S84" s="19"/>
      <c r="U84" s="17" t="s">
        <v>10</v>
      </c>
      <c r="V84" s="19">
        <f t="shared" si="27"/>
        <v>5</v>
      </c>
      <c r="W84" s="19">
        <f t="shared" si="28"/>
        <v>11</v>
      </c>
      <c r="X84" s="25">
        <v>193.87</v>
      </c>
    </row>
    <row r="85" spans="1:24" x14ac:dyDescent="0.2">
      <c r="A85" s="17" t="s">
        <v>11</v>
      </c>
      <c r="B85" s="19">
        <v>3</v>
      </c>
      <c r="C85" s="19">
        <v>3</v>
      </c>
      <c r="E85" s="17" t="s">
        <v>11</v>
      </c>
      <c r="F85" s="19">
        <v>1</v>
      </c>
      <c r="G85" s="19">
        <v>4</v>
      </c>
      <c r="I85" s="17" t="s">
        <v>11</v>
      </c>
      <c r="J85" s="19">
        <v>1</v>
      </c>
      <c r="K85" s="19">
        <v>7</v>
      </c>
      <c r="M85" s="17" t="s">
        <v>11</v>
      </c>
      <c r="N85" s="19"/>
      <c r="O85" s="19"/>
      <c r="Q85" s="17" t="s">
        <v>11</v>
      </c>
      <c r="R85" s="19"/>
      <c r="S85" s="19"/>
      <c r="U85" s="17" t="s">
        <v>11</v>
      </c>
      <c r="V85" s="19">
        <f t="shared" si="27"/>
        <v>5</v>
      </c>
      <c r="W85" s="19">
        <f t="shared" si="28"/>
        <v>14</v>
      </c>
      <c r="X85" s="25">
        <v>202.39</v>
      </c>
    </row>
    <row r="86" spans="1:24" x14ac:dyDescent="0.2">
      <c r="A86" s="17"/>
      <c r="B86" s="19"/>
      <c r="C86" s="19"/>
      <c r="E86" s="17"/>
      <c r="F86" s="19"/>
      <c r="G86" s="19"/>
      <c r="I86" s="17"/>
      <c r="J86" s="19"/>
      <c r="K86" s="19"/>
      <c r="M86" s="17"/>
      <c r="N86" s="19"/>
      <c r="O86" s="19"/>
      <c r="Q86" s="17"/>
      <c r="R86" s="19"/>
      <c r="S86" s="19"/>
      <c r="U86" s="17"/>
      <c r="V86" s="19"/>
      <c r="W86" s="19"/>
      <c r="X86" s="25"/>
    </row>
    <row r="87" spans="1:24" x14ac:dyDescent="0.2">
      <c r="A87" s="17" t="s">
        <v>12</v>
      </c>
      <c r="B87" s="19">
        <f>SUM(B74:B86)</f>
        <v>16</v>
      </c>
      <c r="C87" s="19">
        <f>SUM(C74:C86)</f>
        <v>8</v>
      </c>
      <c r="E87" s="17"/>
      <c r="F87" s="19">
        <f t="shared" ref="F87" si="29">SUM(F74:F86)</f>
        <v>15</v>
      </c>
      <c r="G87" s="19">
        <f t="shared" ref="G87" si="30">SUM(G74:G86)</f>
        <v>65</v>
      </c>
      <c r="I87" s="17"/>
      <c r="J87" s="19">
        <f t="shared" ref="J87" si="31">SUM(J74:J86)</f>
        <v>11</v>
      </c>
      <c r="K87" s="19">
        <f t="shared" ref="K87" si="32">SUM(K74:K86)</f>
        <v>71</v>
      </c>
      <c r="M87" s="17"/>
      <c r="N87" s="19">
        <f t="shared" ref="N87" si="33">SUM(N74:N86)</f>
        <v>0</v>
      </c>
      <c r="O87" s="19">
        <f t="shared" ref="O87" si="34">SUM(O74:O86)</f>
        <v>0</v>
      </c>
      <c r="Q87" s="17"/>
      <c r="R87" s="19">
        <f t="shared" ref="R87:S87" si="35">SUM(R74:R86)</f>
        <v>0</v>
      </c>
      <c r="S87" s="19">
        <f t="shared" si="35"/>
        <v>0</v>
      </c>
      <c r="U87" s="17"/>
      <c r="V87" s="19">
        <f t="shared" ref="V87:W87" si="36">SUM(V74:V86)</f>
        <v>42</v>
      </c>
      <c r="W87" s="19">
        <f t="shared" si="36"/>
        <v>144</v>
      </c>
      <c r="X87" s="25">
        <f>SUM(X74:X85)</f>
        <v>1936.62</v>
      </c>
    </row>
    <row r="88" spans="1:24" x14ac:dyDescent="0.2">
      <c r="A88" s="17"/>
      <c r="B88" s="19"/>
      <c r="C88" s="19"/>
      <c r="V88" s="2">
        <f>B87+F87+J87+N87+R87</f>
        <v>42</v>
      </c>
      <c r="W88" s="2">
        <f>C87+G87+K87+O87+S87</f>
        <v>144</v>
      </c>
    </row>
    <row r="91" spans="1:24" x14ac:dyDescent="0.2">
      <c r="A91" s="9" t="s">
        <v>34</v>
      </c>
    </row>
    <row r="92" spans="1:24" x14ac:dyDescent="0.2">
      <c r="A92" s="9"/>
      <c r="B92" s="18" t="s">
        <v>20</v>
      </c>
      <c r="C92" s="18" t="s">
        <v>21</v>
      </c>
      <c r="E92" s="17"/>
      <c r="F92" s="18" t="s">
        <v>20</v>
      </c>
      <c r="G92" s="18" t="s">
        <v>21</v>
      </c>
      <c r="I92" s="17"/>
      <c r="J92" s="18" t="s">
        <v>20</v>
      </c>
      <c r="K92" s="18" t="s">
        <v>21</v>
      </c>
      <c r="M92" s="17"/>
      <c r="N92" s="18" t="s">
        <v>20</v>
      </c>
      <c r="O92" s="18" t="s">
        <v>21</v>
      </c>
      <c r="Q92" s="17"/>
      <c r="R92" s="18" t="s">
        <v>20</v>
      </c>
      <c r="S92" s="18" t="s">
        <v>21</v>
      </c>
      <c r="U92" s="17"/>
      <c r="V92" s="18" t="s">
        <v>20</v>
      </c>
      <c r="W92" s="18" t="s">
        <v>21</v>
      </c>
      <c r="X92" s="18" t="s">
        <v>33</v>
      </c>
    </row>
    <row r="93" spans="1:24" x14ac:dyDescent="0.2">
      <c r="B93" s="23">
        <f>B21+B42+B65+B87</f>
        <v>34936</v>
      </c>
      <c r="C93" s="23">
        <f>C21+C42+C65+C87</f>
        <v>44556</v>
      </c>
      <c r="D93" s="9"/>
      <c r="E93" s="17"/>
      <c r="F93" s="23">
        <f>F21+F42+F65+F87</f>
        <v>36486</v>
      </c>
      <c r="G93" s="23">
        <f>G21+G42+G65+G87</f>
        <v>139419</v>
      </c>
      <c r="H93" s="9"/>
      <c r="I93" s="17"/>
      <c r="J93" s="23">
        <f>J21+J42+J65+J87</f>
        <v>13317</v>
      </c>
      <c r="K93" s="23">
        <f>K21+K42+K65+K87</f>
        <v>95954</v>
      </c>
      <c r="L93" s="9"/>
      <c r="M93" s="17"/>
      <c r="N93" s="23">
        <f>N21+N42+N65+N87</f>
        <v>2734</v>
      </c>
      <c r="O93" s="23">
        <f>O21+O42+O65+O87</f>
        <v>36944</v>
      </c>
      <c r="P93" s="9"/>
      <c r="Q93" s="17"/>
      <c r="R93" s="23">
        <f>R21+R42+R65+R87</f>
        <v>643</v>
      </c>
      <c r="S93" s="23">
        <f>S21+S42+S65+S87</f>
        <v>25906</v>
      </c>
      <c r="U93" s="17"/>
      <c r="V93" s="19">
        <f>B93+F93+J93+N93+R93</f>
        <v>88116</v>
      </c>
      <c r="W93" s="23">
        <f>W21+W42+W65+W87</f>
        <v>342779</v>
      </c>
      <c r="X93" s="24">
        <f>X87+X65+X42+X21</f>
        <v>4136764.21</v>
      </c>
    </row>
    <row r="94" spans="1:24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U94" s="9"/>
      <c r="V94" s="9"/>
      <c r="W94" s="9"/>
      <c r="X94" s="9"/>
    </row>
    <row r="95" spans="1:24" x14ac:dyDescent="0.2">
      <c r="A95" s="9" t="s">
        <v>65</v>
      </c>
      <c r="B95" s="2">
        <f>B93-B87-B65</f>
        <v>33096</v>
      </c>
      <c r="C95" s="2">
        <f>C93-C87-C65</f>
        <v>42183</v>
      </c>
      <c r="F95" s="2">
        <f t="shared" ref="F95:G95" si="37">F93-F87-F65</f>
        <v>34531</v>
      </c>
      <c r="G95" s="2">
        <f t="shared" si="37"/>
        <v>132135</v>
      </c>
      <c r="J95" s="2">
        <f t="shared" ref="J95:K95" si="38">J93-J87-J65</f>
        <v>12638</v>
      </c>
      <c r="K95" s="2">
        <f t="shared" si="38"/>
        <v>91022</v>
      </c>
      <c r="N95" s="2">
        <f t="shared" ref="N95:O95" si="39">N93-N87-N65</f>
        <v>2585</v>
      </c>
      <c r="O95" s="2">
        <f t="shared" si="39"/>
        <v>34917</v>
      </c>
      <c r="R95" s="2">
        <f t="shared" ref="R95:S95" si="40">R93-R87-R65</f>
        <v>617</v>
      </c>
      <c r="S95" s="2">
        <f t="shared" si="40"/>
        <v>25041</v>
      </c>
      <c r="V95" s="2">
        <f>B95+F95+J95+N95+R95</f>
        <v>83467</v>
      </c>
      <c r="W95" s="2">
        <f>C95+G95+K95+O95+S95</f>
        <v>325298</v>
      </c>
      <c r="X95" s="3">
        <f>X21+X42</f>
        <v>3922929.38</v>
      </c>
    </row>
    <row r="96" spans="1:24" x14ac:dyDescent="0.2">
      <c r="A96" s="9" t="s">
        <v>66</v>
      </c>
      <c r="B96" s="35">
        <f>B93-B42-B21</f>
        <v>1840</v>
      </c>
      <c r="C96" s="35">
        <f>C93-C42-C21</f>
        <v>2373</v>
      </c>
      <c r="F96" s="35">
        <f>F93-F42-F21</f>
        <v>1955</v>
      </c>
      <c r="G96" s="35">
        <f>G93-G42-G21</f>
        <v>7284</v>
      </c>
      <c r="J96" s="35">
        <f>J93-J42-J21</f>
        <v>679</v>
      </c>
      <c r="K96" s="35">
        <f>K93-K42-K21</f>
        <v>4932</v>
      </c>
      <c r="N96" s="35">
        <f>N93-N42-N21</f>
        <v>149</v>
      </c>
      <c r="O96" s="35">
        <f>O93-O42-O21</f>
        <v>2027</v>
      </c>
      <c r="R96" s="35">
        <f>R93-R42-R21</f>
        <v>26</v>
      </c>
      <c r="S96" s="35">
        <f>S93-S42-S21</f>
        <v>865</v>
      </c>
      <c r="V96" s="35">
        <f>B96+F96+J96+N96+R96</f>
        <v>4649</v>
      </c>
      <c r="W96" s="35">
        <f>C96+G96+K96+O96+S96</f>
        <v>17481</v>
      </c>
      <c r="X96" s="4">
        <f>X87+X65</f>
        <v>213834.83000000002</v>
      </c>
    </row>
    <row r="98" spans="1:24" ht="13.5" thickBot="1" x14ac:dyDescent="0.25">
      <c r="A98" s="9" t="s">
        <v>67</v>
      </c>
      <c r="B98" s="51">
        <f>SUM(B95:B97)</f>
        <v>34936</v>
      </c>
      <c r="C98" s="51">
        <f>SUM(C95:C97)</f>
        <v>44556</v>
      </c>
      <c r="F98" s="51">
        <f t="shared" ref="F98:G98" si="41">SUM(F95:F97)</f>
        <v>36486</v>
      </c>
      <c r="G98" s="51">
        <f t="shared" si="41"/>
        <v>139419</v>
      </c>
      <c r="J98" s="51">
        <f t="shared" ref="J98:K98" si="42">SUM(J95:J97)</f>
        <v>13317</v>
      </c>
      <c r="K98" s="51">
        <f t="shared" si="42"/>
        <v>95954</v>
      </c>
      <c r="N98" s="51">
        <f t="shared" ref="N98:O98" si="43">SUM(N95:N97)</f>
        <v>2734</v>
      </c>
      <c r="O98" s="51">
        <f t="shared" si="43"/>
        <v>36944</v>
      </c>
      <c r="R98" s="51">
        <f t="shared" ref="R98:S98" si="44">SUM(R95:R97)</f>
        <v>643</v>
      </c>
      <c r="S98" s="51">
        <f t="shared" si="44"/>
        <v>25906</v>
      </c>
      <c r="V98" s="51">
        <f t="shared" ref="V98:W98" si="45">SUM(V95:V97)</f>
        <v>88116</v>
      </c>
      <c r="W98" s="51">
        <f t="shared" si="45"/>
        <v>342779</v>
      </c>
      <c r="X98" s="8">
        <f>SUM(X95:X96)</f>
        <v>4136764.21</v>
      </c>
    </row>
    <row r="99" spans="1:24" ht="13.5" thickTop="1" x14ac:dyDescent="0.2"/>
    <row r="104" spans="1:24" x14ac:dyDescent="0.2">
      <c r="B104" s="2"/>
      <c r="C104" s="2"/>
      <c r="F104" s="2"/>
      <c r="G104" s="2"/>
      <c r="J104" s="2"/>
      <c r="K104" s="2"/>
      <c r="N104" s="2"/>
      <c r="O104" s="2"/>
      <c r="R104" s="2"/>
      <c r="S104" s="2"/>
      <c r="V104" s="2"/>
      <c r="W104" s="2"/>
      <c r="X104" s="2"/>
    </row>
    <row r="105" spans="1:24" x14ac:dyDescent="0.2">
      <c r="A105" t="s">
        <v>2</v>
      </c>
      <c r="B105" s="2">
        <f>B10+B31+B54+B76</f>
        <v>3259</v>
      </c>
      <c r="C105" s="2">
        <f>C10+C31+C54+C76</f>
        <v>4210</v>
      </c>
      <c r="F105" s="2">
        <f>F10+F31+F54+F76</f>
        <v>2987</v>
      </c>
      <c r="G105" s="2">
        <f>G10+G31+G54+G76</f>
        <v>11605</v>
      </c>
      <c r="J105" s="2">
        <f>J10+J31+J54+J76</f>
        <v>883</v>
      </c>
      <c r="K105" s="2">
        <f>K10+K31+K54+K76</f>
        <v>6268</v>
      </c>
      <c r="N105" s="2">
        <f>N10+N31+N54+N76</f>
        <v>156</v>
      </c>
      <c r="O105" s="2">
        <f>O10+O31+O54+O76</f>
        <v>1979</v>
      </c>
      <c r="R105" s="2">
        <f>R10+R31+R54+R76</f>
        <v>36</v>
      </c>
      <c r="S105" s="2">
        <f>S10+S31+S54+S76</f>
        <v>1066</v>
      </c>
      <c r="V105" s="2">
        <f>V10+V31+V54+V76</f>
        <v>7321</v>
      </c>
      <c r="W105" s="2">
        <f>W10+W31+W54+W76</f>
        <v>25128</v>
      </c>
      <c r="X105" s="3">
        <f>X10+X31+X54+X76</f>
        <v>318118.33999999997</v>
      </c>
    </row>
  </sheetData>
  <phoneticPr fontId="2" type="noConversion"/>
  <pageMargins left="0.7" right="0.7" top="0.75" bottom="0.75" header="0.3" footer="0.3"/>
  <pageSetup scale="58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46A66-B238-4026-9179-B2F853593C9E}">
  <dimension ref="A1:J38"/>
  <sheetViews>
    <sheetView topLeftCell="A10" zoomScaleNormal="100" workbookViewId="0">
      <selection activeCell="I32" sqref="I32"/>
    </sheetView>
  </sheetViews>
  <sheetFormatPr defaultRowHeight="12.75" x14ac:dyDescent="0.2"/>
  <cols>
    <col min="1" max="1" width="11.5703125" style="9" customWidth="1"/>
    <col min="2" max="3" width="9.7109375" style="9" customWidth="1"/>
    <col min="4" max="4" width="14.42578125" style="9" hidden="1" customWidth="1"/>
    <col min="5" max="8" width="9.7109375" style="9" customWidth="1"/>
    <col min="9" max="9" width="11.140625" style="9" customWidth="1"/>
    <col min="10" max="10" width="10.140625" style="9" bestFit="1" customWidth="1"/>
    <col min="11" max="16384" width="9.140625" style="9"/>
  </cols>
  <sheetData>
    <row r="1" spans="1:10" ht="24.95" customHeight="1" x14ac:dyDescent="0.2">
      <c r="A1" s="10"/>
      <c r="B1" s="11" t="s">
        <v>87</v>
      </c>
      <c r="C1" s="11"/>
      <c r="D1" s="11"/>
      <c r="E1" s="11"/>
      <c r="F1" s="11"/>
      <c r="G1" s="11"/>
      <c r="H1" s="11"/>
      <c r="I1" s="12"/>
    </row>
    <row r="2" spans="1:10" ht="24.95" customHeight="1" x14ac:dyDescent="0.2">
      <c r="A2" s="13"/>
      <c r="B2" s="14"/>
      <c r="C2" s="14" t="s">
        <v>18</v>
      </c>
      <c r="D2" s="14"/>
      <c r="E2" s="14"/>
      <c r="F2" s="14"/>
      <c r="G2" s="14"/>
      <c r="H2" s="14"/>
      <c r="I2" s="15"/>
    </row>
    <row r="3" spans="1:10" ht="24.95" customHeight="1" x14ac:dyDescent="0.2">
      <c r="A3" s="10" t="s">
        <v>91</v>
      </c>
      <c r="B3" s="11"/>
      <c r="C3" s="11"/>
      <c r="D3" s="11"/>
      <c r="E3" s="11"/>
      <c r="F3" s="11"/>
      <c r="G3" s="11"/>
      <c r="H3" s="11"/>
      <c r="I3" s="16" t="s">
        <v>35</v>
      </c>
    </row>
    <row r="4" spans="1:10" x14ac:dyDescent="0.2">
      <c r="A4" s="10"/>
      <c r="I4" s="12"/>
    </row>
    <row r="5" spans="1:10" ht="20.100000000000001" customHeight="1" x14ac:dyDescent="0.2">
      <c r="A5" s="17"/>
      <c r="B5" s="18" t="s">
        <v>20</v>
      </c>
      <c r="C5" s="18" t="s">
        <v>21</v>
      </c>
      <c r="D5" s="17">
        <v>2</v>
      </c>
      <c r="E5" s="17">
        <v>5</v>
      </c>
      <c r="F5" s="17">
        <v>5</v>
      </c>
      <c r="G5" s="17">
        <v>10</v>
      </c>
      <c r="H5" s="17">
        <v>20</v>
      </c>
      <c r="I5" s="17"/>
    </row>
    <row r="6" spans="1:10" ht="20.100000000000001" customHeight="1" x14ac:dyDescent="0.2">
      <c r="A6" s="17" t="s">
        <v>36</v>
      </c>
      <c r="B6" s="19">
        <v>799</v>
      </c>
      <c r="C6" s="19">
        <v>2133</v>
      </c>
      <c r="D6" s="19">
        <f>C6</f>
        <v>2133</v>
      </c>
      <c r="E6" s="19">
        <f>C6</f>
        <v>2133</v>
      </c>
      <c r="F6" s="19"/>
      <c r="G6" s="19"/>
      <c r="H6" s="20"/>
      <c r="I6" s="19"/>
    </row>
    <row r="7" spans="1:10" ht="20.100000000000001" customHeight="1" x14ac:dyDescent="0.2">
      <c r="A7" s="17" t="s">
        <v>24</v>
      </c>
      <c r="B7" s="19">
        <v>251</v>
      </c>
      <c r="C7" s="19">
        <v>1850</v>
      </c>
      <c r="D7" s="19">
        <f>B7*2</f>
        <v>502</v>
      </c>
      <c r="E7" s="19">
        <f>B7*E5</f>
        <v>1255</v>
      </c>
      <c r="F7" s="19">
        <f>C7-E7</f>
        <v>595</v>
      </c>
      <c r="G7" s="19"/>
      <c r="H7" s="19"/>
      <c r="I7" s="19"/>
    </row>
    <row r="8" spans="1:10" ht="20.100000000000001" customHeight="1" x14ac:dyDescent="0.2">
      <c r="A8" s="17" t="s">
        <v>71</v>
      </c>
      <c r="B8" s="19">
        <v>83</v>
      </c>
      <c r="C8" s="19">
        <v>1140</v>
      </c>
      <c r="D8" s="19">
        <f>B8*2</f>
        <v>166</v>
      </c>
      <c r="E8" s="19">
        <f>B8*E5</f>
        <v>415</v>
      </c>
      <c r="F8" s="19">
        <f>B8*5</f>
        <v>415</v>
      </c>
      <c r="G8" s="19">
        <f>C8-E8-F8</f>
        <v>310</v>
      </c>
      <c r="H8" s="19"/>
      <c r="I8" s="19"/>
    </row>
    <row r="9" spans="1:10" ht="20.100000000000001" customHeight="1" x14ac:dyDescent="0.2">
      <c r="A9" s="17" t="s">
        <v>42</v>
      </c>
      <c r="B9" s="19">
        <v>59</v>
      </c>
      <c r="C9" s="19">
        <v>3265</v>
      </c>
      <c r="D9" s="19">
        <f>B9*2</f>
        <v>118</v>
      </c>
      <c r="E9" s="19">
        <f>B9*E5</f>
        <v>295</v>
      </c>
      <c r="F9" s="19">
        <f>B9*5</f>
        <v>295</v>
      </c>
      <c r="G9" s="19">
        <f>B9*10</f>
        <v>590</v>
      </c>
      <c r="H9" s="19">
        <f>C9-E9-F9-G9</f>
        <v>2085</v>
      </c>
      <c r="I9" s="19"/>
    </row>
    <row r="10" spans="1:10" ht="24.95" customHeight="1" x14ac:dyDescent="0.2">
      <c r="A10" s="17" t="s">
        <v>26</v>
      </c>
      <c r="B10" s="19">
        <f>SUM(B6:B9)</f>
        <v>1192</v>
      </c>
      <c r="C10" s="19">
        <f>SUM(C6:C9)</f>
        <v>8388</v>
      </c>
      <c r="D10" s="19">
        <f ca="1">SUM(D6:D10)</f>
        <v>138085</v>
      </c>
      <c r="E10" s="19">
        <f>SUM(E6:E9)</f>
        <v>4098</v>
      </c>
      <c r="F10" s="19">
        <f>SUM(F6:F9)</f>
        <v>1305</v>
      </c>
      <c r="G10" s="19">
        <f>SUM(G6:G9)</f>
        <v>900</v>
      </c>
      <c r="H10" s="19">
        <f>SUM(H6:H9)</f>
        <v>2085</v>
      </c>
      <c r="I10" s="19"/>
    </row>
    <row r="11" spans="1:10" x14ac:dyDescent="0.2">
      <c r="A11" s="10" t="s">
        <v>27</v>
      </c>
    </row>
    <row r="12" spans="1:10" s="1" customFormat="1" ht="24.95" customHeight="1" x14ac:dyDescent="0.2">
      <c r="A12" s="18"/>
      <c r="B12" s="18" t="s">
        <v>20</v>
      </c>
      <c r="C12" s="18" t="s">
        <v>21</v>
      </c>
      <c r="D12" s="18" t="s">
        <v>28</v>
      </c>
      <c r="E12" s="18" t="s">
        <v>28</v>
      </c>
      <c r="F12" s="18" t="s">
        <v>29</v>
      </c>
      <c r="G12" s="18"/>
      <c r="H12" s="18"/>
      <c r="I12" s="18"/>
    </row>
    <row r="13" spans="1:10" ht="20.100000000000001" customHeight="1" x14ac:dyDescent="0.2">
      <c r="A13" s="17" t="s">
        <v>36</v>
      </c>
      <c r="B13" s="19">
        <f>$B$10</f>
        <v>1192</v>
      </c>
      <c r="C13" s="19">
        <f>$E$10</f>
        <v>4098</v>
      </c>
      <c r="D13" s="20">
        <v>18.28</v>
      </c>
      <c r="E13" s="20">
        <v>55.79</v>
      </c>
      <c r="F13" s="19">
        <f>B13*E13</f>
        <v>66501.679999999993</v>
      </c>
      <c r="G13" s="20"/>
      <c r="H13" s="20"/>
      <c r="I13" s="21"/>
    </row>
    <row r="14" spans="1:10" ht="20.100000000000001" customHeight="1" x14ac:dyDescent="0.2">
      <c r="A14" s="17" t="s">
        <v>24</v>
      </c>
      <c r="B14" s="22"/>
      <c r="C14" s="19">
        <f>$F$10</f>
        <v>1305</v>
      </c>
      <c r="D14" s="20">
        <v>6.15</v>
      </c>
      <c r="E14" s="20">
        <v>8.52</v>
      </c>
      <c r="F14" s="19">
        <f>C14*E14</f>
        <v>11118.599999999999</v>
      </c>
      <c r="G14" s="20"/>
      <c r="H14" s="20"/>
      <c r="I14" s="21"/>
    </row>
    <row r="15" spans="1:10" ht="20.100000000000001" customHeight="1" x14ac:dyDescent="0.2">
      <c r="A15" s="17" t="s">
        <v>71</v>
      </c>
      <c r="B15" s="22"/>
      <c r="C15" s="19">
        <f>$G$10</f>
        <v>900</v>
      </c>
      <c r="D15" s="20">
        <v>5.54</v>
      </c>
      <c r="E15" s="20">
        <v>7.67</v>
      </c>
      <c r="F15" s="19">
        <f t="shared" ref="F15:F16" si="0">C15*E15</f>
        <v>6903</v>
      </c>
      <c r="G15" s="20"/>
      <c r="H15" s="20"/>
      <c r="I15" s="21"/>
    </row>
    <row r="16" spans="1:10" ht="20.100000000000001" customHeight="1" x14ac:dyDescent="0.2">
      <c r="A16" s="17" t="s">
        <v>42</v>
      </c>
      <c r="B16" s="22"/>
      <c r="C16" s="19">
        <f>$H$10</f>
        <v>2085</v>
      </c>
      <c r="D16" s="20">
        <v>4.93</v>
      </c>
      <c r="E16" s="20">
        <v>6.82</v>
      </c>
      <c r="F16" s="19">
        <f t="shared" si="0"/>
        <v>14219.7</v>
      </c>
      <c r="G16" s="20"/>
      <c r="H16" s="20"/>
      <c r="I16" s="21"/>
      <c r="J16" s="27"/>
    </row>
    <row r="17" spans="1:10" ht="24.95" customHeight="1" x14ac:dyDescent="0.2">
      <c r="A17" s="17" t="s">
        <v>26</v>
      </c>
      <c r="B17" s="22"/>
      <c r="C17" s="19">
        <f>SUM(C13:C16)</f>
        <v>8388</v>
      </c>
      <c r="D17" s="19"/>
      <c r="E17" s="19"/>
      <c r="F17" s="19">
        <f>SUM(F13:F16)</f>
        <v>98742.98</v>
      </c>
      <c r="G17" s="17"/>
      <c r="H17" s="23"/>
      <c r="I17" s="24">
        <v>98746.42</v>
      </c>
      <c r="J17" s="27">
        <f>I17-F17</f>
        <v>3.4400000000023283</v>
      </c>
    </row>
    <row r="18" spans="1:10" hidden="1" x14ac:dyDescent="0.2">
      <c r="A18" s="9" t="s">
        <v>30</v>
      </c>
      <c r="B18" s="9" t="s">
        <v>31</v>
      </c>
    </row>
    <row r="19" spans="1:10" ht="24.95" hidden="1" customHeight="1" x14ac:dyDescent="0.2">
      <c r="A19" s="18"/>
      <c r="B19" s="18" t="s">
        <v>20</v>
      </c>
      <c r="C19" s="18" t="s">
        <v>21</v>
      </c>
      <c r="D19" s="18" t="s">
        <v>28</v>
      </c>
      <c r="E19" s="18" t="s">
        <v>28</v>
      </c>
      <c r="F19" s="18" t="s">
        <v>29</v>
      </c>
      <c r="G19" s="18"/>
      <c r="H19" s="18"/>
      <c r="I19" s="18"/>
    </row>
    <row r="20" spans="1:10" ht="24.95" hidden="1" customHeight="1" x14ac:dyDescent="0.2">
      <c r="A20" s="17" t="s">
        <v>22</v>
      </c>
      <c r="B20" s="19">
        <f>$B$10</f>
        <v>1192</v>
      </c>
      <c r="C20" s="19">
        <f>$E$10</f>
        <v>4098</v>
      </c>
      <c r="D20" s="20">
        <v>18.28</v>
      </c>
      <c r="E20" s="20">
        <v>23.17</v>
      </c>
      <c r="F20" s="19">
        <f>B20*E20</f>
        <v>27618.640000000003</v>
      </c>
      <c r="G20" s="20"/>
      <c r="H20" s="20"/>
      <c r="I20" s="21"/>
    </row>
    <row r="21" spans="1:10" ht="24.95" hidden="1" customHeight="1" x14ac:dyDescent="0.2">
      <c r="A21" s="17" t="s">
        <v>23</v>
      </c>
      <c r="B21" s="22"/>
      <c r="C21" s="19">
        <f>$F$10</f>
        <v>1305</v>
      </c>
      <c r="D21" s="20">
        <v>6.15</v>
      </c>
      <c r="E21" s="20">
        <v>9.08</v>
      </c>
      <c r="F21" s="19">
        <f>C21*E21</f>
        <v>11849.4</v>
      </c>
      <c r="G21" s="20"/>
      <c r="H21" s="20"/>
      <c r="I21" s="21"/>
    </row>
    <row r="22" spans="1:10" ht="24.95" hidden="1" customHeight="1" x14ac:dyDescent="0.2">
      <c r="A22" s="17" t="s">
        <v>24</v>
      </c>
      <c r="B22" s="22"/>
      <c r="C22" s="19">
        <f>$G$10</f>
        <v>900</v>
      </c>
      <c r="D22" s="20">
        <v>5.54</v>
      </c>
      <c r="E22" s="20">
        <v>7.44</v>
      </c>
      <c r="F22" s="19">
        <f>C22*E22</f>
        <v>6696</v>
      </c>
      <c r="G22" s="20"/>
      <c r="H22" s="20"/>
      <c r="I22" s="21"/>
    </row>
    <row r="23" spans="1:10" ht="24.95" hidden="1" customHeight="1" x14ac:dyDescent="0.2">
      <c r="A23" s="17" t="s">
        <v>25</v>
      </c>
      <c r="B23" s="22"/>
      <c r="C23" s="19">
        <f>$H$10</f>
        <v>2085</v>
      </c>
      <c r="D23" s="20">
        <v>4.93</v>
      </c>
      <c r="E23" s="20">
        <v>5.84</v>
      </c>
      <c r="F23" s="19">
        <f>C23*E23</f>
        <v>12176.4</v>
      </c>
      <c r="G23" s="20"/>
      <c r="H23" s="20"/>
      <c r="I23" s="21"/>
    </row>
    <row r="24" spans="1:10" ht="24.95" hidden="1" customHeight="1" x14ac:dyDescent="0.2">
      <c r="A24" s="17" t="s">
        <v>26</v>
      </c>
      <c r="B24" s="22"/>
      <c r="C24" s="19">
        <f>SUM(C20:C23)</f>
        <v>8388</v>
      </c>
      <c r="D24" s="19"/>
      <c r="E24" s="19"/>
      <c r="F24" s="19">
        <f>SUM(F20:F23)</f>
        <v>58340.44</v>
      </c>
      <c r="G24" s="17"/>
      <c r="H24" s="17"/>
      <c r="I24" s="17"/>
    </row>
    <row r="25" spans="1:10" hidden="1" x14ac:dyDescent="0.2">
      <c r="A25" s="9" t="s">
        <v>30</v>
      </c>
      <c r="B25" s="9" t="s">
        <v>32</v>
      </c>
    </row>
    <row r="26" spans="1:10" ht="24.95" hidden="1" customHeight="1" x14ac:dyDescent="0.2">
      <c r="A26" s="18"/>
      <c r="B26" s="18" t="s">
        <v>20</v>
      </c>
      <c r="C26" s="18" t="s">
        <v>21</v>
      </c>
      <c r="D26" s="18" t="s">
        <v>28</v>
      </c>
      <c r="E26" s="18" t="s">
        <v>28</v>
      </c>
      <c r="F26" s="18" t="s">
        <v>29</v>
      </c>
      <c r="G26" s="18"/>
      <c r="H26" s="18"/>
      <c r="I26" s="18"/>
    </row>
    <row r="27" spans="1:10" ht="24.95" hidden="1" customHeight="1" x14ac:dyDescent="0.2">
      <c r="A27" s="17" t="s">
        <v>22</v>
      </c>
      <c r="B27" s="19">
        <f>$B$10</f>
        <v>1192</v>
      </c>
      <c r="C27" s="19">
        <f>$E$10</f>
        <v>4098</v>
      </c>
      <c r="D27" s="20">
        <v>18.28</v>
      </c>
      <c r="E27" s="20">
        <v>23.59</v>
      </c>
      <c r="F27" s="19">
        <f>B27*E27</f>
        <v>28119.279999999999</v>
      </c>
      <c r="G27" s="20"/>
      <c r="H27" s="20"/>
      <c r="I27" s="21"/>
    </row>
    <row r="28" spans="1:10" ht="24.95" hidden="1" customHeight="1" x14ac:dyDescent="0.2">
      <c r="A28" s="17" t="s">
        <v>23</v>
      </c>
      <c r="B28" s="22"/>
      <c r="C28" s="19">
        <f>$F$10</f>
        <v>1305</v>
      </c>
      <c r="D28" s="20">
        <v>6.15</v>
      </c>
      <c r="E28" s="20">
        <v>9.24</v>
      </c>
      <c r="F28" s="19">
        <f>C28*E28</f>
        <v>12058.2</v>
      </c>
      <c r="G28" s="20"/>
      <c r="H28" s="20"/>
      <c r="I28" s="21"/>
    </row>
    <row r="29" spans="1:10" ht="24.95" hidden="1" customHeight="1" x14ac:dyDescent="0.2">
      <c r="A29" s="17" t="s">
        <v>24</v>
      </c>
      <c r="B29" s="22"/>
      <c r="C29" s="19">
        <f>$G$10</f>
        <v>900</v>
      </c>
      <c r="D29" s="20">
        <v>5.54</v>
      </c>
      <c r="E29" s="20">
        <v>7.57</v>
      </c>
      <c r="F29" s="19">
        <f>C29*E29</f>
        <v>6813</v>
      </c>
      <c r="G29" s="20"/>
      <c r="H29" s="20"/>
      <c r="I29" s="21"/>
    </row>
    <row r="30" spans="1:10" ht="24.95" hidden="1" customHeight="1" x14ac:dyDescent="0.2">
      <c r="A30" s="17" t="s">
        <v>25</v>
      </c>
      <c r="B30" s="22"/>
      <c r="C30" s="19">
        <f>$H$10</f>
        <v>2085</v>
      </c>
      <c r="D30" s="20">
        <v>4.93</v>
      </c>
      <c r="E30" s="20">
        <v>5.95</v>
      </c>
      <c r="F30" s="19">
        <f>C30*E30</f>
        <v>12405.75</v>
      </c>
      <c r="G30" s="20"/>
      <c r="H30" s="20"/>
      <c r="I30" s="21"/>
    </row>
    <row r="31" spans="1:10" ht="24.95" hidden="1" customHeight="1" x14ac:dyDescent="0.2">
      <c r="A31" s="17" t="s">
        <v>26</v>
      </c>
      <c r="B31" s="22"/>
      <c r="C31" s="19">
        <f>SUM(C27:C30)</f>
        <v>8388</v>
      </c>
      <c r="D31" s="19"/>
      <c r="E31" s="19"/>
      <c r="F31" s="19">
        <f>SUM(F27:F30)</f>
        <v>59396.229999999996</v>
      </c>
      <c r="G31" s="17"/>
      <c r="H31" s="17"/>
      <c r="I31" s="17"/>
    </row>
    <row r="32" spans="1:10" x14ac:dyDescent="0.2">
      <c r="A32" s="9" t="s">
        <v>30</v>
      </c>
      <c r="B32" s="9" t="s">
        <v>94</v>
      </c>
      <c r="J32" s="28"/>
    </row>
    <row r="33" spans="1:10" ht="24.95" customHeight="1" x14ac:dyDescent="0.2">
      <c r="A33" s="18"/>
      <c r="B33" s="18" t="s">
        <v>20</v>
      </c>
      <c r="C33" s="18" t="s">
        <v>21</v>
      </c>
      <c r="D33" s="18" t="s">
        <v>28</v>
      </c>
      <c r="E33" s="18" t="s">
        <v>28</v>
      </c>
      <c r="F33" s="18" t="s">
        <v>29</v>
      </c>
      <c r="G33" s="18"/>
      <c r="H33" s="18"/>
      <c r="I33" s="18"/>
    </row>
    <row r="34" spans="1:10" ht="24.95" customHeight="1" x14ac:dyDescent="0.2">
      <c r="A34" s="17" t="s">
        <v>22</v>
      </c>
      <c r="B34" s="19">
        <f>$B$10</f>
        <v>1192</v>
      </c>
      <c r="C34" s="19">
        <f>$E$10</f>
        <v>4098</v>
      </c>
      <c r="D34" s="20">
        <v>18.28</v>
      </c>
      <c r="E34" s="20">
        <f>E13*1.1279</f>
        <v>62.925540999999996</v>
      </c>
      <c r="F34" s="19">
        <f>B34*E34</f>
        <v>75007.244871999996</v>
      </c>
      <c r="G34" s="20"/>
      <c r="H34" s="20"/>
      <c r="I34" s="21"/>
    </row>
    <row r="35" spans="1:10" ht="24.95" customHeight="1" x14ac:dyDescent="0.2">
      <c r="A35" s="17" t="s">
        <v>23</v>
      </c>
      <c r="B35" s="22"/>
      <c r="C35" s="19">
        <f>$F$10</f>
        <v>1305</v>
      </c>
      <c r="D35" s="20">
        <v>6.15</v>
      </c>
      <c r="E35" s="20">
        <f>E14*1.1279</f>
        <v>9.6097079999999995</v>
      </c>
      <c r="F35" s="19">
        <f>C35*E35</f>
        <v>12540.66894</v>
      </c>
      <c r="G35" s="20"/>
      <c r="H35" s="20"/>
      <c r="I35" s="21"/>
    </row>
    <row r="36" spans="1:10" ht="24.95" customHeight="1" x14ac:dyDescent="0.2">
      <c r="A36" s="17" t="s">
        <v>24</v>
      </c>
      <c r="B36" s="22"/>
      <c r="C36" s="19">
        <f>$G$10</f>
        <v>900</v>
      </c>
      <c r="D36" s="20">
        <v>5.54</v>
      </c>
      <c r="E36" s="20">
        <f>E15*1.1279</f>
        <v>8.6509929999999997</v>
      </c>
      <c r="F36" s="19">
        <f>C36*E36</f>
        <v>7785.8936999999996</v>
      </c>
      <c r="G36" s="20"/>
      <c r="H36" s="20"/>
      <c r="I36" s="21"/>
    </row>
    <row r="37" spans="1:10" ht="24.95" customHeight="1" x14ac:dyDescent="0.2">
      <c r="A37" s="17" t="s">
        <v>25</v>
      </c>
      <c r="B37" s="22"/>
      <c r="C37" s="19">
        <f>$H$10</f>
        <v>2085</v>
      </c>
      <c r="D37" s="20">
        <v>4.93</v>
      </c>
      <c r="E37" s="20">
        <f>E16*1.1279+0.01</f>
        <v>7.7022779999999997</v>
      </c>
      <c r="F37" s="19">
        <f>C37*E37</f>
        <v>16059.24963</v>
      </c>
      <c r="G37" s="20"/>
      <c r="H37" s="20"/>
      <c r="I37" s="21"/>
    </row>
    <row r="38" spans="1:10" ht="24.95" customHeight="1" x14ac:dyDescent="0.2">
      <c r="A38" s="17" t="s">
        <v>26</v>
      </c>
      <c r="B38" s="22"/>
      <c r="C38" s="19">
        <f>SUM(C34:C37)</f>
        <v>8388</v>
      </c>
      <c r="D38" s="19"/>
      <c r="E38" s="19"/>
      <c r="F38" s="19">
        <f>SUM(F34:F37)</f>
        <v>111393.05714200001</v>
      </c>
      <c r="G38" s="17"/>
      <c r="H38" s="23"/>
      <c r="I38" s="24"/>
      <c r="J38" s="27"/>
    </row>
  </sheetData>
  <pageMargins left="0.75" right="0.75" top="1" bottom="1" header="0.5" footer="0.5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23FFE-0402-4739-8EFA-B4E114DA3FC2}">
  <sheetPr>
    <pageSetUpPr fitToPage="1"/>
  </sheetPr>
  <dimension ref="A2:T22"/>
  <sheetViews>
    <sheetView workbookViewId="0">
      <selection activeCell="T9" sqref="T9"/>
    </sheetView>
  </sheetViews>
  <sheetFormatPr defaultRowHeight="12.75" x14ac:dyDescent="0.2"/>
  <cols>
    <col min="1" max="1" width="11" customWidth="1"/>
    <col min="2" max="2" width="11.42578125" customWidth="1"/>
    <col min="4" max="4" width="3.7109375" customWidth="1"/>
    <col min="5" max="5" width="11.5703125" customWidth="1"/>
    <col min="8" max="8" width="3.7109375" customWidth="1"/>
    <col min="9" max="9" width="11.5703125" customWidth="1"/>
    <col min="10" max="11" width="9.140625" customWidth="1"/>
    <col min="12" max="12" width="3.7109375" customWidth="1"/>
    <col min="13" max="13" width="11" customWidth="1"/>
    <col min="16" max="16" width="3.7109375" customWidth="1"/>
    <col min="17" max="17" width="11" customWidth="1"/>
    <col min="20" max="20" width="10.140625" bestFit="1" customWidth="1"/>
  </cols>
  <sheetData>
    <row r="2" spans="1:20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1:20" x14ac:dyDescent="0.2">
      <c r="A3" s="33" t="s">
        <v>35</v>
      </c>
      <c r="T3" s="34"/>
    </row>
    <row r="4" spans="1:20" x14ac:dyDescent="0.2">
      <c r="A4" s="10" t="s">
        <v>76</v>
      </c>
      <c r="B4" s="52"/>
      <c r="C4" s="52"/>
      <c r="T4" s="34"/>
    </row>
    <row r="5" spans="1:20" x14ac:dyDescent="0.2">
      <c r="A5" s="10"/>
      <c r="B5" s="9" t="s">
        <v>80</v>
      </c>
      <c r="C5" s="9"/>
      <c r="F5" t="s">
        <v>81</v>
      </c>
      <c r="J5" t="s">
        <v>82</v>
      </c>
      <c r="N5" t="s">
        <v>83</v>
      </c>
      <c r="T5" s="34"/>
    </row>
    <row r="6" spans="1:20" x14ac:dyDescent="0.2">
      <c r="A6" s="17"/>
      <c r="B6" s="18" t="s">
        <v>20</v>
      </c>
      <c r="C6" s="18" t="s">
        <v>21</v>
      </c>
      <c r="E6" s="17"/>
      <c r="F6" s="18" t="s">
        <v>20</v>
      </c>
      <c r="G6" s="18" t="s">
        <v>21</v>
      </c>
      <c r="I6" s="17"/>
      <c r="J6" s="18" t="s">
        <v>20</v>
      </c>
      <c r="K6" s="18" t="s">
        <v>21</v>
      </c>
      <c r="M6" s="17"/>
      <c r="N6" s="18" t="s">
        <v>20</v>
      </c>
      <c r="O6" s="18" t="s">
        <v>21</v>
      </c>
      <c r="Q6" s="17"/>
      <c r="R6" s="18" t="s">
        <v>20</v>
      </c>
      <c r="S6" s="18" t="s">
        <v>21</v>
      </c>
      <c r="T6" s="18" t="s">
        <v>33</v>
      </c>
    </row>
    <row r="7" spans="1:20" x14ac:dyDescent="0.2">
      <c r="A7" s="17" t="s">
        <v>36</v>
      </c>
      <c r="B7" s="19"/>
      <c r="C7" s="19"/>
      <c r="E7" s="17" t="s">
        <v>24</v>
      </c>
      <c r="F7" s="19"/>
      <c r="G7" s="19"/>
      <c r="I7" s="17" t="s">
        <v>71</v>
      </c>
      <c r="J7" s="19"/>
      <c r="K7" s="19"/>
      <c r="M7" s="17" t="s">
        <v>42</v>
      </c>
      <c r="N7" s="19"/>
      <c r="O7" s="19"/>
      <c r="Q7" s="17" t="s">
        <v>37</v>
      </c>
      <c r="R7" s="19"/>
      <c r="S7" s="19"/>
      <c r="T7" s="19"/>
    </row>
    <row r="8" spans="1:20" x14ac:dyDescent="0.2">
      <c r="A8" s="17" t="s">
        <v>0</v>
      </c>
      <c r="B8" s="19">
        <v>62</v>
      </c>
      <c r="C8" s="19">
        <v>153</v>
      </c>
      <c r="E8" s="17" t="s">
        <v>0</v>
      </c>
      <c r="F8" s="19">
        <v>23</v>
      </c>
      <c r="G8" s="19">
        <v>167</v>
      </c>
      <c r="I8" s="17" t="s">
        <v>0</v>
      </c>
      <c r="J8" s="19">
        <v>6</v>
      </c>
      <c r="K8" s="19">
        <v>78</v>
      </c>
      <c r="M8" s="17" t="s">
        <v>0</v>
      </c>
      <c r="N8" s="19">
        <v>5</v>
      </c>
      <c r="O8" s="19">
        <v>358</v>
      </c>
      <c r="Q8" s="17" t="s">
        <v>0</v>
      </c>
      <c r="R8" s="19">
        <f t="shared" ref="R8:R19" si="0">B8+F8+J8+N8</f>
        <v>96</v>
      </c>
      <c r="S8" s="19">
        <f t="shared" ref="S8:S19" si="1">C8+G8+K8+O8</f>
        <v>756</v>
      </c>
      <c r="T8" s="25">
        <v>8548.6</v>
      </c>
    </row>
    <row r="9" spans="1:20" x14ac:dyDescent="0.2">
      <c r="A9" s="17" t="s">
        <v>1</v>
      </c>
      <c r="B9" s="19">
        <v>68</v>
      </c>
      <c r="C9" s="19">
        <v>172</v>
      </c>
      <c r="E9" s="17" t="s">
        <v>1</v>
      </c>
      <c r="F9" s="19">
        <v>20</v>
      </c>
      <c r="G9" s="19">
        <v>154</v>
      </c>
      <c r="I9" s="17" t="s">
        <v>1</v>
      </c>
      <c r="J9" s="19">
        <v>6</v>
      </c>
      <c r="K9" s="19">
        <v>78</v>
      </c>
      <c r="M9" s="17" t="s">
        <v>1</v>
      </c>
      <c r="N9" s="19">
        <v>3</v>
      </c>
      <c r="O9" s="19">
        <v>276</v>
      </c>
      <c r="Q9" s="17" t="s">
        <v>1</v>
      </c>
      <c r="R9" s="19">
        <f t="shared" si="0"/>
        <v>97</v>
      </c>
      <c r="S9" s="19">
        <f t="shared" si="1"/>
        <v>680</v>
      </c>
      <c r="T9" s="25">
        <v>8096.39</v>
      </c>
    </row>
    <row r="10" spans="1:20" x14ac:dyDescent="0.2">
      <c r="A10" s="17" t="s">
        <v>2</v>
      </c>
      <c r="B10" s="19">
        <v>68</v>
      </c>
      <c r="C10" s="19">
        <v>172</v>
      </c>
      <c r="E10" s="17" t="s">
        <v>2</v>
      </c>
      <c r="F10" s="19">
        <v>20</v>
      </c>
      <c r="G10" s="19">
        <v>154</v>
      </c>
      <c r="I10" s="17" t="s">
        <v>2</v>
      </c>
      <c r="J10" s="19">
        <v>6</v>
      </c>
      <c r="K10" s="19">
        <v>78</v>
      </c>
      <c r="M10" s="17" t="s">
        <v>2</v>
      </c>
      <c r="N10" s="19">
        <v>3</v>
      </c>
      <c r="O10" s="19">
        <v>276</v>
      </c>
      <c r="Q10" s="17" t="s">
        <v>2</v>
      </c>
      <c r="R10" s="19">
        <f t="shared" si="0"/>
        <v>97</v>
      </c>
      <c r="S10" s="19">
        <f t="shared" si="1"/>
        <v>680</v>
      </c>
      <c r="T10" s="25">
        <v>8096.39</v>
      </c>
    </row>
    <row r="11" spans="1:20" x14ac:dyDescent="0.2">
      <c r="A11" s="17" t="s">
        <v>3</v>
      </c>
      <c r="B11" s="19">
        <v>69</v>
      </c>
      <c r="C11" s="19">
        <v>188</v>
      </c>
      <c r="E11" s="17" t="s">
        <v>3</v>
      </c>
      <c r="F11" s="19">
        <v>20</v>
      </c>
      <c r="G11" s="19">
        <v>145</v>
      </c>
      <c r="I11" s="17" t="s">
        <v>3</v>
      </c>
      <c r="J11" s="19">
        <v>9</v>
      </c>
      <c r="K11" s="19">
        <v>123</v>
      </c>
      <c r="M11" s="17" t="s">
        <v>3</v>
      </c>
      <c r="N11" s="19">
        <v>2</v>
      </c>
      <c r="O11" s="19">
        <v>111</v>
      </c>
      <c r="Q11" s="17" t="s">
        <v>3</v>
      </c>
      <c r="R11" s="19">
        <f t="shared" si="0"/>
        <v>100</v>
      </c>
      <c r="S11" s="19">
        <f t="shared" si="1"/>
        <v>567</v>
      </c>
      <c r="T11" s="25">
        <v>7320.88</v>
      </c>
    </row>
    <row r="12" spans="1:20" x14ac:dyDescent="0.2">
      <c r="A12" s="17" t="s">
        <v>4</v>
      </c>
      <c r="B12" s="19">
        <v>72</v>
      </c>
      <c r="C12" s="19">
        <v>180</v>
      </c>
      <c r="E12" s="17" t="s">
        <v>4</v>
      </c>
      <c r="F12" s="19">
        <v>16</v>
      </c>
      <c r="G12" s="19">
        <v>114</v>
      </c>
      <c r="I12" s="17" t="s">
        <v>4</v>
      </c>
      <c r="J12" s="19">
        <v>8</v>
      </c>
      <c r="K12" s="19">
        <v>105</v>
      </c>
      <c r="M12" s="17" t="s">
        <v>4</v>
      </c>
      <c r="N12" s="19">
        <v>4</v>
      </c>
      <c r="O12" s="19">
        <v>172</v>
      </c>
      <c r="Q12" s="17" t="s">
        <v>4</v>
      </c>
      <c r="R12" s="19">
        <f t="shared" si="0"/>
        <v>100</v>
      </c>
      <c r="S12" s="19">
        <f t="shared" si="1"/>
        <v>571</v>
      </c>
      <c r="T12" s="25">
        <v>7505.87</v>
      </c>
    </row>
    <row r="13" spans="1:20" x14ac:dyDescent="0.2">
      <c r="A13" s="17" t="s">
        <v>5</v>
      </c>
      <c r="B13" s="19">
        <v>55</v>
      </c>
      <c r="C13" s="19">
        <v>146</v>
      </c>
      <c r="E13" s="17" t="s">
        <v>5</v>
      </c>
      <c r="F13" s="19">
        <v>31</v>
      </c>
      <c r="G13" s="19">
        <v>227</v>
      </c>
      <c r="I13" s="17" t="s">
        <v>5</v>
      </c>
      <c r="J13" s="19">
        <v>9</v>
      </c>
      <c r="K13" s="19">
        <v>131</v>
      </c>
      <c r="M13" s="17" t="s">
        <v>5</v>
      </c>
      <c r="N13" s="19">
        <v>5</v>
      </c>
      <c r="O13" s="19">
        <v>233</v>
      </c>
      <c r="Q13" s="17" t="s">
        <v>5</v>
      </c>
      <c r="R13" s="19">
        <f t="shared" si="0"/>
        <v>100</v>
      </c>
      <c r="S13" s="19">
        <f t="shared" si="1"/>
        <v>737</v>
      </c>
      <c r="T13" s="25">
        <v>8393.8700000000008</v>
      </c>
    </row>
    <row r="14" spans="1:20" x14ac:dyDescent="0.2">
      <c r="A14" s="17" t="s">
        <v>6</v>
      </c>
      <c r="B14" s="19">
        <v>63</v>
      </c>
      <c r="C14" s="19">
        <v>166</v>
      </c>
      <c r="E14" s="17" t="s">
        <v>6</v>
      </c>
      <c r="F14" s="19">
        <v>23</v>
      </c>
      <c r="G14" s="19">
        <v>170</v>
      </c>
      <c r="I14" s="17" t="s">
        <v>6</v>
      </c>
      <c r="J14" s="19">
        <v>5</v>
      </c>
      <c r="K14" s="19">
        <v>68</v>
      </c>
      <c r="M14" s="17" t="s">
        <v>6</v>
      </c>
      <c r="N14" s="19">
        <v>8</v>
      </c>
      <c r="O14" s="19">
        <v>376</v>
      </c>
      <c r="Q14" s="17" t="s">
        <v>6</v>
      </c>
      <c r="R14" s="19">
        <f t="shared" si="0"/>
        <v>99</v>
      </c>
      <c r="S14" s="19">
        <f t="shared" si="1"/>
        <v>780</v>
      </c>
      <c r="T14" s="25">
        <v>8770.39</v>
      </c>
    </row>
    <row r="15" spans="1:20" x14ac:dyDescent="0.2">
      <c r="A15" s="17" t="s">
        <v>7</v>
      </c>
      <c r="B15" s="19">
        <v>51</v>
      </c>
      <c r="C15" s="19">
        <v>149</v>
      </c>
      <c r="E15" s="17" t="s">
        <v>7</v>
      </c>
      <c r="F15" s="19">
        <v>27</v>
      </c>
      <c r="G15" s="19">
        <v>196</v>
      </c>
      <c r="I15" s="17" t="s">
        <v>7</v>
      </c>
      <c r="J15" s="19">
        <v>12</v>
      </c>
      <c r="K15" s="19">
        <v>171</v>
      </c>
      <c r="M15" s="17" t="s">
        <v>7</v>
      </c>
      <c r="N15" s="19">
        <v>9</v>
      </c>
      <c r="O15" s="19">
        <v>493</v>
      </c>
      <c r="Q15" s="17" t="s">
        <v>7</v>
      </c>
      <c r="R15" s="19">
        <f t="shared" si="0"/>
        <v>99</v>
      </c>
      <c r="S15" s="19">
        <f t="shared" si="1"/>
        <v>1009</v>
      </c>
      <c r="T15" s="25">
        <v>10153.66</v>
      </c>
    </row>
    <row r="16" spans="1:20" x14ac:dyDescent="0.2">
      <c r="A16" s="17" t="s">
        <v>8</v>
      </c>
      <c r="B16" s="19">
        <v>64</v>
      </c>
      <c r="C16" s="19">
        <v>187</v>
      </c>
      <c r="E16" s="17" t="s">
        <v>8</v>
      </c>
      <c r="F16" s="19">
        <v>21</v>
      </c>
      <c r="G16" s="19">
        <v>163</v>
      </c>
      <c r="I16" s="17" t="s">
        <v>8</v>
      </c>
      <c r="J16" s="19">
        <v>7</v>
      </c>
      <c r="K16" s="19">
        <v>91</v>
      </c>
      <c r="M16" s="17" t="s">
        <v>8</v>
      </c>
      <c r="N16" s="19">
        <v>8</v>
      </c>
      <c r="O16" s="19">
        <v>398</v>
      </c>
      <c r="Q16" s="17" t="s">
        <v>8</v>
      </c>
      <c r="R16" s="19">
        <f t="shared" si="0"/>
        <v>100</v>
      </c>
      <c r="S16" s="19">
        <f t="shared" si="1"/>
        <v>839</v>
      </c>
      <c r="T16" s="25">
        <v>9114.2800000000007</v>
      </c>
    </row>
    <row r="17" spans="1:20" x14ac:dyDescent="0.2">
      <c r="A17" s="17" t="s">
        <v>9</v>
      </c>
      <c r="B17" s="19">
        <v>75</v>
      </c>
      <c r="C17" s="19">
        <v>218</v>
      </c>
      <c r="E17" s="17" t="s">
        <v>9</v>
      </c>
      <c r="F17" s="19">
        <v>15</v>
      </c>
      <c r="G17" s="19">
        <v>111</v>
      </c>
      <c r="I17" s="17" t="s">
        <v>9</v>
      </c>
      <c r="J17" s="19">
        <v>7</v>
      </c>
      <c r="K17" s="19">
        <v>103</v>
      </c>
      <c r="M17" s="17" t="s">
        <v>9</v>
      </c>
      <c r="N17" s="19">
        <v>4</v>
      </c>
      <c r="O17" s="19">
        <v>190</v>
      </c>
      <c r="Q17" s="17" t="s">
        <v>9</v>
      </c>
      <c r="R17" s="19">
        <f t="shared" si="0"/>
        <v>101</v>
      </c>
      <c r="S17" s="19">
        <f t="shared" si="1"/>
        <v>622</v>
      </c>
      <c r="T17" s="25">
        <v>7720.22</v>
      </c>
    </row>
    <row r="18" spans="1:20" x14ac:dyDescent="0.2">
      <c r="A18" s="17" t="s">
        <v>10</v>
      </c>
      <c r="B18" s="19">
        <v>72</v>
      </c>
      <c r="C18" s="19">
        <v>197</v>
      </c>
      <c r="E18" s="17" t="s">
        <v>10</v>
      </c>
      <c r="F18" s="19">
        <v>20</v>
      </c>
      <c r="G18" s="19">
        <v>137</v>
      </c>
      <c r="I18" s="17" t="s">
        <v>10</v>
      </c>
      <c r="J18" s="19">
        <v>5</v>
      </c>
      <c r="K18" s="19">
        <v>74</v>
      </c>
      <c r="M18" s="17" t="s">
        <v>10</v>
      </c>
      <c r="N18" s="19">
        <v>4</v>
      </c>
      <c r="O18" s="19">
        <v>206</v>
      </c>
      <c r="Q18" s="17" t="s">
        <v>10</v>
      </c>
      <c r="R18" s="19">
        <f t="shared" si="0"/>
        <v>101</v>
      </c>
      <c r="S18" s="19">
        <f t="shared" si="1"/>
        <v>614</v>
      </c>
      <c r="T18" s="25">
        <v>7683.63</v>
      </c>
    </row>
    <row r="19" spans="1:20" x14ac:dyDescent="0.2">
      <c r="A19" s="17" t="s">
        <v>11</v>
      </c>
      <c r="B19" s="19">
        <v>80</v>
      </c>
      <c r="C19" s="19">
        <v>205</v>
      </c>
      <c r="E19" s="17" t="s">
        <v>11</v>
      </c>
      <c r="F19" s="19">
        <v>15</v>
      </c>
      <c r="G19" s="19">
        <v>112</v>
      </c>
      <c r="I19" s="17" t="s">
        <v>11</v>
      </c>
      <c r="J19" s="19">
        <v>3</v>
      </c>
      <c r="K19" s="19">
        <v>40</v>
      </c>
      <c r="M19" s="17" t="s">
        <v>11</v>
      </c>
      <c r="N19" s="19">
        <v>4</v>
      </c>
      <c r="O19" s="19">
        <v>176</v>
      </c>
      <c r="Q19" s="17" t="s">
        <v>11</v>
      </c>
      <c r="R19" s="19">
        <f t="shared" si="0"/>
        <v>102</v>
      </c>
      <c r="S19" s="19">
        <f t="shared" si="1"/>
        <v>533</v>
      </c>
      <c r="T19" s="25">
        <v>7342.24</v>
      </c>
    </row>
    <row r="20" spans="1:20" x14ac:dyDescent="0.2">
      <c r="A20" s="17"/>
      <c r="B20" s="19"/>
      <c r="C20" s="19"/>
      <c r="E20" s="17"/>
      <c r="F20" s="19"/>
      <c r="G20" s="19"/>
      <c r="I20" s="17"/>
      <c r="J20" s="19"/>
      <c r="K20" s="19"/>
      <c r="M20" s="17"/>
      <c r="N20" s="19"/>
      <c r="O20" s="19"/>
      <c r="Q20" s="17"/>
      <c r="R20" s="19"/>
      <c r="S20" s="19"/>
      <c r="T20" s="25"/>
    </row>
    <row r="21" spans="1:20" x14ac:dyDescent="0.2">
      <c r="A21" s="17" t="s">
        <v>12</v>
      </c>
      <c r="B21" s="19">
        <f>SUM(B8:B20)</f>
        <v>799</v>
      </c>
      <c r="C21" s="19">
        <f>SUM(C8:C20)</f>
        <v>2133</v>
      </c>
      <c r="E21" s="17"/>
      <c r="F21" s="19">
        <f t="shared" ref="F21:G21" si="2">SUM(F8:F20)</f>
        <v>251</v>
      </c>
      <c r="G21" s="19">
        <f t="shared" si="2"/>
        <v>1850</v>
      </c>
      <c r="I21" s="17"/>
      <c r="J21" s="19">
        <f t="shared" ref="J21:K21" si="3">SUM(J8:J20)</f>
        <v>83</v>
      </c>
      <c r="K21" s="19">
        <f t="shared" si="3"/>
        <v>1140</v>
      </c>
      <c r="M21" s="17"/>
      <c r="N21" s="19">
        <f t="shared" ref="N21:O21" si="4">SUM(N8:N20)</f>
        <v>59</v>
      </c>
      <c r="O21" s="19">
        <f t="shared" si="4"/>
        <v>3265</v>
      </c>
      <c r="Q21" s="17"/>
      <c r="R21" s="19">
        <f t="shared" ref="R21:S21" si="5">SUM(R8:R20)</f>
        <v>1192</v>
      </c>
      <c r="S21" s="19">
        <f t="shared" si="5"/>
        <v>8388</v>
      </c>
      <c r="T21" s="25">
        <f>SUM(T8:T19)</f>
        <v>98746.420000000013</v>
      </c>
    </row>
    <row r="22" spans="1:20" x14ac:dyDescent="0.2">
      <c r="A22" s="17"/>
      <c r="B22" s="19"/>
      <c r="C22" s="1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5">
        <f>B21+F21+J21+N21</f>
        <v>1192</v>
      </c>
      <c r="S22" s="35">
        <f>C21+G21+K21+O21</f>
        <v>8388</v>
      </c>
      <c r="T22" s="36"/>
    </row>
  </sheetData>
  <pageMargins left="0.7" right="0.7" top="0.75" bottom="0.75" header="0.3" footer="0.3"/>
  <pageSetup scale="71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192D5-D149-4E62-8B1E-C49C0B8A41AB}">
  <dimension ref="A1:H33"/>
  <sheetViews>
    <sheetView topLeftCell="A6" workbookViewId="0">
      <selection activeCell="G28" sqref="G28"/>
    </sheetView>
  </sheetViews>
  <sheetFormatPr defaultRowHeight="12.75" x14ac:dyDescent="0.2"/>
  <cols>
    <col min="1" max="1" width="11" style="9" bestFit="1" customWidth="1"/>
    <col min="2" max="4" width="9.7109375" style="9" customWidth="1"/>
    <col min="5" max="5" width="9.140625" style="9"/>
    <col min="6" max="8" width="9.7109375" style="9" customWidth="1"/>
    <col min="9" max="16384" width="9.140625" style="9"/>
  </cols>
  <sheetData>
    <row r="1" spans="1:8" ht="24.95" customHeight="1" x14ac:dyDescent="0.2">
      <c r="A1" s="10"/>
      <c r="B1" s="11"/>
      <c r="C1" s="11" t="s">
        <v>89</v>
      </c>
      <c r="D1" s="11"/>
      <c r="E1" s="11"/>
      <c r="F1" s="11"/>
      <c r="G1" s="11"/>
      <c r="H1" s="12"/>
    </row>
    <row r="2" spans="1:8" ht="24.95" customHeight="1" x14ac:dyDescent="0.2">
      <c r="A2" s="13"/>
      <c r="B2" s="14"/>
      <c r="C2" s="14" t="s">
        <v>18</v>
      </c>
      <c r="D2" s="14"/>
      <c r="E2" s="14"/>
      <c r="H2" s="29"/>
    </row>
    <row r="3" spans="1:8" ht="24.95" customHeight="1" x14ac:dyDescent="0.2">
      <c r="A3" s="10" t="s">
        <v>90</v>
      </c>
      <c r="B3" s="11"/>
      <c r="C3" s="11"/>
      <c r="D3" s="11"/>
      <c r="E3" s="11"/>
      <c r="F3" s="11"/>
      <c r="G3" s="11"/>
      <c r="H3" s="16" t="s">
        <v>39</v>
      </c>
    </row>
    <row r="4" spans="1:8" x14ac:dyDescent="0.2">
      <c r="A4" s="10"/>
    </row>
    <row r="5" spans="1:8" ht="20.100000000000001" customHeight="1" x14ac:dyDescent="0.2">
      <c r="A5" s="17"/>
      <c r="B5" s="18" t="s">
        <v>20</v>
      </c>
      <c r="C5" s="18" t="s">
        <v>21</v>
      </c>
      <c r="D5" s="17">
        <v>10</v>
      </c>
      <c r="E5" s="17">
        <v>10</v>
      </c>
      <c r="F5" s="17">
        <v>20</v>
      </c>
      <c r="G5" s="17"/>
      <c r="H5" s="17"/>
    </row>
    <row r="6" spans="1:8" ht="20.100000000000001" customHeight="1" x14ac:dyDescent="0.2">
      <c r="A6" s="17" t="s">
        <v>38</v>
      </c>
      <c r="B6" s="22">
        <v>89</v>
      </c>
      <c r="C6" s="19">
        <v>190</v>
      </c>
      <c r="D6" s="19">
        <f>C6</f>
        <v>190</v>
      </c>
      <c r="E6" s="19"/>
      <c r="F6" s="19"/>
      <c r="G6" s="19"/>
      <c r="H6" s="17"/>
    </row>
    <row r="7" spans="1:8" ht="20.100000000000001" customHeight="1" x14ac:dyDescent="0.2">
      <c r="A7" s="17" t="s">
        <v>71</v>
      </c>
      <c r="B7" s="22">
        <v>6</v>
      </c>
      <c r="C7" s="19">
        <v>106</v>
      </c>
      <c r="D7" s="19">
        <f>B7*D5</f>
        <v>60</v>
      </c>
      <c r="E7" s="19">
        <f>C7-D7</f>
        <v>46</v>
      </c>
      <c r="F7" s="19"/>
      <c r="G7" s="19"/>
      <c r="H7" s="17"/>
    </row>
    <row r="8" spans="1:8" ht="20.100000000000001" customHeight="1" x14ac:dyDescent="0.2">
      <c r="A8" s="17" t="s">
        <v>42</v>
      </c>
      <c r="B8" s="22">
        <v>8</v>
      </c>
      <c r="C8" s="19">
        <v>306</v>
      </c>
      <c r="D8" s="19">
        <f>B8*D5</f>
        <v>80</v>
      </c>
      <c r="E8" s="19">
        <f>B8*10</f>
        <v>80</v>
      </c>
      <c r="F8" s="19">
        <f>C8-D8-E8</f>
        <v>146</v>
      </c>
      <c r="G8" s="19"/>
      <c r="H8" s="17"/>
    </row>
    <row r="9" spans="1:8" ht="24.95" customHeight="1" x14ac:dyDescent="0.2">
      <c r="A9" s="17" t="s">
        <v>26</v>
      </c>
      <c r="B9" s="19">
        <f>SUM(B5:B8)</f>
        <v>103</v>
      </c>
      <c r="C9" s="19">
        <f>SUM(C5:C8)</f>
        <v>602</v>
      </c>
      <c r="D9" s="19">
        <f>SUM(D6:D8)</f>
        <v>330</v>
      </c>
      <c r="E9" s="19">
        <f>SUM(E6:E8)</f>
        <v>126</v>
      </c>
      <c r="F9" s="19">
        <f>SUM(F6:F8)</f>
        <v>146</v>
      </c>
      <c r="G9" s="19"/>
      <c r="H9" s="17"/>
    </row>
    <row r="10" spans="1:8" x14ac:dyDescent="0.2">
      <c r="A10" s="13" t="s">
        <v>27</v>
      </c>
      <c r="G10" s="12"/>
    </row>
    <row r="11" spans="1:8" s="1" customFormat="1" ht="24.95" customHeight="1" x14ac:dyDescent="0.2">
      <c r="A11" s="18"/>
      <c r="B11" s="18" t="s">
        <v>20</v>
      </c>
      <c r="C11" s="18" t="s">
        <v>21</v>
      </c>
      <c r="D11" s="18" t="s">
        <v>28</v>
      </c>
      <c r="E11" s="18" t="s">
        <v>29</v>
      </c>
      <c r="F11" s="18"/>
      <c r="G11" s="18"/>
      <c r="H11" s="18"/>
    </row>
    <row r="12" spans="1:8" ht="20.100000000000001" customHeight="1" x14ac:dyDescent="0.2">
      <c r="A12" s="10" t="s">
        <v>36</v>
      </c>
      <c r="B12" s="19">
        <f>$B$9</f>
        <v>103</v>
      </c>
      <c r="C12" s="19">
        <f>$D$9</f>
        <v>330</v>
      </c>
      <c r="D12" s="20">
        <v>98.39</v>
      </c>
      <c r="E12" s="19">
        <f>B12*D12</f>
        <v>10134.17</v>
      </c>
      <c r="F12" s="20"/>
      <c r="G12" s="20"/>
      <c r="H12" s="21"/>
    </row>
    <row r="13" spans="1:8" ht="20.100000000000001" customHeight="1" x14ac:dyDescent="0.2">
      <c r="A13" s="10" t="s">
        <v>24</v>
      </c>
      <c r="B13" s="22"/>
      <c r="C13" s="19">
        <f>$E$9</f>
        <v>126</v>
      </c>
      <c r="D13" s="20">
        <v>7.67</v>
      </c>
      <c r="E13" s="19">
        <f>C13*D13</f>
        <v>966.42</v>
      </c>
      <c r="F13" s="20"/>
      <c r="G13" s="20"/>
      <c r="H13" s="21"/>
    </row>
    <row r="14" spans="1:8" ht="20.100000000000001" customHeight="1" x14ac:dyDescent="0.2">
      <c r="A14" s="17" t="s">
        <v>25</v>
      </c>
      <c r="B14" s="22"/>
      <c r="C14" s="19">
        <f>$F$9</f>
        <v>146</v>
      </c>
      <c r="D14" s="20">
        <v>6.82</v>
      </c>
      <c r="E14" s="19">
        <f>C14*D14</f>
        <v>995.72</v>
      </c>
      <c r="F14" s="20"/>
      <c r="G14" s="20"/>
      <c r="H14" s="21"/>
    </row>
    <row r="15" spans="1:8" ht="24.95" customHeight="1" x14ac:dyDescent="0.2">
      <c r="A15" s="10" t="s">
        <v>26</v>
      </c>
      <c r="B15" s="22"/>
      <c r="C15" s="19">
        <f>SUM(C12:C14)</f>
        <v>602</v>
      </c>
      <c r="D15" s="19"/>
      <c r="E15" s="19">
        <f>SUM(E12:E14)</f>
        <v>12096.31</v>
      </c>
      <c r="F15" s="19"/>
      <c r="G15" s="23">
        <v>12092.91</v>
      </c>
      <c r="H15" s="23">
        <f>G15-E15</f>
        <v>-3.3999999999996362</v>
      </c>
    </row>
    <row r="16" spans="1:8" hidden="1" x14ac:dyDescent="0.2">
      <c r="A16" s="9" t="s">
        <v>30</v>
      </c>
      <c r="B16" s="9" t="s">
        <v>31</v>
      </c>
      <c r="F16" s="2"/>
      <c r="G16" s="23"/>
      <c r="H16" s="23"/>
    </row>
    <row r="17" spans="1:8" ht="24.95" hidden="1" customHeight="1" x14ac:dyDescent="0.2">
      <c r="A17" s="18"/>
      <c r="B17" s="18" t="s">
        <v>20</v>
      </c>
      <c r="C17" s="18" t="s">
        <v>21</v>
      </c>
      <c r="D17" s="18" t="s">
        <v>28</v>
      </c>
      <c r="E17" s="18" t="s">
        <v>29</v>
      </c>
      <c r="F17" s="18"/>
      <c r="G17" s="18"/>
      <c r="H17" s="18"/>
    </row>
    <row r="18" spans="1:8" ht="24.95" hidden="1" customHeight="1" x14ac:dyDescent="0.2">
      <c r="A18" s="10" t="s">
        <v>36</v>
      </c>
      <c r="B18" s="19">
        <f>$B$9</f>
        <v>103</v>
      </c>
      <c r="C18" s="19">
        <f>$D$9</f>
        <v>330</v>
      </c>
      <c r="D18" s="20">
        <v>49.5</v>
      </c>
      <c r="E18" s="19">
        <f>B18*D18</f>
        <v>5098.5</v>
      </c>
      <c r="F18" s="20"/>
      <c r="G18" s="20"/>
      <c r="H18" s="21"/>
    </row>
    <row r="19" spans="1:8" ht="24.95" hidden="1" customHeight="1" x14ac:dyDescent="0.2">
      <c r="A19" s="10" t="s">
        <v>24</v>
      </c>
      <c r="B19" s="22"/>
      <c r="C19" s="19">
        <f>$E$9</f>
        <v>126</v>
      </c>
      <c r="D19" s="20">
        <v>3.3</v>
      </c>
      <c r="E19" s="19">
        <f>C19*D19</f>
        <v>415.79999999999995</v>
      </c>
      <c r="F19" s="20"/>
      <c r="G19" s="20"/>
      <c r="H19" s="21"/>
    </row>
    <row r="20" spans="1:8" ht="24.95" hidden="1" customHeight="1" x14ac:dyDescent="0.2">
      <c r="A20" s="17" t="s">
        <v>25</v>
      </c>
      <c r="B20" s="22"/>
      <c r="C20" s="19">
        <f>$F$9</f>
        <v>146</v>
      </c>
      <c r="D20" s="20">
        <v>2.75</v>
      </c>
      <c r="E20" s="19">
        <f>C20*D20</f>
        <v>401.5</v>
      </c>
      <c r="F20" s="20"/>
      <c r="G20" s="20"/>
      <c r="H20" s="21"/>
    </row>
    <row r="21" spans="1:8" ht="24.95" hidden="1" customHeight="1" x14ac:dyDescent="0.2">
      <c r="A21" s="10" t="s">
        <v>26</v>
      </c>
      <c r="B21" s="22"/>
      <c r="C21" s="19">
        <f>SUM(C18:C20)</f>
        <v>602</v>
      </c>
      <c r="D21" s="19"/>
      <c r="E21" s="19">
        <f>SUM(E18:E20)</f>
        <v>5915.8</v>
      </c>
      <c r="F21" s="19"/>
      <c r="G21" s="20"/>
      <c r="H21" s="21"/>
    </row>
    <row r="22" spans="1:8" hidden="1" x14ac:dyDescent="0.2">
      <c r="A22" s="9" t="s">
        <v>30</v>
      </c>
      <c r="B22" s="9" t="s">
        <v>32</v>
      </c>
    </row>
    <row r="23" spans="1:8" ht="24.95" hidden="1" customHeight="1" x14ac:dyDescent="0.2">
      <c r="A23" s="18"/>
      <c r="B23" s="18" t="s">
        <v>20</v>
      </c>
      <c r="C23" s="18" t="s">
        <v>21</v>
      </c>
      <c r="D23" s="18" t="s">
        <v>28</v>
      </c>
      <c r="E23" s="18" t="s">
        <v>29</v>
      </c>
      <c r="F23" s="18"/>
      <c r="G23" s="18"/>
      <c r="H23" s="18"/>
    </row>
    <row r="24" spans="1:8" ht="24.95" hidden="1" customHeight="1" x14ac:dyDescent="0.2">
      <c r="A24" s="10" t="s">
        <v>36</v>
      </c>
      <c r="B24" s="19">
        <f>$B$9</f>
        <v>103</v>
      </c>
      <c r="C24" s="19">
        <f>$D$9</f>
        <v>330</v>
      </c>
      <c r="D24" s="20">
        <v>50.4</v>
      </c>
      <c r="E24" s="19">
        <f>B24*D24</f>
        <v>5191.2</v>
      </c>
      <c r="F24" s="20"/>
      <c r="G24" s="20"/>
      <c r="H24" s="21"/>
    </row>
    <row r="25" spans="1:8" ht="24.95" hidden="1" customHeight="1" x14ac:dyDescent="0.2">
      <c r="A25" s="10" t="s">
        <v>24</v>
      </c>
      <c r="B25" s="22"/>
      <c r="C25" s="19">
        <f>$E$9</f>
        <v>126</v>
      </c>
      <c r="D25" s="20">
        <v>3.36</v>
      </c>
      <c r="E25" s="19">
        <f>C25*D25</f>
        <v>423.35999999999996</v>
      </c>
      <c r="F25" s="20"/>
      <c r="G25" s="20"/>
      <c r="H25" s="21"/>
    </row>
    <row r="26" spans="1:8" ht="24.95" hidden="1" customHeight="1" x14ac:dyDescent="0.2">
      <c r="A26" s="17" t="s">
        <v>25</v>
      </c>
      <c r="B26" s="22"/>
      <c r="C26" s="19">
        <f>$F$9</f>
        <v>146</v>
      </c>
      <c r="D26" s="20">
        <v>2.8</v>
      </c>
      <c r="E26" s="19">
        <f>C26*D26</f>
        <v>408.79999999999995</v>
      </c>
      <c r="F26" s="20"/>
      <c r="G26" s="20"/>
      <c r="H26" s="21"/>
    </row>
    <row r="27" spans="1:8" ht="24.95" hidden="1" customHeight="1" x14ac:dyDescent="0.2">
      <c r="A27" s="10" t="s">
        <v>26</v>
      </c>
      <c r="B27" s="22"/>
      <c r="C27" s="19">
        <f>SUM(C24:C26)</f>
        <v>602</v>
      </c>
      <c r="D27" s="19"/>
      <c r="E27" s="19">
        <f>SUM(E24:E26)</f>
        <v>6023.36</v>
      </c>
      <c r="F27" s="19"/>
      <c r="G27" s="20"/>
      <c r="H27" s="21"/>
    </row>
    <row r="28" spans="1:8" x14ac:dyDescent="0.2">
      <c r="A28" s="9" t="s">
        <v>30</v>
      </c>
      <c r="B28" s="9" t="s">
        <v>94</v>
      </c>
    </row>
    <row r="29" spans="1:8" ht="24.95" customHeight="1" x14ac:dyDescent="0.2">
      <c r="A29" s="18"/>
      <c r="B29" s="18" t="s">
        <v>20</v>
      </c>
      <c r="C29" s="18" t="s">
        <v>21</v>
      </c>
      <c r="D29" s="18" t="s">
        <v>28</v>
      </c>
      <c r="E29" s="18" t="s">
        <v>29</v>
      </c>
      <c r="F29" s="18"/>
      <c r="G29" s="18"/>
      <c r="H29" s="18"/>
    </row>
    <row r="30" spans="1:8" ht="24.95" customHeight="1" x14ac:dyDescent="0.2">
      <c r="A30" s="10" t="s">
        <v>36</v>
      </c>
      <c r="B30" s="19">
        <f>$B$9</f>
        <v>103</v>
      </c>
      <c r="C30" s="19">
        <f>$D$9</f>
        <v>330</v>
      </c>
      <c r="D30" s="20">
        <f>D12*1.1279+0.01</f>
        <v>110.98408099999999</v>
      </c>
      <c r="E30" s="19">
        <f>B30*D30</f>
        <v>11431.360342999998</v>
      </c>
      <c r="F30" s="20"/>
      <c r="G30" s="20"/>
      <c r="H30" s="21"/>
    </row>
    <row r="31" spans="1:8" ht="24.95" customHeight="1" x14ac:dyDescent="0.2">
      <c r="A31" s="10" t="s">
        <v>24</v>
      </c>
      <c r="B31" s="22"/>
      <c r="C31" s="19">
        <f>$E$9</f>
        <v>126</v>
      </c>
      <c r="D31" s="20">
        <f>D13*1.1279</f>
        <v>8.6509929999999997</v>
      </c>
      <c r="E31" s="19">
        <f>C31*D31</f>
        <v>1090.025118</v>
      </c>
      <c r="F31" s="20"/>
      <c r="G31" s="20"/>
      <c r="H31" s="21"/>
    </row>
    <row r="32" spans="1:8" ht="24.95" customHeight="1" x14ac:dyDescent="0.2">
      <c r="A32" s="17" t="s">
        <v>25</v>
      </c>
      <c r="B32" s="22"/>
      <c r="C32" s="19">
        <f>$F$9</f>
        <v>146</v>
      </c>
      <c r="D32" s="20">
        <f>D14*1.1279+0.01</f>
        <v>7.7022779999999997</v>
      </c>
      <c r="E32" s="19">
        <f>C32*D32</f>
        <v>1124.532588</v>
      </c>
      <c r="F32" s="20"/>
      <c r="G32" s="20"/>
      <c r="H32" s="21"/>
    </row>
    <row r="33" spans="1:8" ht="24.95" customHeight="1" x14ac:dyDescent="0.2">
      <c r="A33" s="10" t="s">
        <v>26</v>
      </c>
      <c r="B33" s="22"/>
      <c r="C33" s="19">
        <f>SUM(C30:C32)</f>
        <v>602</v>
      </c>
      <c r="D33" s="19"/>
      <c r="E33" s="19">
        <f>SUM(E30:E32)</f>
        <v>13645.918048999998</v>
      </c>
      <c r="F33" s="19"/>
      <c r="G33" s="20"/>
      <c r="H33" s="21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80862-A7E6-49F6-8566-D5F29899ECE8}">
  <sheetPr>
    <pageSetUpPr fitToPage="1"/>
  </sheetPr>
  <dimension ref="A2:T22"/>
  <sheetViews>
    <sheetView workbookViewId="0">
      <selection activeCell="T11" sqref="T11"/>
    </sheetView>
  </sheetViews>
  <sheetFormatPr defaultRowHeight="12.75" x14ac:dyDescent="0.2"/>
  <cols>
    <col min="1" max="1" width="11" customWidth="1"/>
    <col min="2" max="2" width="11.42578125" customWidth="1"/>
    <col min="4" max="4" width="3.7109375" customWidth="1"/>
    <col min="5" max="5" width="11.5703125" hidden="1" customWidth="1"/>
    <col min="6" max="7" width="9.140625" hidden="1" customWidth="1"/>
    <col min="8" max="8" width="3.7109375" hidden="1" customWidth="1"/>
    <col min="9" max="9" width="11.5703125" customWidth="1"/>
    <col min="10" max="11" width="9.140625" customWidth="1"/>
    <col min="12" max="12" width="3.7109375" customWidth="1"/>
    <col min="13" max="13" width="11" customWidth="1"/>
    <col min="16" max="16" width="3.7109375" customWidth="1"/>
    <col min="17" max="17" width="11" customWidth="1"/>
    <col min="20" max="20" width="10.140625" bestFit="1" customWidth="1"/>
  </cols>
  <sheetData>
    <row r="2" spans="1:20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1:20" x14ac:dyDescent="0.2">
      <c r="A3" s="33" t="s">
        <v>39</v>
      </c>
      <c r="T3" s="34"/>
    </row>
    <row r="4" spans="1:20" x14ac:dyDescent="0.2">
      <c r="A4" s="10" t="s">
        <v>75</v>
      </c>
      <c r="B4" s="11"/>
      <c r="C4" s="11"/>
      <c r="T4" s="34"/>
    </row>
    <row r="5" spans="1:20" x14ac:dyDescent="0.2">
      <c r="A5" s="10"/>
      <c r="B5" s="9" t="s">
        <v>79</v>
      </c>
      <c r="C5" s="9"/>
      <c r="J5" t="s">
        <v>77</v>
      </c>
      <c r="N5" t="s">
        <v>78</v>
      </c>
      <c r="T5" s="34"/>
    </row>
    <row r="6" spans="1:20" x14ac:dyDescent="0.2">
      <c r="A6" s="17"/>
      <c r="B6" s="18" t="s">
        <v>20</v>
      </c>
      <c r="C6" s="18" t="s">
        <v>21</v>
      </c>
      <c r="E6" s="17"/>
      <c r="F6" s="18" t="s">
        <v>20</v>
      </c>
      <c r="G6" s="18" t="s">
        <v>21</v>
      </c>
      <c r="I6" s="17"/>
      <c r="J6" s="18" t="s">
        <v>20</v>
      </c>
      <c r="K6" s="18" t="s">
        <v>21</v>
      </c>
      <c r="M6" s="17"/>
      <c r="N6" s="18" t="s">
        <v>20</v>
      </c>
      <c r="O6" s="18" t="s">
        <v>21</v>
      </c>
      <c r="Q6" s="17"/>
      <c r="R6" s="18" t="s">
        <v>20</v>
      </c>
      <c r="S6" s="18" t="s">
        <v>21</v>
      </c>
      <c r="T6" s="18" t="s">
        <v>33</v>
      </c>
    </row>
    <row r="7" spans="1:20" x14ac:dyDescent="0.2">
      <c r="A7" s="17" t="s">
        <v>38</v>
      </c>
      <c r="B7" s="19"/>
      <c r="C7" s="19"/>
      <c r="E7" s="17" t="s">
        <v>24</v>
      </c>
      <c r="F7" s="19"/>
      <c r="G7" s="19"/>
      <c r="I7" s="17" t="s">
        <v>71</v>
      </c>
      <c r="J7" s="19"/>
      <c r="K7" s="19"/>
      <c r="M7" s="17" t="s">
        <v>42</v>
      </c>
      <c r="N7" s="19"/>
      <c r="O7" s="19"/>
      <c r="Q7" s="17" t="s">
        <v>37</v>
      </c>
      <c r="R7" s="19"/>
      <c r="S7" s="19"/>
      <c r="T7" s="19"/>
    </row>
    <row r="8" spans="1:20" x14ac:dyDescent="0.2">
      <c r="A8" s="17" t="s">
        <v>0</v>
      </c>
      <c r="B8" s="19">
        <v>7</v>
      </c>
      <c r="C8" s="19">
        <v>12</v>
      </c>
      <c r="E8" s="17" t="s">
        <v>0</v>
      </c>
      <c r="F8" s="19"/>
      <c r="G8" s="19"/>
      <c r="I8" s="17" t="s">
        <v>0</v>
      </c>
      <c r="J8" s="19">
        <v>1</v>
      </c>
      <c r="K8" s="19">
        <v>15</v>
      </c>
      <c r="M8" s="17" t="s">
        <v>0</v>
      </c>
      <c r="N8" s="19">
        <v>1</v>
      </c>
      <c r="O8" s="19">
        <v>129</v>
      </c>
      <c r="Q8" s="17" t="s">
        <v>0</v>
      </c>
      <c r="R8" s="19">
        <f>B8+F8+J8+N8</f>
        <v>9</v>
      </c>
      <c r="S8" s="19">
        <f>C8+G8+K8+O8</f>
        <v>156</v>
      </c>
      <c r="T8" s="25">
        <v>1743.94</v>
      </c>
    </row>
    <row r="9" spans="1:20" x14ac:dyDescent="0.2">
      <c r="A9" s="17" t="s">
        <v>1</v>
      </c>
      <c r="B9" s="19">
        <v>8</v>
      </c>
      <c r="C9" s="19">
        <v>22</v>
      </c>
      <c r="E9" s="17" t="s">
        <v>1</v>
      </c>
      <c r="F9" s="19"/>
      <c r="G9" s="19"/>
      <c r="I9" s="17" t="s">
        <v>1</v>
      </c>
      <c r="J9" s="19"/>
      <c r="K9" s="19"/>
      <c r="M9" s="17" t="s">
        <v>1</v>
      </c>
      <c r="N9" s="19"/>
      <c r="O9" s="19"/>
      <c r="Q9" s="17" t="s">
        <v>1</v>
      </c>
      <c r="R9" s="19">
        <f t="shared" ref="R9:S19" si="0">B9+F9+J9+N9</f>
        <v>8</v>
      </c>
      <c r="S9" s="19">
        <f t="shared" si="0"/>
        <v>22</v>
      </c>
      <c r="T9" s="25">
        <v>787.12</v>
      </c>
    </row>
    <row r="10" spans="1:20" x14ac:dyDescent="0.2">
      <c r="A10" s="17" t="s">
        <v>2</v>
      </c>
      <c r="B10" s="19">
        <v>4</v>
      </c>
      <c r="C10" s="19">
        <v>0</v>
      </c>
      <c r="E10" s="17" t="s">
        <v>2</v>
      </c>
      <c r="F10" s="19"/>
      <c r="G10" s="19"/>
      <c r="I10" s="17" t="s">
        <v>2</v>
      </c>
      <c r="J10" s="19">
        <v>1</v>
      </c>
      <c r="K10" s="19">
        <v>28</v>
      </c>
      <c r="M10" s="17" t="s">
        <v>2</v>
      </c>
      <c r="N10" s="19"/>
      <c r="O10" s="19"/>
      <c r="Q10" s="17" t="s">
        <v>2</v>
      </c>
      <c r="R10" s="19">
        <f t="shared" si="0"/>
        <v>5</v>
      </c>
      <c r="S10" s="19">
        <f t="shared" si="0"/>
        <v>28</v>
      </c>
      <c r="T10" s="25">
        <v>626.61</v>
      </c>
    </row>
    <row r="11" spans="1:20" x14ac:dyDescent="0.2">
      <c r="A11" s="17" t="s">
        <v>3</v>
      </c>
      <c r="B11" s="19">
        <v>7</v>
      </c>
      <c r="C11" s="19">
        <v>12</v>
      </c>
      <c r="E11" s="17" t="s">
        <v>3</v>
      </c>
      <c r="F11" s="19"/>
      <c r="G11" s="19"/>
      <c r="I11" s="17" t="s">
        <v>3</v>
      </c>
      <c r="J11" s="19">
        <v>1</v>
      </c>
      <c r="K11" s="19">
        <v>13</v>
      </c>
      <c r="M11" s="17" t="s">
        <v>3</v>
      </c>
      <c r="N11" s="19">
        <v>1</v>
      </c>
      <c r="O11" s="19">
        <v>27</v>
      </c>
      <c r="Q11" s="17" t="s">
        <v>3</v>
      </c>
      <c r="R11" s="19">
        <f t="shared" si="0"/>
        <v>9</v>
      </c>
      <c r="S11" s="19">
        <f t="shared" si="0"/>
        <v>52</v>
      </c>
      <c r="T11" s="25">
        <v>1032.96</v>
      </c>
    </row>
    <row r="12" spans="1:20" x14ac:dyDescent="0.2">
      <c r="A12" s="17" t="s">
        <v>4</v>
      </c>
      <c r="B12" s="19">
        <v>8</v>
      </c>
      <c r="C12" s="19">
        <v>21</v>
      </c>
      <c r="E12" s="17" t="s">
        <v>4</v>
      </c>
      <c r="F12" s="19"/>
      <c r="G12" s="19"/>
      <c r="I12" s="17" t="s">
        <v>4</v>
      </c>
      <c r="J12" s="19"/>
      <c r="K12" s="19"/>
      <c r="M12" s="17" t="s">
        <v>4</v>
      </c>
      <c r="N12" s="19">
        <v>1</v>
      </c>
      <c r="O12" s="19">
        <v>26</v>
      </c>
      <c r="Q12" s="17" t="s">
        <v>4</v>
      </c>
      <c r="R12" s="19">
        <f t="shared" si="0"/>
        <v>9</v>
      </c>
      <c r="S12" s="19">
        <f t="shared" si="0"/>
        <v>47</v>
      </c>
      <c r="T12" s="25">
        <v>1003.13</v>
      </c>
    </row>
    <row r="13" spans="1:20" x14ac:dyDescent="0.2">
      <c r="A13" s="17" t="s">
        <v>5</v>
      </c>
      <c r="B13" s="19">
        <v>8</v>
      </c>
      <c r="C13" s="19">
        <v>19</v>
      </c>
      <c r="E13" s="17" t="s">
        <v>5</v>
      </c>
      <c r="F13" s="19"/>
      <c r="G13" s="19"/>
      <c r="I13" s="17" t="s">
        <v>5</v>
      </c>
      <c r="J13" s="19"/>
      <c r="K13" s="19"/>
      <c r="M13" s="17" t="s">
        <v>5</v>
      </c>
      <c r="N13" s="19">
        <v>1</v>
      </c>
      <c r="O13" s="19">
        <v>24</v>
      </c>
      <c r="Q13" s="17" t="s">
        <v>5</v>
      </c>
      <c r="R13" s="19">
        <f t="shared" si="0"/>
        <v>9</v>
      </c>
      <c r="S13" s="19">
        <f t="shared" si="0"/>
        <v>43</v>
      </c>
      <c r="T13" s="25">
        <v>989.49</v>
      </c>
    </row>
    <row r="14" spans="1:20" x14ac:dyDescent="0.2">
      <c r="A14" s="17" t="s">
        <v>6</v>
      </c>
      <c r="B14" s="19">
        <v>8</v>
      </c>
      <c r="C14" s="19">
        <v>16</v>
      </c>
      <c r="E14" s="17" t="s">
        <v>6</v>
      </c>
      <c r="F14" s="19"/>
      <c r="G14" s="19"/>
      <c r="I14" s="17" t="s">
        <v>6</v>
      </c>
      <c r="J14" s="19"/>
      <c r="K14" s="19"/>
      <c r="M14" s="17" t="s">
        <v>6</v>
      </c>
      <c r="N14" s="19">
        <v>1</v>
      </c>
      <c r="O14" s="19">
        <v>28</v>
      </c>
      <c r="Q14" s="17" t="s">
        <v>6</v>
      </c>
      <c r="R14" s="19">
        <f t="shared" si="0"/>
        <v>9</v>
      </c>
      <c r="S14" s="19">
        <f t="shared" si="0"/>
        <v>44</v>
      </c>
      <c r="T14" s="25">
        <v>1016.77</v>
      </c>
    </row>
    <row r="15" spans="1:20" x14ac:dyDescent="0.2">
      <c r="A15" s="17" t="s">
        <v>7</v>
      </c>
      <c r="B15" s="19">
        <v>7</v>
      </c>
      <c r="C15" s="19">
        <v>9</v>
      </c>
      <c r="E15" s="17" t="s">
        <v>7</v>
      </c>
      <c r="F15" s="19"/>
      <c r="G15" s="19"/>
      <c r="I15" s="17" t="s">
        <v>7</v>
      </c>
      <c r="J15" s="19">
        <v>2</v>
      </c>
      <c r="K15" s="19">
        <v>31</v>
      </c>
      <c r="M15" s="17" t="s">
        <v>7</v>
      </c>
      <c r="N15" s="19"/>
      <c r="O15" s="19"/>
      <c r="Q15" s="17" t="s">
        <v>7</v>
      </c>
      <c r="R15" s="19">
        <f t="shared" si="0"/>
        <v>9</v>
      </c>
      <c r="S15" s="19">
        <f t="shared" si="0"/>
        <v>40</v>
      </c>
      <c r="T15" s="25">
        <v>969.88</v>
      </c>
    </row>
    <row r="16" spans="1:20" x14ac:dyDescent="0.2">
      <c r="A16" s="17" t="s">
        <v>8</v>
      </c>
      <c r="B16" s="19">
        <v>8</v>
      </c>
      <c r="C16" s="19">
        <v>21</v>
      </c>
      <c r="E16" s="17" t="s">
        <v>8</v>
      </c>
      <c r="F16" s="19"/>
      <c r="G16" s="19"/>
      <c r="I16" s="17" t="s">
        <v>8</v>
      </c>
      <c r="J16" s="19"/>
      <c r="K16" s="19"/>
      <c r="M16" s="17" t="s">
        <v>8</v>
      </c>
      <c r="N16" s="19">
        <v>1</v>
      </c>
      <c r="O16" s="19">
        <v>24</v>
      </c>
      <c r="Q16" s="17" t="s">
        <v>8</v>
      </c>
      <c r="R16" s="19">
        <f t="shared" si="0"/>
        <v>9</v>
      </c>
      <c r="S16" s="19">
        <f t="shared" si="0"/>
        <v>45</v>
      </c>
      <c r="T16" s="25">
        <v>989.49</v>
      </c>
    </row>
    <row r="17" spans="1:20" x14ac:dyDescent="0.2">
      <c r="A17" s="17" t="s">
        <v>9</v>
      </c>
      <c r="B17" s="19">
        <v>8</v>
      </c>
      <c r="C17" s="19">
        <v>15</v>
      </c>
      <c r="E17" s="17" t="s">
        <v>9</v>
      </c>
      <c r="F17" s="19"/>
      <c r="G17" s="19"/>
      <c r="I17" s="17" t="s">
        <v>9</v>
      </c>
      <c r="J17" s="19">
        <v>1</v>
      </c>
      <c r="K17" s="19">
        <v>19</v>
      </c>
      <c r="M17" s="17" t="s">
        <v>9</v>
      </c>
      <c r="N17" s="19"/>
      <c r="O17" s="19"/>
      <c r="Q17" s="17" t="s">
        <v>9</v>
      </c>
      <c r="R17" s="19">
        <f t="shared" si="0"/>
        <v>9</v>
      </c>
      <c r="S17" s="19">
        <f t="shared" si="0"/>
        <v>34</v>
      </c>
      <c r="T17" s="25">
        <v>954.54</v>
      </c>
    </row>
    <row r="18" spans="1:20" x14ac:dyDescent="0.2">
      <c r="A18" s="17" t="s">
        <v>10</v>
      </c>
      <c r="B18" s="19">
        <v>8</v>
      </c>
      <c r="C18" s="19">
        <v>26</v>
      </c>
      <c r="E18" s="17" t="s">
        <v>10</v>
      </c>
      <c r="F18" s="19"/>
      <c r="G18" s="19"/>
      <c r="I18" s="17" t="s">
        <v>10</v>
      </c>
      <c r="J18" s="19"/>
      <c r="K18" s="19"/>
      <c r="M18" s="17" t="s">
        <v>10</v>
      </c>
      <c r="N18" s="19">
        <v>1</v>
      </c>
      <c r="O18" s="19">
        <v>24</v>
      </c>
      <c r="Q18" s="17" t="s">
        <v>10</v>
      </c>
      <c r="R18" s="19">
        <f t="shared" si="0"/>
        <v>9</v>
      </c>
      <c r="S18" s="19">
        <f t="shared" si="0"/>
        <v>50</v>
      </c>
      <c r="T18" s="25">
        <v>989.49</v>
      </c>
    </row>
    <row r="19" spans="1:20" x14ac:dyDescent="0.2">
      <c r="A19" s="17" t="s">
        <v>11</v>
      </c>
      <c r="B19" s="19">
        <v>8</v>
      </c>
      <c r="C19" s="19">
        <v>17</v>
      </c>
      <c r="E19" s="17" t="s">
        <v>11</v>
      </c>
      <c r="F19" s="19"/>
      <c r="G19" s="19"/>
      <c r="I19" s="17" t="s">
        <v>11</v>
      </c>
      <c r="J19" s="19"/>
      <c r="K19" s="19"/>
      <c r="M19" s="17" t="s">
        <v>11</v>
      </c>
      <c r="N19" s="19">
        <v>1</v>
      </c>
      <c r="O19" s="19">
        <v>24</v>
      </c>
      <c r="Q19" s="17" t="s">
        <v>11</v>
      </c>
      <c r="R19" s="19">
        <f t="shared" si="0"/>
        <v>9</v>
      </c>
      <c r="S19" s="19">
        <f t="shared" si="0"/>
        <v>41</v>
      </c>
      <c r="T19" s="25">
        <v>989.49</v>
      </c>
    </row>
    <row r="20" spans="1:20" x14ac:dyDescent="0.2">
      <c r="A20" s="17"/>
      <c r="B20" s="19"/>
      <c r="C20" s="19"/>
      <c r="E20" s="17"/>
      <c r="F20" s="19"/>
      <c r="G20" s="19"/>
      <c r="I20" s="17"/>
      <c r="J20" s="19"/>
      <c r="K20" s="19"/>
      <c r="M20" s="17"/>
      <c r="N20" s="19"/>
      <c r="O20" s="19"/>
      <c r="Q20" s="17"/>
      <c r="R20" s="19"/>
      <c r="S20" s="19"/>
      <c r="T20" s="25"/>
    </row>
    <row r="21" spans="1:20" x14ac:dyDescent="0.2">
      <c r="A21" s="17" t="s">
        <v>12</v>
      </c>
      <c r="B21" s="19">
        <f>SUM(B8:B20)</f>
        <v>89</v>
      </c>
      <c r="C21" s="19">
        <f>SUM(C8:C20)</f>
        <v>190</v>
      </c>
      <c r="E21" s="17"/>
      <c r="F21" s="19">
        <f t="shared" ref="F21:G21" si="1">SUM(F8:F20)</f>
        <v>0</v>
      </c>
      <c r="G21" s="19">
        <f t="shared" si="1"/>
        <v>0</v>
      </c>
      <c r="I21" s="17"/>
      <c r="J21" s="19">
        <f t="shared" ref="J21:K21" si="2">SUM(J8:J20)</f>
        <v>6</v>
      </c>
      <c r="K21" s="19">
        <f t="shared" si="2"/>
        <v>106</v>
      </c>
      <c r="M21" s="17"/>
      <c r="N21" s="19">
        <f t="shared" ref="N21:O21" si="3">SUM(N8:N20)</f>
        <v>8</v>
      </c>
      <c r="O21" s="19">
        <f t="shared" si="3"/>
        <v>306</v>
      </c>
      <c r="Q21" s="17"/>
      <c r="R21" s="19">
        <f t="shared" ref="R21:S21" si="4">SUM(R8:R20)</f>
        <v>103</v>
      </c>
      <c r="S21" s="19">
        <f t="shared" si="4"/>
        <v>602</v>
      </c>
      <c r="T21" s="25">
        <f>SUM(T8:T19)</f>
        <v>12092.91</v>
      </c>
    </row>
    <row r="22" spans="1:20" x14ac:dyDescent="0.2">
      <c r="A22" s="17"/>
      <c r="B22" s="19"/>
      <c r="C22" s="1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5">
        <f>B21+F21+J21+N21</f>
        <v>103</v>
      </c>
      <c r="S22" s="35">
        <f>C21+G21+K21+O21</f>
        <v>602</v>
      </c>
      <c r="T22" s="36"/>
    </row>
  </sheetData>
  <pageMargins left="0.7" right="0.7" top="0.75" bottom="0.75" header="0.3" footer="0.3"/>
  <pageSetup scale="88" fitToHeight="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EC405-6BEE-4A34-A8A0-F9353BFFF991}">
  <dimension ref="A1:G28"/>
  <sheetViews>
    <sheetView topLeftCell="A4" workbookViewId="0">
      <selection activeCell="P24" sqref="P24"/>
    </sheetView>
  </sheetViews>
  <sheetFormatPr defaultRowHeight="12.75" x14ac:dyDescent="0.2"/>
  <cols>
    <col min="1" max="1" width="11" style="9" bestFit="1" customWidth="1"/>
    <col min="2" max="7" width="9.7109375" style="9" customWidth="1"/>
    <col min="8" max="16384" width="9.140625" style="9"/>
  </cols>
  <sheetData>
    <row r="1" spans="1:7" ht="24.95" customHeight="1" x14ac:dyDescent="0.2">
      <c r="A1" s="10"/>
      <c r="B1" s="11" t="s">
        <v>87</v>
      </c>
      <c r="C1" s="11"/>
      <c r="D1" s="11"/>
      <c r="E1" s="11"/>
      <c r="F1" s="11"/>
      <c r="G1" s="12"/>
    </row>
    <row r="2" spans="1:7" ht="24.95" customHeight="1" x14ac:dyDescent="0.2">
      <c r="A2" s="10"/>
      <c r="B2" s="11"/>
      <c r="C2" s="11" t="s">
        <v>18</v>
      </c>
      <c r="D2" s="14"/>
      <c r="E2" s="14"/>
      <c r="F2" s="14"/>
      <c r="G2" s="15"/>
    </row>
    <row r="3" spans="1:7" ht="24.95" customHeight="1" x14ac:dyDescent="0.2">
      <c r="A3" s="10" t="s">
        <v>88</v>
      </c>
      <c r="B3" s="14"/>
      <c r="C3" s="14"/>
      <c r="D3" s="11"/>
      <c r="E3" s="11"/>
      <c r="F3" s="11"/>
      <c r="G3" s="16" t="s">
        <v>40</v>
      </c>
    </row>
    <row r="4" spans="1:7" ht="12.75" customHeight="1" x14ac:dyDescent="0.2">
      <c r="A4" s="10"/>
      <c r="F4" s="17"/>
      <c r="G4" s="17"/>
    </row>
    <row r="5" spans="1:7" ht="20.100000000000001" customHeight="1" x14ac:dyDescent="0.2">
      <c r="A5" s="17"/>
      <c r="B5" s="18" t="s">
        <v>20</v>
      </c>
      <c r="C5" s="18" t="s">
        <v>21</v>
      </c>
      <c r="D5" s="17">
        <v>20</v>
      </c>
      <c r="E5" s="10">
        <v>20</v>
      </c>
      <c r="F5" s="17"/>
      <c r="G5" s="17"/>
    </row>
    <row r="6" spans="1:7" ht="20.100000000000001" customHeight="1" x14ac:dyDescent="0.2">
      <c r="A6" s="17" t="s">
        <v>41</v>
      </c>
      <c r="B6" s="19">
        <f>'2" Totals by Rate Code'!B47</f>
        <v>228</v>
      </c>
      <c r="C6" s="19">
        <f>'2" Totals by Rate Code'!C47</f>
        <v>1281</v>
      </c>
      <c r="D6" s="19">
        <f>C6</f>
        <v>1281</v>
      </c>
      <c r="E6" s="37"/>
      <c r="F6" s="23"/>
      <c r="G6" s="17"/>
    </row>
    <row r="7" spans="1:7" ht="20.100000000000001" customHeight="1" x14ac:dyDescent="0.2">
      <c r="A7" s="17" t="s">
        <v>42</v>
      </c>
      <c r="B7" s="19">
        <f>'2" Totals by Rate Code'!N47</f>
        <v>86</v>
      </c>
      <c r="C7" s="19">
        <f>'2" Totals by Rate Code'!O47</f>
        <v>4890</v>
      </c>
      <c r="D7" s="19">
        <f>B7*D5</f>
        <v>1720</v>
      </c>
      <c r="E7" s="37">
        <f>C7-D7</f>
        <v>3170</v>
      </c>
      <c r="F7" s="23"/>
      <c r="G7" s="17"/>
    </row>
    <row r="8" spans="1:7" ht="24.95" customHeight="1" x14ac:dyDescent="0.2">
      <c r="A8" s="17" t="s">
        <v>26</v>
      </c>
      <c r="B8" s="22">
        <f>SUM(B6:B7)</f>
        <v>314</v>
      </c>
      <c r="C8" s="19">
        <f>SUM(C6:C7)</f>
        <v>6171</v>
      </c>
      <c r="D8" s="19">
        <f>SUM(D6:D7)</f>
        <v>3001</v>
      </c>
      <c r="E8" s="19">
        <f>SUM(E6:E7)</f>
        <v>3170</v>
      </c>
      <c r="F8" s="23"/>
      <c r="G8" s="17"/>
    </row>
    <row r="9" spans="1:7" ht="12.75" customHeight="1" x14ac:dyDescent="0.2">
      <c r="A9" s="17" t="s">
        <v>27</v>
      </c>
      <c r="B9" s="17"/>
      <c r="C9" s="23"/>
      <c r="D9" s="23"/>
      <c r="E9" s="23"/>
      <c r="F9" s="23"/>
      <c r="G9" s="17"/>
    </row>
    <row r="10" spans="1:7" s="1" customFormat="1" ht="24.95" customHeight="1" x14ac:dyDescent="0.2">
      <c r="A10" s="18"/>
      <c r="B10" s="18" t="s">
        <v>20</v>
      </c>
      <c r="C10" s="18" t="s">
        <v>21</v>
      </c>
      <c r="D10" s="18" t="s">
        <v>28</v>
      </c>
      <c r="E10" s="18" t="s">
        <v>29</v>
      </c>
      <c r="F10" s="18"/>
      <c r="G10" s="18"/>
    </row>
    <row r="11" spans="1:7" ht="20.100000000000001" customHeight="1" x14ac:dyDescent="0.2">
      <c r="A11" s="17" t="s">
        <v>41</v>
      </c>
      <c r="B11" s="22">
        <f>$B$8</f>
        <v>314</v>
      </c>
      <c r="C11" s="19">
        <f>$D$8</f>
        <v>3001</v>
      </c>
      <c r="D11" s="25">
        <v>175.09</v>
      </c>
      <c r="E11" s="19">
        <f>B11*D11</f>
        <v>54978.26</v>
      </c>
      <c r="F11" s="17"/>
      <c r="G11" s="17"/>
    </row>
    <row r="12" spans="1:7" ht="20.100000000000001" customHeight="1" x14ac:dyDescent="0.2">
      <c r="A12" s="17" t="s">
        <v>42</v>
      </c>
      <c r="B12" s="22"/>
      <c r="C12" s="19">
        <f>$E$8</f>
        <v>3170</v>
      </c>
      <c r="D12" s="25">
        <v>6.82</v>
      </c>
      <c r="E12" s="19">
        <f>C12*D12</f>
        <v>21619.4</v>
      </c>
      <c r="F12" s="17"/>
      <c r="G12" s="17"/>
    </row>
    <row r="13" spans="1:7" ht="24.75" customHeight="1" x14ac:dyDescent="0.2">
      <c r="A13" s="17" t="s">
        <v>26</v>
      </c>
      <c r="B13" s="22"/>
      <c r="C13" s="19">
        <f>SUM(C11:C12)</f>
        <v>6171</v>
      </c>
      <c r="D13" s="22"/>
      <c r="E13" s="19">
        <f>SUM(E11:E12)</f>
        <v>76597.66</v>
      </c>
      <c r="F13" s="23">
        <v>76604</v>
      </c>
      <c r="G13" s="23">
        <f>E13-F13</f>
        <v>-6.3399999999965075</v>
      </c>
    </row>
    <row r="14" spans="1:7" hidden="1" x14ac:dyDescent="0.2">
      <c r="A14" s="9" t="s">
        <v>30</v>
      </c>
      <c r="B14" s="9" t="s">
        <v>31</v>
      </c>
    </row>
    <row r="15" spans="1:7" ht="24.95" hidden="1" customHeight="1" x14ac:dyDescent="0.2">
      <c r="A15" s="18"/>
      <c r="B15" s="18" t="s">
        <v>20</v>
      </c>
      <c r="C15" s="18" t="s">
        <v>21</v>
      </c>
      <c r="D15" s="18" t="s">
        <v>28</v>
      </c>
      <c r="E15" s="18" t="s">
        <v>29</v>
      </c>
      <c r="F15" s="18"/>
      <c r="G15" s="18"/>
    </row>
    <row r="16" spans="1:7" ht="24.95" hidden="1" customHeight="1" x14ac:dyDescent="0.2">
      <c r="A16" s="17" t="s">
        <v>41</v>
      </c>
      <c r="B16" s="17">
        <f>$B$8</f>
        <v>314</v>
      </c>
      <c r="C16" s="23">
        <f>$D$8</f>
        <v>3001</v>
      </c>
      <c r="D16" s="24">
        <v>93.5</v>
      </c>
      <c r="E16" s="23">
        <f>B16*D16</f>
        <v>29359</v>
      </c>
      <c r="F16" s="17"/>
      <c r="G16" s="17"/>
    </row>
    <row r="17" spans="1:7" ht="24.95" hidden="1" customHeight="1" x14ac:dyDescent="0.2">
      <c r="A17" s="17" t="s">
        <v>42</v>
      </c>
      <c r="B17" s="17"/>
      <c r="C17" s="23">
        <f>$E$8</f>
        <v>3170</v>
      </c>
      <c r="D17" s="24">
        <v>2.75</v>
      </c>
      <c r="E17" s="23">
        <f>C17*D17</f>
        <v>8717.5</v>
      </c>
      <c r="F17" s="17"/>
      <c r="G17" s="17"/>
    </row>
    <row r="18" spans="1:7" ht="24.95" hidden="1" customHeight="1" x14ac:dyDescent="0.2">
      <c r="A18" s="17" t="s">
        <v>26</v>
      </c>
      <c r="B18" s="17"/>
      <c r="C18" s="23">
        <f>SUM(C16:C17)</f>
        <v>6171</v>
      </c>
      <c r="D18" s="17"/>
      <c r="E18" s="23">
        <f>SUM(E16:E17)</f>
        <v>38076.5</v>
      </c>
      <c r="F18" s="17"/>
      <c r="G18" s="17"/>
    </row>
    <row r="19" spans="1:7" hidden="1" x14ac:dyDescent="0.2">
      <c r="A19" s="9" t="s">
        <v>30</v>
      </c>
      <c r="B19" s="9" t="s">
        <v>32</v>
      </c>
    </row>
    <row r="20" spans="1:7" ht="24.95" hidden="1" customHeight="1" x14ac:dyDescent="0.2">
      <c r="A20" s="18"/>
      <c r="B20" s="18" t="s">
        <v>20</v>
      </c>
      <c r="C20" s="18" t="s">
        <v>21</v>
      </c>
      <c r="D20" s="18" t="s">
        <v>28</v>
      </c>
      <c r="E20" s="18" t="s">
        <v>29</v>
      </c>
      <c r="F20" s="18"/>
      <c r="G20" s="18"/>
    </row>
    <row r="21" spans="1:7" ht="24.95" hidden="1" customHeight="1" x14ac:dyDescent="0.2">
      <c r="A21" s="17" t="s">
        <v>41</v>
      </c>
      <c r="B21" s="17">
        <f>$B$8</f>
        <v>314</v>
      </c>
      <c r="C21" s="23">
        <f>$D$8</f>
        <v>3001</v>
      </c>
      <c r="D21" s="24">
        <v>95.2</v>
      </c>
      <c r="E21" s="23">
        <f>B21*D21</f>
        <v>29892.799999999999</v>
      </c>
      <c r="F21" s="17"/>
      <c r="G21" s="17"/>
    </row>
    <row r="22" spans="1:7" ht="24.95" hidden="1" customHeight="1" x14ac:dyDescent="0.2">
      <c r="A22" s="17" t="s">
        <v>42</v>
      </c>
      <c r="B22" s="17"/>
      <c r="C22" s="23">
        <f>$E$8</f>
        <v>3170</v>
      </c>
      <c r="D22" s="24">
        <v>2.8</v>
      </c>
      <c r="E22" s="23">
        <f>C22*D22</f>
        <v>8876</v>
      </c>
      <c r="F22" s="17"/>
      <c r="G22" s="17"/>
    </row>
    <row r="23" spans="1:7" ht="24.95" hidden="1" customHeight="1" x14ac:dyDescent="0.2">
      <c r="A23" s="17" t="s">
        <v>26</v>
      </c>
      <c r="B23" s="17"/>
      <c r="C23" s="23">
        <f>SUM(C21:C22)</f>
        <v>6171</v>
      </c>
      <c r="D23" s="17"/>
      <c r="E23" s="23">
        <f>SUM(E21:E22)</f>
        <v>38768.800000000003</v>
      </c>
      <c r="F23" s="17"/>
      <c r="G23" s="17"/>
    </row>
    <row r="24" spans="1:7" x14ac:dyDescent="0.2">
      <c r="A24" s="9" t="s">
        <v>30</v>
      </c>
      <c r="B24" s="9" t="s">
        <v>94</v>
      </c>
    </row>
    <row r="25" spans="1:7" ht="24.95" customHeight="1" x14ac:dyDescent="0.2">
      <c r="A25" s="18"/>
      <c r="B25" s="18" t="s">
        <v>20</v>
      </c>
      <c r="C25" s="18" t="s">
        <v>21</v>
      </c>
      <c r="D25" s="18" t="s">
        <v>28</v>
      </c>
      <c r="E25" s="18" t="s">
        <v>29</v>
      </c>
      <c r="F25" s="18"/>
      <c r="G25" s="18"/>
    </row>
    <row r="26" spans="1:7" ht="24.95" customHeight="1" x14ac:dyDescent="0.2">
      <c r="A26" s="17" t="s">
        <v>41</v>
      </c>
      <c r="B26" s="22">
        <f>$B$8</f>
        <v>314</v>
      </c>
      <c r="C26" s="19">
        <f>$D$8</f>
        <v>3001</v>
      </c>
      <c r="D26" s="25">
        <f>D11*1.1279+0.01</f>
        <v>197.49401099999997</v>
      </c>
      <c r="E26" s="19">
        <f>B26*D26</f>
        <v>62013.119453999992</v>
      </c>
      <c r="F26" s="17"/>
      <c r="G26" s="17"/>
    </row>
    <row r="27" spans="1:7" ht="24.95" customHeight="1" x14ac:dyDescent="0.2">
      <c r="A27" s="17" t="s">
        <v>42</v>
      </c>
      <c r="B27" s="22"/>
      <c r="C27" s="19">
        <f>$E$8</f>
        <v>3170</v>
      </c>
      <c r="D27" s="25">
        <f>D12*1.1279+0.01</f>
        <v>7.7022779999999997</v>
      </c>
      <c r="E27" s="19">
        <f>C27*D27</f>
        <v>24416.221259999998</v>
      </c>
      <c r="F27" s="17"/>
      <c r="G27" s="17"/>
    </row>
    <row r="28" spans="1:7" ht="24.95" customHeight="1" x14ac:dyDescent="0.2">
      <c r="A28" s="17" t="s">
        <v>26</v>
      </c>
      <c r="B28" s="22"/>
      <c r="C28" s="19">
        <f>SUM(C26:C27)</f>
        <v>6171</v>
      </c>
      <c r="D28" s="22"/>
      <c r="E28" s="19">
        <f>SUM(E26:E27)</f>
        <v>86429.340713999991</v>
      </c>
      <c r="F28" s="17"/>
      <c r="G28" s="17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0EEE1-FB26-4AC5-84B4-CF5C74930D3E}">
  <sheetPr>
    <pageSetUpPr fitToPage="1"/>
  </sheetPr>
  <dimension ref="A2:T48"/>
  <sheetViews>
    <sheetView topLeftCell="A10" workbookViewId="0">
      <selection activeCell="O32" sqref="O32"/>
    </sheetView>
  </sheetViews>
  <sheetFormatPr defaultRowHeight="12.75" x14ac:dyDescent="0.2"/>
  <cols>
    <col min="1" max="1" width="11" customWidth="1"/>
    <col min="2" max="2" width="11.42578125" customWidth="1"/>
    <col min="4" max="4" width="3.7109375" hidden="1" customWidth="1"/>
    <col min="5" max="5" width="11.5703125" hidden="1" customWidth="1"/>
    <col min="6" max="7" width="0" hidden="1" customWidth="1"/>
    <col min="8" max="8" width="3.7109375" hidden="1" customWidth="1"/>
    <col min="9" max="9" width="11.5703125" hidden="1" customWidth="1"/>
    <col min="10" max="11" width="0" hidden="1" customWidth="1"/>
    <col min="12" max="12" width="3.7109375" customWidth="1"/>
    <col min="13" max="13" width="11" customWidth="1"/>
    <col min="16" max="16" width="3.7109375" customWidth="1"/>
    <col min="17" max="17" width="11" customWidth="1"/>
    <col min="20" max="20" width="10.140625" bestFit="1" customWidth="1"/>
  </cols>
  <sheetData>
    <row r="2" spans="1:20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1:20" x14ac:dyDescent="0.2">
      <c r="A3" s="33" t="s">
        <v>40</v>
      </c>
      <c r="T3" s="34"/>
    </row>
    <row r="4" spans="1:20" x14ac:dyDescent="0.2">
      <c r="A4" s="10" t="s">
        <v>84</v>
      </c>
      <c r="B4" s="11"/>
      <c r="C4" s="11"/>
      <c r="T4" s="34"/>
    </row>
    <row r="5" spans="1:20" x14ac:dyDescent="0.2">
      <c r="A5" s="10"/>
      <c r="B5" s="9"/>
      <c r="C5" s="9"/>
      <c r="T5" s="34"/>
    </row>
    <row r="6" spans="1:20" x14ac:dyDescent="0.2">
      <c r="A6" s="17"/>
      <c r="B6" s="18" t="s">
        <v>20</v>
      </c>
      <c r="C6" s="18" t="s">
        <v>21</v>
      </c>
      <c r="E6" s="17"/>
      <c r="F6" s="18" t="s">
        <v>20</v>
      </c>
      <c r="G6" s="18" t="s">
        <v>21</v>
      </c>
      <c r="I6" s="17"/>
      <c r="J6" s="18" t="s">
        <v>20</v>
      </c>
      <c r="K6" s="18" t="s">
        <v>21</v>
      </c>
      <c r="M6" s="17"/>
      <c r="N6" s="18" t="s">
        <v>20</v>
      </c>
      <c r="O6" s="18" t="s">
        <v>21</v>
      </c>
      <c r="Q6" s="17"/>
      <c r="R6" s="18" t="s">
        <v>20</v>
      </c>
      <c r="S6" s="18" t="s">
        <v>21</v>
      </c>
      <c r="T6" s="18" t="s">
        <v>33</v>
      </c>
    </row>
    <row r="7" spans="1:20" x14ac:dyDescent="0.2">
      <c r="A7" s="17" t="s">
        <v>41</v>
      </c>
      <c r="B7" s="19"/>
      <c r="C7" s="19"/>
      <c r="E7" s="17" t="s">
        <v>24</v>
      </c>
      <c r="F7" s="19"/>
      <c r="G7" s="19"/>
      <c r="I7" s="17" t="s">
        <v>24</v>
      </c>
      <c r="J7" s="19"/>
      <c r="K7" s="19"/>
      <c r="M7" s="17" t="s">
        <v>42</v>
      </c>
      <c r="N7" s="19"/>
      <c r="O7" s="19"/>
      <c r="Q7" s="17" t="s">
        <v>37</v>
      </c>
      <c r="R7" s="19"/>
      <c r="S7" s="19"/>
      <c r="T7" s="19"/>
    </row>
    <row r="8" spans="1:20" x14ac:dyDescent="0.2">
      <c r="A8" s="17" t="s">
        <v>0</v>
      </c>
      <c r="B8" s="19">
        <v>4</v>
      </c>
      <c r="C8" s="19">
        <v>43</v>
      </c>
      <c r="E8" s="17" t="s">
        <v>0</v>
      </c>
      <c r="F8" s="19"/>
      <c r="G8" s="19"/>
      <c r="I8" s="17" t="s">
        <v>0</v>
      </c>
      <c r="J8" s="19"/>
      <c r="K8" s="19"/>
      <c r="M8" s="17" t="s">
        <v>0</v>
      </c>
      <c r="N8" s="19"/>
      <c r="O8" s="19"/>
      <c r="Q8" s="17" t="s">
        <v>0</v>
      </c>
      <c r="R8" s="19">
        <f>B8+F8+J8+N8</f>
        <v>4</v>
      </c>
      <c r="S8" s="19">
        <f>C8+G8+K8+O8</f>
        <v>43</v>
      </c>
      <c r="T8" s="25">
        <v>700.36</v>
      </c>
    </row>
    <row r="9" spans="1:20" x14ac:dyDescent="0.2">
      <c r="A9" s="17" t="s">
        <v>1</v>
      </c>
      <c r="B9" s="19">
        <v>2</v>
      </c>
      <c r="C9" s="19">
        <v>15</v>
      </c>
      <c r="E9" s="17" t="s">
        <v>1</v>
      </c>
      <c r="F9" s="19"/>
      <c r="G9" s="19"/>
      <c r="I9" s="17" t="s">
        <v>1</v>
      </c>
      <c r="J9" s="19"/>
      <c r="K9" s="19"/>
      <c r="M9" s="17" t="s">
        <v>1</v>
      </c>
      <c r="N9" s="19">
        <v>2</v>
      </c>
      <c r="O9" s="19">
        <v>50</v>
      </c>
      <c r="Q9" s="17" t="s">
        <v>1</v>
      </c>
      <c r="R9" s="19">
        <f t="shared" ref="R9:S19" si="0">B9+F9+J9+N9</f>
        <v>4</v>
      </c>
      <c r="S9" s="19">
        <f t="shared" si="0"/>
        <v>65</v>
      </c>
      <c r="T9" s="25">
        <v>768.56</v>
      </c>
    </row>
    <row r="10" spans="1:20" x14ac:dyDescent="0.2">
      <c r="A10" s="17" t="s">
        <v>2</v>
      </c>
      <c r="B10" s="19">
        <v>2</v>
      </c>
      <c r="C10" s="19">
        <v>15</v>
      </c>
      <c r="E10" s="17" t="s">
        <v>2</v>
      </c>
      <c r="F10" s="19"/>
      <c r="G10" s="19"/>
      <c r="I10" s="17" t="s">
        <v>2</v>
      </c>
      <c r="J10" s="19"/>
      <c r="K10" s="19"/>
      <c r="M10" s="17" t="s">
        <v>2</v>
      </c>
      <c r="N10" s="19">
        <v>2</v>
      </c>
      <c r="O10" s="19">
        <v>50</v>
      </c>
      <c r="Q10" s="17" t="s">
        <v>2</v>
      </c>
      <c r="R10" s="19">
        <f t="shared" si="0"/>
        <v>4</v>
      </c>
      <c r="S10" s="19">
        <f t="shared" si="0"/>
        <v>65</v>
      </c>
      <c r="T10" s="25">
        <v>768.56</v>
      </c>
    </row>
    <row r="11" spans="1:20" x14ac:dyDescent="0.2">
      <c r="A11" s="17" t="s">
        <v>3</v>
      </c>
      <c r="B11" s="19">
        <v>3</v>
      </c>
      <c r="C11" s="19">
        <v>23</v>
      </c>
      <c r="E11" s="17" t="s">
        <v>3</v>
      </c>
      <c r="F11" s="19"/>
      <c r="G11" s="19"/>
      <c r="I11" s="17" t="s">
        <v>3</v>
      </c>
      <c r="J11" s="19"/>
      <c r="K11" s="19"/>
      <c r="M11" s="17" t="s">
        <v>3</v>
      </c>
      <c r="N11" s="19">
        <v>3</v>
      </c>
      <c r="O11" s="19">
        <v>109</v>
      </c>
      <c r="Q11" s="17" t="s">
        <v>3</v>
      </c>
      <c r="R11" s="19">
        <f t="shared" si="0"/>
        <v>6</v>
      </c>
      <c r="S11" s="19">
        <f t="shared" si="0"/>
        <v>132</v>
      </c>
      <c r="T11" s="25">
        <v>1391.54</v>
      </c>
    </row>
    <row r="12" spans="1:20" x14ac:dyDescent="0.2">
      <c r="A12" s="17" t="s">
        <v>4</v>
      </c>
      <c r="B12" s="19">
        <v>3</v>
      </c>
      <c r="C12" s="19">
        <v>23</v>
      </c>
      <c r="E12" s="17" t="s">
        <v>4</v>
      </c>
      <c r="F12" s="19"/>
      <c r="G12" s="19"/>
      <c r="I12" s="17" t="s">
        <v>4</v>
      </c>
      <c r="J12" s="19"/>
      <c r="K12" s="19"/>
      <c r="M12" s="17" t="s">
        <v>4</v>
      </c>
      <c r="N12" s="19">
        <v>3</v>
      </c>
      <c r="O12" s="19">
        <v>139</v>
      </c>
      <c r="Q12" s="17" t="s">
        <v>4</v>
      </c>
      <c r="R12" s="19">
        <f t="shared" si="0"/>
        <v>6</v>
      </c>
      <c r="S12" s="19">
        <f t="shared" si="0"/>
        <v>162</v>
      </c>
      <c r="T12" s="25">
        <v>1589.32</v>
      </c>
    </row>
    <row r="13" spans="1:20" x14ac:dyDescent="0.2">
      <c r="A13" s="17" t="s">
        <v>5</v>
      </c>
      <c r="B13" s="19">
        <v>5</v>
      </c>
      <c r="C13" s="19">
        <v>67</v>
      </c>
      <c r="E13" s="17" t="s">
        <v>5</v>
      </c>
      <c r="F13" s="19"/>
      <c r="G13" s="19"/>
      <c r="I13" s="17" t="s">
        <v>5</v>
      </c>
      <c r="J13" s="19"/>
      <c r="K13" s="19"/>
      <c r="M13" s="17" t="s">
        <v>5</v>
      </c>
      <c r="N13" s="19">
        <v>1</v>
      </c>
      <c r="O13" s="19">
        <v>27</v>
      </c>
      <c r="Q13" s="17" t="s">
        <v>5</v>
      </c>
      <c r="R13" s="19">
        <f t="shared" si="0"/>
        <v>6</v>
      </c>
      <c r="S13" s="19">
        <f t="shared" si="0"/>
        <v>94</v>
      </c>
      <c r="T13" s="25">
        <v>1098.28</v>
      </c>
    </row>
    <row r="14" spans="1:20" x14ac:dyDescent="0.2">
      <c r="A14" s="17" t="s">
        <v>6</v>
      </c>
      <c r="B14" s="19">
        <v>5</v>
      </c>
      <c r="C14" s="19">
        <v>27</v>
      </c>
      <c r="E14" s="17" t="s">
        <v>6</v>
      </c>
      <c r="F14" s="19"/>
      <c r="G14" s="19"/>
      <c r="I14" s="17" t="s">
        <v>6</v>
      </c>
      <c r="J14" s="19"/>
      <c r="K14" s="19"/>
      <c r="M14" s="17" t="s">
        <v>6</v>
      </c>
      <c r="N14" s="19">
        <v>1</v>
      </c>
      <c r="O14" s="19">
        <v>25</v>
      </c>
      <c r="Q14" s="17" t="s">
        <v>6</v>
      </c>
      <c r="R14" s="19">
        <f t="shared" si="0"/>
        <v>6</v>
      </c>
      <c r="S14" s="19">
        <f t="shared" si="0"/>
        <v>52</v>
      </c>
      <c r="T14" s="25">
        <v>1084.6400000000001</v>
      </c>
    </row>
    <row r="15" spans="1:20" x14ac:dyDescent="0.2">
      <c r="A15" s="17" t="s">
        <v>7</v>
      </c>
      <c r="B15" s="19">
        <v>3</v>
      </c>
      <c r="C15" s="19">
        <v>33</v>
      </c>
      <c r="E15" s="17" t="s">
        <v>7</v>
      </c>
      <c r="F15" s="19"/>
      <c r="G15" s="19"/>
      <c r="I15" s="17" t="s">
        <v>7</v>
      </c>
      <c r="J15" s="19"/>
      <c r="K15" s="19"/>
      <c r="M15" s="17" t="s">
        <v>7</v>
      </c>
      <c r="N15" s="19">
        <v>3</v>
      </c>
      <c r="O15" s="19">
        <v>104</v>
      </c>
      <c r="Q15" s="17" t="s">
        <v>7</v>
      </c>
      <c r="R15" s="19">
        <f t="shared" si="0"/>
        <v>6</v>
      </c>
      <c r="S15" s="19">
        <f t="shared" si="0"/>
        <v>137</v>
      </c>
      <c r="T15" s="25">
        <v>1350.62</v>
      </c>
    </row>
    <row r="16" spans="1:20" x14ac:dyDescent="0.2">
      <c r="A16" s="17" t="s">
        <v>8</v>
      </c>
      <c r="B16" s="19">
        <v>3</v>
      </c>
      <c r="C16" s="19">
        <v>16</v>
      </c>
      <c r="E16" s="17" t="s">
        <v>8</v>
      </c>
      <c r="F16" s="19"/>
      <c r="G16" s="19"/>
      <c r="I16" s="17" t="s">
        <v>8</v>
      </c>
      <c r="J16" s="19"/>
      <c r="K16" s="19"/>
      <c r="M16" s="17" t="s">
        <v>8</v>
      </c>
      <c r="N16" s="19">
        <v>3</v>
      </c>
      <c r="O16" s="19">
        <v>147</v>
      </c>
      <c r="Q16" s="17" t="s">
        <v>8</v>
      </c>
      <c r="R16" s="19">
        <f t="shared" si="0"/>
        <v>6</v>
      </c>
      <c r="S16" s="19">
        <f t="shared" si="0"/>
        <v>163</v>
      </c>
      <c r="T16" s="25">
        <v>1643.88</v>
      </c>
    </row>
    <row r="17" spans="1:20" x14ac:dyDescent="0.2">
      <c r="A17" s="17" t="s">
        <v>9</v>
      </c>
      <c r="B17" s="19">
        <v>4</v>
      </c>
      <c r="C17" s="19">
        <v>33</v>
      </c>
      <c r="E17" s="17" t="s">
        <v>9</v>
      </c>
      <c r="F17" s="19"/>
      <c r="G17" s="19"/>
      <c r="I17" s="17" t="s">
        <v>9</v>
      </c>
      <c r="J17" s="19"/>
      <c r="K17" s="19"/>
      <c r="M17" s="17" t="s">
        <v>9</v>
      </c>
      <c r="N17" s="19">
        <v>2</v>
      </c>
      <c r="O17" s="19">
        <v>110</v>
      </c>
      <c r="Q17" s="17" t="s">
        <v>9</v>
      </c>
      <c r="R17" s="19">
        <f t="shared" si="0"/>
        <v>6</v>
      </c>
      <c r="S17" s="19">
        <f t="shared" si="0"/>
        <v>143</v>
      </c>
      <c r="T17" s="25">
        <v>1527.94</v>
      </c>
    </row>
    <row r="18" spans="1:20" x14ac:dyDescent="0.2">
      <c r="A18" s="17" t="s">
        <v>10</v>
      </c>
      <c r="B18" s="19">
        <v>3</v>
      </c>
      <c r="C18" s="19">
        <v>13</v>
      </c>
      <c r="E18" s="17" t="s">
        <v>10</v>
      </c>
      <c r="F18" s="19"/>
      <c r="G18" s="19"/>
      <c r="I18" s="17" t="s">
        <v>10</v>
      </c>
      <c r="J18" s="19"/>
      <c r="K18" s="19"/>
      <c r="M18" s="17" t="s">
        <v>10</v>
      </c>
      <c r="N18" s="19">
        <v>3</v>
      </c>
      <c r="O18" s="19">
        <v>128</v>
      </c>
      <c r="Q18" s="17" t="s">
        <v>10</v>
      </c>
      <c r="R18" s="19">
        <f t="shared" si="0"/>
        <v>6</v>
      </c>
      <c r="S18" s="19">
        <f t="shared" si="0"/>
        <v>141</v>
      </c>
      <c r="T18" s="25">
        <v>1514.3</v>
      </c>
    </row>
    <row r="19" spans="1:20" x14ac:dyDescent="0.2">
      <c r="A19" s="17" t="s">
        <v>11</v>
      </c>
      <c r="B19" s="19">
        <v>4</v>
      </c>
      <c r="C19" s="19">
        <v>24</v>
      </c>
      <c r="E19" s="17" t="s">
        <v>11</v>
      </c>
      <c r="F19" s="19"/>
      <c r="G19" s="19"/>
      <c r="I19" s="17" t="s">
        <v>11</v>
      </c>
      <c r="J19" s="19"/>
      <c r="K19" s="19"/>
      <c r="M19" s="17" t="s">
        <v>11</v>
      </c>
      <c r="N19" s="19">
        <v>1</v>
      </c>
      <c r="O19" s="19">
        <v>39</v>
      </c>
      <c r="Q19" s="17" t="s">
        <v>11</v>
      </c>
      <c r="R19" s="19">
        <f t="shared" si="0"/>
        <v>5</v>
      </c>
      <c r="S19" s="19">
        <f t="shared" si="0"/>
        <v>63</v>
      </c>
      <c r="T19" s="25">
        <v>1005.03</v>
      </c>
    </row>
    <row r="20" spans="1:20" x14ac:dyDescent="0.2">
      <c r="A20" s="17"/>
      <c r="B20" s="19"/>
      <c r="C20" s="19"/>
      <c r="E20" s="17"/>
      <c r="F20" s="19"/>
      <c r="G20" s="19"/>
      <c r="I20" s="17"/>
      <c r="J20" s="19"/>
      <c r="K20" s="19"/>
      <c r="M20" s="17"/>
      <c r="N20" s="19"/>
      <c r="O20" s="19"/>
      <c r="Q20" s="17"/>
      <c r="R20" s="19"/>
      <c r="S20" s="19"/>
      <c r="T20" s="25"/>
    </row>
    <row r="21" spans="1:20" x14ac:dyDescent="0.2">
      <c r="A21" s="17" t="s">
        <v>12</v>
      </c>
      <c r="B21" s="19">
        <f>SUM(B8:B20)</f>
        <v>41</v>
      </c>
      <c r="C21" s="19">
        <f>SUM(C8:C20)</f>
        <v>332</v>
      </c>
      <c r="E21" s="17"/>
      <c r="F21" s="19">
        <f t="shared" ref="F21:G21" si="1">SUM(F8:F20)</f>
        <v>0</v>
      </c>
      <c r="G21" s="19">
        <f t="shared" si="1"/>
        <v>0</v>
      </c>
      <c r="I21" s="17"/>
      <c r="J21" s="19">
        <f t="shared" ref="J21:K21" si="2">SUM(J8:J20)</f>
        <v>0</v>
      </c>
      <c r="K21" s="19">
        <f t="shared" si="2"/>
        <v>0</v>
      </c>
      <c r="M21" s="17"/>
      <c r="N21" s="19">
        <f t="shared" ref="N21:O21" si="3">SUM(N8:N20)</f>
        <v>24</v>
      </c>
      <c r="O21" s="19">
        <f t="shared" si="3"/>
        <v>928</v>
      </c>
      <c r="Q21" s="17"/>
      <c r="R21" s="19">
        <f t="shared" ref="R21:S21" si="4">SUM(R8:R20)</f>
        <v>65</v>
      </c>
      <c r="S21" s="19">
        <f t="shared" si="4"/>
        <v>1260</v>
      </c>
      <c r="T21" s="25">
        <f>SUM(T8:T19)</f>
        <v>14443.030000000002</v>
      </c>
    </row>
    <row r="22" spans="1:20" x14ac:dyDescent="0.2">
      <c r="A22" s="17"/>
      <c r="B22" s="19"/>
      <c r="C22" s="1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5">
        <f>B21+F21+J21+N21</f>
        <v>65</v>
      </c>
      <c r="S22" s="35">
        <f>C21+G21+K21+O21</f>
        <v>1260</v>
      </c>
      <c r="T22" s="36"/>
    </row>
    <row r="24" spans="1:20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</row>
    <row r="25" spans="1:20" x14ac:dyDescent="0.2">
      <c r="A25" s="10" t="s">
        <v>85</v>
      </c>
      <c r="B25" s="11"/>
      <c r="C25" s="11"/>
      <c r="T25" s="34"/>
    </row>
    <row r="26" spans="1:20" x14ac:dyDescent="0.2">
      <c r="A26" s="10"/>
      <c r="B26" s="9"/>
      <c r="C26" s="9"/>
      <c r="T26" s="34"/>
    </row>
    <row r="27" spans="1:20" x14ac:dyDescent="0.2">
      <c r="A27" s="17"/>
      <c r="B27" s="18" t="s">
        <v>20</v>
      </c>
      <c r="C27" s="18" t="s">
        <v>21</v>
      </c>
      <c r="E27" s="17"/>
      <c r="F27" s="18" t="s">
        <v>20</v>
      </c>
      <c r="G27" s="18" t="s">
        <v>21</v>
      </c>
      <c r="I27" s="17"/>
      <c r="J27" s="18" t="s">
        <v>20</v>
      </c>
      <c r="K27" s="18" t="s">
        <v>21</v>
      </c>
      <c r="M27" s="17"/>
      <c r="N27" s="18" t="s">
        <v>20</v>
      </c>
      <c r="O27" s="18" t="s">
        <v>21</v>
      </c>
      <c r="Q27" s="17"/>
      <c r="R27" s="18" t="s">
        <v>20</v>
      </c>
      <c r="S27" s="18" t="s">
        <v>21</v>
      </c>
      <c r="T27" s="18" t="s">
        <v>33</v>
      </c>
    </row>
    <row r="28" spans="1:20" x14ac:dyDescent="0.2">
      <c r="A28" s="17" t="s">
        <v>41</v>
      </c>
      <c r="B28" s="19"/>
      <c r="C28" s="19"/>
      <c r="E28" s="17" t="s">
        <v>24</v>
      </c>
      <c r="F28" s="19"/>
      <c r="G28" s="19"/>
      <c r="I28" s="17" t="s">
        <v>24</v>
      </c>
      <c r="J28" s="19"/>
      <c r="K28" s="19"/>
      <c r="M28" s="17" t="s">
        <v>42</v>
      </c>
      <c r="N28" s="19"/>
      <c r="O28" s="19"/>
      <c r="Q28" s="17" t="s">
        <v>37</v>
      </c>
      <c r="R28" s="19"/>
      <c r="S28" s="19"/>
      <c r="T28" s="19"/>
    </row>
    <row r="29" spans="1:20" x14ac:dyDescent="0.2">
      <c r="A29" s="17" t="s">
        <v>0</v>
      </c>
      <c r="B29" s="19">
        <v>18</v>
      </c>
      <c r="C29" s="19">
        <v>117</v>
      </c>
      <c r="E29" s="17" t="s">
        <v>0</v>
      </c>
      <c r="F29" s="19"/>
      <c r="G29" s="19"/>
      <c r="I29" s="17" t="s">
        <v>0</v>
      </c>
      <c r="J29" s="19"/>
      <c r="K29" s="19"/>
      <c r="M29" s="17" t="s">
        <v>0</v>
      </c>
      <c r="N29" s="19">
        <v>2</v>
      </c>
      <c r="O29" s="19">
        <v>199</v>
      </c>
      <c r="Q29" s="17" t="s">
        <v>0</v>
      </c>
      <c r="R29" s="19">
        <f>B29+F29+J29+N29</f>
        <v>20</v>
      </c>
      <c r="S29" s="19">
        <f>C29+G29+K29+O29</f>
        <v>316</v>
      </c>
      <c r="T29" s="25">
        <v>4586.18</v>
      </c>
    </row>
    <row r="30" spans="1:20" x14ac:dyDescent="0.2">
      <c r="A30" s="17" t="s">
        <v>1</v>
      </c>
      <c r="B30" s="19">
        <v>15</v>
      </c>
      <c r="C30" s="19">
        <v>50</v>
      </c>
      <c r="E30" s="17" t="s">
        <v>1</v>
      </c>
      <c r="F30" s="19"/>
      <c r="G30" s="19"/>
      <c r="I30" s="17" t="s">
        <v>1</v>
      </c>
      <c r="J30" s="19"/>
      <c r="K30" s="19"/>
      <c r="M30" s="17" t="s">
        <v>1</v>
      </c>
      <c r="N30" s="19">
        <v>5</v>
      </c>
      <c r="O30" s="19">
        <v>315</v>
      </c>
      <c r="Q30" s="17" t="s">
        <v>1</v>
      </c>
      <c r="R30" s="19">
        <f t="shared" ref="R30:R40" si="5">B30+F30+J30+N30</f>
        <v>20</v>
      </c>
      <c r="S30" s="19">
        <f t="shared" ref="S30:S40" si="6">C30+G30+K30+O30</f>
        <v>365</v>
      </c>
      <c r="T30" s="25">
        <v>4968.1000000000004</v>
      </c>
    </row>
    <row r="31" spans="1:20" x14ac:dyDescent="0.2">
      <c r="A31" s="17" t="s">
        <v>2</v>
      </c>
      <c r="B31" s="19">
        <v>15</v>
      </c>
      <c r="C31" s="19">
        <v>50</v>
      </c>
      <c r="E31" s="17" t="s">
        <v>2</v>
      </c>
      <c r="F31" s="19"/>
      <c r="G31" s="19"/>
      <c r="I31" s="17" t="s">
        <v>2</v>
      </c>
      <c r="J31" s="19"/>
      <c r="K31" s="19"/>
      <c r="M31" s="17" t="s">
        <v>2</v>
      </c>
      <c r="N31" s="19">
        <v>5</v>
      </c>
      <c r="O31" s="19">
        <v>315</v>
      </c>
      <c r="Q31" s="17" t="s">
        <v>2</v>
      </c>
      <c r="R31" s="19">
        <f t="shared" si="5"/>
        <v>20</v>
      </c>
      <c r="S31" s="19">
        <f t="shared" si="6"/>
        <v>365</v>
      </c>
      <c r="T31" s="25">
        <v>4968.1000000000004</v>
      </c>
    </row>
    <row r="32" spans="1:20" x14ac:dyDescent="0.2">
      <c r="A32" s="17" t="s">
        <v>3</v>
      </c>
      <c r="B32" s="19">
        <v>17</v>
      </c>
      <c r="C32" s="19">
        <v>101</v>
      </c>
      <c r="E32" s="17" t="s">
        <v>3</v>
      </c>
      <c r="F32" s="19"/>
      <c r="G32" s="19"/>
      <c r="I32" s="17" t="s">
        <v>3</v>
      </c>
      <c r="J32" s="19"/>
      <c r="K32" s="19"/>
      <c r="M32" s="17" t="s">
        <v>3</v>
      </c>
      <c r="N32" s="19">
        <v>4</v>
      </c>
      <c r="O32" s="19">
        <v>217</v>
      </c>
      <c r="Q32" s="17" t="s">
        <v>3</v>
      </c>
      <c r="R32" s="19">
        <f t="shared" si="5"/>
        <v>21</v>
      </c>
      <c r="S32" s="19">
        <f t="shared" si="6"/>
        <v>318</v>
      </c>
      <c r="T32" s="25">
        <v>4611.2299999999996</v>
      </c>
    </row>
    <row r="33" spans="1:20" x14ac:dyDescent="0.2">
      <c r="A33" s="17" t="s">
        <v>4</v>
      </c>
      <c r="B33" s="19">
        <v>16</v>
      </c>
      <c r="C33" s="19">
        <v>79</v>
      </c>
      <c r="E33" s="17" t="s">
        <v>4</v>
      </c>
      <c r="F33" s="19"/>
      <c r="G33" s="19"/>
      <c r="I33" s="17" t="s">
        <v>4</v>
      </c>
      <c r="J33" s="19"/>
      <c r="K33" s="19"/>
      <c r="M33" s="17" t="s">
        <v>4</v>
      </c>
      <c r="N33" s="19">
        <v>5</v>
      </c>
      <c r="O33" s="19">
        <v>348</v>
      </c>
      <c r="Q33" s="17" t="s">
        <v>4</v>
      </c>
      <c r="R33" s="19">
        <f t="shared" si="5"/>
        <v>21</v>
      </c>
      <c r="S33" s="19">
        <f t="shared" si="6"/>
        <v>427</v>
      </c>
      <c r="T33" s="25">
        <v>5368.25</v>
      </c>
    </row>
    <row r="34" spans="1:20" x14ac:dyDescent="0.2">
      <c r="A34" s="17" t="s">
        <v>5</v>
      </c>
      <c r="B34" s="19">
        <v>13</v>
      </c>
      <c r="C34" s="19">
        <v>46</v>
      </c>
      <c r="E34" s="17" t="s">
        <v>5</v>
      </c>
      <c r="F34" s="19"/>
      <c r="G34" s="19"/>
      <c r="I34" s="17" t="s">
        <v>5</v>
      </c>
      <c r="J34" s="19"/>
      <c r="K34" s="19"/>
      <c r="M34" s="17" t="s">
        <v>5</v>
      </c>
      <c r="N34" s="19">
        <v>8</v>
      </c>
      <c r="O34" s="19">
        <v>462</v>
      </c>
      <c r="Q34" s="17" t="s">
        <v>5</v>
      </c>
      <c r="R34" s="19">
        <f t="shared" si="5"/>
        <v>21</v>
      </c>
      <c r="S34" s="19">
        <f t="shared" si="6"/>
        <v>508</v>
      </c>
      <c r="T34" s="25">
        <v>5736.53</v>
      </c>
    </row>
    <row r="35" spans="1:20" x14ac:dyDescent="0.2">
      <c r="A35" s="17" t="s">
        <v>6</v>
      </c>
      <c r="B35" s="19">
        <v>15</v>
      </c>
      <c r="C35" s="19">
        <v>77</v>
      </c>
      <c r="E35" s="17" t="s">
        <v>6</v>
      </c>
      <c r="F35" s="19"/>
      <c r="G35" s="19"/>
      <c r="I35" s="17" t="s">
        <v>6</v>
      </c>
      <c r="J35" s="19"/>
      <c r="K35" s="19"/>
      <c r="M35" s="17" t="s">
        <v>6</v>
      </c>
      <c r="N35" s="19">
        <v>6</v>
      </c>
      <c r="O35" s="19">
        <v>389</v>
      </c>
      <c r="Q35" s="17" t="s">
        <v>6</v>
      </c>
      <c r="R35" s="19">
        <f t="shared" si="5"/>
        <v>21</v>
      </c>
      <c r="S35" s="19">
        <f t="shared" si="6"/>
        <v>466</v>
      </c>
      <c r="T35" s="25">
        <v>5511.47</v>
      </c>
    </row>
    <row r="36" spans="1:20" x14ac:dyDescent="0.2">
      <c r="A36" s="17" t="s">
        <v>7</v>
      </c>
      <c r="B36" s="19">
        <v>16</v>
      </c>
      <c r="C36" s="19">
        <v>118</v>
      </c>
      <c r="E36" s="17" t="s">
        <v>7</v>
      </c>
      <c r="F36" s="19"/>
      <c r="G36" s="19"/>
      <c r="I36" s="17" t="s">
        <v>7</v>
      </c>
      <c r="J36" s="19"/>
      <c r="K36" s="19"/>
      <c r="M36" s="17" t="s">
        <v>7</v>
      </c>
      <c r="N36" s="19">
        <v>5</v>
      </c>
      <c r="O36" s="19">
        <v>387</v>
      </c>
      <c r="Q36" s="17" t="s">
        <v>7</v>
      </c>
      <c r="R36" s="19">
        <f t="shared" si="5"/>
        <v>21</v>
      </c>
      <c r="S36" s="19">
        <f t="shared" si="6"/>
        <v>505</v>
      </c>
      <c r="T36" s="25">
        <v>5634.23</v>
      </c>
    </row>
    <row r="37" spans="1:20" x14ac:dyDescent="0.2">
      <c r="A37" s="17" t="s">
        <v>8</v>
      </c>
      <c r="B37" s="19">
        <v>12</v>
      </c>
      <c r="C37" s="19">
        <v>60</v>
      </c>
      <c r="E37" s="17" t="s">
        <v>8</v>
      </c>
      <c r="F37" s="19"/>
      <c r="G37" s="19"/>
      <c r="I37" s="17" t="s">
        <v>8</v>
      </c>
      <c r="J37" s="19"/>
      <c r="K37" s="19"/>
      <c r="M37" s="17" t="s">
        <v>8</v>
      </c>
      <c r="N37" s="19">
        <v>9</v>
      </c>
      <c r="O37" s="19">
        <v>458</v>
      </c>
      <c r="Q37" s="17" t="s">
        <v>8</v>
      </c>
      <c r="R37" s="19">
        <f t="shared" si="5"/>
        <v>21</v>
      </c>
      <c r="S37" s="19">
        <f t="shared" si="6"/>
        <v>518</v>
      </c>
      <c r="T37" s="25">
        <v>5572.85</v>
      </c>
    </row>
    <row r="38" spans="1:20" x14ac:dyDescent="0.2">
      <c r="A38" s="17" t="s">
        <v>9</v>
      </c>
      <c r="B38" s="19">
        <v>14</v>
      </c>
      <c r="C38" s="19">
        <v>71</v>
      </c>
      <c r="E38" s="17" t="s">
        <v>9</v>
      </c>
      <c r="F38" s="19"/>
      <c r="G38" s="19"/>
      <c r="I38" s="17" t="s">
        <v>9</v>
      </c>
      <c r="J38" s="19"/>
      <c r="K38" s="19"/>
      <c r="M38" s="17" t="s">
        <v>9</v>
      </c>
      <c r="N38" s="19">
        <v>7</v>
      </c>
      <c r="O38" s="19">
        <v>419</v>
      </c>
      <c r="Q38" s="17" t="s">
        <v>9</v>
      </c>
      <c r="R38" s="19">
        <f t="shared" si="5"/>
        <v>21</v>
      </c>
      <c r="S38" s="19">
        <f t="shared" si="6"/>
        <v>490</v>
      </c>
      <c r="T38" s="25">
        <v>5579.67</v>
      </c>
    </row>
    <row r="39" spans="1:20" x14ac:dyDescent="0.2">
      <c r="A39" s="17" t="s">
        <v>10</v>
      </c>
      <c r="B39" s="19">
        <v>17</v>
      </c>
      <c r="C39" s="19">
        <v>76</v>
      </c>
      <c r="E39" s="17" t="s">
        <v>10</v>
      </c>
      <c r="F39" s="19"/>
      <c r="G39" s="19"/>
      <c r="I39" s="17" t="s">
        <v>10</v>
      </c>
      <c r="J39" s="19"/>
      <c r="K39" s="19"/>
      <c r="M39" s="17" t="s">
        <v>10</v>
      </c>
      <c r="N39" s="19">
        <v>4</v>
      </c>
      <c r="O39" s="19">
        <v>324</v>
      </c>
      <c r="Q39" s="17" t="s">
        <v>10</v>
      </c>
      <c r="R39" s="19">
        <f t="shared" si="5"/>
        <v>21</v>
      </c>
      <c r="S39" s="19">
        <f t="shared" si="6"/>
        <v>400</v>
      </c>
      <c r="T39" s="25">
        <v>5340.97</v>
      </c>
    </row>
    <row r="40" spans="1:20" x14ac:dyDescent="0.2">
      <c r="A40" s="17" t="s">
        <v>11</v>
      </c>
      <c r="B40" s="19">
        <v>19</v>
      </c>
      <c r="C40" s="19">
        <v>104</v>
      </c>
      <c r="E40" s="17" t="s">
        <v>11</v>
      </c>
      <c r="F40" s="19"/>
      <c r="G40" s="19"/>
      <c r="I40" s="17" t="s">
        <v>11</v>
      </c>
      <c r="J40" s="19"/>
      <c r="K40" s="19"/>
      <c r="M40" s="17" t="s">
        <v>11</v>
      </c>
      <c r="N40" s="19">
        <v>2</v>
      </c>
      <c r="O40" s="19">
        <v>129</v>
      </c>
      <c r="Q40" s="17" t="s">
        <v>11</v>
      </c>
      <c r="R40" s="19">
        <f t="shared" si="5"/>
        <v>21</v>
      </c>
      <c r="S40" s="19">
        <f t="shared" si="6"/>
        <v>233</v>
      </c>
      <c r="T40" s="25">
        <v>4283.87</v>
      </c>
    </row>
    <row r="41" spans="1:20" x14ac:dyDescent="0.2">
      <c r="A41" s="17"/>
      <c r="B41" s="19"/>
      <c r="C41" s="19"/>
      <c r="E41" s="17"/>
      <c r="F41" s="19"/>
      <c r="G41" s="19"/>
      <c r="I41" s="17"/>
      <c r="J41" s="19"/>
      <c r="K41" s="19"/>
      <c r="M41" s="17"/>
      <c r="N41" s="19"/>
      <c r="O41" s="19"/>
      <c r="Q41" s="17"/>
      <c r="R41" s="19"/>
      <c r="S41" s="19"/>
      <c r="T41" s="25"/>
    </row>
    <row r="42" spans="1:20" x14ac:dyDescent="0.2">
      <c r="A42" s="17" t="s">
        <v>12</v>
      </c>
      <c r="B42" s="19">
        <f>SUM(B29:B41)</f>
        <v>187</v>
      </c>
      <c r="C42" s="19">
        <f>SUM(C29:C41)</f>
        <v>949</v>
      </c>
      <c r="E42" s="17"/>
      <c r="F42" s="19">
        <f t="shared" ref="F42" si="7">SUM(F29:F41)</f>
        <v>0</v>
      </c>
      <c r="G42" s="19">
        <f t="shared" ref="G42" si="8">SUM(G29:G41)</f>
        <v>0</v>
      </c>
      <c r="I42" s="17"/>
      <c r="J42" s="19">
        <f t="shared" ref="J42" si="9">SUM(J29:J41)</f>
        <v>0</v>
      </c>
      <c r="K42" s="19">
        <f t="shared" ref="K42" si="10">SUM(K29:K41)</f>
        <v>0</v>
      </c>
      <c r="M42" s="17"/>
      <c r="N42" s="19">
        <f t="shared" ref="N42" si="11">SUM(N29:N41)</f>
        <v>62</v>
      </c>
      <c r="O42" s="19">
        <f t="shared" ref="O42" si="12">SUM(O29:O41)</f>
        <v>3962</v>
      </c>
      <c r="Q42" s="17"/>
      <c r="R42" s="19">
        <f t="shared" ref="R42" si="13">SUM(R29:R41)</f>
        <v>249</v>
      </c>
      <c r="S42" s="19">
        <f t="shared" ref="S42" si="14">SUM(S29:S41)</f>
        <v>4911</v>
      </c>
      <c r="T42" s="25">
        <f>SUM(T29:T40)</f>
        <v>62161.45</v>
      </c>
    </row>
    <row r="43" spans="1:20" x14ac:dyDescent="0.2">
      <c r="A43" s="17"/>
      <c r="B43" s="19"/>
      <c r="C43" s="19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35">
        <f>B42+F42+J42+N42</f>
        <v>249</v>
      </c>
      <c r="S43" s="35">
        <f>C42+G42+K42+O42</f>
        <v>4911</v>
      </c>
      <c r="T43" s="36"/>
    </row>
    <row r="44" spans="1:20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2"/>
    </row>
    <row r="45" spans="1:20" x14ac:dyDescent="0.2">
      <c r="A45" s="38" t="s">
        <v>34</v>
      </c>
      <c r="T45" s="34"/>
    </row>
    <row r="46" spans="1:20" x14ac:dyDescent="0.2">
      <c r="A46" s="39"/>
      <c r="B46" s="18" t="s">
        <v>20</v>
      </c>
      <c r="C46" s="18" t="s">
        <v>21</v>
      </c>
      <c r="E46" s="17"/>
      <c r="F46" s="18" t="s">
        <v>20</v>
      </c>
      <c r="G46" s="18" t="s">
        <v>21</v>
      </c>
      <c r="I46" s="17"/>
      <c r="J46" s="18" t="s">
        <v>20</v>
      </c>
      <c r="K46" s="18" t="s">
        <v>21</v>
      </c>
      <c r="M46" s="17"/>
      <c r="N46" s="18" t="s">
        <v>20</v>
      </c>
      <c r="O46" s="18" t="s">
        <v>21</v>
      </c>
      <c r="Q46" s="17"/>
      <c r="R46" s="18" t="s">
        <v>20</v>
      </c>
      <c r="S46" s="18" t="s">
        <v>21</v>
      </c>
      <c r="T46" s="18" t="s">
        <v>33</v>
      </c>
    </row>
    <row r="47" spans="1:20" x14ac:dyDescent="0.2">
      <c r="A47" s="39"/>
      <c r="B47" s="19">
        <f>B21+B42</f>
        <v>228</v>
      </c>
      <c r="C47" s="19">
        <f>C21+C42</f>
        <v>1281</v>
      </c>
      <c r="M47" s="19"/>
      <c r="N47" s="19">
        <f t="shared" ref="N47:O47" si="15">N21+N42</f>
        <v>86</v>
      </c>
      <c r="O47" s="19">
        <f t="shared" si="15"/>
        <v>4890</v>
      </c>
      <c r="Q47" s="22"/>
      <c r="R47" s="19">
        <f t="shared" ref="R47:S47" si="16">R21+R42</f>
        <v>314</v>
      </c>
      <c r="S47" s="19">
        <f t="shared" si="16"/>
        <v>6171</v>
      </c>
      <c r="T47" s="25">
        <f>T42+T21</f>
        <v>76604.479999999996</v>
      </c>
    </row>
    <row r="48" spans="1:20" x14ac:dyDescent="0.2">
      <c r="A48" s="4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36"/>
    </row>
  </sheetData>
  <pageMargins left="0.7" right="0.7" top="0.75" bottom="0.75" header="0.3" footer="0.3"/>
  <pageSetup scale="8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Revenue w New Rates</vt:lpstr>
      <vt:lpstr>Test Yr 5 8" </vt:lpstr>
      <vt:lpstr>5 8" Totals by Rate Code</vt:lpstr>
      <vt:lpstr>Test Yr 1" </vt:lpstr>
      <vt:lpstr>1" Totals by Rate Code</vt:lpstr>
      <vt:lpstr>Test Year Rev 1.5 </vt:lpstr>
      <vt:lpstr>1.5" Totals by Rate Code</vt:lpstr>
      <vt:lpstr>Test Yr Revenue 2"</vt:lpstr>
      <vt:lpstr>2" Totals by Rate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Gamble</dc:creator>
  <cp:lastModifiedBy>Kimberly Price</cp:lastModifiedBy>
  <cp:lastPrinted>2023-02-21T15:58:41Z</cp:lastPrinted>
  <dcterms:created xsi:type="dcterms:W3CDTF">2022-03-26T00:04:10Z</dcterms:created>
  <dcterms:modified xsi:type="dcterms:W3CDTF">2023-02-21T18:11:43Z</dcterms:modified>
</cp:coreProperties>
</file>