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N:\MSOFFICE\dld\GCSSD\Rate Increase\City of Crittenden\"/>
    </mc:Choice>
  </mc:AlternateContent>
  <xr:revisionPtr revIDLastSave="0" documentId="13_ncr:1_{AC465D52-1D47-4D93-8414-FDAF2A498925}" xr6:coauthVersionLast="47" xr6:coauthVersionMax="47" xr10:uidLastSave="{00000000-0000-0000-0000-000000000000}"/>
  <bookViews>
    <workbookView xWindow="23880" yWindow="-120" windowWidth="24240" windowHeight="13140" xr2:uid="{FA4361DC-2D89-4C97-90DD-F944AEC01471}"/>
  </bookViews>
  <sheets>
    <sheet name="Revenue w New Rates " sheetId="12" r:id="rId1"/>
    <sheet name="Test Yr 5 8&quot; " sheetId="3" r:id="rId2"/>
    <sheet name="5 8&quot; Totals by Rate Code" sheetId="2" r:id="rId3"/>
    <sheet name="Test Year Rev 1&quot;" sheetId="6" r:id="rId4"/>
    <sheet name="1&quot; Totals by Rate Code" sheetId="5" r:id="rId5"/>
    <sheet name="Test Year Revnues 1.5&quot;" sheetId="8" r:id="rId6"/>
    <sheet name="1.5&quot; Totals by Rate Code" sheetId="7" r:id="rId7"/>
    <sheet name="Test Yr Revenue 2&quot;" sheetId="10" r:id="rId8"/>
    <sheet name="2&quot; Totals by Rate Code" sheetId="9" r:id="rId9"/>
  </sheets>
  <externalReferences>
    <externalReference r:id="rId10"/>
  </externalReferences>
  <definedNames>
    <definedName name="_xlnm.Print_Area" localSheetId="1">'Test Yr 5 8" '!$A$3:$I$40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48" i="12" l="1"/>
  <c r="E48" i="12"/>
  <c r="E50" i="12" s="1"/>
  <c r="C48" i="12"/>
  <c r="C10" i="12" s="1"/>
  <c r="B48" i="12"/>
  <c r="B10" i="12" s="1"/>
  <c r="B17" i="12" s="1"/>
  <c r="G47" i="12"/>
  <c r="D47" i="12"/>
  <c r="G46" i="12"/>
  <c r="D46" i="12"/>
  <c r="G45" i="12"/>
  <c r="D45" i="12"/>
  <c r="G44" i="12"/>
  <c r="D44" i="12"/>
  <c r="F42" i="12"/>
  <c r="E41" i="12"/>
  <c r="G41" i="12" s="1"/>
  <c r="C41" i="12"/>
  <c r="B41" i="12"/>
  <c r="E40" i="12"/>
  <c r="G40" i="12" s="1"/>
  <c r="C40" i="12"/>
  <c r="B40" i="12"/>
  <c r="C27" i="12"/>
  <c r="C31" i="12" s="1"/>
  <c r="B27" i="12"/>
  <c r="B31" i="12" s="1"/>
  <c r="F36" i="3"/>
  <c r="D27" i="10"/>
  <c r="D26" i="10"/>
  <c r="D29" i="8"/>
  <c r="D28" i="8"/>
  <c r="D33" i="6"/>
  <c r="D32" i="6"/>
  <c r="D31" i="6"/>
  <c r="E39" i="3"/>
  <c r="E38" i="3"/>
  <c r="E37" i="3"/>
  <c r="E36" i="3"/>
  <c r="E8" i="3"/>
  <c r="D41" i="12" l="1"/>
  <c r="C42" i="12"/>
  <c r="B42" i="12"/>
  <c r="D40" i="12"/>
  <c r="E42" i="12"/>
  <c r="C35" i="9" l="1"/>
  <c r="C42" i="9" s="1"/>
  <c r="C8" i="10"/>
  <c r="B8" i="10"/>
  <c r="B16" i="10" s="1"/>
  <c r="E16" i="10" s="1"/>
  <c r="D7" i="10"/>
  <c r="E7" i="10" s="1"/>
  <c r="E8" i="10" s="1"/>
  <c r="D6" i="10"/>
  <c r="C19" i="9"/>
  <c r="S19" i="9" s="1"/>
  <c r="C18" i="9"/>
  <c r="C17" i="9"/>
  <c r="C16" i="9"/>
  <c r="C15" i="9"/>
  <c r="C14" i="9"/>
  <c r="S14" i="9"/>
  <c r="C13" i="9"/>
  <c r="C12" i="9"/>
  <c r="S12" i="9" s="1"/>
  <c r="S10" i="9"/>
  <c r="C9" i="9"/>
  <c r="T42" i="9"/>
  <c r="O42" i="9"/>
  <c r="N42" i="9"/>
  <c r="K42" i="9"/>
  <c r="J42" i="9"/>
  <c r="G42" i="9"/>
  <c r="F42" i="9"/>
  <c r="B42" i="9"/>
  <c r="S40" i="9"/>
  <c r="R40" i="9"/>
  <c r="S39" i="9"/>
  <c r="R39" i="9"/>
  <c r="S38" i="9"/>
  <c r="R38" i="9"/>
  <c r="S37" i="9"/>
  <c r="R37" i="9"/>
  <c r="S36" i="9"/>
  <c r="R36" i="9"/>
  <c r="R35" i="9"/>
  <c r="S34" i="9"/>
  <c r="R34" i="9"/>
  <c r="S33" i="9"/>
  <c r="R33" i="9"/>
  <c r="S32" i="9"/>
  <c r="R32" i="9"/>
  <c r="S31" i="9"/>
  <c r="R31" i="9"/>
  <c r="S30" i="9"/>
  <c r="R30" i="9"/>
  <c r="S29" i="9"/>
  <c r="R29" i="9"/>
  <c r="T21" i="9"/>
  <c r="O21" i="9"/>
  <c r="N21" i="9"/>
  <c r="K21" i="9"/>
  <c r="J21" i="9"/>
  <c r="G21" i="9"/>
  <c r="F21" i="9"/>
  <c r="B21" i="9"/>
  <c r="R19" i="9"/>
  <c r="S18" i="9"/>
  <c r="R18" i="9"/>
  <c r="S17" i="9"/>
  <c r="R17" i="9"/>
  <c r="S16" i="9"/>
  <c r="R16" i="9"/>
  <c r="S15" i="9"/>
  <c r="R15" i="9"/>
  <c r="R14" i="9"/>
  <c r="S13" i="9"/>
  <c r="R13" i="9"/>
  <c r="R12" i="9"/>
  <c r="S11" i="9"/>
  <c r="R11" i="9"/>
  <c r="R10" i="9"/>
  <c r="S9" i="9"/>
  <c r="R9" i="9"/>
  <c r="S8" i="9"/>
  <c r="R8" i="9"/>
  <c r="C10" i="8"/>
  <c r="B10" i="8"/>
  <c r="B13" i="8" s="1"/>
  <c r="E13" i="8" s="1"/>
  <c r="D9" i="8"/>
  <c r="E9" i="8" s="1"/>
  <c r="E10" i="8" s="1"/>
  <c r="D8" i="8"/>
  <c r="T21" i="7"/>
  <c r="N21" i="7"/>
  <c r="K21" i="7"/>
  <c r="J21" i="7"/>
  <c r="G21" i="7"/>
  <c r="F21" i="7"/>
  <c r="S19" i="7"/>
  <c r="R19" i="7"/>
  <c r="R18" i="7"/>
  <c r="S18" i="7"/>
  <c r="S17" i="7"/>
  <c r="R17" i="7"/>
  <c r="S16" i="7"/>
  <c r="R16" i="7"/>
  <c r="S15" i="7"/>
  <c r="R15" i="7"/>
  <c r="R14" i="7"/>
  <c r="S14" i="7"/>
  <c r="R13" i="7"/>
  <c r="S13" i="7"/>
  <c r="S12" i="7"/>
  <c r="R12" i="7"/>
  <c r="S11" i="7"/>
  <c r="R11" i="7"/>
  <c r="S10" i="7"/>
  <c r="C21" i="7"/>
  <c r="R10" i="7"/>
  <c r="S9" i="7"/>
  <c r="R9" i="7"/>
  <c r="R8" i="7"/>
  <c r="O21" i="7"/>
  <c r="C10" i="6"/>
  <c r="B10" i="6"/>
  <c r="B31" i="6" s="1"/>
  <c r="E31" i="6" s="1"/>
  <c r="E9" i="6"/>
  <c r="D9" i="6"/>
  <c r="D8" i="6"/>
  <c r="E8" i="6" s="1"/>
  <c r="D7" i="6"/>
  <c r="F9" i="6" l="1"/>
  <c r="F10" i="6" s="1"/>
  <c r="C33" i="6" s="1"/>
  <c r="E33" i="6" s="1"/>
  <c r="S35" i="9"/>
  <c r="S42" i="9" s="1"/>
  <c r="S43" i="9"/>
  <c r="T47" i="9"/>
  <c r="R42" i="9"/>
  <c r="N47" i="9"/>
  <c r="O47" i="9"/>
  <c r="B47" i="9"/>
  <c r="R43" i="9"/>
  <c r="D10" i="8"/>
  <c r="C28" i="8" s="1"/>
  <c r="B18" i="8"/>
  <c r="E18" i="8" s="1"/>
  <c r="D8" i="10"/>
  <c r="C11" i="10" s="1"/>
  <c r="C16" i="10"/>
  <c r="C27" i="10"/>
  <c r="E27" i="10" s="1"/>
  <c r="C22" i="10"/>
  <c r="E22" i="10" s="1"/>
  <c r="C17" i="10"/>
  <c r="E17" i="10" s="1"/>
  <c r="E18" i="10" s="1"/>
  <c r="C12" i="10"/>
  <c r="E12" i="10" s="1"/>
  <c r="B21" i="10"/>
  <c r="E21" i="10" s="1"/>
  <c r="B26" i="10"/>
  <c r="E26" i="10" s="1"/>
  <c r="B11" i="10"/>
  <c r="C21" i="9"/>
  <c r="C47" i="9" s="1"/>
  <c r="R22" i="9"/>
  <c r="S21" i="9"/>
  <c r="R21" i="9"/>
  <c r="C23" i="8"/>
  <c r="C29" i="8"/>
  <c r="E29" i="8" s="1"/>
  <c r="C24" i="8"/>
  <c r="C19" i="8"/>
  <c r="E19" i="8" s="1"/>
  <c r="C14" i="8"/>
  <c r="E14" i="8" s="1"/>
  <c r="E15" i="8"/>
  <c r="B23" i="8"/>
  <c r="E23" i="8" s="1"/>
  <c r="B28" i="8"/>
  <c r="E28" i="8" s="1"/>
  <c r="R21" i="7"/>
  <c r="S22" i="7"/>
  <c r="S8" i="7"/>
  <c r="S21" i="7" s="1"/>
  <c r="B21" i="7"/>
  <c r="R22" i="7" s="1"/>
  <c r="D10" i="6"/>
  <c r="C31" i="6" s="1"/>
  <c r="E10" i="6"/>
  <c r="C14" i="6" s="1"/>
  <c r="E14" i="6" s="1"/>
  <c r="B13" i="6"/>
  <c r="E13" i="6" s="1"/>
  <c r="B25" i="6"/>
  <c r="E25" i="6" s="1"/>
  <c r="C27" i="6"/>
  <c r="E27" i="6" s="1"/>
  <c r="C15" i="6"/>
  <c r="E15" i="6" s="1"/>
  <c r="B19" i="6"/>
  <c r="E19" i="6" s="1"/>
  <c r="C26" i="6" l="1"/>
  <c r="E26" i="6" s="1"/>
  <c r="E28" i="6" s="1"/>
  <c r="C32" i="6"/>
  <c r="E32" i="6" s="1"/>
  <c r="E34" i="6" s="1"/>
  <c r="C21" i="6"/>
  <c r="E21" i="6" s="1"/>
  <c r="E20" i="8"/>
  <c r="C13" i="6"/>
  <c r="C16" i="6" s="1"/>
  <c r="C25" i="6"/>
  <c r="C28" i="6" s="1"/>
  <c r="E28" i="10"/>
  <c r="R47" i="9"/>
  <c r="S47" i="9"/>
  <c r="C21" i="10"/>
  <c r="C23" i="10" s="1"/>
  <c r="C18" i="8"/>
  <c r="C13" i="8"/>
  <c r="C15" i="8" s="1"/>
  <c r="C26" i="10"/>
  <c r="C28" i="10" s="1"/>
  <c r="C13" i="10"/>
  <c r="E11" i="10"/>
  <c r="E13" i="10" s="1"/>
  <c r="E23" i="10"/>
  <c r="C18" i="10"/>
  <c r="S22" i="9"/>
  <c r="C30" i="8"/>
  <c r="E24" i="8"/>
  <c r="E25" i="8" s="1"/>
  <c r="C25" i="8"/>
  <c r="E30" i="8"/>
  <c r="C20" i="8"/>
  <c r="C20" i="6"/>
  <c r="E20" i="6" s="1"/>
  <c r="E22" i="6" s="1"/>
  <c r="C19" i="6"/>
  <c r="C22" i="6" s="1"/>
  <c r="E16" i="6"/>
  <c r="C34" i="6" l="1"/>
  <c r="O19" i="5"/>
  <c r="C19" i="5"/>
  <c r="B19" i="5"/>
  <c r="C18" i="5"/>
  <c r="B18" i="5"/>
  <c r="O17" i="5"/>
  <c r="C17" i="5"/>
  <c r="S17" i="5" s="1"/>
  <c r="B17" i="5"/>
  <c r="R17" i="5" s="1"/>
  <c r="O16" i="5"/>
  <c r="S16" i="5" s="1"/>
  <c r="C16" i="5"/>
  <c r="B16" i="5"/>
  <c r="O15" i="5"/>
  <c r="C15" i="5"/>
  <c r="O14" i="5"/>
  <c r="C14" i="5"/>
  <c r="B14" i="5"/>
  <c r="C13" i="5"/>
  <c r="B13" i="5"/>
  <c r="C12" i="5"/>
  <c r="B12" i="5"/>
  <c r="R12" i="5" s="1"/>
  <c r="C11" i="5"/>
  <c r="S11" i="5" s="1"/>
  <c r="B11" i="5"/>
  <c r="R10" i="5"/>
  <c r="C9" i="5"/>
  <c r="S9" i="5" s="1"/>
  <c r="B9" i="5"/>
  <c r="R9" i="5" s="1"/>
  <c r="C8" i="5"/>
  <c r="B8" i="5"/>
  <c r="O13" i="5"/>
  <c r="S13" i="5" s="1"/>
  <c r="O12" i="5"/>
  <c r="O11" i="5"/>
  <c r="O9" i="5"/>
  <c r="O8" i="5"/>
  <c r="T21" i="5"/>
  <c r="K21" i="5"/>
  <c r="J21" i="5"/>
  <c r="G21" i="5"/>
  <c r="F21" i="5"/>
  <c r="S19" i="5"/>
  <c r="R19" i="5"/>
  <c r="S18" i="5"/>
  <c r="R18" i="5"/>
  <c r="R16" i="5"/>
  <c r="S15" i="5"/>
  <c r="R15" i="5"/>
  <c r="S14" i="5"/>
  <c r="R14" i="5"/>
  <c r="R13" i="5"/>
  <c r="R8" i="5"/>
  <c r="O40" i="2"/>
  <c r="S40" i="2" s="1"/>
  <c r="O39" i="2"/>
  <c r="S39" i="2" s="1"/>
  <c r="O38" i="2"/>
  <c r="S38" i="2" s="1"/>
  <c r="O37" i="2"/>
  <c r="S37" i="2" s="1"/>
  <c r="O33" i="2"/>
  <c r="S33" i="2" s="1"/>
  <c r="O36" i="2"/>
  <c r="S36" i="2" s="1"/>
  <c r="O35" i="2"/>
  <c r="S35" i="2" s="1"/>
  <c r="K42" i="2"/>
  <c r="R29" i="2"/>
  <c r="T98" i="2"/>
  <c r="O98" i="2"/>
  <c r="N98" i="2"/>
  <c r="K98" i="2"/>
  <c r="J98" i="2"/>
  <c r="G98" i="2"/>
  <c r="F98" i="2"/>
  <c r="C98" i="2"/>
  <c r="B98" i="2"/>
  <c r="S96" i="2"/>
  <c r="R96" i="2"/>
  <c r="S95" i="2"/>
  <c r="R95" i="2"/>
  <c r="S94" i="2"/>
  <c r="R94" i="2"/>
  <c r="S93" i="2"/>
  <c r="R93" i="2"/>
  <c r="S92" i="2"/>
  <c r="R92" i="2"/>
  <c r="S91" i="2"/>
  <c r="R91" i="2"/>
  <c r="S90" i="2"/>
  <c r="R90" i="2"/>
  <c r="S89" i="2"/>
  <c r="R89" i="2"/>
  <c r="S88" i="2"/>
  <c r="R88" i="2"/>
  <c r="S87" i="2"/>
  <c r="R87" i="2"/>
  <c r="S86" i="2"/>
  <c r="R86" i="2"/>
  <c r="S85" i="2"/>
  <c r="R85" i="2"/>
  <c r="T77" i="2"/>
  <c r="O77" i="2"/>
  <c r="N77" i="2"/>
  <c r="K77" i="2"/>
  <c r="J77" i="2"/>
  <c r="G77" i="2"/>
  <c r="F77" i="2"/>
  <c r="C77" i="2"/>
  <c r="B77" i="2"/>
  <c r="S75" i="2"/>
  <c r="R75" i="2"/>
  <c r="S74" i="2"/>
  <c r="R74" i="2"/>
  <c r="S73" i="2"/>
  <c r="R73" i="2"/>
  <c r="S72" i="2"/>
  <c r="R72" i="2"/>
  <c r="S71" i="2"/>
  <c r="R71" i="2"/>
  <c r="S70" i="2"/>
  <c r="R70" i="2"/>
  <c r="S69" i="2"/>
  <c r="R69" i="2"/>
  <c r="S68" i="2"/>
  <c r="R68" i="2"/>
  <c r="S67" i="2"/>
  <c r="R67" i="2"/>
  <c r="S66" i="2"/>
  <c r="R66" i="2"/>
  <c r="S65" i="2"/>
  <c r="R65" i="2"/>
  <c r="S64" i="2"/>
  <c r="R64" i="2"/>
  <c r="T42" i="2"/>
  <c r="J42" i="2"/>
  <c r="G42" i="2"/>
  <c r="F42" i="2"/>
  <c r="C42" i="2"/>
  <c r="B42" i="2"/>
  <c r="R40" i="2"/>
  <c r="R39" i="2"/>
  <c r="R38" i="2"/>
  <c r="R37" i="2"/>
  <c r="R36" i="2"/>
  <c r="R35" i="2"/>
  <c r="R34" i="2"/>
  <c r="S34" i="2"/>
  <c r="R33" i="2"/>
  <c r="S32" i="2"/>
  <c r="N42" i="2"/>
  <c r="R31" i="2"/>
  <c r="S31" i="2"/>
  <c r="S30" i="2"/>
  <c r="R30" i="2"/>
  <c r="S29" i="2"/>
  <c r="T21" i="2"/>
  <c r="K21" i="2"/>
  <c r="J21" i="2"/>
  <c r="G21" i="2"/>
  <c r="F21" i="2"/>
  <c r="F104" i="2" s="1"/>
  <c r="C21" i="2"/>
  <c r="B21" i="2"/>
  <c r="O19" i="2"/>
  <c r="S19" i="2" s="1"/>
  <c r="N19" i="2"/>
  <c r="R19" i="2" s="1"/>
  <c r="O18" i="2"/>
  <c r="N18" i="2"/>
  <c r="R18" i="2" s="1"/>
  <c r="S17" i="2"/>
  <c r="R17" i="2"/>
  <c r="O16" i="2"/>
  <c r="S16" i="2" s="1"/>
  <c r="N16" i="2"/>
  <c r="R16" i="2" s="1"/>
  <c r="O15" i="2"/>
  <c r="S15" i="2" s="1"/>
  <c r="N15" i="2"/>
  <c r="R15" i="2" s="1"/>
  <c r="O14" i="2"/>
  <c r="S14" i="2" s="1"/>
  <c r="N14" i="2"/>
  <c r="R14" i="2" s="1"/>
  <c r="O13" i="2"/>
  <c r="S13" i="2" s="1"/>
  <c r="N13" i="2"/>
  <c r="R13" i="2" s="1"/>
  <c r="O12" i="2"/>
  <c r="S12" i="2" s="1"/>
  <c r="N12" i="2"/>
  <c r="R12" i="2" s="1"/>
  <c r="O11" i="2"/>
  <c r="S11" i="2" s="1"/>
  <c r="N11" i="2"/>
  <c r="R11" i="2" s="1"/>
  <c r="S10" i="2"/>
  <c r="R10" i="2"/>
  <c r="S18" i="2"/>
  <c r="O9" i="2"/>
  <c r="S9" i="2" s="1"/>
  <c r="N9" i="2"/>
  <c r="R9" i="2" s="1"/>
  <c r="R8" i="2"/>
  <c r="O8" i="2"/>
  <c r="C12" i="3"/>
  <c r="E9" i="3"/>
  <c r="F9" i="3" s="1"/>
  <c r="B12" i="3"/>
  <c r="G11" i="3"/>
  <c r="F11" i="3"/>
  <c r="E11" i="3"/>
  <c r="D11" i="3"/>
  <c r="F10" i="3"/>
  <c r="E10" i="3"/>
  <c r="D10" i="3"/>
  <c r="D9" i="3"/>
  <c r="D8" i="3"/>
  <c r="T106" i="2" l="1"/>
  <c r="T107" i="2"/>
  <c r="T109" i="2" s="1"/>
  <c r="J104" i="2"/>
  <c r="J106" i="2" s="1"/>
  <c r="T104" i="2"/>
  <c r="K104" i="2"/>
  <c r="K106" i="2" s="1"/>
  <c r="G104" i="2"/>
  <c r="C104" i="2"/>
  <c r="B104" i="2"/>
  <c r="B107" i="2" s="1"/>
  <c r="F106" i="2"/>
  <c r="F107" i="2"/>
  <c r="F109" i="2" s="1"/>
  <c r="B21" i="5"/>
  <c r="S12" i="5"/>
  <c r="C21" i="5"/>
  <c r="S10" i="5"/>
  <c r="O21" i="5"/>
  <c r="N21" i="5"/>
  <c r="R11" i="5"/>
  <c r="R21" i="5" s="1"/>
  <c r="S8" i="5"/>
  <c r="S99" i="2"/>
  <c r="S98" i="2"/>
  <c r="O21" i="2"/>
  <c r="R99" i="2"/>
  <c r="R98" i="2"/>
  <c r="R21" i="2"/>
  <c r="S77" i="2"/>
  <c r="R77" i="2"/>
  <c r="R78" i="2"/>
  <c r="S78" i="2"/>
  <c r="R43" i="2"/>
  <c r="S42" i="2"/>
  <c r="O42" i="2"/>
  <c r="S43" i="2" s="1"/>
  <c r="R32" i="2"/>
  <c r="R42" i="2" s="1"/>
  <c r="S8" i="2"/>
  <c r="S21" i="2" s="1"/>
  <c r="N21" i="2"/>
  <c r="H11" i="3"/>
  <c r="H12" i="3" s="1"/>
  <c r="C32" i="3" s="1"/>
  <c r="F32" i="3" s="1"/>
  <c r="G10" i="3"/>
  <c r="G12" i="3" s="1"/>
  <c r="C31" i="3" s="1"/>
  <c r="F31" i="3" s="1"/>
  <c r="E12" i="3"/>
  <c r="C29" i="3" s="1"/>
  <c r="F12" i="3"/>
  <c r="C16" i="3" s="1"/>
  <c r="F16" i="3" s="1"/>
  <c r="B29" i="3"/>
  <c r="F29" i="3" s="1"/>
  <c r="F15" i="3"/>
  <c r="C18" i="3"/>
  <c r="F18" i="3" s="1"/>
  <c r="B22" i="3"/>
  <c r="F22" i="3" s="1"/>
  <c r="J107" i="2" l="1"/>
  <c r="J109" i="2" s="1"/>
  <c r="B106" i="2"/>
  <c r="B109" i="2" s="1"/>
  <c r="K107" i="2"/>
  <c r="S104" i="2"/>
  <c r="G107" i="2"/>
  <c r="G106" i="2"/>
  <c r="C107" i="2"/>
  <c r="C106" i="2"/>
  <c r="R104" i="2"/>
  <c r="K109" i="2"/>
  <c r="R22" i="5"/>
  <c r="S22" i="5"/>
  <c r="S21" i="5"/>
  <c r="R22" i="2"/>
  <c r="N104" i="2"/>
  <c r="S22" i="2"/>
  <c r="O104" i="2"/>
  <c r="C25" i="3"/>
  <c r="F25" i="3" s="1"/>
  <c r="C15" i="3"/>
  <c r="C39" i="3"/>
  <c r="F39" i="3" s="1"/>
  <c r="C24" i="3"/>
  <c r="F24" i="3" s="1"/>
  <c r="C17" i="3"/>
  <c r="F17" i="3" s="1"/>
  <c r="F19" i="3" s="1"/>
  <c r="J19" i="3" s="1"/>
  <c r="C38" i="3"/>
  <c r="F38" i="3" s="1"/>
  <c r="C37" i="3"/>
  <c r="F37" i="3" s="1"/>
  <c r="C30" i="3"/>
  <c r="F30" i="3" s="1"/>
  <c r="F33" i="3" s="1"/>
  <c r="C23" i="3"/>
  <c r="F23" i="3" s="1"/>
  <c r="C22" i="3"/>
  <c r="C36" i="3"/>
  <c r="C109" i="2" l="1"/>
  <c r="G109" i="2"/>
  <c r="O107" i="2"/>
  <c r="O106" i="2"/>
  <c r="S106" i="2" s="1"/>
  <c r="N106" i="2"/>
  <c r="R106" i="2" s="1"/>
  <c r="N107" i="2"/>
  <c r="C40" i="3"/>
  <c r="F40" i="3"/>
  <c r="J40" i="3" s="1"/>
  <c r="C26" i="3"/>
  <c r="F26" i="3"/>
  <c r="C19" i="3"/>
  <c r="C33" i="3"/>
  <c r="O109" i="2" l="1"/>
  <c r="S107" i="2"/>
  <c r="S109" i="2" s="1"/>
  <c r="N109" i="2"/>
  <c r="R107" i="2"/>
  <c r="R109" i="2" s="1"/>
  <c r="D12" i="3"/>
</calcChain>
</file>

<file path=xl/sharedStrings.xml><?xml version="1.0" encoding="utf-8"?>
<sst xmlns="http://schemas.openxmlformats.org/spreadsheetml/2006/main" count="902" uniqueCount="86">
  <si>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</si>
  <si>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</si>
  <si>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</si>
  <si>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</si>
  <si>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</si>
  <si>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</si>
  <si>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</si>
  <si>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</si>
  <si>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</si>
  <si>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</si>
  <si>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</si>
  <si>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</si>
  <si>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Totals</t>
  </si>
  <si>
    <t>Actual Billing</t>
  </si>
  <si>
    <t>Residential</t>
  </si>
  <si>
    <t>1"</t>
  </si>
  <si>
    <t>1 1/2"</t>
  </si>
  <si>
    <t>2"</t>
  </si>
  <si>
    <t xml:space="preserve">      GRANT COUNTY SANITARY SEWER DISTRICT</t>
  </si>
  <si>
    <t xml:space="preserve"> TEST YEAR BILLING ANALYSIS</t>
  </si>
  <si>
    <t>METER SIZE = 5/8 INCH</t>
  </si>
  <si>
    <t>Bills</t>
  </si>
  <si>
    <t>Gallons</t>
  </si>
  <si>
    <t>First 2,000</t>
  </si>
  <si>
    <t>Next 3,000</t>
  </si>
  <si>
    <t>Next 5,000</t>
  </si>
  <si>
    <t>Over 10,000</t>
  </si>
  <si>
    <t>Total</t>
  </si>
  <si>
    <t>Current Rates</t>
  </si>
  <si>
    <t>Rate</t>
  </si>
  <si>
    <t>Revenue</t>
  </si>
  <si>
    <t>New Rates</t>
  </si>
  <si>
    <t>10% Increase</t>
  </si>
  <si>
    <t>12% Increase</t>
  </si>
  <si>
    <t>Dollars</t>
  </si>
  <si>
    <t>RATE CODE - YA - RESIDENTIAL</t>
  </si>
  <si>
    <t>RATE CODE - YH - RESIDENTIAL</t>
  </si>
  <si>
    <t>RATE CODE - YB - COMMERCIAL</t>
  </si>
  <si>
    <t>RATE CODE - YC - COMMERCIAL</t>
  </si>
  <si>
    <t>GRAND TOTALS</t>
  </si>
  <si>
    <t>RATE CODES - YA, YH, YB, &amp; YC</t>
  </si>
  <si>
    <t>METER SIZE = 1 INCH</t>
  </si>
  <si>
    <t>RATE CODE - YD</t>
  </si>
  <si>
    <t>First 5,000</t>
  </si>
  <si>
    <t>Total Billed</t>
  </si>
  <si>
    <t>RATE CODE - YE</t>
  </si>
  <si>
    <t>First 10,000</t>
  </si>
  <si>
    <t>METER SIZE = 1 1/2 INCH</t>
  </si>
  <si>
    <t>METER SIZE = 1.5 INCH</t>
  </si>
  <si>
    <t>RATE CODE - YF</t>
  </si>
  <si>
    <t>METER SIZE = 2 INCH</t>
  </si>
  <si>
    <t>First 20,000</t>
  </si>
  <si>
    <t>Over 20,000</t>
  </si>
  <si>
    <t>RATE CODE - YG</t>
  </si>
  <si>
    <t>RATE CODES - YF &amp; YG</t>
  </si>
  <si>
    <t xml:space="preserve">             RECONCILIATION OF AMOUNT BILLED PER THE DISTRICT'S BILLING REGISTERS</t>
  </si>
  <si>
    <t xml:space="preserve">                     TO THE INCOME REPORTED IN THE PRO-FORMA INCOME STATEMENT</t>
  </si>
  <si>
    <t>Number</t>
  </si>
  <si>
    <t xml:space="preserve">Average </t>
  </si>
  <si>
    <t xml:space="preserve">of </t>
  </si>
  <si>
    <t>Bill</t>
  </si>
  <si>
    <t>Commercial &amp; Industrial</t>
  </si>
  <si>
    <t xml:space="preserve">     Total Billed</t>
  </si>
  <si>
    <t>Less Leak Adjustments</t>
  </si>
  <si>
    <t>Less Billing Errors</t>
  </si>
  <si>
    <t>Metered Sewer Sales Per Pro Forma</t>
  </si>
  <si>
    <t xml:space="preserve">                                 TO THE AMOUNT CALCULATED USING THE RATE TABLES</t>
  </si>
  <si>
    <t>Calculated Billing</t>
  </si>
  <si>
    <t>by Rate Table</t>
  </si>
  <si>
    <t xml:space="preserve">     Total Billed Using Rate Tables</t>
  </si>
  <si>
    <t xml:space="preserve">     Total Billed Per Billing Registers</t>
  </si>
  <si>
    <t xml:space="preserve">      Unexplained Difference</t>
  </si>
  <si>
    <t xml:space="preserve">                  CALCULATION OF INCREASE IN ANNUAL REVENUE FROM RATE INCREASE</t>
  </si>
  <si>
    <t>Proposed</t>
  </si>
  <si>
    <t>Rates</t>
  </si>
  <si>
    <t>Total Billing</t>
  </si>
  <si>
    <t>Increase In Annual Revenue With a Proposed Rate Increase</t>
  </si>
  <si>
    <t>Jan - Dec 2021</t>
  </si>
  <si>
    <t>RESIDENTIAL</t>
  </si>
  <si>
    <t>INDUSTRIAL</t>
  </si>
  <si>
    <t>TOTAL</t>
  </si>
  <si>
    <t>5/8" Residential</t>
  </si>
  <si>
    <t>Short  0.64</t>
  </si>
  <si>
    <t>Less Unbilled Revenue 12/31/20</t>
  </si>
  <si>
    <t>Plus Unbilled Revenue 12/31/21</t>
  </si>
  <si>
    <t>12.1% Increase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</si>
</sst>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1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 applyAlignment="1">
      <alignment horizontal="center"/>
    </xf>
    <xf numFmtId="3" fontId="0" fillId="0" borderId="0" xfId="0" applyNumberFormat="1"/>
    <xf numFmtId="4" fontId="0" fillId="0" borderId="0" xfId="0" applyNumberFormat="1"/>
    <xf numFmtId="4" fontId="0" fillId="0" borderId="1" xfId="0" applyNumberFormat="1" applyBorder="1"/>
    <xf numFmtId="0" fontId="0" fillId="0" borderId="1" xfId="0" applyBorder="1"/>
    <xf numFmtId="0" fontId="1" fillId="0" borderId="0" xfId="0" quotePrefix="1" applyFont="1" applyAlignment="1">
      <alignment horizontal="center"/>
    </xf>
    <xf numFmtId="17" fontId="1" fillId="0" borderId="0" xfId="0" quotePrefix="1" applyNumberFormat="1" applyFont="1" applyAlignment="1">
      <alignment horizontal="center"/>
    </xf>
    <xf numFmtId="4" fontId="0" fillId="0" borderId="3" xfId="0" applyNumberFormat="1" applyBorder="1"/>
    <xf numFmtId="0" fontId="1" fillId="0" borderId="0" xfId="0" applyFont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1" xfId="0" applyFont="1" applyBorder="1"/>
    <xf numFmtId="0" fontId="1" fillId="0" borderId="8" xfId="0" applyFont="1" applyBorder="1"/>
    <xf numFmtId="0" fontId="1" fillId="0" borderId="6" xfId="0" applyFont="1" applyBorder="1" applyAlignment="1">
      <alignment horizontal="right"/>
    </xf>
    <xf numFmtId="0" fontId="1" fillId="0" borderId="9" xfId="0" applyFont="1" applyBorder="1"/>
    <xf numFmtId="0" fontId="1" fillId="0" borderId="9" xfId="0" applyFont="1" applyBorder="1" applyAlignment="1">
      <alignment horizontal="center"/>
    </xf>
    <xf numFmtId="3" fontId="0" fillId="0" borderId="9" xfId="0" applyNumberFormat="1" applyBorder="1"/>
    <xf numFmtId="2" fontId="0" fillId="0" borderId="9" xfId="0" applyNumberFormat="1" applyBorder="1"/>
    <xf numFmtId="9" fontId="0" fillId="0" borderId="9" xfId="0" applyNumberFormat="1" applyBorder="1"/>
    <xf numFmtId="0" fontId="0" fillId="0" borderId="9" xfId="0" applyBorder="1"/>
    <xf numFmtId="3" fontId="1" fillId="0" borderId="9" xfId="0" applyNumberFormat="1" applyFont="1" applyBorder="1"/>
    <xf numFmtId="4" fontId="1" fillId="0" borderId="9" xfId="0" applyNumberFormat="1" applyFont="1" applyBorder="1"/>
    <xf numFmtId="4" fontId="0" fillId="0" borderId="9" xfId="0" applyNumberFormat="1" applyBorder="1"/>
    <xf numFmtId="0" fontId="1" fillId="0" borderId="8" xfId="0" applyFont="1" applyBorder="1" applyAlignment="1">
      <alignment horizontal="left"/>
    </xf>
    <xf numFmtId="4" fontId="1" fillId="0" borderId="0" xfId="0" applyNumberFormat="1" applyFont="1"/>
    <xf numFmtId="0" fontId="1" fillId="0" borderId="0" xfId="0" applyFont="1" applyAlignment="1">
      <alignment horizontal="right"/>
    </xf>
    <xf numFmtId="0" fontId="1" fillId="0" borderId="10" xfId="0" applyFont="1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1" fillId="0" borderId="14" xfId="0" applyFont="1" applyBorder="1" applyAlignment="1">
      <alignment horizontal="left"/>
    </xf>
    <xf numFmtId="0" fontId="0" fillId="0" borderId="10" xfId="0" applyBorder="1"/>
    <xf numFmtId="3" fontId="0" fillId="0" borderId="1" xfId="0" applyNumberFormat="1" applyBorder="1"/>
    <xf numFmtId="0" fontId="0" fillId="0" borderId="8" xfId="0" applyBorder="1"/>
    <xf numFmtId="0" fontId="1" fillId="0" borderId="9" xfId="0" applyFont="1" applyBorder="1" applyAlignment="1">
      <alignment horizontal="right"/>
    </xf>
    <xf numFmtId="3" fontId="0" fillId="0" borderId="4" xfId="0" applyNumberFormat="1" applyBorder="1"/>
    <xf numFmtId="0" fontId="1" fillId="0" borderId="15" xfId="0" applyFont="1" applyBorder="1"/>
    <xf numFmtId="0" fontId="0" fillId="0" borderId="15" xfId="0" applyBorder="1"/>
    <xf numFmtId="0" fontId="0" fillId="0" borderId="7" xfId="0" applyBorder="1"/>
    <xf numFmtId="0" fontId="3" fillId="0" borderId="0" xfId="0" applyFont="1"/>
    <xf numFmtId="2" fontId="0" fillId="0" borderId="0" xfId="0" applyNumberFormat="1"/>
    <xf numFmtId="4" fontId="1" fillId="0" borderId="2" xfId="0" applyNumberFormat="1" applyFont="1" applyBorder="1"/>
    <xf numFmtId="3" fontId="0" fillId="0" borderId="2" xfId="0" applyNumberFormat="1" applyBorder="1"/>
    <xf numFmtId="4" fontId="1" fillId="0" borderId="3" xfId="0" applyNumberFormat="1" applyFont="1" applyBorder="1"/>
    <xf numFmtId="3" fontId="1" fillId="0" borderId="0" xfId="0" applyNumberFormat="1" applyFont="1"/>
    <xf numFmtId="3" fontId="1" fillId="0" borderId="1" xfId="0" applyNumberFormat="1" applyFont="1" applyBorder="1"/>
    <xf numFmtId="3" fontId="1" fillId="0" borderId="3" xfId="0" applyNumberFormat="1" applyFont="1" applyBorder="1"/>
    <xf numFmtId="3" fontId="1" fillId="0" borderId="2" xfId="0" applyNumberFormat="1" applyFont="1" applyBorder="1"/>
    <xf numFmtId="3" fontId="1" fillId="0" borderId="5" xfId="0" applyNumberFormat="1" applyFont="1" applyBorder="1"/>
    <xf numFmtId="3" fontId="0" fillId="0" borderId="3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SOFFICE/pal/GCSSD%202016%20Rate%20Increase/GCSSD%20Income%20Calculation%20Using%20Rate%20Tabl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est Yr Res 5 8&quot; YA"/>
      <sheetName val="Test Yr Res 5 8&quot; YH"/>
      <sheetName val="Test Yr Com 5 8&quot; YB"/>
      <sheetName val="Test Yr Com 5 8&quot; YC"/>
      <sheetName val="Test Year Rev 1&quot;"/>
      <sheetName val="Test Ye Revnues 1.5&quot;"/>
      <sheetName val="Test Yr Revenue 2&quot; YF"/>
      <sheetName val="Test Yr Revenue 2&quot; YG"/>
      <sheetName val="Revenue w New Rates"/>
      <sheetName val="Actual Bills by Rate Code"/>
      <sheetName val="Commercial 3 4&quot; Sales"/>
      <sheetName val="1&quot; Sales"/>
      <sheetName val="1 1 2' Sales"/>
      <sheetName val="2&quot; Sales"/>
    </sheetNames>
    <sheetDataSet>
      <sheetData sheetId="0">
        <row r="13">
          <cell r="B13">
            <v>16205</v>
          </cell>
        </row>
        <row r="17">
          <cell r="F17">
            <v>570709.63</v>
          </cell>
        </row>
        <row r="38">
          <cell r="F38">
            <v>684803.70000000007</v>
          </cell>
        </row>
      </sheetData>
      <sheetData sheetId="1">
        <row r="13">
          <cell r="B13">
            <v>635</v>
          </cell>
        </row>
        <row r="17">
          <cell r="F17">
            <v>33051.129999999997</v>
          </cell>
        </row>
        <row r="38">
          <cell r="F38">
            <v>39656.58</v>
          </cell>
        </row>
      </sheetData>
      <sheetData sheetId="2">
        <row r="13">
          <cell r="B13">
            <v>447</v>
          </cell>
        </row>
        <row r="17">
          <cell r="F17">
            <v>16403</v>
          </cell>
        </row>
        <row r="38">
          <cell r="F38">
            <v>19683.599999999999</v>
          </cell>
        </row>
      </sheetData>
      <sheetData sheetId="3">
        <row r="13">
          <cell r="B13">
            <v>36</v>
          </cell>
        </row>
        <row r="17">
          <cell r="F17">
            <v>1764</v>
          </cell>
        </row>
        <row r="38">
          <cell r="F38">
            <v>2116.8000000000002</v>
          </cell>
        </row>
      </sheetData>
      <sheetData sheetId="4">
        <row r="12">
          <cell r="B12">
            <v>179</v>
          </cell>
        </row>
        <row r="15">
          <cell r="E15">
            <v>11650.5</v>
          </cell>
        </row>
        <row r="33">
          <cell r="E33">
            <v>13980.6</v>
          </cell>
        </row>
      </sheetData>
      <sheetData sheetId="5">
        <row r="11">
          <cell r="B11">
            <v>36</v>
          </cell>
        </row>
        <row r="13">
          <cell r="E13">
            <v>2910</v>
          </cell>
        </row>
        <row r="28">
          <cell r="E28">
            <v>3492</v>
          </cell>
        </row>
      </sheetData>
      <sheetData sheetId="6">
        <row r="11">
          <cell r="B11">
            <v>103</v>
          </cell>
        </row>
        <row r="13">
          <cell r="E13">
            <v>10480</v>
          </cell>
        </row>
        <row r="28">
          <cell r="E28">
            <v>12576</v>
          </cell>
        </row>
      </sheetData>
      <sheetData sheetId="7">
        <row r="11">
          <cell r="B11">
            <v>36</v>
          </cell>
        </row>
        <row r="13">
          <cell r="E13">
            <v>4210</v>
          </cell>
        </row>
        <row r="28">
          <cell r="E28">
            <v>5052</v>
          </cell>
        </row>
      </sheetData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D637F6-28E3-48B9-B4C5-320135B83A54}">
  <dimension ref="A3:G51"/>
  <sheetViews>
    <sheetView tabSelected="1" workbookViewId="0"/>
  </sheetViews>
  <sheetFormatPr defaultRowHeight="12.75" x14ac:dyDescent="0.2"/>
  <cols>
    <col min="1" max="1" width="34.7109375" customWidth="1"/>
    <col min="2" max="2" width="16.7109375" customWidth="1"/>
    <col min="3" max="3" width="8.140625" customWidth="1"/>
    <col min="4" max="4" width="8.85546875" customWidth="1"/>
    <col min="5" max="5" width="17.42578125" bestFit="1" customWidth="1"/>
    <col min="6" max="6" width="8.140625" customWidth="1"/>
  </cols>
  <sheetData>
    <row r="3" spans="1:4" ht="15" x14ac:dyDescent="0.25">
      <c r="A3" s="42" t="s">
        <v>55</v>
      </c>
    </row>
    <row r="4" spans="1:4" ht="15" x14ac:dyDescent="0.25">
      <c r="A4" s="42" t="s">
        <v>56</v>
      </c>
    </row>
    <row r="6" spans="1:4" x14ac:dyDescent="0.2">
      <c r="B6" s="1" t="s">
        <v>13</v>
      </c>
      <c r="C6" s="1" t="s">
        <v>57</v>
      </c>
      <c r="D6" s="1"/>
    </row>
    <row r="7" spans="1:4" x14ac:dyDescent="0.2">
      <c r="B7" s="1" t="s">
        <v>77</v>
      </c>
      <c r="C7" s="1" t="s">
        <v>59</v>
      </c>
      <c r="D7" s="1"/>
    </row>
    <row r="8" spans="1:4" x14ac:dyDescent="0.2">
      <c r="B8" s="1"/>
      <c r="C8" s="1" t="s">
        <v>21</v>
      </c>
    </row>
    <row r="9" spans="1:4" x14ac:dyDescent="0.2">
      <c r="B9" s="7"/>
    </row>
    <row r="10" spans="1:4" ht="13.5" thickBot="1" x14ac:dyDescent="0.25">
      <c r="A10" s="9" t="s">
        <v>62</v>
      </c>
      <c r="B10" s="44">
        <f>B48</f>
        <v>812441</v>
      </c>
      <c r="C10" s="45">
        <f>C48</f>
        <v>19757</v>
      </c>
    </row>
    <row r="11" spans="1:4" ht="13.5" thickTop="1" x14ac:dyDescent="0.2">
      <c r="B11" s="3"/>
      <c r="C11" s="3"/>
      <c r="D11" s="2"/>
    </row>
    <row r="12" spans="1:4" x14ac:dyDescent="0.2">
      <c r="A12" t="s">
        <v>83</v>
      </c>
      <c r="B12" s="3">
        <v>-37973.42</v>
      </c>
      <c r="C12" s="3"/>
      <c r="D12" s="2"/>
    </row>
    <row r="13" spans="1:4" x14ac:dyDescent="0.2">
      <c r="A13" t="s">
        <v>84</v>
      </c>
      <c r="B13" s="3">
        <v>33935.5</v>
      </c>
      <c r="C13" s="3"/>
      <c r="D13" s="2"/>
    </row>
    <row r="14" spans="1:4" x14ac:dyDescent="0.2">
      <c r="A14" t="s">
        <v>63</v>
      </c>
      <c r="B14" s="3">
        <v>-20933.63</v>
      </c>
      <c r="C14" s="3"/>
      <c r="D14" s="2"/>
    </row>
    <row r="15" spans="1:4" x14ac:dyDescent="0.2">
      <c r="A15" t="s">
        <v>64</v>
      </c>
      <c r="B15" s="4">
        <v>-6450.85</v>
      </c>
      <c r="C15" s="3"/>
      <c r="D15" s="2"/>
    </row>
    <row r="16" spans="1:4" x14ac:dyDescent="0.2">
      <c r="B16" s="3"/>
      <c r="C16" s="3"/>
      <c r="D16" s="2"/>
    </row>
    <row r="17" spans="1:5" ht="13.5" thickBot="1" x14ac:dyDescent="0.25">
      <c r="A17" s="9" t="s">
        <v>65</v>
      </c>
      <c r="B17" s="46">
        <f>SUM(B10:B15)</f>
        <v>781018.6</v>
      </c>
      <c r="C17" s="3"/>
      <c r="D17" s="2"/>
    </row>
    <row r="18" spans="1:5" ht="13.5" thickTop="1" x14ac:dyDescent="0.2">
      <c r="A18" s="9"/>
      <c r="B18" s="27"/>
      <c r="C18" s="3"/>
      <c r="D18" s="2"/>
    </row>
    <row r="19" spans="1:5" x14ac:dyDescent="0.2">
      <c r="C19" s="3"/>
      <c r="D19" s="2"/>
      <c r="E19" s="2"/>
    </row>
    <row r="20" spans="1:5" ht="15" x14ac:dyDescent="0.25">
      <c r="A20" s="42" t="s">
        <v>55</v>
      </c>
      <c r="C20" s="3"/>
      <c r="D20" s="2"/>
      <c r="E20" s="2"/>
    </row>
    <row r="21" spans="1:5" ht="15" x14ac:dyDescent="0.25">
      <c r="A21" s="42" t="s">
        <v>66</v>
      </c>
      <c r="C21" s="3"/>
      <c r="D21" s="2"/>
      <c r="E21" s="2"/>
    </row>
    <row r="22" spans="1:5" x14ac:dyDescent="0.2">
      <c r="C22" s="3"/>
      <c r="D22" s="2"/>
      <c r="E22" s="2"/>
    </row>
    <row r="23" spans="1:5" x14ac:dyDescent="0.2">
      <c r="B23" s="1" t="s">
        <v>67</v>
      </c>
      <c r="C23" s="1" t="s">
        <v>57</v>
      </c>
      <c r="D23" s="2"/>
      <c r="E23" s="2"/>
    </row>
    <row r="24" spans="1:5" x14ac:dyDescent="0.2">
      <c r="B24" s="1" t="s">
        <v>68</v>
      </c>
      <c r="C24" s="1" t="s">
        <v>59</v>
      </c>
      <c r="D24" s="2"/>
      <c r="E24" s="2"/>
    </row>
    <row r="25" spans="1:5" x14ac:dyDescent="0.2">
      <c r="B25" s="1" t="s">
        <v>77</v>
      </c>
      <c r="C25" s="1" t="s">
        <v>21</v>
      </c>
      <c r="D25" s="2"/>
      <c r="E25" s="2"/>
    </row>
    <row r="26" spans="1:5" x14ac:dyDescent="0.2">
      <c r="B26" s="6"/>
      <c r="D26" s="2"/>
      <c r="E26" s="2"/>
    </row>
    <row r="27" spans="1:5" x14ac:dyDescent="0.2">
      <c r="A27" s="9" t="s">
        <v>69</v>
      </c>
      <c r="B27" s="47">
        <f>B48</f>
        <v>812441</v>
      </c>
      <c r="C27" s="47">
        <f>C48</f>
        <v>19757</v>
      </c>
      <c r="D27" s="2"/>
      <c r="E27" s="2"/>
    </row>
    <row r="28" spans="1:5" x14ac:dyDescent="0.2">
      <c r="A28" s="9"/>
      <c r="C28" s="3"/>
      <c r="D28" s="2"/>
      <c r="E28" s="2"/>
    </row>
    <row r="29" spans="1:5" x14ac:dyDescent="0.2">
      <c r="A29" s="9" t="s">
        <v>70</v>
      </c>
      <c r="B29" s="48">
        <v>812417</v>
      </c>
      <c r="C29" s="48">
        <v>19757</v>
      </c>
      <c r="D29" s="2"/>
      <c r="E29" s="2"/>
    </row>
    <row r="30" spans="1:5" x14ac:dyDescent="0.2">
      <c r="C30" s="3"/>
      <c r="D30" s="2"/>
      <c r="E30" s="2"/>
    </row>
    <row r="31" spans="1:5" ht="13.5" thickBot="1" x14ac:dyDescent="0.25">
      <c r="A31" s="9" t="s">
        <v>71</v>
      </c>
      <c r="B31" s="49">
        <f>B27-B29</f>
        <v>24</v>
      </c>
      <c r="C31" s="49">
        <f>C27-C29</f>
        <v>0</v>
      </c>
      <c r="D31" s="2"/>
      <c r="E31" s="2"/>
    </row>
    <row r="32" spans="1:5" ht="13.5" thickTop="1" x14ac:dyDescent="0.2">
      <c r="A32" s="9"/>
      <c r="B32" s="47"/>
      <c r="C32" s="47"/>
      <c r="D32" s="2"/>
      <c r="E32" s="2"/>
    </row>
    <row r="33" spans="1:7" x14ac:dyDescent="0.2">
      <c r="C33" s="3"/>
      <c r="D33" s="2"/>
      <c r="E33" s="2"/>
    </row>
    <row r="34" spans="1:7" ht="15" x14ac:dyDescent="0.25">
      <c r="A34" s="42" t="s">
        <v>72</v>
      </c>
      <c r="C34" s="3"/>
      <c r="D34" s="2"/>
      <c r="E34" s="2"/>
    </row>
    <row r="35" spans="1:7" x14ac:dyDescent="0.2">
      <c r="C35" s="3"/>
      <c r="D35" s="2"/>
      <c r="E35" s="2"/>
    </row>
    <row r="36" spans="1:7" x14ac:dyDescent="0.2">
      <c r="B36" s="1" t="s">
        <v>67</v>
      </c>
      <c r="C36" s="1" t="s">
        <v>57</v>
      </c>
      <c r="D36" s="1" t="s">
        <v>58</v>
      </c>
      <c r="E36" s="1" t="s">
        <v>67</v>
      </c>
      <c r="F36" s="1" t="s">
        <v>57</v>
      </c>
      <c r="G36" s="1" t="s">
        <v>58</v>
      </c>
    </row>
    <row r="37" spans="1:7" x14ac:dyDescent="0.2">
      <c r="B37" s="1" t="s">
        <v>68</v>
      </c>
      <c r="C37" s="1" t="s">
        <v>59</v>
      </c>
      <c r="D37" s="1" t="s">
        <v>60</v>
      </c>
      <c r="E37" s="1" t="s">
        <v>68</v>
      </c>
      <c r="F37" s="1" t="s">
        <v>59</v>
      </c>
      <c r="G37" s="1" t="s">
        <v>60</v>
      </c>
    </row>
    <row r="38" spans="1:7" x14ac:dyDescent="0.2">
      <c r="B38" s="1" t="s">
        <v>77</v>
      </c>
      <c r="C38" s="1" t="s">
        <v>21</v>
      </c>
      <c r="E38" s="1" t="s">
        <v>73</v>
      </c>
      <c r="F38" s="1" t="s">
        <v>21</v>
      </c>
    </row>
    <row r="39" spans="1:7" x14ac:dyDescent="0.2">
      <c r="B39" s="6"/>
      <c r="E39" s="6" t="s">
        <v>74</v>
      </c>
    </row>
    <row r="40" spans="1:7" hidden="1" x14ac:dyDescent="0.2">
      <c r="A40" t="s">
        <v>14</v>
      </c>
      <c r="B40" s="2">
        <f>'[1]Test Yr Res 5 8" YA'!F17+'[1]Test Yr Res 5 8" YH'!F17</f>
        <v>603760.76</v>
      </c>
      <c r="C40" s="2">
        <f>'[1]Test Yr Res 5 8" YA'!B13+'[1]Test Yr Res 5 8" YH'!B13</f>
        <v>16840</v>
      </c>
      <c r="D40" s="43">
        <f>B40/C40</f>
        <v>35.852776722090262</v>
      </c>
      <c r="E40" s="2">
        <f>'[1]Test Yr Res 5 8" YA'!F38+'[1]Test Yr Res 5 8" YH'!F38</f>
        <v>724460.28</v>
      </c>
      <c r="F40" s="2">
        <v>16840</v>
      </c>
      <c r="G40" s="43">
        <f>E40/F40</f>
        <v>43.020206650831355</v>
      </c>
    </row>
    <row r="41" spans="1:7" hidden="1" x14ac:dyDescent="0.2">
      <c r="A41" t="s">
        <v>61</v>
      </c>
      <c r="B41" s="35">
        <f>'[1]Test Yr Com 5 8" YB'!F17+'[1]Test Yr Com 5 8" YC'!F17+'[1]Test Year Rev 1"'!E15+'[1]Test Ye Revnues 1.5"'!E13+'[1]Test Yr Revenue 2" YF'!E13+'[1]Test Yr Revenue 2" YG'!E13</f>
        <v>47417.5</v>
      </c>
      <c r="C41" s="35">
        <f>'[1]Test Yr Com 5 8" YB'!B13+'[1]Test Yr Com 5 8" YC'!B13+'[1]Test Year Rev 1"'!B12+'[1]Test Ye Revnues 1.5"'!B11+'[1]Test Yr Revenue 2" YF'!B11+'[1]Test Yr Revenue 2" YG'!B11</f>
        <v>837</v>
      </c>
      <c r="D41" s="43">
        <f>B41/C41</f>
        <v>56.651732377538828</v>
      </c>
      <c r="E41" s="35">
        <f>'[1]Test Yr Com 5 8" YB'!F38+'[1]Test Yr Com 5 8" YC'!F38+'[1]Test Year Rev 1"'!E33+'[1]Test Ye Revnues 1.5"'!E28+'[1]Test Yr Revenue 2" YF'!E28+'[1]Test Yr Revenue 2" YG'!E28</f>
        <v>56901</v>
      </c>
      <c r="F41" s="35">
        <v>837</v>
      </c>
      <c r="G41" s="43">
        <f>E41/F41</f>
        <v>67.982078853046602</v>
      </c>
    </row>
    <row r="42" spans="1:7" ht="13.5" hidden="1" thickBot="1" x14ac:dyDescent="0.25">
      <c r="A42" t="s">
        <v>62</v>
      </c>
      <c r="B42" s="50">
        <f>SUM(B40:B41)</f>
        <v>651178.26</v>
      </c>
      <c r="C42" s="50">
        <f>SUM(C40:C41)</f>
        <v>17677</v>
      </c>
      <c r="D42" s="27"/>
      <c r="E42" s="49">
        <f>SUM(E40:E41)</f>
        <v>781361.28</v>
      </c>
      <c r="F42" s="50">
        <f t="shared" ref="F42" si="0">SUM(F40:F41)</f>
        <v>17677</v>
      </c>
      <c r="G42" s="27"/>
    </row>
    <row r="43" spans="1:7" x14ac:dyDescent="0.2">
      <c r="B43" s="2"/>
      <c r="C43" s="3"/>
    </row>
    <row r="44" spans="1:7" x14ac:dyDescent="0.2">
      <c r="A44" s="2" t="s">
        <v>81</v>
      </c>
      <c r="B44" s="2">
        <v>750859</v>
      </c>
      <c r="C44" s="2">
        <v>19339</v>
      </c>
      <c r="D44" s="3">
        <f>B44/C44-0.01</f>
        <v>38.816154403019809</v>
      </c>
      <c r="E44" s="2">
        <v>841605</v>
      </c>
      <c r="F44" s="2">
        <v>19339</v>
      </c>
      <c r="G44" s="3">
        <f>E44/F44</f>
        <v>43.518537669993279</v>
      </c>
    </row>
    <row r="45" spans="1:7" x14ac:dyDescent="0.2">
      <c r="A45" s="2" t="s">
        <v>15</v>
      </c>
      <c r="B45" s="2">
        <v>23282</v>
      </c>
      <c r="C45" s="2">
        <v>195</v>
      </c>
      <c r="D45" s="3">
        <f>B45/C45</f>
        <v>119.39487179487179</v>
      </c>
      <c r="E45" s="2">
        <v>26099</v>
      </c>
      <c r="F45" s="2">
        <v>195</v>
      </c>
      <c r="G45" s="3">
        <f>E45/F45</f>
        <v>133.84102564102565</v>
      </c>
    </row>
    <row r="46" spans="1:7" x14ac:dyDescent="0.2">
      <c r="A46" s="2" t="s">
        <v>16</v>
      </c>
      <c r="B46" s="2">
        <v>5589</v>
      </c>
      <c r="C46" s="2">
        <v>46</v>
      </c>
      <c r="D46" s="3">
        <f>B46/C46</f>
        <v>121.5</v>
      </c>
      <c r="E46" s="2">
        <v>6266</v>
      </c>
      <c r="F46" s="2">
        <v>46</v>
      </c>
      <c r="G46" s="3">
        <f>E46/F46</f>
        <v>136.21739130434781</v>
      </c>
    </row>
    <row r="47" spans="1:7" x14ac:dyDescent="0.2">
      <c r="A47" s="2" t="s">
        <v>17</v>
      </c>
      <c r="B47" s="35">
        <v>32711</v>
      </c>
      <c r="C47" s="35">
        <v>177</v>
      </c>
      <c r="D47" s="3">
        <f>B47/C47</f>
        <v>184.80790960451978</v>
      </c>
      <c r="E47" s="35">
        <v>36671</v>
      </c>
      <c r="F47" s="2">
        <v>177</v>
      </c>
      <c r="G47" s="3">
        <f>E47/F47</f>
        <v>207.18079096045199</v>
      </c>
    </row>
    <row r="48" spans="1:7" ht="13.5" thickBot="1" x14ac:dyDescent="0.25">
      <c r="A48" s="2" t="s">
        <v>75</v>
      </c>
      <c r="B48" s="51">
        <f>SUM(B44:B47)</f>
        <v>812441</v>
      </c>
      <c r="C48" s="50">
        <f>SUM(C44:C47)</f>
        <v>19757</v>
      </c>
      <c r="D48" s="2"/>
      <c r="E48" s="51">
        <f>SUM(E44:E47)</f>
        <v>910641</v>
      </c>
      <c r="F48" s="50">
        <f>SUM(F44:F47)</f>
        <v>19757</v>
      </c>
    </row>
    <row r="49" spans="1:6" ht="13.5" thickTop="1" x14ac:dyDescent="0.2">
      <c r="A49" s="2"/>
      <c r="B49" s="47"/>
      <c r="C49" s="47"/>
      <c r="D49" s="2"/>
      <c r="E49" s="47"/>
      <c r="F49" s="47"/>
    </row>
    <row r="50" spans="1:6" ht="13.5" thickBot="1" x14ac:dyDescent="0.25">
      <c r="A50" s="9" t="s">
        <v>76</v>
      </c>
      <c r="D50" s="2"/>
      <c r="E50" s="49">
        <f>E48-B48</f>
        <v>98200</v>
      </c>
    </row>
    <row r="51" spans="1:6" ht="13.5" thickTop="1" x14ac:dyDescent="0.2"/>
  </sheetData>
  <pageMargins left="0.25" right="0.25" top="0.75" bottom="0.75" header="0.3" footer="0.3"/>
  <pageSetup orientation="portrait" r:id="rId1"/>
  <headerFooter>
    <oddHeader xml:space="preserve">&amp;C&amp;"Arial,Bold"&amp;11Grant County Sanitary Sewer District&amp;R&amp;"Arial,Bold"Response to 28
City of Crittenden Requests
Witness - Debbra Dedden, CPA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62252D-C1D2-435B-BC61-72EA2F1A1717}">
  <dimension ref="A3:J40"/>
  <sheetViews>
    <sheetView zoomScaleNormal="100" workbookViewId="0"/>
  </sheetViews>
  <sheetFormatPr defaultRowHeight="12.75" x14ac:dyDescent="0.2"/>
  <cols>
    <col min="1" max="1" width="11" style="9" bestFit="1" customWidth="1"/>
    <col min="2" max="3" width="9.7109375" style="9" customWidth="1"/>
    <col min="4" max="4" width="14.42578125" style="9" hidden="1" customWidth="1"/>
    <col min="5" max="9" width="9.7109375" style="9" customWidth="1"/>
    <col min="10" max="10" width="10.140625" style="9" bestFit="1" customWidth="1"/>
    <col min="11" max="16384" width="9.140625" style="9"/>
  </cols>
  <sheetData>
    <row r="3" spans="1:9" ht="24.95" customHeight="1" x14ac:dyDescent="0.2">
      <c r="A3" s="10"/>
      <c r="B3" s="11" t="s">
        <v>18</v>
      </c>
      <c r="C3" s="11"/>
      <c r="D3" s="11"/>
      <c r="E3" s="11"/>
      <c r="F3" s="11"/>
      <c r="G3" s="11"/>
      <c r="H3" s="11"/>
      <c r="I3" s="12"/>
    </row>
    <row r="4" spans="1:9" ht="24.95" customHeight="1" x14ac:dyDescent="0.2">
      <c r="A4" s="13"/>
      <c r="B4" s="14"/>
      <c r="C4" s="14" t="s">
        <v>19</v>
      </c>
      <c r="D4" s="14"/>
      <c r="E4" s="14"/>
      <c r="F4" s="14"/>
      <c r="G4" s="14"/>
      <c r="H4" s="14"/>
      <c r="I4" s="15"/>
    </row>
    <row r="5" spans="1:9" ht="24.95" customHeight="1" x14ac:dyDescent="0.2">
      <c r="A5" s="10" t="s">
        <v>40</v>
      </c>
      <c r="B5" s="11"/>
      <c r="C5" s="11"/>
      <c r="D5" s="11"/>
      <c r="E5" s="11"/>
      <c r="F5" s="11"/>
      <c r="G5" s="11"/>
      <c r="H5" s="11"/>
      <c r="I5" s="16" t="s">
        <v>20</v>
      </c>
    </row>
    <row r="6" spans="1:9" x14ac:dyDescent="0.2">
      <c r="A6" s="10"/>
      <c r="I6" s="12"/>
    </row>
    <row r="7" spans="1:9" ht="20.100000000000001" customHeight="1" x14ac:dyDescent="0.2">
      <c r="A7" s="17"/>
      <c r="B7" s="18" t="s">
        <v>21</v>
      </c>
      <c r="C7" s="18" t="s">
        <v>22</v>
      </c>
      <c r="D7" s="17">
        <v>2</v>
      </c>
      <c r="E7" s="17">
        <v>2</v>
      </c>
      <c r="F7" s="17">
        <v>3</v>
      </c>
      <c r="G7" s="17">
        <v>5</v>
      </c>
      <c r="H7" s="17">
        <v>10</v>
      </c>
      <c r="I7" s="17"/>
    </row>
    <row r="8" spans="1:9" ht="20.100000000000001" customHeight="1" x14ac:dyDescent="0.2">
      <c r="A8" s="17" t="s">
        <v>23</v>
      </c>
      <c r="B8" s="19">
        <v>7920</v>
      </c>
      <c r="C8" s="19">
        <v>10687</v>
      </c>
      <c r="D8" s="19">
        <f>C8</f>
        <v>10687</v>
      </c>
      <c r="E8" s="19">
        <f>C8</f>
        <v>10687</v>
      </c>
      <c r="F8" s="19"/>
      <c r="G8" s="19"/>
      <c r="H8" s="20"/>
      <c r="I8" s="19"/>
    </row>
    <row r="9" spans="1:9" ht="20.100000000000001" customHeight="1" x14ac:dyDescent="0.2">
      <c r="A9" s="17" t="s">
        <v>24</v>
      </c>
      <c r="B9" s="19">
        <v>8523</v>
      </c>
      <c r="C9" s="19">
        <v>32116</v>
      </c>
      <c r="D9" s="19">
        <f>B9*2</f>
        <v>17046</v>
      </c>
      <c r="E9" s="19">
        <f>B9*2</f>
        <v>17046</v>
      </c>
      <c r="F9" s="19">
        <f>C9-E9</f>
        <v>15070</v>
      </c>
      <c r="G9" s="19"/>
      <c r="H9" s="19"/>
      <c r="I9" s="19"/>
    </row>
    <row r="10" spans="1:9" ht="20.100000000000001" customHeight="1" x14ac:dyDescent="0.2">
      <c r="A10" s="17" t="s">
        <v>25</v>
      </c>
      <c r="B10" s="19">
        <v>2529</v>
      </c>
      <c r="C10" s="19">
        <v>17771</v>
      </c>
      <c r="D10" s="19">
        <f>B10*2</f>
        <v>5058</v>
      </c>
      <c r="E10" s="19">
        <f>B10*2</f>
        <v>5058</v>
      </c>
      <c r="F10" s="19">
        <f>B10*3</f>
        <v>7587</v>
      </c>
      <c r="G10" s="19">
        <f>C10-E10-F10</f>
        <v>5126</v>
      </c>
      <c r="H10" s="19"/>
      <c r="I10" s="19"/>
    </row>
    <row r="11" spans="1:9" ht="20.100000000000001" customHeight="1" x14ac:dyDescent="0.2">
      <c r="A11" s="17" t="s">
        <v>26</v>
      </c>
      <c r="B11" s="19">
        <v>367</v>
      </c>
      <c r="C11" s="19">
        <v>9311</v>
      </c>
      <c r="D11" s="19">
        <f>B11*2</f>
        <v>734</v>
      </c>
      <c r="E11" s="19">
        <f>B11*2</f>
        <v>734</v>
      </c>
      <c r="F11" s="19">
        <f>B11*3</f>
        <v>1101</v>
      </c>
      <c r="G11" s="19">
        <f>B11*5</f>
        <v>1835</v>
      </c>
      <c r="H11" s="19">
        <f>C11-E11-F11-G11</f>
        <v>5641</v>
      </c>
      <c r="I11" s="19"/>
    </row>
    <row r="12" spans="1:9" ht="24.95" customHeight="1" x14ac:dyDescent="0.2">
      <c r="A12" s="17" t="s">
        <v>27</v>
      </c>
      <c r="B12" s="19">
        <f>SUM(B8:B11)</f>
        <v>19339</v>
      </c>
      <c r="C12" s="19">
        <f>SUM(C8:C11)</f>
        <v>69885</v>
      </c>
      <c r="D12" s="19">
        <f ca="1">SUM(D8:D12)</f>
        <v>138085</v>
      </c>
      <c r="E12" s="19">
        <f>SUM(E8:E11)</f>
        <v>33525</v>
      </c>
      <c r="F12" s="19">
        <f>SUM(F8:F11)</f>
        <v>23758</v>
      </c>
      <c r="G12" s="19">
        <f>SUM(G8:G11)</f>
        <v>6961</v>
      </c>
      <c r="H12" s="19">
        <f>SUM(H8:H11)</f>
        <v>5641</v>
      </c>
      <c r="I12" s="19"/>
    </row>
    <row r="13" spans="1:9" x14ac:dyDescent="0.2">
      <c r="A13" s="10" t="s">
        <v>28</v>
      </c>
    </row>
    <row r="14" spans="1:9" s="1" customFormat="1" ht="24.95" customHeight="1" x14ac:dyDescent="0.2">
      <c r="A14" s="18"/>
      <c r="B14" s="18" t="s">
        <v>21</v>
      </c>
      <c r="C14" s="18" t="s">
        <v>22</v>
      </c>
      <c r="D14" s="18" t="s">
        <v>29</v>
      </c>
      <c r="E14" s="18" t="s">
        <v>29</v>
      </c>
      <c r="F14" s="18" t="s">
        <v>30</v>
      </c>
      <c r="G14" s="18"/>
      <c r="H14" s="18"/>
      <c r="I14" s="18"/>
    </row>
    <row r="15" spans="1:9" ht="20.100000000000001" customHeight="1" x14ac:dyDescent="0.2">
      <c r="A15" s="17" t="s">
        <v>23</v>
      </c>
      <c r="B15" s="19">
        <v>19339</v>
      </c>
      <c r="C15" s="19">
        <f>$E$12</f>
        <v>33525</v>
      </c>
      <c r="D15" s="20">
        <v>18.28</v>
      </c>
      <c r="E15" s="20">
        <v>23.24</v>
      </c>
      <c r="F15" s="19">
        <f>B15*E15</f>
        <v>449438.36</v>
      </c>
      <c r="G15" s="20"/>
      <c r="H15" s="20"/>
      <c r="I15" s="21"/>
    </row>
    <row r="16" spans="1:9" ht="20.100000000000001" customHeight="1" x14ac:dyDescent="0.2">
      <c r="A16" s="17" t="s">
        <v>24</v>
      </c>
      <c r="B16" s="22"/>
      <c r="C16" s="19">
        <f>$F$12</f>
        <v>23758</v>
      </c>
      <c r="D16" s="20">
        <v>6.15</v>
      </c>
      <c r="E16" s="20">
        <v>9.11</v>
      </c>
      <c r="F16" s="19">
        <f>C16*E16</f>
        <v>216435.37999999998</v>
      </c>
      <c r="G16" s="20"/>
      <c r="H16" s="20"/>
      <c r="I16" s="21"/>
    </row>
    <row r="17" spans="1:10" ht="20.100000000000001" customHeight="1" x14ac:dyDescent="0.2">
      <c r="A17" s="17" t="s">
        <v>25</v>
      </c>
      <c r="B17" s="22"/>
      <c r="C17" s="19">
        <f>$G$12</f>
        <v>6961</v>
      </c>
      <c r="D17" s="20">
        <v>5.54</v>
      </c>
      <c r="E17" s="20">
        <v>7.46</v>
      </c>
      <c r="F17" s="19">
        <f t="shared" ref="F17:F18" si="0">C17*E17</f>
        <v>51929.06</v>
      </c>
      <c r="G17" s="20"/>
      <c r="H17" s="20"/>
      <c r="I17" s="21"/>
    </row>
    <row r="18" spans="1:10" ht="20.100000000000001" customHeight="1" x14ac:dyDescent="0.2">
      <c r="A18" s="17" t="s">
        <v>26</v>
      </c>
      <c r="B18" s="22"/>
      <c r="C18" s="19">
        <f>$H$12</f>
        <v>5641</v>
      </c>
      <c r="D18" s="20">
        <v>4.93</v>
      </c>
      <c r="E18" s="20">
        <v>5.86</v>
      </c>
      <c r="F18" s="19">
        <f t="shared" si="0"/>
        <v>33056.26</v>
      </c>
      <c r="G18" s="20"/>
      <c r="H18" s="20"/>
      <c r="I18" s="21"/>
      <c r="J18" s="27">
        <v>750859.7</v>
      </c>
    </row>
    <row r="19" spans="1:10" ht="24.95" customHeight="1" x14ac:dyDescent="0.2">
      <c r="A19" s="17" t="s">
        <v>27</v>
      </c>
      <c r="B19" s="22"/>
      <c r="C19" s="19">
        <f>SUM(C15:C18)</f>
        <v>69885</v>
      </c>
      <c r="D19" s="19"/>
      <c r="E19" s="19"/>
      <c r="F19" s="19">
        <f>SUM(F15:F18)</f>
        <v>750859.06</v>
      </c>
      <c r="G19" s="17"/>
      <c r="H19" s="23"/>
      <c r="I19" s="24"/>
      <c r="J19" s="27">
        <f>F19+I19</f>
        <v>750859.06</v>
      </c>
    </row>
    <row r="20" spans="1:10" hidden="1" x14ac:dyDescent="0.2">
      <c r="A20" s="9" t="s">
        <v>31</v>
      </c>
      <c r="B20" s="9" t="s">
        <v>32</v>
      </c>
    </row>
    <row r="21" spans="1:10" ht="24.95" hidden="1" customHeight="1" x14ac:dyDescent="0.2">
      <c r="A21" s="18"/>
      <c r="B21" s="18" t="s">
        <v>21</v>
      </c>
      <c r="C21" s="18" t="s">
        <v>22</v>
      </c>
      <c r="D21" s="18" t="s">
        <v>29</v>
      </c>
      <c r="E21" s="18" t="s">
        <v>29</v>
      </c>
      <c r="F21" s="18" t="s">
        <v>30</v>
      </c>
      <c r="G21" s="18"/>
      <c r="H21" s="18"/>
      <c r="I21" s="18"/>
    </row>
    <row r="22" spans="1:10" ht="24.95" hidden="1" customHeight="1" x14ac:dyDescent="0.2">
      <c r="A22" s="17" t="s">
        <v>23</v>
      </c>
      <c r="B22" s="19">
        <f>$B$12</f>
        <v>19339</v>
      </c>
      <c r="C22" s="19">
        <f>$E$12</f>
        <v>33525</v>
      </c>
      <c r="D22" s="20">
        <v>18.28</v>
      </c>
      <c r="E22" s="20">
        <v>23.17</v>
      </c>
      <c r="F22" s="19">
        <f>B22*E22</f>
        <v>448084.63</v>
      </c>
      <c r="G22" s="20"/>
      <c r="H22" s="20"/>
      <c r="I22" s="21"/>
    </row>
    <row r="23" spans="1:10" ht="24.95" hidden="1" customHeight="1" x14ac:dyDescent="0.2">
      <c r="A23" s="17" t="s">
        <v>24</v>
      </c>
      <c r="B23" s="22"/>
      <c r="C23" s="19">
        <f>$F$12</f>
        <v>23758</v>
      </c>
      <c r="D23" s="20">
        <v>6.15</v>
      </c>
      <c r="E23" s="20">
        <v>9.08</v>
      </c>
      <c r="F23" s="19">
        <f>C23*E23</f>
        <v>215722.64</v>
      </c>
      <c r="G23" s="20"/>
      <c r="H23" s="20"/>
      <c r="I23" s="21"/>
    </row>
    <row r="24" spans="1:10" ht="24.95" hidden="1" customHeight="1" x14ac:dyDescent="0.2">
      <c r="A24" s="17" t="s">
        <v>25</v>
      </c>
      <c r="B24" s="22"/>
      <c r="C24" s="19">
        <f>$G$12</f>
        <v>6961</v>
      </c>
      <c r="D24" s="20">
        <v>5.54</v>
      </c>
      <c r="E24" s="20">
        <v>7.44</v>
      </c>
      <c r="F24" s="19">
        <f>C24*E24</f>
        <v>51789.840000000004</v>
      </c>
      <c r="G24" s="20"/>
      <c r="H24" s="20"/>
      <c r="I24" s="21"/>
    </row>
    <row r="25" spans="1:10" ht="24.95" hidden="1" customHeight="1" x14ac:dyDescent="0.2">
      <c r="A25" s="17" t="s">
        <v>26</v>
      </c>
      <c r="B25" s="22"/>
      <c r="C25" s="19">
        <f>$H$12</f>
        <v>5641</v>
      </c>
      <c r="D25" s="20">
        <v>4.93</v>
      </c>
      <c r="E25" s="20">
        <v>5.84</v>
      </c>
      <c r="F25" s="19">
        <f>C25*E25</f>
        <v>32943.440000000002</v>
      </c>
      <c r="G25" s="20"/>
      <c r="H25" s="20"/>
      <c r="I25" s="21"/>
    </row>
    <row r="26" spans="1:10" ht="24.95" hidden="1" customHeight="1" x14ac:dyDescent="0.2">
      <c r="A26" s="17" t="s">
        <v>27</v>
      </c>
      <c r="B26" s="22"/>
      <c r="C26" s="19">
        <f>SUM(C22:C25)</f>
        <v>69885</v>
      </c>
      <c r="D26" s="19"/>
      <c r="E26" s="19"/>
      <c r="F26" s="19">
        <f>SUM(F22:F25)</f>
        <v>748540.55</v>
      </c>
      <c r="G26" s="17"/>
      <c r="H26" s="17"/>
      <c r="I26" s="17"/>
    </row>
    <row r="27" spans="1:10" hidden="1" x14ac:dyDescent="0.2">
      <c r="A27" s="9" t="s">
        <v>31</v>
      </c>
      <c r="B27" s="9" t="s">
        <v>33</v>
      </c>
    </row>
    <row r="28" spans="1:10" ht="24.95" hidden="1" customHeight="1" x14ac:dyDescent="0.2">
      <c r="A28" s="18"/>
      <c r="B28" s="18" t="s">
        <v>21</v>
      </c>
      <c r="C28" s="18" t="s">
        <v>22</v>
      </c>
      <c r="D28" s="18" t="s">
        <v>29</v>
      </c>
      <c r="E28" s="18" t="s">
        <v>29</v>
      </c>
      <c r="F28" s="18" t="s">
        <v>30</v>
      </c>
      <c r="G28" s="18"/>
      <c r="H28" s="18"/>
      <c r="I28" s="18"/>
    </row>
    <row r="29" spans="1:10" ht="24.95" hidden="1" customHeight="1" x14ac:dyDescent="0.2">
      <c r="A29" s="17" t="s">
        <v>23</v>
      </c>
      <c r="B29" s="19">
        <f>$B$12</f>
        <v>19339</v>
      </c>
      <c r="C29" s="19">
        <f>$E$12</f>
        <v>33525</v>
      </c>
      <c r="D29" s="20">
        <v>18.28</v>
      </c>
      <c r="E29" s="20">
        <v>23.59</v>
      </c>
      <c r="F29" s="19">
        <f>B29*E29</f>
        <v>456207.01</v>
      </c>
      <c r="G29" s="20"/>
      <c r="H29" s="20"/>
      <c r="I29" s="21"/>
    </row>
    <row r="30" spans="1:10" ht="24.95" hidden="1" customHeight="1" x14ac:dyDescent="0.2">
      <c r="A30" s="17" t="s">
        <v>24</v>
      </c>
      <c r="B30" s="22"/>
      <c r="C30" s="19">
        <f>$F$12</f>
        <v>23758</v>
      </c>
      <c r="D30" s="20">
        <v>6.15</v>
      </c>
      <c r="E30" s="20">
        <v>9.24</v>
      </c>
      <c r="F30" s="19">
        <f>C30*E30</f>
        <v>219523.92</v>
      </c>
      <c r="G30" s="20"/>
      <c r="H30" s="20"/>
      <c r="I30" s="21"/>
    </row>
    <row r="31" spans="1:10" ht="24.95" hidden="1" customHeight="1" x14ac:dyDescent="0.2">
      <c r="A31" s="17" t="s">
        <v>25</v>
      </c>
      <c r="B31" s="22"/>
      <c r="C31" s="19">
        <f>$G$12</f>
        <v>6961</v>
      </c>
      <c r="D31" s="20">
        <v>5.54</v>
      </c>
      <c r="E31" s="20">
        <v>7.57</v>
      </c>
      <c r="F31" s="19">
        <f>C31*E31</f>
        <v>52694.770000000004</v>
      </c>
      <c r="G31" s="20"/>
      <c r="H31" s="20"/>
      <c r="I31" s="21"/>
    </row>
    <row r="32" spans="1:10" ht="24.95" hidden="1" customHeight="1" x14ac:dyDescent="0.2">
      <c r="A32" s="17" t="s">
        <v>26</v>
      </c>
      <c r="B32" s="22"/>
      <c r="C32" s="19">
        <f>$H$12</f>
        <v>5641</v>
      </c>
      <c r="D32" s="20">
        <v>4.93</v>
      </c>
      <c r="E32" s="20">
        <v>5.95</v>
      </c>
      <c r="F32" s="19">
        <f>C32*E32</f>
        <v>33563.950000000004</v>
      </c>
      <c r="G32" s="20"/>
      <c r="H32" s="20"/>
      <c r="I32" s="21"/>
    </row>
    <row r="33" spans="1:10" ht="24.95" hidden="1" customHeight="1" x14ac:dyDescent="0.2">
      <c r="A33" s="17" t="s">
        <v>27</v>
      </c>
      <c r="B33" s="22"/>
      <c r="C33" s="19">
        <f>SUM(C29:C32)</f>
        <v>69885</v>
      </c>
      <c r="D33" s="19"/>
      <c r="E33" s="19"/>
      <c r="F33" s="19">
        <f>SUM(F29:F32)</f>
        <v>761989.65</v>
      </c>
      <c r="G33" s="17"/>
      <c r="H33" s="17"/>
      <c r="I33" s="17"/>
    </row>
    <row r="34" spans="1:10" x14ac:dyDescent="0.2">
      <c r="A34" s="9" t="s">
        <v>31</v>
      </c>
      <c r="B34" s="9" t="s">
        <v>85</v>
      </c>
      <c r="J34" s="28" t="s">
        <v>82</v>
      </c>
    </row>
    <row r="35" spans="1:10" ht="24.95" customHeight="1" x14ac:dyDescent="0.2">
      <c r="A35" s="18"/>
      <c r="B35" s="18" t="s">
        <v>21</v>
      </c>
      <c r="C35" s="18" t="s">
        <v>22</v>
      </c>
      <c r="D35" s="18" t="s">
        <v>29</v>
      </c>
      <c r="E35" s="18" t="s">
        <v>29</v>
      </c>
      <c r="F35" s="18" t="s">
        <v>30</v>
      </c>
      <c r="G35" s="18"/>
      <c r="H35" s="18"/>
      <c r="I35" s="18"/>
    </row>
    <row r="36" spans="1:10" ht="24.95" customHeight="1" x14ac:dyDescent="0.2">
      <c r="A36" s="17" t="s">
        <v>23</v>
      </c>
      <c r="B36" s="19">
        <v>19339</v>
      </c>
      <c r="C36" s="19">
        <f>$E$12</f>
        <v>33525</v>
      </c>
      <c r="D36" s="20">
        <v>18.28</v>
      </c>
      <c r="E36" s="20">
        <f>23.24*1.121</f>
        <v>26.052039999999998</v>
      </c>
      <c r="F36" s="19">
        <f>B36*26.05</f>
        <v>503780.95</v>
      </c>
      <c r="G36" s="20"/>
      <c r="H36" s="20"/>
      <c r="I36" s="21"/>
    </row>
    <row r="37" spans="1:10" ht="24.95" customHeight="1" x14ac:dyDescent="0.2">
      <c r="A37" s="17" t="s">
        <v>24</v>
      </c>
      <c r="B37" s="22"/>
      <c r="C37" s="19">
        <f>$F$12</f>
        <v>23758</v>
      </c>
      <c r="D37" s="20">
        <v>6.15</v>
      </c>
      <c r="E37" s="20">
        <f>E16*1.121</f>
        <v>10.212309999999999</v>
      </c>
      <c r="F37" s="19">
        <f>C37*10.21</f>
        <v>242569.18000000002</v>
      </c>
      <c r="G37" s="20"/>
      <c r="H37" s="20"/>
      <c r="I37" s="21"/>
    </row>
    <row r="38" spans="1:10" ht="24.95" customHeight="1" x14ac:dyDescent="0.2">
      <c r="A38" s="17" t="s">
        <v>25</v>
      </c>
      <c r="B38" s="22"/>
      <c r="C38" s="19">
        <f>$G$12</f>
        <v>6961</v>
      </c>
      <c r="D38" s="20">
        <v>5.54</v>
      </c>
      <c r="E38" s="20">
        <f>E17*1.121</f>
        <v>8.36266</v>
      </c>
      <c r="F38" s="19">
        <f>C38*8.36</f>
        <v>58193.96</v>
      </c>
      <c r="G38" s="20"/>
      <c r="H38" s="20"/>
      <c r="I38" s="21"/>
    </row>
    <row r="39" spans="1:10" ht="24.95" customHeight="1" x14ac:dyDescent="0.2">
      <c r="A39" s="17" t="s">
        <v>26</v>
      </c>
      <c r="B39" s="22"/>
      <c r="C39" s="19">
        <f>$H$12</f>
        <v>5641</v>
      </c>
      <c r="D39" s="20">
        <v>4.93</v>
      </c>
      <c r="E39" s="20">
        <f>E18*1.121</f>
        <v>6.5690600000000003</v>
      </c>
      <c r="F39" s="19">
        <f>C39*6.57</f>
        <v>37061.370000000003</v>
      </c>
      <c r="G39" s="20"/>
      <c r="H39" s="20"/>
      <c r="I39" s="21"/>
    </row>
    <row r="40" spans="1:10" ht="24.95" customHeight="1" x14ac:dyDescent="0.2">
      <c r="A40" s="17" t="s">
        <v>27</v>
      </c>
      <c r="B40" s="22"/>
      <c r="C40" s="19">
        <f>SUM(C36:C39)</f>
        <v>69885</v>
      </c>
      <c r="D40" s="19"/>
      <c r="E40" s="19"/>
      <c r="F40" s="19">
        <f>SUM(F36:F39)</f>
        <v>841605.46</v>
      </c>
      <c r="G40" s="17"/>
      <c r="H40" s="23"/>
      <c r="I40" s="24"/>
      <c r="J40" s="27">
        <f>F40+I40</f>
        <v>841605.46</v>
      </c>
    </row>
  </sheetData>
  <pageMargins left="0.75" right="0.75" top="1" bottom="1" header="0.5" footer="0.5"/>
  <pageSetup orientation="portrait" r:id="rId1"/>
  <headerFooter alignWithMargins="0">
    <oddHeader xml:space="preserve">&amp;R&amp;"Arial,Bold"Response to 28
City of Crittenden Requests
Witness - Debbra Dedden, CPA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C046F0-4BAA-478F-8584-7EA8D835D97B}">
  <sheetPr>
    <pageSetUpPr fitToPage="1"/>
  </sheetPr>
  <dimension ref="A3:T110"/>
  <sheetViews>
    <sheetView workbookViewId="0">
      <selection activeCell="T18" sqref="T18"/>
    </sheetView>
  </sheetViews>
  <sheetFormatPr defaultRowHeight="12.75" x14ac:dyDescent="0.2"/>
  <cols>
    <col min="1" max="1" width="13" customWidth="1"/>
    <col min="2" max="2" width="11.42578125" customWidth="1"/>
    <col min="4" max="4" width="3.7109375" customWidth="1"/>
    <col min="5" max="5" width="11.5703125" customWidth="1"/>
    <col min="8" max="8" width="3.7109375" customWidth="1"/>
    <col min="9" max="9" width="11.5703125" customWidth="1"/>
    <col min="12" max="12" width="3.7109375" customWidth="1"/>
    <col min="13" max="13" width="11" customWidth="1"/>
    <col min="16" max="16" width="3.7109375" customWidth="1"/>
    <col min="17" max="17" width="11" customWidth="1"/>
    <col min="20" max="20" width="10.140625" bestFit="1" customWidth="1"/>
  </cols>
  <sheetData>
    <row r="3" spans="1:20" x14ac:dyDescent="0.2">
      <c r="A3" s="26" t="s">
        <v>20</v>
      </c>
    </row>
    <row r="4" spans="1:20" x14ac:dyDescent="0.2">
      <c r="A4" s="10" t="s">
        <v>35</v>
      </c>
      <c r="B4" s="11"/>
      <c r="C4" s="11"/>
    </row>
    <row r="5" spans="1:20" x14ac:dyDescent="0.2">
      <c r="A5" s="10"/>
      <c r="B5" s="9"/>
      <c r="C5" s="9"/>
    </row>
    <row r="6" spans="1:20" x14ac:dyDescent="0.2">
      <c r="A6" s="17"/>
      <c r="B6" s="18" t="s">
        <v>21</v>
      </c>
      <c r="C6" s="18" t="s">
        <v>22</v>
      </c>
      <c r="E6" s="17"/>
      <c r="F6" s="18" t="s">
        <v>21</v>
      </c>
      <c r="G6" s="18" t="s">
        <v>22</v>
      </c>
      <c r="I6" s="17"/>
      <c r="J6" s="18" t="s">
        <v>21</v>
      </c>
      <c r="K6" s="18" t="s">
        <v>22</v>
      </c>
      <c r="M6" s="17"/>
      <c r="N6" s="18" t="s">
        <v>21</v>
      </c>
      <c r="O6" s="18" t="s">
        <v>22</v>
      </c>
      <c r="Q6" s="17"/>
      <c r="R6" s="18" t="s">
        <v>21</v>
      </c>
      <c r="S6" s="18" t="s">
        <v>22</v>
      </c>
      <c r="T6" s="18" t="s">
        <v>34</v>
      </c>
    </row>
    <row r="7" spans="1:20" x14ac:dyDescent="0.2">
      <c r="A7" s="17" t="s">
        <v>23</v>
      </c>
      <c r="B7" s="19"/>
      <c r="C7" s="19"/>
      <c r="E7" s="17" t="s">
        <v>24</v>
      </c>
      <c r="F7" s="19"/>
      <c r="G7" s="19"/>
      <c r="I7" s="17" t="s">
        <v>25</v>
      </c>
      <c r="J7" s="19"/>
      <c r="K7" s="19"/>
      <c r="M7" s="17" t="s">
        <v>26</v>
      </c>
      <c r="N7" s="19"/>
      <c r="O7" s="19"/>
      <c r="Q7" s="17" t="s">
        <v>26</v>
      </c>
      <c r="R7" s="19"/>
      <c r="S7" s="19"/>
      <c r="T7" s="19"/>
    </row>
    <row r="8" spans="1:20" x14ac:dyDescent="0.2">
      <c r="A8" s="17" t="s">
        <v>0</v>
      </c>
      <c r="B8" s="19">
        <v>500</v>
      </c>
      <c r="C8" s="19">
        <v>702</v>
      </c>
      <c r="E8" s="17" t="s">
        <v>0</v>
      </c>
      <c r="F8" s="19">
        <v>712</v>
      </c>
      <c r="G8" s="19">
        <v>2737</v>
      </c>
      <c r="I8" s="17" t="s">
        <v>0</v>
      </c>
      <c r="J8" s="19">
        <v>253</v>
      </c>
      <c r="K8" s="19">
        <v>1771</v>
      </c>
      <c r="M8" s="17" t="s">
        <v>0</v>
      </c>
      <c r="N8" s="19">
        <v>37</v>
      </c>
      <c r="O8" s="19">
        <f>395+1125</f>
        <v>1520</v>
      </c>
      <c r="Q8" s="17" t="s">
        <v>0</v>
      </c>
      <c r="R8" s="19">
        <f>B8+F8+J8+N8</f>
        <v>1502</v>
      </c>
      <c r="S8" s="19">
        <f>C8+G8+K8+O8</f>
        <v>6730</v>
      </c>
      <c r="T8" s="25">
        <v>66687.47</v>
      </c>
    </row>
    <row r="9" spans="1:20" x14ac:dyDescent="0.2">
      <c r="A9" s="17" t="s">
        <v>1</v>
      </c>
      <c r="B9" s="19">
        <v>511</v>
      </c>
      <c r="C9" s="19">
        <v>753</v>
      </c>
      <c r="E9" s="17" t="s">
        <v>1</v>
      </c>
      <c r="F9" s="19">
        <v>711</v>
      </c>
      <c r="G9" s="19">
        <v>2752</v>
      </c>
      <c r="I9" s="17" t="s">
        <v>1</v>
      </c>
      <c r="J9" s="19">
        <v>251</v>
      </c>
      <c r="K9" s="19">
        <v>1790</v>
      </c>
      <c r="M9" s="17" t="s">
        <v>1</v>
      </c>
      <c r="N9" s="19">
        <f>26+5</f>
        <v>31</v>
      </c>
      <c r="O9" s="19">
        <f>341+637</f>
        <v>978</v>
      </c>
      <c r="Q9" s="17" t="s">
        <v>1</v>
      </c>
      <c r="R9" s="19">
        <f t="shared" ref="R9:R19" si="0">B9+F9+J9+N9</f>
        <v>1504</v>
      </c>
      <c r="S9" s="19">
        <f t="shared" ref="S9:S19" si="1">C9+G9+K9+O9</f>
        <v>6273</v>
      </c>
      <c r="T9" s="25">
        <v>63838.2</v>
      </c>
    </row>
    <row r="10" spans="1:20" x14ac:dyDescent="0.2">
      <c r="A10" s="17" t="s">
        <v>2</v>
      </c>
      <c r="B10" s="19">
        <v>624</v>
      </c>
      <c r="C10" s="19">
        <v>979</v>
      </c>
      <c r="E10" s="17" t="s">
        <v>2</v>
      </c>
      <c r="F10" s="19">
        <v>666</v>
      </c>
      <c r="G10" s="19">
        <v>2390</v>
      </c>
      <c r="I10" s="17" t="s">
        <v>2</v>
      </c>
      <c r="J10" s="19">
        <v>180</v>
      </c>
      <c r="K10" s="19">
        <v>1242</v>
      </c>
      <c r="M10" s="17" t="s">
        <v>2</v>
      </c>
      <c r="N10" s="19">
        <v>27</v>
      </c>
      <c r="O10" s="19">
        <v>394</v>
      </c>
      <c r="Q10" s="17" t="s">
        <v>2</v>
      </c>
      <c r="R10" s="19">
        <f t="shared" si="0"/>
        <v>1497</v>
      </c>
      <c r="S10" s="19">
        <f t="shared" si="1"/>
        <v>5005</v>
      </c>
      <c r="T10" s="25">
        <v>54370.97</v>
      </c>
    </row>
    <row r="11" spans="1:20" x14ac:dyDescent="0.2">
      <c r="A11" s="17" t="s">
        <v>3</v>
      </c>
      <c r="B11" s="19">
        <v>541</v>
      </c>
      <c r="C11" s="19">
        <v>816</v>
      </c>
      <c r="E11" s="17" t="s">
        <v>3</v>
      </c>
      <c r="F11" s="19">
        <v>720</v>
      </c>
      <c r="G11" s="19">
        <v>2751</v>
      </c>
      <c r="I11" s="17" t="s">
        <v>3</v>
      </c>
      <c r="J11" s="19">
        <v>217</v>
      </c>
      <c r="K11" s="19">
        <v>1561</v>
      </c>
      <c r="M11" s="17" t="s">
        <v>3</v>
      </c>
      <c r="N11" s="19">
        <f>18+3</f>
        <v>21</v>
      </c>
      <c r="O11" s="19">
        <f>229+70</f>
        <v>299</v>
      </c>
      <c r="Q11" s="17" t="s">
        <v>3</v>
      </c>
      <c r="R11" s="19">
        <f t="shared" si="0"/>
        <v>1499</v>
      </c>
      <c r="S11" s="19">
        <f t="shared" si="1"/>
        <v>5427</v>
      </c>
      <c r="T11" s="25">
        <v>58140.31</v>
      </c>
    </row>
    <row r="12" spans="1:20" x14ac:dyDescent="0.2">
      <c r="A12" s="17" t="s">
        <v>4</v>
      </c>
      <c r="B12" s="19">
        <v>658</v>
      </c>
      <c r="C12" s="19">
        <v>972</v>
      </c>
      <c r="E12" s="17" t="s">
        <v>4</v>
      </c>
      <c r="F12" s="19">
        <v>682</v>
      </c>
      <c r="G12" s="19">
        <v>2535</v>
      </c>
      <c r="I12" s="17" t="s">
        <v>4</v>
      </c>
      <c r="J12" s="19">
        <v>151</v>
      </c>
      <c r="K12" s="19">
        <v>1056</v>
      </c>
      <c r="M12" s="17" t="s">
        <v>4</v>
      </c>
      <c r="N12" s="19">
        <f>9+2</f>
        <v>11</v>
      </c>
      <c r="O12" s="19">
        <f>122+47</f>
        <v>169</v>
      </c>
      <c r="Q12" s="17" t="s">
        <v>4</v>
      </c>
      <c r="R12" s="19">
        <f t="shared" si="0"/>
        <v>1502</v>
      </c>
      <c r="S12" s="19">
        <f t="shared" si="1"/>
        <v>4732</v>
      </c>
      <c r="T12" s="25">
        <v>53003.25</v>
      </c>
    </row>
    <row r="13" spans="1:20" x14ac:dyDescent="0.2">
      <c r="A13" s="17" t="s">
        <v>5</v>
      </c>
      <c r="B13" s="19">
        <v>489</v>
      </c>
      <c r="C13" s="19">
        <v>716</v>
      </c>
      <c r="E13" s="17" t="s">
        <v>5</v>
      </c>
      <c r="F13" s="19">
        <v>724</v>
      </c>
      <c r="G13" s="19">
        <v>2802</v>
      </c>
      <c r="I13" s="17" t="s">
        <v>5</v>
      </c>
      <c r="J13" s="19">
        <v>251</v>
      </c>
      <c r="K13" s="19">
        <v>1818</v>
      </c>
      <c r="M13" s="17" t="s">
        <v>5</v>
      </c>
      <c r="N13" s="19">
        <f>42+2</f>
        <v>44</v>
      </c>
      <c r="O13" s="19">
        <f>539+460</f>
        <v>999</v>
      </c>
      <c r="Q13" s="17" t="s">
        <v>5</v>
      </c>
      <c r="R13" s="19">
        <f t="shared" si="0"/>
        <v>1508</v>
      </c>
      <c r="S13" s="19">
        <f t="shared" si="1"/>
        <v>6335</v>
      </c>
      <c r="T13" s="25">
        <v>64560.13</v>
      </c>
    </row>
    <row r="14" spans="1:20" x14ac:dyDescent="0.2">
      <c r="A14" s="17" t="s">
        <v>6</v>
      </c>
      <c r="B14" s="19">
        <v>626</v>
      </c>
      <c r="C14" s="19">
        <v>899</v>
      </c>
      <c r="E14" s="17" t="s">
        <v>6</v>
      </c>
      <c r="F14" s="19">
        <v>668</v>
      </c>
      <c r="G14" s="19">
        <v>2480</v>
      </c>
      <c r="I14" s="17" t="s">
        <v>6</v>
      </c>
      <c r="J14" s="19">
        <v>182</v>
      </c>
      <c r="K14" s="19">
        <v>1272</v>
      </c>
      <c r="M14" s="17" t="s">
        <v>6</v>
      </c>
      <c r="N14" s="19">
        <f>26+2</f>
        <v>28</v>
      </c>
      <c r="O14" s="19">
        <f>383+61</f>
        <v>444</v>
      </c>
      <c r="Q14" s="17" t="s">
        <v>6</v>
      </c>
      <c r="R14" s="19">
        <f t="shared" si="0"/>
        <v>1504</v>
      </c>
      <c r="S14" s="19">
        <f t="shared" si="1"/>
        <v>5095</v>
      </c>
      <c r="T14" s="25">
        <v>55820.06</v>
      </c>
    </row>
    <row r="15" spans="1:20" x14ac:dyDescent="0.2">
      <c r="A15" s="17" t="s">
        <v>7</v>
      </c>
      <c r="B15" s="19">
        <v>563</v>
      </c>
      <c r="C15" s="19">
        <v>804</v>
      </c>
      <c r="E15" s="17" t="s">
        <v>7</v>
      </c>
      <c r="F15" s="19">
        <v>685</v>
      </c>
      <c r="G15" s="19">
        <v>2602</v>
      </c>
      <c r="I15" s="17" t="s">
        <v>7</v>
      </c>
      <c r="J15" s="19">
        <v>221</v>
      </c>
      <c r="K15" s="19">
        <v>1563</v>
      </c>
      <c r="M15" s="17" t="s">
        <v>7</v>
      </c>
      <c r="N15" s="19">
        <f>27+6</f>
        <v>33</v>
      </c>
      <c r="O15" s="19">
        <f>371+174</f>
        <v>545</v>
      </c>
      <c r="Q15" s="17" t="s">
        <v>7</v>
      </c>
      <c r="R15" s="19">
        <f t="shared" si="0"/>
        <v>1502</v>
      </c>
      <c r="S15" s="19">
        <f t="shared" si="1"/>
        <v>5514</v>
      </c>
      <c r="T15" s="25">
        <v>58979.3</v>
      </c>
    </row>
    <row r="16" spans="1:20" x14ac:dyDescent="0.2">
      <c r="A16" s="17" t="s">
        <v>8</v>
      </c>
      <c r="B16" s="19">
        <v>538</v>
      </c>
      <c r="C16" s="19">
        <v>788</v>
      </c>
      <c r="E16" s="17" t="s">
        <v>8</v>
      </c>
      <c r="F16" s="19">
        <v>698</v>
      </c>
      <c r="G16" s="19">
        <v>2660</v>
      </c>
      <c r="I16" s="17" t="s">
        <v>8</v>
      </c>
      <c r="J16" s="19">
        <v>240</v>
      </c>
      <c r="K16" s="19">
        <v>1683</v>
      </c>
      <c r="M16" s="17" t="s">
        <v>8</v>
      </c>
      <c r="N16" s="19">
        <f>19+7</f>
        <v>26</v>
      </c>
      <c r="O16" s="19">
        <f>252+179</f>
        <v>431</v>
      </c>
      <c r="Q16" s="17" t="s">
        <v>8</v>
      </c>
      <c r="R16" s="19">
        <f t="shared" si="0"/>
        <v>1502</v>
      </c>
      <c r="S16" s="19">
        <f t="shared" si="1"/>
        <v>5562</v>
      </c>
      <c r="T16" s="25">
        <v>59266.34</v>
      </c>
    </row>
    <row r="17" spans="1:20" x14ac:dyDescent="0.2">
      <c r="A17" s="17" t="s">
        <v>9</v>
      </c>
      <c r="B17" s="19">
        <v>657</v>
      </c>
      <c r="C17" s="19">
        <v>941</v>
      </c>
      <c r="E17" s="17" t="s">
        <v>9</v>
      </c>
      <c r="F17" s="19">
        <v>679</v>
      </c>
      <c r="G17" s="19">
        <v>2550</v>
      </c>
      <c r="I17" s="17" t="s">
        <v>9</v>
      </c>
      <c r="J17" s="19">
        <v>150</v>
      </c>
      <c r="K17" s="19">
        <v>1014</v>
      </c>
      <c r="M17" s="17" t="s">
        <v>9</v>
      </c>
      <c r="N17" s="19">
        <v>20</v>
      </c>
      <c r="O17" s="19">
        <v>381</v>
      </c>
      <c r="Q17" s="17" t="s">
        <v>9</v>
      </c>
      <c r="R17" s="19">
        <f t="shared" si="0"/>
        <v>1506</v>
      </c>
      <c r="S17" s="19">
        <f t="shared" si="1"/>
        <v>4886</v>
      </c>
      <c r="T17" s="25">
        <v>54269.94</v>
      </c>
    </row>
    <row r="18" spans="1:20" x14ac:dyDescent="0.2">
      <c r="A18" s="17" t="s">
        <v>10</v>
      </c>
      <c r="B18" s="19">
        <v>541</v>
      </c>
      <c r="C18" s="19">
        <v>764</v>
      </c>
      <c r="E18" s="17" t="s">
        <v>10</v>
      </c>
      <c r="F18" s="19">
        <v>711</v>
      </c>
      <c r="G18" s="19">
        <v>2674</v>
      </c>
      <c r="I18" s="17" t="s">
        <v>10</v>
      </c>
      <c r="J18" s="19">
        <v>235</v>
      </c>
      <c r="K18" s="19">
        <v>1618</v>
      </c>
      <c r="M18" s="17" t="s">
        <v>10</v>
      </c>
      <c r="N18" s="19">
        <f>23+2</f>
        <v>25</v>
      </c>
      <c r="O18" s="19">
        <f>288+53</f>
        <v>341</v>
      </c>
      <c r="Q18" s="17" t="s">
        <v>10</v>
      </c>
      <c r="R18" s="19">
        <f t="shared" si="0"/>
        <v>1512</v>
      </c>
      <c r="S18" s="19">
        <f t="shared" si="1"/>
        <v>5397</v>
      </c>
      <c r="T18" s="25">
        <v>58420.94</v>
      </c>
    </row>
    <row r="19" spans="1:20" x14ac:dyDescent="0.2">
      <c r="A19" s="17" t="s">
        <v>11</v>
      </c>
      <c r="B19" s="19">
        <v>706</v>
      </c>
      <c r="C19" s="19">
        <v>982</v>
      </c>
      <c r="E19" s="17" t="s">
        <v>11</v>
      </c>
      <c r="F19" s="19">
        <v>652</v>
      </c>
      <c r="G19" s="19">
        <v>2403</v>
      </c>
      <c r="I19" s="17" t="s">
        <v>11</v>
      </c>
      <c r="J19" s="19">
        <v>157</v>
      </c>
      <c r="K19" s="19">
        <v>1080</v>
      </c>
      <c r="M19" s="17" t="s">
        <v>11</v>
      </c>
      <c r="N19" s="19">
        <f>12+3</f>
        <v>15</v>
      </c>
      <c r="O19" s="19">
        <f>157+108</f>
        <v>265</v>
      </c>
      <c r="Q19" s="17" t="s">
        <v>11</v>
      </c>
      <c r="R19" s="19">
        <f t="shared" si="0"/>
        <v>1530</v>
      </c>
      <c r="S19" s="19">
        <f t="shared" si="1"/>
        <v>4730</v>
      </c>
      <c r="T19" s="25">
        <v>53703.95</v>
      </c>
    </row>
    <row r="20" spans="1:20" x14ac:dyDescent="0.2">
      <c r="A20" s="17"/>
      <c r="B20" s="19"/>
      <c r="C20" s="19"/>
      <c r="E20" s="17"/>
      <c r="F20" s="19"/>
      <c r="G20" s="19"/>
      <c r="I20" s="17"/>
      <c r="J20" s="19"/>
      <c r="K20" s="19"/>
      <c r="M20" s="17"/>
      <c r="N20" s="19"/>
      <c r="O20" s="19"/>
      <c r="Q20" s="17"/>
      <c r="R20" s="19"/>
      <c r="S20" s="19"/>
      <c r="T20" s="25"/>
    </row>
    <row r="21" spans="1:20" x14ac:dyDescent="0.2">
      <c r="A21" s="17" t="s">
        <v>12</v>
      </c>
      <c r="B21" s="19">
        <f>SUM(B8:B20)</f>
        <v>6954</v>
      </c>
      <c r="C21" s="19">
        <f>SUM(C8:C20)</f>
        <v>10116</v>
      </c>
      <c r="E21" s="17"/>
      <c r="F21" s="19">
        <f t="shared" ref="F21:G21" si="2">SUM(F8:F20)</f>
        <v>8308</v>
      </c>
      <c r="G21" s="19">
        <f t="shared" si="2"/>
        <v>31336</v>
      </c>
      <c r="I21" s="17"/>
      <c r="J21" s="19">
        <f t="shared" ref="J21:K21" si="3">SUM(J8:J20)</f>
        <v>2488</v>
      </c>
      <c r="K21" s="19">
        <f t="shared" si="3"/>
        <v>17468</v>
      </c>
      <c r="M21" s="17"/>
      <c r="N21" s="19">
        <f t="shared" ref="N21:O21" si="4">SUM(N8:N20)</f>
        <v>318</v>
      </c>
      <c r="O21" s="19">
        <f t="shared" si="4"/>
        <v>6766</v>
      </c>
      <c r="Q21" s="17"/>
      <c r="R21" s="19">
        <f t="shared" ref="R21:S21" si="5">SUM(R8:R20)</f>
        <v>18068</v>
      </c>
      <c r="S21" s="19">
        <f t="shared" si="5"/>
        <v>65686</v>
      </c>
      <c r="T21" s="25">
        <f>SUM(T8:T19)</f>
        <v>701060.85999999987</v>
      </c>
    </row>
    <row r="22" spans="1:20" x14ac:dyDescent="0.2">
      <c r="A22" s="17"/>
      <c r="B22" s="19"/>
      <c r="C22" s="19"/>
      <c r="R22" s="2">
        <f>B21+F21+J21+N21</f>
        <v>18068</v>
      </c>
      <c r="S22" s="2">
        <f>C21+G21+K21+O21</f>
        <v>65686</v>
      </c>
    </row>
    <row r="25" spans="1:20" x14ac:dyDescent="0.2">
      <c r="A25" s="10" t="s">
        <v>36</v>
      </c>
      <c r="B25" s="11"/>
      <c r="C25" s="11"/>
    </row>
    <row r="26" spans="1:20" x14ac:dyDescent="0.2">
      <c r="A26" s="10"/>
      <c r="B26" s="9"/>
      <c r="C26" s="9"/>
    </row>
    <row r="27" spans="1:20" x14ac:dyDescent="0.2">
      <c r="A27" s="17"/>
      <c r="B27" s="18" t="s">
        <v>21</v>
      </c>
      <c r="C27" s="18" t="s">
        <v>22</v>
      </c>
      <c r="E27" s="17"/>
      <c r="F27" s="18" t="s">
        <v>21</v>
      </c>
      <c r="G27" s="18" t="s">
        <v>22</v>
      </c>
      <c r="I27" s="17"/>
      <c r="J27" s="18" t="s">
        <v>21</v>
      </c>
      <c r="K27" s="18" t="s">
        <v>22</v>
      </c>
      <c r="M27" s="17"/>
      <c r="N27" s="18" t="s">
        <v>21</v>
      </c>
      <c r="O27" s="18" t="s">
        <v>22</v>
      </c>
      <c r="Q27" s="17"/>
      <c r="R27" s="18" t="s">
        <v>21</v>
      </c>
      <c r="S27" s="18" t="s">
        <v>22</v>
      </c>
      <c r="T27" s="18" t="s">
        <v>34</v>
      </c>
    </row>
    <row r="28" spans="1:20" x14ac:dyDescent="0.2">
      <c r="A28" s="17" t="s">
        <v>23</v>
      </c>
      <c r="B28" s="19"/>
      <c r="C28" s="19"/>
      <c r="E28" s="17" t="s">
        <v>24</v>
      </c>
      <c r="F28" s="19"/>
      <c r="G28" s="19"/>
      <c r="I28" s="17" t="s">
        <v>25</v>
      </c>
      <c r="J28" s="19"/>
      <c r="K28" s="19"/>
      <c r="M28" s="17" t="s">
        <v>26</v>
      </c>
      <c r="N28" s="19"/>
      <c r="O28" s="19"/>
      <c r="Q28" s="17" t="s">
        <v>26</v>
      </c>
      <c r="R28" s="19"/>
      <c r="S28" s="19"/>
      <c r="T28" s="19"/>
    </row>
    <row r="29" spans="1:20" x14ac:dyDescent="0.2">
      <c r="A29" s="17" t="s">
        <v>0</v>
      </c>
      <c r="B29" s="19">
        <v>17</v>
      </c>
      <c r="C29" s="19">
        <v>16</v>
      </c>
      <c r="E29" s="17" t="s">
        <v>0</v>
      </c>
      <c r="F29" s="19">
        <v>11</v>
      </c>
      <c r="G29" s="19">
        <v>38</v>
      </c>
      <c r="I29" s="17" t="s">
        <v>0</v>
      </c>
      <c r="J29" s="19">
        <v>2</v>
      </c>
      <c r="K29" s="19">
        <v>12</v>
      </c>
      <c r="M29" s="17" t="s">
        <v>0</v>
      </c>
      <c r="N29" s="19">
        <v>3</v>
      </c>
      <c r="O29" s="19">
        <v>334</v>
      </c>
      <c r="Q29" s="17" t="s">
        <v>0</v>
      </c>
      <c r="R29" s="19">
        <f>B29+F29+J29+N29</f>
        <v>33</v>
      </c>
      <c r="S29" s="19">
        <f>C29+G29+K29+O29</f>
        <v>400</v>
      </c>
      <c r="T29" s="25">
        <v>3740.45</v>
      </c>
    </row>
    <row r="30" spans="1:20" x14ac:dyDescent="0.2">
      <c r="A30" s="17" t="s">
        <v>1</v>
      </c>
      <c r="B30" s="19">
        <v>17</v>
      </c>
      <c r="C30" s="19">
        <v>22</v>
      </c>
      <c r="E30" s="17" t="s">
        <v>1</v>
      </c>
      <c r="F30" s="19">
        <v>9</v>
      </c>
      <c r="G30" s="19">
        <v>36</v>
      </c>
      <c r="I30" s="17" t="s">
        <v>1</v>
      </c>
      <c r="J30" s="19">
        <v>2</v>
      </c>
      <c r="K30" s="19">
        <v>12</v>
      </c>
      <c r="M30" s="17" t="s">
        <v>1</v>
      </c>
      <c r="N30" s="19">
        <v>3</v>
      </c>
      <c r="O30" s="19">
        <v>1314</v>
      </c>
      <c r="Q30" s="17" t="s">
        <v>1</v>
      </c>
      <c r="R30" s="19">
        <f t="shared" ref="R30:R40" si="6">B30+F30+J30+N30</f>
        <v>31</v>
      </c>
      <c r="S30" s="19">
        <f t="shared" ref="S30:S40" si="7">C30+G30+K30+O30</f>
        <v>1384</v>
      </c>
      <c r="T30" s="25">
        <v>9359.1299999999992</v>
      </c>
    </row>
    <row r="31" spans="1:20" x14ac:dyDescent="0.2">
      <c r="A31" s="17" t="s">
        <v>2</v>
      </c>
      <c r="B31" s="19">
        <v>21</v>
      </c>
      <c r="C31" s="19">
        <v>21</v>
      </c>
      <c r="E31" s="17" t="s">
        <v>2</v>
      </c>
      <c r="F31" s="19">
        <v>7</v>
      </c>
      <c r="G31" s="19">
        <v>26</v>
      </c>
      <c r="I31" s="17" t="s">
        <v>2</v>
      </c>
      <c r="J31" s="19">
        <v>2</v>
      </c>
      <c r="K31" s="19">
        <v>16</v>
      </c>
      <c r="M31" s="17" t="s">
        <v>2</v>
      </c>
      <c r="N31" s="19">
        <v>3</v>
      </c>
      <c r="O31" s="19">
        <v>64</v>
      </c>
      <c r="Q31" s="17" t="s">
        <v>2</v>
      </c>
      <c r="R31" s="19">
        <f t="shared" si="6"/>
        <v>33</v>
      </c>
      <c r="S31" s="19">
        <f t="shared" si="7"/>
        <v>127</v>
      </c>
      <c r="T31" s="25">
        <v>1967.17</v>
      </c>
    </row>
    <row r="32" spans="1:20" x14ac:dyDescent="0.2">
      <c r="A32" s="17" t="s">
        <v>3</v>
      </c>
      <c r="B32" s="19">
        <v>14</v>
      </c>
      <c r="C32" s="19">
        <v>12</v>
      </c>
      <c r="E32" s="17" t="s">
        <v>3</v>
      </c>
      <c r="F32" s="19">
        <v>13</v>
      </c>
      <c r="G32" s="19">
        <v>49</v>
      </c>
      <c r="I32" s="17" t="s">
        <v>3</v>
      </c>
      <c r="J32" s="19">
        <v>1</v>
      </c>
      <c r="K32" s="19">
        <v>9</v>
      </c>
      <c r="M32" s="17" t="s">
        <v>3</v>
      </c>
      <c r="N32" s="19">
        <v>2</v>
      </c>
      <c r="O32" s="19">
        <v>67</v>
      </c>
      <c r="Q32" s="17" t="s">
        <v>3</v>
      </c>
      <c r="R32" s="19">
        <f t="shared" si="6"/>
        <v>30</v>
      </c>
      <c r="S32" s="19">
        <f t="shared" si="7"/>
        <v>137</v>
      </c>
      <c r="T32" s="25">
        <v>1997.66</v>
      </c>
    </row>
    <row r="33" spans="1:20" x14ac:dyDescent="0.2">
      <c r="A33" s="17" t="s">
        <v>4</v>
      </c>
      <c r="B33" s="19">
        <v>24</v>
      </c>
      <c r="C33" s="19">
        <v>17</v>
      </c>
      <c r="E33" s="17" t="s">
        <v>4</v>
      </c>
      <c r="F33" s="19">
        <v>6</v>
      </c>
      <c r="G33" s="19">
        <v>20</v>
      </c>
      <c r="I33" s="17" t="s">
        <v>4</v>
      </c>
      <c r="J33" s="19"/>
      <c r="K33" s="19"/>
      <c r="M33" s="17" t="s">
        <v>4</v>
      </c>
      <c r="N33" s="19">
        <v>3</v>
      </c>
      <c r="O33" s="19">
        <f>35+46</f>
        <v>81</v>
      </c>
      <c r="Q33" s="17" t="s">
        <v>4</v>
      </c>
      <c r="R33" s="19">
        <f t="shared" si="6"/>
        <v>33</v>
      </c>
      <c r="S33" s="19">
        <f t="shared" si="7"/>
        <v>118</v>
      </c>
      <c r="T33" s="25">
        <v>1976.28</v>
      </c>
    </row>
    <row r="34" spans="1:20" x14ac:dyDescent="0.2">
      <c r="A34" s="17" t="s">
        <v>5</v>
      </c>
      <c r="B34" s="19">
        <v>21</v>
      </c>
      <c r="C34" s="19">
        <v>17</v>
      </c>
      <c r="E34" s="17" t="s">
        <v>5</v>
      </c>
      <c r="F34" s="19">
        <v>10</v>
      </c>
      <c r="G34" s="19">
        <v>40</v>
      </c>
      <c r="I34" s="17" t="s">
        <v>5</v>
      </c>
      <c r="J34" s="19">
        <v>2</v>
      </c>
      <c r="K34" s="19">
        <v>13</v>
      </c>
      <c r="M34" s="17" t="s">
        <v>5</v>
      </c>
      <c r="N34" s="19">
        <v>3</v>
      </c>
      <c r="O34" s="19">
        <v>73</v>
      </c>
      <c r="Q34" s="17" t="s">
        <v>5</v>
      </c>
      <c r="R34" s="19">
        <f t="shared" si="6"/>
        <v>36</v>
      </c>
      <c r="S34" s="19">
        <f t="shared" si="7"/>
        <v>143</v>
      </c>
      <c r="T34" s="25">
        <v>2114.7199999999998</v>
      </c>
    </row>
    <row r="35" spans="1:20" x14ac:dyDescent="0.2">
      <c r="A35" s="17" t="s">
        <v>6</v>
      </c>
      <c r="B35" s="19">
        <v>21</v>
      </c>
      <c r="C35" s="19">
        <v>21</v>
      </c>
      <c r="E35" s="17" t="s">
        <v>6</v>
      </c>
      <c r="F35" s="19">
        <v>7</v>
      </c>
      <c r="G35" s="19">
        <v>26</v>
      </c>
      <c r="I35" s="17" t="s">
        <v>6</v>
      </c>
      <c r="J35" s="19">
        <v>2</v>
      </c>
      <c r="K35" s="19">
        <v>16</v>
      </c>
      <c r="M35" s="17" t="s">
        <v>6</v>
      </c>
      <c r="N35" s="19">
        <v>3</v>
      </c>
      <c r="O35" s="19">
        <f>35+29</f>
        <v>64</v>
      </c>
      <c r="Q35" s="17" t="s">
        <v>6</v>
      </c>
      <c r="R35" s="19">
        <f t="shared" si="6"/>
        <v>33</v>
      </c>
      <c r="S35" s="19">
        <f t="shared" si="7"/>
        <v>127</v>
      </c>
      <c r="T35" s="25">
        <v>1967.17</v>
      </c>
    </row>
    <row r="36" spans="1:20" x14ac:dyDescent="0.2">
      <c r="A36" s="17" t="s">
        <v>7</v>
      </c>
      <c r="B36" s="19">
        <v>21</v>
      </c>
      <c r="C36" s="19">
        <v>14</v>
      </c>
      <c r="E36" s="17" t="s">
        <v>7</v>
      </c>
      <c r="F36" s="19">
        <v>9</v>
      </c>
      <c r="G36" s="19">
        <v>33</v>
      </c>
      <c r="I36" s="17" t="s">
        <v>7</v>
      </c>
      <c r="J36" s="19"/>
      <c r="K36" s="19"/>
      <c r="M36" s="17" t="s">
        <v>7</v>
      </c>
      <c r="N36" s="19">
        <v>5</v>
      </c>
      <c r="O36" s="19">
        <f>44+56</f>
        <v>100</v>
      </c>
      <c r="Q36" s="17" t="s">
        <v>7</v>
      </c>
      <c r="R36" s="19">
        <f t="shared" si="6"/>
        <v>35</v>
      </c>
      <c r="S36" s="19">
        <f t="shared" si="7"/>
        <v>147</v>
      </c>
      <c r="T36" s="25">
        <v>2187.33</v>
      </c>
    </row>
    <row r="37" spans="1:20" x14ac:dyDescent="0.2">
      <c r="A37" s="17" t="s">
        <v>8</v>
      </c>
      <c r="B37" s="19">
        <v>22</v>
      </c>
      <c r="C37" s="19">
        <v>11</v>
      </c>
      <c r="E37" s="17" t="s">
        <v>8</v>
      </c>
      <c r="F37" s="19">
        <v>9</v>
      </c>
      <c r="G37" s="19">
        <v>34</v>
      </c>
      <c r="I37" s="17" t="s">
        <v>8</v>
      </c>
      <c r="J37" s="19">
        <v>2</v>
      </c>
      <c r="K37" s="19">
        <v>18</v>
      </c>
      <c r="M37" s="17" t="s">
        <v>8</v>
      </c>
      <c r="N37" s="19">
        <v>4</v>
      </c>
      <c r="O37" s="19">
        <f>52+34</f>
        <v>86</v>
      </c>
      <c r="Q37" s="17" t="s">
        <v>8</v>
      </c>
      <c r="R37" s="19">
        <f t="shared" si="6"/>
        <v>37</v>
      </c>
      <c r="S37" s="19">
        <f t="shared" si="7"/>
        <v>149</v>
      </c>
      <c r="T37" s="25">
        <v>2233.39</v>
      </c>
    </row>
    <row r="38" spans="1:20" x14ac:dyDescent="0.2">
      <c r="A38" s="17" t="s">
        <v>9</v>
      </c>
      <c r="B38" s="19">
        <v>26</v>
      </c>
      <c r="C38" s="19">
        <v>21</v>
      </c>
      <c r="E38" s="17" t="s">
        <v>9</v>
      </c>
      <c r="F38" s="19">
        <v>8</v>
      </c>
      <c r="G38" s="19">
        <v>28</v>
      </c>
      <c r="I38" s="17" t="s">
        <v>9</v>
      </c>
      <c r="J38" s="19"/>
      <c r="K38" s="19"/>
      <c r="M38" s="17" t="s">
        <v>9</v>
      </c>
      <c r="N38" s="19">
        <v>4</v>
      </c>
      <c r="O38" s="19">
        <f>14+78</f>
        <v>92</v>
      </c>
      <c r="Q38" s="17" t="s">
        <v>9</v>
      </c>
      <c r="R38" s="19">
        <f t="shared" si="6"/>
        <v>38</v>
      </c>
      <c r="S38" s="19">
        <f t="shared" si="7"/>
        <v>141</v>
      </c>
      <c r="T38" s="25">
        <v>2185.92</v>
      </c>
    </row>
    <row r="39" spans="1:20" x14ac:dyDescent="0.2">
      <c r="A39" s="17" t="s">
        <v>10</v>
      </c>
      <c r="B39" s="19">
        <v>24</v>
      </c>
      <c r="C39" s="19">
        <v>18</v>
      </c>
      <c r="E39" s="17" t="s">
        <v>10</v>
      </c>
      <c r="F39" s="19">
        <v>9</v>
      </c>
      <c r="G39" s="19">
        <v>32</v>
      </c>
      <c r="I39" s="17" t="s">
        <v>10</v>
      </c>
      <c r="J39" s="19"/>
      <c r="K39" s="19"/>
      <c r="M39" s="17" t="s">
        <v>10</v>
      </c>
      <c r="N39" s="19">
        <v>3</v>
      </c>
      <c r="O39" s="19">
        <f>37+33</f>
        <v>70</v>
      </c>
      <c r="Q39" s="17" t="s">
        <v>10</v>
      </c>
      <c r="R39" s="19">
        <f t="shared" si="6"/>
        <v>36</v>
      </c>
      <c r="S39" s="19">
        <f t="shared" si="7"/>
        <v>120</v>
      </c>
      <c r="T39" s="25">
        <v>1992.13</v>
      </c>
    </row>
    <row r="40" spans="1:20" x14ac:dyDescent="0.2">
      <c r="A40" s="17" t="s">
        <v>11</v>
      </c>
      <c r="B40" s="19">
        <v>28</v>
      </c>
      <c r="C40" s="19">
        <v>19</v>
      </c>
      <c r="E40" s="17" t="s">
        <v>11</v>
      </c>
      <c r="F40" s="19">
        <v>9</v>
      </c>
      <c r="G40" s="19">
        <v>31</v>
      </c>
      <c r="I40" s="17" t="s">
        <v>11</v>
      </c>
      <c r="J40" s="19"/>
      <c r="K40" s="19"/>
      <c r="M40" s="17" t="s">
        <v>11</v>
      </c>
      <c r="N40" s="19">
        <v>3</v>
      </c>
      <c r="O40" s="19">
        <f>36+29</f>
        <v>65</v>
      </c>
      <c r="Q40" s="17" t="s">
        <v>11</v>
      </c>
      <c r="R40" s="19">
        <f t="shared" si="6"/>
        <v>40</v>
      </c>
      <c r="S40" s="19">
        <f t="shared" si="7"/>
        <v>115</v>
      </c>
      <c r="T40" s="25">
        <v>2039.54</v>
      </c>
    </row>
    <row r="41" spans="1:20" x14ac:dyDescent="0.2">
      <c r="A41" s="17"/>
      <c r="B41" s="19"/>
      <c r="C41" s="19"/>
      <c r="E41" s="17"/>
      <c r="F41" s="19"/>
      <c r="G41" s="19"/>
      <c r="I41" s="17"/>
      <c r="J41" s="19"/>
      <c r="K41" s="19"/>
      <c r="M41" s="17"/>
      <c r="N41" s="19"/>
      <c r="O41" s="19"/>
      <c r="Q41" s="17"/>
      <c r="R41" s="19"/>
      <c r="S41" s="19"/>
      <c r="T41" s="25"/>
    </row>
    <row r="42" spans="1:20" x14ac:dyDescent="0.2">
      <c r="A42" s="17" t="s">
        <v>12</v>
      </c>
      <c r="B42" s="19">
        <f>SUM(B29:B41)</f>
        <v>256</v>
      </c>
      <c r="C42" s="19">
        <f>SUM(C29:C41)</f>
        <v>209</v>
      </c>
      <c r="E42" s="17"/>
      <c r="F42" s="19">
        <f t="shared" ref="F42" si="8">SUM(F29:F41)</f>
        <v>107</v>
      </c>
      <c r="G42" s="19">
        <f t="shared" ref="G42" si="9">SUM(G29:G41)</f>
        <v>393</v>
      </c>
      <c r="I42" s="17"/>
      <c r="J42" s="19">
        <f t="shared" ref="J42" si="10">SUM(J29:J41)</f>
        <v>13</v>
      </c>
      <c r="K42" s="19">
        <f t="shared" ref="K42" si="11">SUM(K29:K41)</f>
        <v>96</v>
      </c>
      <c r="M42" s="17"/>
      <c r="N42" s="19">
        <f t="shared" ref="N42" si="12">SUM(N29:N41)</f>
        <v>39</v>
      </c>
      <c r="O42" s="19">
        <f t="shared" ref="O42" si="13">SUM(O29:O41)</f>
        <v>2410</v>
      </c>
      <c r="Q42" s="17"/>
      <c r="R42" s="19">
        <f t="shared" ref="R42" si="14">SUM(R29:R41)</f>
        <v>415</v>
      </c>
      <c r="S42" s="19">
        <f t="shared" ref="S42" si="15">SUM(S29:S41)</f>
        <v>3108</v>
      </c>
      <c r="T42" s="25">
        <f>SUM(T29:T40)</f>
        <v>33760.89</v>
      </c>
    </row>
    <row r="43" spans="1:20" x14ac:dyDescent="0.2">
      <c r="A43" s="17"/>
      <c r="B43" s="19"/>
      <c r="C43" s="19"/>
      <c r="R43" s="2">
        <f>B42+F42+J42+N42</f>
        <v>415</v>
      </c>
      <c r="S43" s="2">
        <f>C42+G42+K42+O42</f>
        <v>3108</v>
      </c>
    </row>
    <row r="60" spans="1:20" x14ac:dyDescent="0.2">
      <c r="A60" s="10" t="s">
        <v>37</v>
      </c>
      <c r="B60" s="11"/>
      <c r="C60" s="11"/>
    </row>
    <row r="61" spans="1:20" x14ac:dyDescent="0.2">
      <c r="A61" s="10"/>
      <c r="B61" s="9"/>
      <c r="C61" s="9"/>
    </row>
    <row r="62" spans="1:20" x14ac:dyDescent="0.2">
      <c r="A62" s="17"/>
      <c r="B62" s="18" t="s">
        <v>21</v>
      </c>
      <c r="C62" s="18" t="s">
        <v>22</v>
      </c>
      <c r="E62" s="17"/>
      <c r="F62" s="18" t="s">
        <v>21</v>
      </c>
      <c r="G62" s="18" t="s">
        <v>22</v>
      </c>
      <c r="I62" s="17"/>
      <c r="J62" s="18" t="s">
        <v>21</v>
      </c>
      <c r="K62" s="18" t="s">
        <v>22</v>
      </c>
      <c r="M62" s="17"/>
      <c r="N62" s="18" t="s">
        <v>21</v>
      </c>
      <c r="O62" s="18" t="s">
        <v>22</v>
      </c>
      <c r="Q62" s="17"/>
      <c r="R62" s="18" t="s">
        <v>21</v>
      </c>
      <c r="S62" s="18" t="s">
        <v>22</v>
      </c>
      <c r="T62" s="18" t="s">
        <v>34</v>
      </c>
    </row>
    <row r="63" spans="1:20" x14ac:dyDescent="0.2">
      <c r="A63" s="17" t="s">
        <v>23</v>
      </c>
      <c r="B63" s="19"/>
      <c r="C63" s="19"/>
      <c r="E63" s="17" t="s">
        <v>24</v>
      </c>
      <c r="F63" s="19"/>
      <c r="G63" s="19"/>
      <c r="I63" s="17" t="s">
        <v>25</v>
      </c>
      <c r="J63" s="19"/>
      <c r="K63" s="19"/>
      <c r="M63" s="17" t="s">
        <v>26</v>
      </c>
      <c r="N63" s="19"/>
      <c r="O63" s="19"/>
      <c r="Q63" s="17" t="s">
        <v>26</v>
      </c>
      <c r="R63" s="19"/>
      <c r="S63" s="19"/>
      <c r="T63" s="19"/>
    </row>
    <row r="64" spans="1:20" x14ac:dyDescent="0.2">
      <c r="A64" s="17" t="s">
        <v>0</v>
      </c>
      <c r="B64" s="19">
        <v>38</v>
      </c>
      <c r="C64" s="19">
        <v>26</v>
      </c>
      <c r="E64" s="17" t="s">
        <v>0</v>
      </c>
      <c r="F64" s="19">
        <v>7</v>
      </c>
      <c r="G64" s="19">
        <v>25</v>
      </c>
      <c r="I64" s="17" t="s">
        <v>0</v>
      </c>
      <c r="J64" s="19"/>
      <c r="K64" s="19"/>
      <c r="M64" s="17" t="s">
        <v>0</v>
      </c>
      <c r="N64" s="19"/>
      <c r="O64" s="19"/>
      <c r="Q64" s="17" t="s">
        <v>0</v>
      </c>
      <c r="R64" s="19">
        <f>B64+F64+J64+N64</f>
        <v>45</v>
      </c>
      <c r="S64" s="19">
        <f>C64+G64+K64+O64</f>
        <v>51</v>
      </c>
      <c r="T64" s="25">
        <v>1146.01</v>
      </c>
    </row>
    <row r="65" spans="1:20" x14ac:dyDescent="0.2">
      <c r="A65" s="17" t="s">
        <v>1</v>
      </c>
      <c r="B65" s="19">
        <v>35</v>
      </c>
      <c r="C65" s="19">
        <v>29</v>
      </c>
      <c r="E65" s="17" t="s">
        <v>1</v>
      </c>
      <c r="F65" s="19">
        <v>8</v>
      </c>
      <c r="G65" s="19">
        <v>29</v>
      </c>
      <c r="I65" s="17" t="s">
        <v>1</v>
      </c>
      <c r="J65" s="19"/>
      <c r="K65" s="19"/>
      <c r="M65" s="17" t="s">
        <v>1</v>
      </c>
      <c r="N65" s="19"/>
      <c r="O65" s="19"/>
      <c r="Q65" s="17" t="s">
        <v>1</v>
      </c>
      <c r="R65" s="19">
        <f t="shared" ref="R65:R75" si="16">B65+F65+J65+N65</f>
        <v>43</v>
      </c>
      <c r="S65" s="19">
        <f t="shared" ref="S65:S75" si="17">C65+G65+K65+O65</f>
        <v>58</v>
      </c>
      <c r="T65" s="25">
        <v>1117.75</v>
      </c>
    </row>
    <row r="66" spans="1:20" x14ac:dyDescent="0.2">
      <c r="A66" s="17" t="s">
        <v>2</v>
      </c>
      <c r="B66" s="19">
        <v>29</v>
      </c>
      <c r="C66" s="19">
        <v>26</v>
      </c>
      <c r="E66" s="17" t="s">
        <v>2</v>
      </c>
      <c r="F66" s="19">
        <v>8</v>
      </c>
      <c r="G66" s="19">
        <v>27</v>
      </c>
      <c r="I66" s="17" t="s">
        <v>2</v>
      </c>
      <c r="J66" s="19">
        <v>3</v>
      </c>
      <c r="K66" s="19">
        <v>23</v>
      </c>
      <c r="M66" s="17" t="s">
        <v>2</v>
      </c>
      <c r="N66" s="19">
        <v>1</v>
      </c>
      <c r="O66" s="19">
        <v>13</v>
      </c>
      <c r="Q66" s="17" t="s">
        <v>2</v>
      </c>
      <c r="R66" s="19">
        <f t="shared" si="16"/>
        <v>41</v>
      </c>
      <c r="S66" s="19">
        <f t="shared" si="17"/>
        <v>89</v>
      </c>
      <c r="T66" s="25">
        <v>1276.93</v>
      </c>
    </row>
    <row r="67" spans="1:20" x14ac:dyDescent="0.2">
      <c r="A67" s="17" t="s">
        <v>3</v>
      </c>
      <c r="B67" s="19">
        <v>27</v>
      </c>
      <c r="C67" s="19">
        <v>25</v>
      </c>
      <c r="E67" s="17" t="s">
        <v>3</v>
      </c>
      <c r="F67" s="19">
        <v>13</v>
      </c>
      <c r="G67" s="19">
        <v>45</v>
      </c>
      <c r="I67" s="17" t="s">
        <v>3</v>
      </c>
      <c r="J67" s="19">
        <v>1</v>
      </c>
      <c r="K67" s="19">
        <v>7</v>
      </c>
      <c r="M67" s="17" t="s">
        <v>3</v>
      </c>
      <c r="N67" s="19"/>
      <c r="O67" s="19"/>
      <c r="Q67" s="17" t="s">
        <v>3</v>
      </c>
      <c r="R67" s="19">
        <f t="shared" si="16"/>
        <v>41</v>
      </c>
      <c r="S67" s="19">
        <f t="shared" si="17"/>
        <v>77</v>
      </c>
      <c r="T67" s="25">
        <v>1168.18</v>
      </c>
    </row>
    <row r="68" spans="1:20" x14ac:dyDescent="0.2">
      <c r="A68" s="17" t="s">
        <v>4</v>
      </c>
      <c r="B68" s="19">
        <v>30</v>
      </c>
      <c r="C68" s="19">
        <v>28</v>
      </c>
      <c r="E68" s="17" t="s">
        <v>4</v>
      </c>
      <c r="F68" s="19">
        <v>8</v>
      </c>
      <c r="G68" s="19">
        <v>29</v>
      </c>
      <c r="I68" s="17" t="s">
        <v>4</v>
      </c>
      <c r="J68" s="19">
        <v>1</v>
      </c>
      <c r="K68" s="19">
        <v>7</v>
      </c>
      <c r="M68" s="17" t="s">
        <v>4</v>
      </c>
      <c r="N68" s="19">
        <v>1</v>
      </c>
      <c r="O68" s="19">
        <v>11</v>
      </c>
      <c r="Q68" s="17" t="s">
        <v>4</v>
      </c>
      <c r="R68" s="19">
        <f t="shared" si="16"/>
        <v>40</v>
      </c>
      <c r="S68" s="19">
        <f t="shared" si="17"/>
        <v>75</v>
      </c>
      <c r="T68" s="25">
        <v>1160.77</v>
      </c>
    </row>
    <row r="69" spans="1:20" x14ac:dyDescent="0.2">
      <c r="A69" s="17" t="s">
        <v>5</v>
      </c>
      <c r="B69" s="19">
        <v>31</v>
      </c>
      <c r="C69" s="19">
        <v>38</v>
      </c>
      <c r="E69" s="17" t="s">
        <v>5</v>
      </c>
      <c r="F69" s="19">
        <v>9</v>
      </c>
      <c r="G69" s="19">
        <v>34</v>
      </c>
      <c r="I69" s="17" t="s">
        <v>5</v>
      </c>
      <c r="J69" s="19">
        <v>1</v>
      </c>
      <c r="K69" s="19">
        <v>10</v>
      </c>
      <c r="M69" s="17" t="s">
        <v>5</v>
      </c>
      <c r="N69" s="19"/>
      <c r="O69" s="19"/>
      <c r="Q69" s="17" t="s">
        <v>5</v>
      </c>
      <c r="R69" s="19">
        <f t="shared" si="16"/>
        <v>41</v>
      </c>
      <c r="S69" s="19">
        <f t="shared" si="17"/>
        <v>82</v>
      </c>
      <c r="T69" s="25">
        <v>1163.23</v>
      </c>
    </row>
    <row r="70" spans="1:20" x14ac:dyDescent="0.2">
      <c r="A70" s="17" t="s">
        <v>6</v>
      </c>
      <c r="B70" s="19">
        <v>29</v>
      </c>
      <c r="C70" s="19">
        <v>26</v>
      </c>
      <c r="E70" s="17" t="s">
        <v>6</v>
      </c>
      <c r="F70" s="19">
        <v>8</v>
      </c>
      <c r="G70" s="19">
        <v>27</v>
      </c>
      <c r="I70" s="17" t="s">
        <v>6</v>
      </c>
      <c r="J70" s="19">
        <v>3</v>
      </c>
      <c r="K70" s="19">
        <v>23</v>
      </c>
      <c r="M70" s="17" t="s">
        <v>6</v>
      </c>
      <c r="N70" s="19">
        <v>1</v>
      </c>
      <c r="O70" s="19">
        <v>13</v>
      </c>
      <c r="Q70" s="17" t="s">
        <v>6</v>
      </c>
      <c r="R70" s="19">
        <f t="shared" si="16"/>
        <v>41</v>
      </c>
      <c r="S70" s="19">
        <f t="shared" si="17"/>
        <v>89</v>
      </c>
      <c r="T70" s="25">
        <v>1276.93</v>
      </c>
    </row>
    <row r="71" spans="1:20" x14ac:dyDescent="0.2">
      <c r="A71" s="17" t="s">
        <v>7</v>
      </c>
      <c r="B71" s="19">
        <v>32</v>
      </c>
      <c r="C71" s="19">
        <v>37</v>
      </c>
      <c r="E71" s="17" t="s">
        <v>7</v>
      </c>
      <c r="F71" s="19">
        <v>9</v>
      </c>
      <c r="G71" s="19">
        <v>35</v>
      </c>
      <c r="I71" s="17" t="s">
        <v>7</v>
      </c>
      <c r="J71" s="19"/>
      <c r="K71" s="19"/>
      <c r="M71" s="17" t="s">
        <v>7</v>
      </c>
      <c r="N71" s="19"/>
      <c r="O71" s="19"/>
      <c r="Q71" s="17" t="s">
        <v>7</v>
      </c>
      <c r="R71" s="19">
        <f t="shared" si="16"/>
        <v>41</v>
      </c>
      <c r="S71" s="19">
        <f t="shared" si="17"/>
        <v>72</v>
      </c>
      <c r="T71" s="25">
        <v>1107.71</v>
      </c>
    </row>
    <row r="72" spans="1:20" x14ac:dyDescent="0.2">
      <c r="A72" s="17" t="s">
        <v>8</v>
      </c>
      <c r="B72" s="19">
        <v>29</v>
      </c>
      <c r="C72" s="19">
        <v>30</v>
      </c>
      <c r="E72" s="17" t="s">
        <v>8</v>
      </c>
      <c r="F72" s="19">
        <v>7</v>
      </c>
      <c r="G72" s="19">
        <v>23</v>
      </c>
      <c r="I72" s="17" t="s">
        <v>8</v>
      </c>
      <c r="J72" s="19">
        <v>4</v>
      </c>
      <c r="K72" s="19">
        <v>26</v>
      </c>
      <c r="M72" s="17" t="s">
        <v>8</v>
      </c>
      <c r="N72" s="19"/>
      <c r="O72" s="19"/>
      <c r="Q72" s="17" t="s">
        <v>8</v>
      </c>
      <c r="R72" s="19">
        <f t="shared" si="16"/>
        <v>40</v>
      </c>
      <c r="S72" s="19">
        <f t="shared" si="17"/>
        <v>79</v>
      </c>
      <c r="T72" s="25">
        <v>1165.67</v>
      </c>
    </row>
    <row r="73" spans="1:20" x14ac:dyDescent="0.2">
      <c r="A73" s="17" t="s">
        <v>9</v>
      </c>
      <c r="B73" s="19">
        <v>32</v>
      </c>
      <c r="C73" s="19">
        <v>27</v>
      </c>
      <c r="E73" s="17" t="s">
        <v>9</v>
      </c>
      <c r="F73" s="19">
        <v>7</v>
      </c>
      <c r="G73" s="19">
        <v>24</v>
      </c>
      <c r="I73" s="17" t="s">
        <v>9</v>
      </c>
      <c r="J73" s="19">
        <v>1</v>
      </c>
      <c r="K73" s="19">
        <v>7</v>
      </c>
      <c r="M73" s="17" t="s">
        <v>9</v>
      </c>
      <c r="N73" s="19">
        <v>2</v>
      </c>
      <c r="O73" s="19">
        <v>27</v>
      </c>
      <c r="Q73" s="17" t="s">
        <v>9</v>
      </c>
      <c r="R73" s="19">
        <f t="shared" si="16"/>
        <v>42</v>
      </c>
      <c r="S73" s="19">
        <f t="shared" si="17"/>
        <v>85</v>
      </c>
      <c r="T73" s="25">
        <v>1279.71</v>
      </c>
    </row>
    <row r="74" spans="1:20" x14ac:dyDescent="0.2">
      <c r="A74" s="17" t="s">
        <v>10</v>
      </c>
      <c r="B74" s="19">
        <v>29</v>
      </c>
      <c r="C74" s="19">
        <v>28</v>
      </c>
      <c r="E74" s="17" t="s">
        <v>10</v>
      </c>
      <c r="F74" s="19">
        <v>7</v>
      </c>
      <c r="G74" s="19">
        <v>24</v>
      </c>
      <c r="I74" s="17" t="s">
        <v>10</v>
      </c>
      <c r="J74" s="19">
        <v>4</v>
      </c>
      <c r="K74" s="19">
        <v>32</v>
      </c>
      <c r="M74" s="17" t="s">
        <v>10</v>
      </c>
      <c r="N74" s="19">
        <v>1</v>
      </c>
      <c r="O74" s="19">
        <v>11</v>
      </c>
      <c r="Q74" s="17" t="s">
        <v>10</v>
      </c>
      <c r="R74" s="19">
        <f t="shared" si="16"/>
        <v>41</v>
      </c>
      <c r="S74" s="19">
        <f t="shared" si="17"/>
        <v>95</v>
      </c>
      <c r="T74" s="25">
        <v>1313.27</v>
      </c>
    </row>
    <row r="75" spans="1:20" x14ac:dyDescent="0.2">
      <c r="A75" s="17" t="s">
        <v>11</v>
      </c>
      <c r="B75" s="19">
        <v>36</v>
      </c>
      <c r="C75" s="19">
        <v>31</v>
      </c>
      <c r="E75" s="17" t="s">
        <v>11</v>
      </c>
      <c r="F75" s="19">
        <v>3</v>
      </c>
      <c r="G75" s="19">
        <v>11</v>
      </c>
      <c r="I75" s="17" t="s">
        <v>11</v>
      </c>
      <c r="J75" s="19">
        <v>2</v>
      </c>
      <c r="K75" s="19">
        <v>13</v>
      </c>
      <c r="M75" s="17" t="s">
        <v>11</v>
      </c>
      <c r="N75" s="19">
        <v>1</v>
      </c>
      <c r="O75" s="19">
        <v>14</v>
      </c>
      <c r="Q75" s="17" t="s">
        <v>11</v>
      </c>
      <c r="R75" s="19">
        <f t="shared" si="16"/>
        <v>42</v>
      </c>
      <c r="S75" s="19">
        <f t="shared" si="17"/>
        <v>69</v>
      </c>
      <c r="T75" s="25">
        <v>1186.74</v>
      </c>
    </row>
    <row r="76" spans="1:20" x14ac:dyDescent="0.2">
      <c r="A76" s="17"/>
      <c r="B76" s="19"/>
      <c r="C76" s="19"/>
      <c r="E76" s="17"/>
      <c r="F76" s="19"/>
      <c r="G76" s="19"/>
      <c r="I76" s="17"/>
      <c r="J76" s="19"/>
      <c r="K76" s="19"/>
      <c r="M76" s="17"/>
      <c r="N76" s="19"/>
      <c r="O76" s="19"/>
      <c r="Q76" s="17"/>
      <c r="R76" s="19"/>
      <c r="S76" s="19"/>
      <c r="T76" s="25"/>
    </row>
    <row r="77" spans="1:20" x14ac:dyDescent="0.2">
      <c r="A77" s="17" t="s">
        <v>12</v>
      </c>
      <c r="B77" s="19">
        <f>SUM(B64:B76)</f>
        <v>377</v>
      </c>
      <c r="C77" s="19">
        <f>SUM(C64:C76)</f>
        <v>351</v>
      </c>
      <c r="E77" s="17"/>
      <c r="F77" s="19">
        <f t="shared" ref="F77" si="18">SUM(F64:F76)</f>
        <v>94</v>
      </c>
      <c r="G77" s="19">
        <f t="shared" ref="G77" si="19">SUM(G64:G76)</f>
        <v>333</v>
      </c>
      <c r="I77" s="17"/>
      <c r="J77" s="19">
        <f t="shared" ref="J77" si="20">SUM(J64:J76)</f>
        <v>20</v>
      </c>
      <c r="K77" s="19">
        <f t="shared" ref="K77" si="21">SUM(K64:K76)</f>
        <v>148</v>
      </c>
      <c r="M77" s="17"/>
      <c r="N77" s="19">
        <f t="shared" ref="N77" si="22">SUM(N64:N76)</f>
        <v>7</v>
      </c>
      <c r="O77" s="19">
        <f t="shared" ref="O77" si="23">SUM(O64:O76)</f>
        <v>89</v>
      </c>
      <c r="Q77" s="17"/>
      <c r="R77" s="19">
        <f t="shared" ref="R77" si="24">SUM(R64:R76)</f>
        <v>498</v>
      </c>
      <c r="S77" s="19">
        <f t="shared" ref="S77" si="25">SUM(S64:S76)</f>
        <v>921</v>
      </c>
      <c r="T77" s="25">
        <f>SUM(T64:T75)</f>
        <v>14362.900000000003</v>
      </c>
    </row>
    <row r="78" spans="1:20" x14ac:dyDescent="0.2">
      <c r="A78" s="17"/>
      <c r="B78" s="19"/>
      <c r="C78" s="19"/>
      <c r="R78" s="2">
        <f>B77+F77+J77+N77</f>
        <v>498</v>
      </c>
      <c r="S78" s="2">
        <f>C77+G77+K77+O77</f>
        <v>921</v>
      </c>
    </row>
    <row r="81" spans="1:20" x14ac:dyDescent="0.2">
      <c r="A81" s="10" t="s">
        <v>38</v>
      </c>
      <c r="B81" s="11"/>
      <c r="C81" s="11"/>
    </row>
    <row r="82" spans="1:20" x14ac:dyDescent="0.2">
      <c r="A82" s="10"/>
      <c r="B82" s="9"/>
      <c r="C82" s="9"/>
    </row>
    <row r="83" spans="1:20" x14ac:dyDescent="0.2">
      <c r="A83" s="17"/>
      <c r="B83" s="18" t="s">
        <v>21</v>
      </c>
      <c r="C83" s="18" t="s">
        <v>22</v>
      </c>
      <c r="E83" s="17"/>
      <c r="F83" s="18" t="s">
        <v>21</v>
      </c>
      <c r="G83" s="18" t="s">
        <v>22</v>
      </c>
      <c r="I83" s="17"/>
      <c r="J83" s="18" t="s">
        <v>21</v>
      </c>
      <c r="K83" s="18" t="s">
        <v>22</v>
      </c>
      <c r="M83" s="17"/>
      <c r="N83" s="18" t="s">
        <v>21</v>
      </c>
      <c r="O83" s="18" t="s">
        <v>22</v>
      </c>
      <c r="Q83" s="17"/>
      <c r="R83" s="18" t="s">
        <v>21</v>
      </c>
      <c r="S83" s="18" t="s">
        <v>22</v>
      </c>
      <c r="T83" s="18" t="s">
        <v>34</v>
      </c>
    </row>
    <row r="84" spans="1:20" x14ac:dyDescent="0.2">
      <c r="A84" s="17" t="s">
        <v>23</v>
      </c>
      <c r="B84" s="19"/>
      <c r="C84" s="19"/>
      <c r="E84" s="17" t="s">
        <v>24</v>
      </c>
      <c r="F84" s="19"/>
      <c r="G84" s="19"/>
      <c r="I84" s="17" t="s">
        <v>25</v>
      </c>
      <c r="J84" s="19"/>
      <c r="K84" s="19"/>
      <c r="M84" s="17" t="s">
        <v>26</v>
      </c>
      <c r="N84" s="19"/>
      <c r="O84" s="19"/>
      <c r="Q84" s="17" t="s">
        <v>26</v>
      </c>
      <c r="R84" s="19"/>
      <c r="S84" s="19"/>
      <c r="T84" s="19"/>
    </row>
    <row r="85" spans="1:20" x14ac:dyDescent="0.2">
      <c r="A85" s="17" t="s">
        <v>0</v>
      </c>
      <c r="B85" s="19">
        <v>1</v>
      </c>
      <c r="C85" s="19">
        <v>2</v>
      </c>
      <c r="E85" s="17" t="s">
        <v>0</v>
      </c>
      <c r="F85" s="19">
        <v>1</v>
      </c>
      <c r="G85" s="19">
        <v>4</v>
      </c>
      <c r="I85" s="17" t="s">
        <v>0</v>
      </c>
      <c r="J85" s="19">
        <v>1</v>
      </c>
      <c r="K85" s="19">
        <v>7</v>
      </c>
      <c r="M85" s="17" t="s">
        <v>0</v>
      </c>
      <c r="N85" s="19"/>
      <c r="O85" s="19"/>
      <c r="Q85" s="17" t="s">
        <v>0</v>
      </c>
      <c r="R85" s="19">
        <f>B85+F85+J85+N85</f>
        <v>3</v>
      </c>
      <c r="S85" s="19">
        <f>C85+G85+K85+O85</f>
        <v>13</v>
      </c>
      <c r="T85" s="25">
        <v>130.19</v>
      </c>
    </row>
    <row r="86" spans="1:20" x14ac:dyDescent="0.2">
      <c r="A86" s="17" t="s">
        <v>1</v>
      </c>
      <c r="B86" s="19"/>
      <c r="C86" s="19"/>
      <c r="E86" s="17" t="s">
        <v>1</v>
      </c>
      <c r="F86" s="19">
        <v>1</v>
      </c>
      <c r="G86" s="19">
        <v>3</v>
      </c>
      <c r="I86" s="17" t="s">
        <v>1</v>
      </c>
      <c r="J86" s="19">
        <v>1</v>
      </c>
      <c r="K86" s="19">
        <v>10</v>
      </c>
      <c r="M86" s="17" t="s">
        <v>1</v>
      </c>
      <c r="N86" s="19">
        <v>1</v>
      </c>
      <c r="O86" s="19">
        <v>15</v>
      </c>
      <c r="Q86" s="17" t="s">
        <v>1</v>
      </c>
      <c r="R86" s="19">
        <f t="shared" ref="R86:R96" si="26">B86+F86+J86+N86</f>
        <v>3</v>
      </c>
      <c r="S86" s="19">
        <f t="shared" ref="S86:S96" si="27">C86+G86+K86+O86</f>
        <v>28</v>
      </c>
      <c r="T86" s="25">
        <v>237.39</v>
      </c>
    </row>
    <row r="87" spans="1:20" x14ac:dyDescent="0.2">
      <c r="A87" s="17" t="s">
        <v>2</v>
      </c>
      <c r="B87" s="19">
        <v>1</v>
      </c>
      <c r="C87" s="19">
        <v>1</v>
      </c>
      <c r="E87" s="17" t="s">
        <v>2</v>
      </c>
      <c r="F87" s="19">
        <v>2</v>
      </c>
      <c r="G87" s="19">
        <v>8</v>
      </c>
      <c r="I87" s="17" t="s">
        <v>2</v>
      </c>
      <c r="J87" s="19"/>
      <c r="K87" s="19"/>
      <c r="M87" s="17" t="s">
        <v>2</v>
      </c>
      <c r="N87" s="19"/>
      <c r="O87" s="19"/>
      <c r="Q87" s="17" t="s">
        <v>2</v>
      </c>
      <c r="R87" s="19">
        <f t="shared" si="26"/>
        <v>3</v>
      </c>
      <c r="S87" s="19">
        <f t="shared" si="27"/>
        <v>9</v>
      </c>
      <c r="T87" s="25">
        <v>106.16</v>
      </c>
    </row>
    <row r="88" spans="1:20" x14ac:dyDescent="0.2">
      <c r="A88" s="17" t="s">
        <v>3</v>
      </c>
      <c r="B88" s="19"/>
      <c r="C88" s="19"/>
      <c r="E88" s="17" t="s">
        <v>3</v>
      </c>
      <c r="F88" s="19">
        <v>2</v>
      </c>
      <c r="G88" s="19">
        <v>8</v>
      </c>
      <c r="I88" s="17" t="s">
        <v>3</v>
      </c>
      <c r="J88" s="19">
        <v>1</v>
      </c>
      <c r="K88" s="19">
        <v>7</v>
      </c>
      <c r="M88" s="17" t="s">
        <v>3</v>
      </c>
      <c r="N88" s="19"/>
      <c r="O88" s="19"/>
      <c r="Q88" s="17" t="s">
        <v>3</v>
      </c>
      <c r="R88" s="19">
        <f t="shared" si="26"/>
        <v>3</v>
      </c>
      <c r="S88" s="19">
        <f t="shared" si="27"/>
        <v>15</v>
      </c>
      <c r="T88" s="25">
        <v>148.41</v>
      </c>
    </row>
    <row r="89" spans="1:20" x14ac:dyDescent="0.2">
      <c r="A89" s="17" t="s">
        <v>4</v>
      </c>
      <c r="B89" s="19"/>
      <c r="C89" s="19"/>
      <c r="E89" s="17" t="s">
        <v>4</v>
      </c>
      <c r="F89" s="19">
        <v>1</v>
      </c>
      <c r="G89" s="19">
        <v>3</v>
      </c>
      <c r="I89" s="17" t="s">
        <v>4</v>
      </c>
      <c r="J89" s="19">
        <v>1</v>
      </c>
      <c r="K89" s="19">
        <v>8</v>
      </c>
      <c r="M89" s="17" t="s">
        <v>4</v>
      </c>
      <c r="N89" s="19">
        <v>1</v>
      </c>
      <c r="O89" s="19">
        <v>17</v>
      </c>
      <c r="Q89" s="17" t="s">
        <v>4</v>
      </c>
      <c r="R89" s="19">
        <f t="shared" si="26"/>
        <v>3</v>
      </c>
      <c r="S89" s="19">
        <f t="shared" si="27"/>
        <v>28</v>
      </c>
      <c r="T89" s="25">
        <v>234.19</v>
      </c>
    </row>
    <row r="90" spans="1:20" x14ac:dyDescent="0.2">
      <c r="A90" s="17" t="s">
        <v>5</v>
      </c>
      <c r="B90" s="19">
        <v>1</v>
      </c>
      <c r="C90" s="19">
        <v>1</v>
      </c>
      <c r="E90" s="17" t="s">
        <v>5</v>
      </c>
      <c r="F90" s="19">
        <v>1</v>
      </c>
      <c r="G90" s="19">
        <v>3</v>
      </c>
      <c r="I90" s="17" t="s">
        <v>5</v>
      </c>
      <c r="J90" s="19">
        <v>1</v>
      </c>
      <c r="K90" s="19">
        <v>8</v>
      </c>
      <c r="M90" s="17" t="s">
        <v>5</v>
      </c>
      <c r="N90" s="19"/>
      <c r="O90" s="19"/>
      <c r="Q90" s="17" t="s">
        <v>5</v>
      </c>
      <c r="R90" s="19">
        <f t="shared" si="26"/>
        <v>3</v>
      </c>
      <c r="S90" s="19">
        <f t="shared" si="27"/>
        <v>12</v>
      </c>
      <c r="T90" s="25">
        <v>128.54</v>
      </c>
    </row>
    <row r="91" spans="1:20" x14ac:dyDescent="0.2">
      <c r="A91" s="17" t="s">
        <v>6</v>
      </c>
      <c r="B91" s="19">
        <v>1</v>
      </c>
      <c r="C91" s="19">
        <v>1</v>
      </c>
      <c r="E91" s="17" t="s">
        <v>6</v>
      </c>
      <c r="F91" s="19">
        <v>2</v>
      </c>
      <c r="G91" s="19">
        <v>8</v>
      </c>
      <c r="I91" s="17" t="s">
        <v>6</v>
      </c>
      <c r="J91" s="19"/>
      <c r="K91" s="19"/>
      <c r="M91" s="17" t="s">
        <v>6</v>
      </c>
      <c r="N91" s="19"/>
      <c r="O91" s="19"/>
      <c r="Q91" s="17" t="s">
        <v>6</v>
      </c>
      <c r="R91" s="19">
        <f t="shared" si="26"/>
        <v>3</v>
      </c>
      <c r="S91" s="19">
        <f t="shared" si="27"/>
        <v>9</v>
      </c>
      <c r="T91" s="25">
        <v>106.16</v>
      </c>
    </row>
    <row r="92" spans="1:20" x14ac:dyDescent="0.2">
      <c r="A92" s="17" t="s">
        <v>7</v>
      </c>
      <c r="B92" s="19">
        <v>1</v>
      </c>
      <c r="C92" s="19">
        <v>1</v>
      </c>
      <c r="E92" s="17" t="s">
        <v>7</v>
      </c>
      <c r="F92" s="19">
        <v>1</v>
      </c>
      <c r="G92" s="19">
        <v>3</v>
      </c>
      <c r="I92" s="17" t="s">
        <v>7</v>
      </c>
      <c r="J92" s="19">
        <v>1</v>
      </c>
      <c r="K92" s="19">
        <v>6</v>
      </c>
      <c r="M92" s="17" t="s">
        <v>7</v>
      </c>
      <c r="N92" s="19"/>
      <c r="O92" s="19"/>
      <c r="Q92" s="17" t="s">
        <v>7</v>
      </c>
      <c r="R92" s="19">
        <f t="shared" si="26"/>
        <v>3</v>
      </c>
      <c r="S92" s="19">
        <f t="shared" si="27"/>
        <v>10</v>
      </c>
      <c r="T92" s="25">
        <v>113.62</v>
      </c>
    </row>
    <row r="93" spans="1:20" x14ac:dyDescent="0.2">
      <c r="A93" s="17" t="s">
        <v>8</v>
      </c>
      <c r="B93" s="19">
        <v>1</v>
      </c>
      <c r="C93" s="19">
        <v>1</v>
      </c>
      <c r="E93" s="17" t="s">
        <v>8</v>
      </c>
      <c r="F93" s="19">
        <v>1</v>
      </c>
      <c r="G93" s="19">
        <v>4</v>
      </c>
      <c r="I93" s="17" t="s">
        <v>8</v>
      </c>
      <c r="J93" s="19">
        <v>1</v>
      </c>
      <c r="K93" s="19">
        <v>7</v>
      </c>
      <c r="M93" s="17" t="s">
        <v>8</v>
      </c>
      <c r="N93" s="19"/>
      <c r="O93" s="19"/>
      <c r="Q93" s="17" t="s">
        <v>8</v>
      </c>
      <c r="R93" s="19">
        <f t="shared" si="26"/>
        <v>3</v>
      </c>
      <c r="S93" s="19">
        <f t="shared" si="27"/>
        <v>12</v>
      </c>
      <c r="T93" s="25">
        <v>130.19</v>
      </c>
    </row>
    <row r="94" spans="1:20" x14ac:dyDescent="0.2">
      <c r="A94" s="17" t="s">
        <v>9</v>
      </c>
      <c r="B94" s="19">
        <v>1</v>
      </c>
      <c r="C94" s="19">
        <v>2</v>
      </c>
      <c r="E94" s="17" t="s">
        <v>9</v>
      </c>
      <c r="F94" s="19">
        <v>1</v>
      </c>
      <c r="G94" s="19">
        <v>5</v>
      </c>
      <c r="I94" s="17" t="s">
        <v>9</v>
      </c>
      <c r="J94" s="19">
        <v>1</v>
      </c>
      <c r="K94" s="19">
        <v>6</v>
      </c>
      <c r="M94" s="17" t="s">
        <v>9</v>
      </c>
      <c r="N94" s="19"/>
      <c r="O94" s="19"/>
      <c r="Q94" s="17" t="s">
        <v>9</v>
      </c>
      <c r="R94" s="19">
        <f t="shared" si="26"/>
        <v>3</v>
      </c>
      <c r="S94" s="19">
        <f t="shared" si="27"/>
        <v>13</v>
      </c>
      <c r="T94" s="25">
        <v>131.84</v>
      </c>
    </row>
    <row r="95" spans="1:20" x14ac:dyDescent="0.2">
      <c r="A95" s="17" t="s">
        <v>10</v>
      </c>
      <c r="B95" s="19">
        <v>1</v>
      </c>
      <c r="C95" s="19">
        <v>1</v>
      </c>
      <c r="E95" s="17" t="s">
        <v>10</v>
      </c>
      <c r="F95" s="19">
        <v>1</v>
      </c>
      <c r="G95" s="19">
        <v>5</v>
      </c>
      <c r="I95" s="17" t="s">
        <v>10</v>
      </c>
      <c r="J95" s="19"/>
      <c r="K95" s="19"/>
      <c r="M95" s="17" t="s">
        <v>10</v>
      </c>
      <c r="N95" s="19"/>
      <c r="O95" s="19"/>
      <c r="Q95" s="17" t="s">
        <v>10</v>
      </c>
      <c r="R95" s="19">
        <f t="shared" si="26"/>
        <v>2</v>
      </c>
      <c r="S95" s="19">
        <f t="shared" si="27"/>
        <v>6</v>
      </c>
      <c r="T95" s="25">
        <v>73.81</v>
      </c>
    </row>
    <row r="96" spans="1:20" x14ac:dyDescent="0.2">
      <c r="A96" s="17" t="s">
        <v>11</v>
      </c>
      <c r="B96" s="19">
        <v>1</v>
      </c>
      <c r="C96" s="19">
        <v>1</v>
      </c>
      <c r="E96" s="17" t="s">
        <v>11</v>
      </c>
      <c r="F96" s="19"/>
      <c r="G96" s="19"/>
      <c r="I96" s="17" t="s">
        <v>11</v>
      </c>
      <c r="J96" s="19"/>
      <c r="K96" s="19"/>
      <c r="M96" s="17" t="s">
        <v>11</v>
      </c>
      <c r="N96" s="19">
        <v>1</v>
      </c>
      <c r="O96" s="19">
        <v>14</v>
      </c>
      <c r="Q96" s="17" t="s">
        <v>11</v>
      </c>
      <c r="R96" s="19">
        <f t="shared" si="26"/>
        <v>2</v>
      </c>
      <c r="S96" s="19">
        <f t="shared" si="27"/>
        <v>15</v>
      </c>
      <c r="T96" s="25">
        <v>134.55000000000001</v>
      </c>
    </row>
    <row r="97" spans="1:20" x14ac:dyDescent="0.2">
      <c r="A97" s="17"/>
      <c r="B97" s="19"/>
      <c r="C97" s="19"/>
      <c r="E97" s="17"/>
      <c r="F97" s="19"/>
      <c r="G97" s="19"/>
      <c r="I97" s="17"/>
      <c r="J97" s="19"/>
      <c r="K97" s="19"/>
      <c r="M97" s="17"/>
      <c r="N97" s="19"/>
      <c r="O97" s="19"/>
      <c r="Q97" s="17"/>
      <c r="R97" s="19"/>
      <c r="S97" s="19"/>
      <c r="T97" s="25"/>
    </row>
    <row r="98" spans="1:20" x14ac:dyDescent="0.2">
      <c r="A98" s="17" t="s">
        <v>12</v>
      </c>
      <c r="B98" s="19">
        <f>SUM(B85:B97)</f>
        <v>9</v>
      </c>
      <c r="C98" s="19">
        <f>SUM(C85:C97)</f>
        <v>11</v>
      </c>
      <c r="E98" s="17"/>
      <c r="F98" s="19">
        <f t="shared" ref="F98" si="28">SUM(F85:F97)</f>
        <v>14</v>
      </c>
      <c r="G98" s="19">
        <f t="shared" ref="G98" si="29">SUM(G85:G97)</f>
        <v>54</v>
      </c>
      <c r="I98" s="17"/>
      <c r="J98" s="19">
        <f t="shared" ref="J98" si="30">SUM(J85:J97)</f>
        <v>8</v>
      </c>
      <c r="K98" s="19">
        <f t="shared" ref="K98" si="31">SUM(K85:K97)</f>
        <v>59</v>
      </c>
      <c r="M98" s="17"/>
      <c r="N98" s="19">
        <f t="shared" ref="N98" si="32">SUM(N85:N97)</f>
        <v>3</v>
      </c>
      <c r="O98" s="19">
        <f t="shared" ref="O98" si="33">SUM(O85:O97)</f>
        <v>46</v>
      </c>
      <c r="Q98" s="17"/>
      <c r="R98" s="19">
        <f t="shared" ref="R98" si="34">SUM(R85:R97)</f>
        <v>34</v>
      </c>
      <c r="S98" s="19">
        <f t="shared" ref="S98" si="35">SUM(S85:S97)</f>
        <v>170</v>
      </c>
      <c r="T98" s="25">
        <f>SUM(T85:T96)</f>
        <v>1675.0499999999997</v>
      </c>
    </row>
    <row r="99" spans="1:20" x14ac:dyDescent="0.2">
      <c r="A99" s="17"/>
      <c r="B99" s="19"/>
      <c r="C99" s="19"/>
      <c r="R99" s="2">
        <f>B98+F98+J98+N98</f>
        <v>34</v>
      </c>
      <c r="S99" s="2">
        <f>C98+G98+K98+O98</f>
        <v>170</v>
      </c>
    </row>
    <row r="102" spans="1:20" x14ac:dyDescent="0.2">
      <c r="A102" s="9" t="s">
        <v>39</v>
      </c>
    </row>
    <row r="103" spans="1:20" x14ac:dyDescent="0.2">
      <c r="A103" s="9"/>
      <c r="B103" s="18" t="s">
        <v>21</v>
      </c>
      <c r="C103" s="18" t="s">
        <v>22</v>
      </c>
      <c r="E103" s="17"/>
      <c r="F103" s="18" t="s">
        <v>21</v>
      </c>
      <c r="G103" s="18" t="s">
        <v>22</v>
      </c>
      <c r="I103" s="17"/>
      <c r="J103" s="18" t="s">
        <v>21</v>
      </c>
      <c r="K103" s="18" t="s">
        <v>22</v>
      </c>
      <c r="M103" s="17"/>
      <c r="N103" s="18" t="s">
        <v>21</v>
      </c>
      <c r="O103" s="18" t="s">
        <v>22</v>
      </c>
      <c r="Q103" s="17"/>
      <c r="R103" s="18" t="s">
        <v>21</v>
      </c>
      <c r="S103" s="18" t="s">
        <v>22</v>
      </c>
      <c r="T103" s="18" t="s">
        <v>34</v>
      </c>
    </row>
    <row r="104" spans="1:20" x14ac:dyDescent="0.2">
      <c r="B104" s="23">
        <f>B21+B42+B77+B98</f>
        <v>7596</v>
      </c>
      <c r="C104" s="23">
        <f>C21+C42+C77+C98</f>
        <v>10687</v>
      </c>
      <c r="D104" s="9"/>
      <c r="E104" s="17"/>
      <c r="F104" s="23">
        <f t="shared" ref="F104:G104" si="36">F21+F42+F77+F98</f>
        <v>8523</v>
      </c>
      <c r="G104" s="23">
        <f t="shared" si="36"/>
        <v>32116</v>
      </c>
      <c r="H104" s="9"/>
      <c r="I104" s="17"/>
      <c r="J104" s="23">
        <f t="shared" ref="J104:K104" si="37">J21+J42+J77+J98</f>
        <v>2529</v>
      </c>
      <c r="K104" s="23">
        <f t="shared" si="37"/>
        <v>17771</v>
      </c>
      <c r="L104" s="9"/>
      <c r="M104" s="17"/>
      <c r="N104" s="23">
        <f t="shared" ref="N104:O104" si="38">N21+N42+N77+N98</f>
        <v>367</v>
      </c>
      <c r="O104" s="23">
        <f t="shared" si="38"/>
        <v>9311</v>
      </c>
      <c r="P104" s="9"/>
      <c r="Q104" s="17"/>
      <c r="R104" s="23">
        <f>R21+R42+R77+R98</f>
        <v>19015</v>
      </c>
      <c r="S104" s="23">
        <f t="shared" ref="S104" si="39">S21+S42+S77+S98</f>
        <v>69885</v>
      </c>
      <c r="T104" s="24">
        <f>T98+T77+T42+T21</f>
        <v>750859.69999999984</v>
      </c>
    </row>
    <row r="105" spans="1:20" x14ac:dyDescent="0.2"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</row>
    <row r="106" spans="1:20" x14ac:dyDescent="0.2">
      <c r="A106" s="9" t="s">
        <v>78</v>
      </c>
      <c r="B106" s="2">
        <f>B104-B98-B77</f>
        <v>7210</v>
      </c>
      <c r="C106" s="2">
        <f>C104-C98-C77</f>
        <v>10325</v>
      </c>
      <c r="F106" s="2">
        <f t="shared" ref="F106:G106" si="40">F104-F98-F77</f>
        <v>8415</v>
      </c>
      <c r="G106" s="2">
        <f t="shared" si="40"/>
        <v>31729</v>
      </c>
      <c r="J106" s="2">
        <f t="shared" ref="J106:K106" si="41">J104-J98-J77</f>
        <v>2501</v>
      </c>
      <c r="K106" s="2">
        <f t="shared" si="41"/>
        <v>17564</v>
      </c>
      <c r="N106" s="2">
        <f t="shared" ref="N106:O106" si="42">N104-N98-N77</f>
        <v>357</v>
      </c>
      <c r="O106" s="2">
        <f t="shared" si="42"/>
        <v>9176</v>
      </c>
      <c r="R106" s="2">
        <f>B106+F106+J106+N106</f>
        <v>18483</v>
      </c>
      <c r="S106" s="2">
        <f>C106+G106+K106+O106</f>
        <v>68794</v>
      </c>
      <c r="T106" s="3">
        <f>T21+T42</f>
        <v>734821.74999999988</v>
      </c>
    </row>
    <row r="107" spans="1:20" x14ac:dyDescent="0.2">
      <c r="A107" s="9" t="s">
        <v>79</v>
      </c>
      <c r="B107" s="35">
        <f>B104-B42-B21</f>
        <v>386</v>
      </c>
      <c r="C107" s="35">
        <f>C104-C42-C21</f>
        <v>362</v>
      </c>
      <c r="F107" s="35">
        <f t="shared" ref="F107:G107" si="43">F104-F42-F21</f>
        <v>108</v>
      </c>
      <c r="G107" s="35">
        <f t="shared" si="43"/>
        <v>387</v>
      </c>
      <c r="J107" s="35">
        <f t="shared" ref="J107:K107" si="44">J104-J42-J21</f>
        <v>28</v>
      </c>
      <c r="K107" s="35">
        <f t="shared" si="44"/>
        <v>207</v>
      </c>
      <c r="N107" s="35">
        <f t="shared" ref="N107:O107" si="45">N104-N42-N21</f>
        <v>10</v>
      </c>
      <c r="O107" s="35">
        <f t="shared" si="45"/>
        <v>135</v>
      </c>
      <c r="R107" s="35">
        <f>B107+F107+J107+N107</f>
        <v>532</v>
      </c>
      <c r="S107" s="35">
        <f>C107+G107+K107+O107</f>
        <v>1091</v>
      </c>
      <c r="T107" s="4">
        <f>T98+T77</f>
        <v>16037.950000000003</v>
      </c>
    </row>
    <row r="109" spans="1:20" ht="13.5" thickBot="1" x14ac:dyDescent="0.25">
      <c r="A109" s="9" t="s">
        <v>80</v>
      </c>
      <c r="B109" s="52">
        <f>SUM(B106:B108)</f>
        <v>7596</v>
      </c>
      <c r="C109" s="52">
        <f>SUM(C106:C108)</f>
        <v>10687</v>
      </c>
      <c r="F109" s="52">
        <f t="shared" ref="F109:G109" si="46">SUM(F106:F108)</f>
        <v>8523</v>
      </c>
      <c r="G109" s="52">
        <f t="shared" si="46"/>
        <v>32116</v>
      </c>
      <c r="J109" s="52">
        <f t="shared" ref="J109:K109" si="47">SUM(J106:J108)</f>
        <v>2529</v>
      </c>
      <c r="K109" s="52">
        <f t="shared" si="47"/>
        <v>17771</v>
      </c>
      <c r="N109" s="52">
        <f t="shared" ref="N109:O109" si="48">SUM(N106:N108)</f>
        <v>367</v>
      </c>
      <c r="O109" s="52">
        <f t="shared" si="48"/>
        <v>9311</v>
      </c>
      <c r="R109" s="52">
        <f t="shared" ref="R109" si="49">SUM(R106:R108)</f>
        <v>19015</v>
      </c>
      <c r="S109" s="52">
        <f t="shared" ref="S109" si="50">SUM(S106:S108)</f>
        <v>69885</v>
      </c>
      <c r="T109" s="8">
        <f>SUM(T106:T107)</f>
        <v>750859.69999999984</v>
      </c>
    </row>
    <row r="110" spans="1:20" ht="13.5" thickTop="1" x14ac:dyDescent="0.2"/>
  </sheetData>
  <phoneticPr fontId="2" type="noConversion"/>
  <pageMargins left="0.7" right="0.7" top="0.75" bottom="0.75" header="0.3" footer="0.3"/>
  <pageSetup scale="70" fitToHeight="0" orientation="landscape" horizontalDpi="4294967295" verticalDpi="4294967295" r:id="rId1"/>
  <headerFooter>
    <oddHeader xml:space="preserve">&amp;C&amp;"Arial,Bold"Grant County Sanitary Sewer District
&amp;R&amp;"Arial,Bold"Response to 28
City of Crittenden Requests
Witness - Debbra Dedden, CPA
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2220CE-5D48-41AF-B54A-4A4572F07833}">
  <dimension ref="A2:H34"/>
  <sheetViews>
    <sheetView workbookViewId="0"/>
  </sheetViews>
  <sheetFormatPr defaultRowHeight="12.75" x14ac:dyDescent="0.2"/>
  <cols>
    <col min="1" max="1" width="11" style="9" bestFit="1" customWidth="1"/>
    <col min="2" max="4" width="9.7109375" style="9" customWidth="1"/>
    <col min="5" max="5" width="9.140625" style="9"/>
    <col min="6" max="8" width="9.7109375" style="9" customWidth="1"/>
    <col min="9" max="16384" width="9.140625" style="9"/>
  </cols>
  <sheetData>
    <row r="2" spans="1:8" ht="24.95" customHeight="1" x14ac:dyDescent="0.2">
      <c r="A2" s="10"/>
      <c r="B2" s="11" t="s">
        <v>18</v>
      </c>
      <c r="C2" s="11"/>
      <c r="D2" s="11"/>
      <c r="E2" s="11"/>
      <c r="F2" s="11"/>
      <c r="G2" s="11"/>
      <c r="H2" s="12"/>
    </row>
    <row r="3" spans="1:8" ht="24.95" customHeight="1" x14ac:dyDescent="0.2">
      <c r="A3" s="13"/>
      <c r="B3" s="14"/>
      <c r="C3" s="14" t="s">
        <v>19</v>
      </c>
      <c r="D3" s="14"/>
      <c r="E3" s="14"/>
      <c r="H3" s="29"/>
    </row>
    <row r="4" spans="1:8" ht="24.95" customHeight="1" x14ac:dyDescent="0.2">
      <c r="A4" s="10" t="s">
        <v>42</v>
      </c>
      <c r="B4" s="11"/>
      <c r="C4" s="11"/>
      <c r="D4" s="11"/>
      <c r="E4" s="11"/>
      <c r="F4" s="11"/>
      <c r="G4" s="11"/>
      <c r="H4" s="16" t="s">
        <v>41</v>
      </c>
    </row>
    <row r="5" spans="1:8" x14ac:dyDescent="0.2">
      <c r="A5" s="10"/>
    </row>
    <row r="6" spans="1:8" ht="20.100000000000001" customHeight="1" x14ac:dyDescent="0.2">
      <c r="A6" s="17"/>
      <c r="B6" s="18" t="s">
        <v>21</v>
      </c>
      <c r="C6" s="18" t="s">
        <v>22</v>
      </c>
      <c r="D6" s="17">
        <v>5</v>
      </c>
      <c r="E6" s="17">
        <v>5</v>
      </c>
      <c r="F6" s="17">
        <v>10</v>
      </c>
      <c r="G6" s="17"/>
      <c r="H6" s="17"/>
    </row>
    <row r="7" spans="1:8" ht="20.100000000000001" customHeight="1" x14ac:dyDescent="0.2">
      <c r="A7" s="17" t="s">
        <v>43</v>
      </c>
      <c r="B7" s="22">
        <v>126</v>
      </c>
      <c r="C7" s="19">
        <v>277</v>
      </c>
      <c r="D7" s="19">
        <f>C7</f>
        <v>277</v>
      </c>
      <c r="E7" s="19"/>
      <c r="F7" s="19"/>
      <c r="G7" s="19"/>
      <c r="H7" s="17"/>
    </row>
    <row r="8" spans="1:8" ht="20.100000000000001" customHeight="1" x14ac:dyDescent="0.2">
      <c r="A8" s="17" t="s">
        <v>25</v>
      </c>
      <c r="B8" s="22">
        <v>19</v>
      </c>
      <c r="C8" s="19">
        <v>139</v>
      </c>
      <c r="D8" s="19">
        <f>B8*D6</f>
        <v>95</v>
      </c>
      <c r="E8" s="19">
        <f>C8-D8</f>
        <v>44</v>
      </c>
      <c r="F8" s="19"/>
      <c r="G8" s="19"/>
      <c r="H8" s="17"/>
    </row>
    <row r="9" spans="1:8" ht="20.100000000000001" customHeight="1" x14ac:dyDescent="0.2">
      <c r="A9" s="17" t="s">
        <v>26</v>
      </c>
      <c r="B9" s="22">
        <v>50</v>
      </c>
      <c r="C9" s="19">
        <v>2416</v>
      </c>
      <c r="D9" s="19">
        <f>B9*D6</f>
        <v>250</v>
      </c>
      <c r="E9" s="19">
        <f>B9*5</f>
        <v>250</v>
      </c>
      <c r="F9" s="19">
        <f>C9-D9-E9</f>
        <v>1916</v>
      </c>
      <c r="G9" s="19"/>
      <c r="H9" s="17"/>
    </row>
    <row r="10" spans="1:8" ht="24.95" customHeight="1" x14ac:dyDescent="0.2">
      <c r="A10" s="17" t="s">
        <v>27</v>
      </c>
      <c r="B10" s="19">
        <f>SUM(B6:B9)</f>
        <v>195</v>
      </c>
      <c r="C10" s="19">
        <f>SUM(C6:C9)</f>
        <v>2832</v>
      </c>
      <c r="D10" s="19">
        <f>SUM(D7:D9)</f>
        <v>622</v>
      </c>
      <c r="E10" s="19">
        <f>SUM(E7:E9)</f>
        <v>294</v>
      </c>
      <c r="F10" s="19">
        <f>SUM(F7:F9)</f>
        <v>1916</v>
      </c>
      <c r="G10" s="19"/>
      <c r="H10" s="17"/>
    </row>
    <row r="11" spans="1:8" x14ac:dyDescent="0.2">
      <c r="A11" s="13" t="s">
        <v>28</v>
      </c>
      <c r="G11" s="12"/>
    </row>
    <row r="12" spans="1:8" s="1" customFormat="1" ht="24.95" customHeight="1" x14ac:dyDescent="0.2">
      <c r="A12" s="18"/>
      <c r="B12" s="18" t="s">
        <v>21</v>
      </c>
      <c r="C12" s="18" t="s">
        <v>22</v>
      </c>
      <c r="D12" s="18" t="s">
        <v>29</v>
      </c>
      <c r="E12" s="18" t="s">
        <v>30</v>
      </c>
      <c r="F12" s="18"/>
      <c r="G12" s="18"/>
      <c r="H12" s="18"/>
    </row>
    <row r="13" spans="1:8" ht="20.100000000000001" customHeight="1" x14ac:dyDescent="0.2">
      <c r="A13" s="10" t="s">
        <v>43</v>
      </c>
      <c r="B13" s="19">
        <f>$B$10</f>
        <v>195</v>
      </c>
      <c r="C13" s="19">
        <f>$D$10</f>
        <v>622</v>
      </c>
      <c r="D13" s="20">
        <v>50.57</v>
      </c>
      <c r="E13" s="19">
        <f>B13*D13</f>
        <v>9861.15</v>
      </c>
      <c r="F13" s="20"/>
      <c r="G13" s="20"/>
      <c r="H13" s="21"/>
    </row>
    <row r="14" spans="1:8" ht="20.100000000000001" customHeight="1" x14ac:dyDescent="0.2">
      <c r="A14" s="10" t="s">
        <v>25</v>
      </c>
      <c r="B14" s="22"/>
      <c r="C14" s="19">
        <f>$E$10</f>
        <v>294</v>
      </c>
      <c r="D14" s="20">
        <v>7.46</v>
      </c>
      <c r="E14" s="19">
        <f>C14*D14</f>
        <v>2193.2399999999998</v>
      </c>
      <c r="F14" s="20"/>
      <c r="G14" s="20"/>
      <c r="H14" s="21"/>
    </row>
    <row r="15" spans="1:8" ht="20.100000000000001" customHeight="1" x14ac:dyDescent="0.2">
      <c r="A15" s="17" t="s">
        <v>26</v>
      </c>
      <c r="B15" s="22"/>
      <c r="C15" s="19">
        <f>$F$10</f>
        <v>1916</v>
      </c>
      <c r="D15" s="20">
        <v>5.86</v>
      </c>
      <c r="E15" s="19">
        <f>C15*D15</f>
        <v>11227.76</v>
      </c>
      <c r="F15" s="20"/>
      <c r="G15" s="20"/>
      <c r="H15" s="21"/>
    </row>
    <row r="16" spans="1:8" ht="24.95" customHeight="1" x14ac:dyDescent="0.2">
      <c r="A16" s="10" t="s">
        <v>27</v>
      </c>
      <c r="B16" s="22"/>
      <c r="C16" s="19">
        <f>SUM(C13:C15)</f>
        <v>2832</v>
      </c>
      <c r="D16" s="19"/>
      <c r="E16" s="19">
        <f>SUM(E13:E15)</f>
        <v>23282.15</v>
      </c>
      <c r="F16" s="19"/>
      <c r="G16" s="23"/>
      <c r="H16" s="23"/>
    </row>
    <row r="17" spans="1:8" hidden="1" x14ac:dyDescent="0.2">
      <c r="A17" s="9" t="s">
        <v>31</v>
      </c>
      <c r="B17" s="9" t="s">
        <v>32</v>
      </c>
      <c r="F17" s="2"/>
      <c r="G17" s="23"/>
      <c r="H17" s="23"/>
    </row>
    <row r="18" spans="1:8" ht="24.95" hidden="1" customHeight="1" x14ac:dyDescent="0.2">
      <c r="A18" s="18"/>
      <c r="B18" s="18" t="s">
        <v>21</v>
      </c>
      <c r="C18" s="18" t="s">
        <v>22</v>
      </c>
      <c r="D18" s="18" t="s">
        <v>29</v>
      </c>
      <c r="E18" s="18" t="s">
        <v>30</v>
      </c>
      <c r="F18" s="18"/>
      <c r="G18" s="18"/>
      <c r="H18" s="18"/>
    </row>
    <row r="19" spans="1:8" ht="24.95" hidden="1" customHeight="1" x14ac:dyDescent="0.2">
      <c r="A19" s="10" t="s">
        <v>43</v>
      </c>
      <c r="B19" s="19">
        <f>$B$10</f>
        <v>195</v>
      </c>
      <c r="C19" s="19">
        <f>$D$10</f>
        <v>622</v>
      </c>
      <c r="D19" s="20">
        <v>49.5</v>
      </c>
      <c r="E19" s="19">
        <f>B19*D19</f>
        <v>9652.5</v>
      </c>
      <c r="F19" s="20"/>
      <c r="G19" s="20"/>
      <c r="H19" s="21"/>
    </row>
    <row r="20" spans="1:8" ht="24.95" hidden="1" customHeight="1" x14ac:dyDescent="0.2">
      <c r="A20" s="10" t="s">
        <v>25</v>
      </c>
      <c r="B20" s="22"/>
      <c r="C20" s="19">
        <f>$E$10</f>
        <v>294</v>
      </c>
      <c r="D20" s="20">
        <v>3.3</v>
      </c>
      <c r="E20" s="19">
        <f>C20*D20</f>
        <v>970.19999999999993</v>
      </c>
      <c r="F20" s="20"/>
      <c r="G20" s="20"/>
      <c r="H20" s="21"/>
    </row>
    <row r="21" spans="1:8" ht="24.95" hidden="1" customHeight="1" x14ac:dyDescent="0.2">
      <c r="A21" s="17" t="s">
        <v>26</v>
      </c>
      <c r="B21" s="22"/>
      <c r="C21" s="19">
        <f>$F$10</f>
        <v>1916</v>
      </c>
      <c r="D21" s="20">
        <v>2.75</v>
      </c>
      <c r="E21" s="19">
        <f>C21*D21</f>
        <v>5269</v>
      </c>
      <c r="F21" s="20"/>
      <c r="G21" s="20"/>
      <c r="H21" s="21"/>
    </row>
    <row r="22" spans="1:8" ht="24.95" hidden="1" customHeight="1" x14ac:dyDescent="0.2">
      <c r="A22" s="10" t="s">
        <v>27</v>
      </c>
      <c r="B22" s="22"/>
      <c r="C22" s="19">
        <f>SUM(C19:C21)</f>
        <v>2832</v>
      </c>
      <c r="D22" s="19"/>
      <c r="E22" s="19">
        <f>SUM(E19:E21)</f>
        <v>15891.7</v>
      </c>
      <c r="F22" s="19"/>
      <c r="G22" s="20"/>
      <c r="H22" s="21"/>
    </row>
    <row r="23" spans="1:8" hidden="1" x14ac:dyDescent="0.2">
      <c r="A23" s="9" t="s">
        <v>31</v>
      </c>
      <c r="B23" s="9" t="s">
        <v>33</v>
      </c>
    </row>
    <row r="24" spans="1:8" ht="24.95" hidden="1" customHeight="1" x14ac:dyDescent="0.2">
      <c r="A24" s="18"/>
      <c r="B24" s="18" t="s">
        <v>21</v>
      </c>
      <c r="C24" s="18" t="s">
        <v>22</v>
      </c>
      <c r="D24" s="18" t="s">
        <v>29</v>
      </c>
      <c r="E24" s="18" t="s">
        <v>30</v>
      </c>
      <c r="F24" s="18"/>
      <c r="G24" s="18"/>
      <c r="H24" s="18"/>
    </row>
    <row r="25" spans="1:8" ht="24.95" hidden="1" customHeight="1" x14ac:dyDescent="0.2">
      <c r="A25" s="10" t="s">
        <v>43</v>
      </c>
      <c r="B25" s="19">
        <f>$B$10</f>
        <v>195</v>
      </c>
      <c r="C25" s="19">
        <f>$D$10</f>
        <v>622</v>
      </c>
      <c r="D25" s="20">
        <v>50.4</v>
      </c>
      <c r="E25" s="19">
        <f>B25*D25</f>
        <v>9828</v>
      </c>
      <c r="F25" s="20"/>
      <c r="G25" s="20"/>
      <c r="H25" s="21"/>
    </row>
    <row r="26" spans="1:8" ht="24.95" hidden="1" customHeight="1" x14ac:dyDescent="0.2">
      <c r="A26" s="10" t="s">
        <v>25</v>
      </c>
      <c r="B26" s="22"/>
      <c r="C26" s="19">
        <f>$E$10</f>
        <v>294</v>
      </c>
      <c r="D26" s="20">
        <v>3.36</v>
      </c>
      <c r="E26" s="19">
        <f>C26*D26</f>
        <v>987.83999999999992</v>
      </c>
      <c r="F26" s="20"/>
      <c r="G26" s="20"/>
      <c r="H26" s="21"/>
    </row>
    <row r="27" spans="1:8" ht="24.95" hidden="1" customHeight="1" x14ac:dyDescent="0.2">
      <c r="A27" s="17" t="s">
        <v>26</v>
      </c>
      <c r="B27" s="22"/>
      <c r="C27" s="19">
        <f>$F$10</f>
        <v>1916</v>
      </c>
      <c r="D27" s="20">
        <v>2.8</v>
      </c>
      <c r="E27" s="19">
        <f>C27*D27</f>
        <v>5364.7999999999993</v>
      </c>
      <c r="F27" s="20"/>
      <c r="G27" s="20"/>
      <c r="H27" s="21"/>
    </row>
    <row r="28" spans="1:8" ht="24.95" hidden="1" customHeight="1" x14ac:dyDescent="0.2">
      <c r="A28" s="10" t="s">
        <v>27</v>
      </c>
      <c r="B28" s="22"/>
      <c r="C28" s="19">
        <f>SUM(C25:C27)</f>
        <v>2832</v>
      </c>
      <c r="D28" s="19"/>
      <c r="E28" s="19">
        <f>SUM(E25:E27)</f>
        <v>16180.64</v>
      </c>
      <c r="F28" s="19"/>
      <c r="G28" s="20"/>
      <c r="H28" s="21"/>
    </row>
    <row r="29" spans="1:8" x14ac:dyDescent="0.2">
      <c r="A29" s="9" t="s">
        <v>31</v>
      </c>
      <c r="B29" s="9" t="s">
        <v>85</v>
      </c>
    </row>
    <row r="30" spans="1:8" ht="24.95" customHeight="1" x14ac:dyDescent="0.2">
      <c r="A30" s="18"/>
      <c r="B30" s="18" t="s">
        <v>21</v>
      </c>
      <c r="C30" s="18" t="s">
        <v>22</v>
      </c>
      <c r="D30" s="18" t="s">
        <v>29</v>
      </c>
      <c r="E30" s="18" t="s">
        <v>30</v>
      </c>
      <c r="F30" s="18"/>
      <c r="G30" s="18"/>
      <c r="H30" s="18"/>
    </row>
    <row r="31" spans="1:8" ht="24.95" customHeight="1" x14ac:dyDescent="0.2">
      <c r="A31" s="10" t="s">
        <v>43</v>
      </c>
      <c r="B31" s="19">
        <f>$B$10</f>
        <v>195</v>
      </c>
      <c r="C31" s="19">
        <f>$D$10</f>
        <v>622</v>
      </c>
      <c r="D31" s="20">
        <f>D13*1.121</f>
        <v>56.688969999999998</v>
      </c>
      <c r="E31" s="19">
        <f>B31*D31</f>
        <v>11054.34915</v>
      </c>
      <c r="F31" s="20"/>
      <c r="G31" s="20"/>
      <c r="H31" s="21"/>
    </row>
    <row r="32" spans="1:8" ht="24.95" customHeight="1" x14ac:dyDescent="0.2">
      <c r="A32" s="10" t="s">
        <v>25</v>
      </c>
      <c r="B32" s="22"/>
      <c r="C32" s="19">
        <f>$E$10</f>
        <v>294</v>
      </c>
      <c r="D32" s="20">
        <f>D14*1.121</f>
        <v>8.36266</v>
      </c>
      <c r="E32" s="19">
        <f>C32*D32</f>
        <v>2458.6220400000002</v>
      </c>
      <c r="F32" s="20"/>
      <c r="G32" s="20"/>
      <c r="H32" s="21"/>
    </row>
    <row r="33" spans="1:8" ht="24.95" customHeight="1" x14ac:dyDescent="0.2">
      <c r="A33" s="17" t="s">
        <v>26</v>
      </c>
      <c r="B33" s="22"/>
      <c r="C33" s="19">
        <f>$F$10</f>
        <v>1916</v>
      </c>
      <c r="D33" s="20">
        <f>D15*1.121</f>
        <v>6.5690600000000003</v>
      </c>
      <c r="E33" s="19">
        <f>C33*D33</f>
        <v>12586.318960000001</v>
      </c>
      <c r="F33" s="20"/>
      <c r="G33" s="20"/>
      <c r="H33" s="21"/>
    </row>
    <row r="34" spans="1:8" ht="24.95" customHeight="1" x14ac:dyDescent="0.2">
      <c r="A34" s="10" t="s">
        <v>27</v>
      </c>
      <c r="B34" s="22"/>
      <c r="C34" s="19">
        <f>SUM(C31:C33)</f>
        <v>2832</v>
      </c>
      <c r="D34" s="19"/>
      <c r="E34" s="19">
        <f>SUM(E31:E33)</f>
        <v>26099.290150000001</v>
      </c>
      <c r="F34" s="19"/>
      <c r="G34" s="20"/>
      <c r="H34" s="21"/>
    </row>
  </sheetData>
  <pageMargins left="0.75" right="0.75" top="1" bottom="1" header="0.5" footer="0.5"/>
  <pageSetup orientation="portrait" r:id="rId1"/>
  <headerFooter alignWithMargins="0">
    <oddHeader>&amp;R&amp;"Arial,Bold"Response to 28
City of Crittenden Requests
Witness - Debbra Dedden, CPA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523FFE-0402-4739-8EFA-B4E114DA3FC2}">
  <sheetPr>
    <pageSetUpPr fitToPage="1"/>
  </sheetPr>
  <dimension ref="A2:T22"/>
  <sheetViews>
    <sheetView workbookViewId="0">
      <selection activeCell="T11" sqref="T11"/>
    </sheetView>
  </sheetViews>
  <sheetFormatPr defaultRowHeight="12.75" x14ac:dyDescent="0.2"/>
  <cols>
    <col min="1" max="1" width="11" customWidth="1"/>
    <col min="2" max="2" width="11.42578125" customWidth="1"/>
    <col min="4" max="4" width="3.7109375" customWidth="1"/>
    <col min="5" max="5" width="11.5703125" customWidth="1"/>
    <col min="8" max="8" width="3.7109375" hidden="1" customWidth="1"/>
    <col min="9" max="9" width="11.5703125" hidden="1" customWidth="1"/>
    <col min="10" max="11" width="0" hidden="1" customWidth="1"/>
    <col min="12" max="12" width="3.7109375" customWidth="1"/>
    <col min="13" max="13" width="11" customWidth="1"/>
    <col min="16" max="16" width="3.7109375" customWidth="1"/>
    <col min="17" max="17" width="11" customWidth="1"/>
    <col min="20" max="20" width="10.140625" bestFit="1" customWidth="1"/>
  </cols>
  <sheetData>
    <row r="2" spans="1:20" x14ac:dyDescent="0.2">
      <c r="A2" s="30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2"/>
    </row>
    <row r="3" spans="1:20" x14ac:dyDescent="0.2">
      <c r="A3" s="33" t="s">
        <v>41</v>
      </c>
      <c r="T3" s="34"/>
    </row>
    <row r="4" spans="1:20" x14ac:dyDescent="0.2">
      <c r="A4" s="10" t="s">
        <v>42</v>
      </c>
      <c r="B4" s="11"/>
      <c r="C4" s="11"/>
      <c r="T4" s="34"/>
    </row>
    <row r="5" spans="1:20" x14ac:dyDescent="0.2">
      <c r="A5" s="10"/>
      <c r="B5" s="9"/>
      <c r="C5" s="9"/>
      <c r="T5" s="34"/>
    </row>
    <row r="6" spans="1:20" x14ac:dyDescent="0.2">
      <c r="A6" s="17"/>
      <c r="B6" s="18" t="s">
        <v>21</v>
      </c>
      <c r="C6" s="18" t="s">
        <v>22</v>
      </c>
      <c r="E6" s="17"/>
      <c r="F6" s="18" t="s">
        <v>21</v>
      </c>
      <c r="G6" s="18" t="s">
        <v>22</v>
      </c>
      <c r="I6" s="17"/>
      <c r="J6" s="18" t="s">
        <v>21</v>
      </c>
      <c r="K6" s="18" t="s">
        <v>22</v>
      </c>
      <c r="M6" s="17"/>
      <c r="N6" s="18" t="s">
        <v>21</v>
      </c>
      <c r="O6" s="18" t="s">
        <v>22</v>
      </c>
      <c r="Q6" s="17"/>
      <c r="R6" s="18" t="s">
        <v>21</v>
      </c>
      <c r="S6" s="18" t="s">
        <v>22</v>
      </c>
      <c r="T6" s="18" t="s">
        <v>34</v>
      </c>
    </row>
    <row r="7" spans="1:20" x14ac:dyDescent="0.2">
      <c r="A7" s="17" t="s">
        <v>43</v>
      </c>
      <c r="B7" s="19"/>
      <c r="C7" s="19"/>
      <c r="E7" s="17" t="s">
        <v>25</v>
      </c>
      <c r="F7" s="19"/>
      <c r="G7" s="19"/>
      <c r="I7" s="17" t="s">
        <v>25</v>
      </c>
      <c r="J7" s="19"/>
      <c r="K7" s="19"/>
      <c r="M7" s="17" t="s">
        <v>26</v>
      </c>
      <c r="N7" s="19"/>
      <c r="O7" s="19"/>
      <c r="Q7" s="17" t="s">
        <v>44</v>
      </c>
      <c r="R7" s="19"/>
      <c r="S7" s="19"/>
      <c r="T7" s="19"/>
    </row>
    <row r="8" spans="1:20" x14ac:dyDescent="0.2">
      <c r="A8" s="17" t="s">
        <v>0</v>
      </c>
      <c r="B8" s="19">
        <f>7+4</f>
        <v>11</v>
      </c>
      <c r="C8" s="19">
        <f>7+15</f>
        <v>22</v>
      </c>
      <c r="E8" s="17" t="s">
        <v>0</v>
      </c>
      <c r="F8" s="19">
        <v>2</v>
      </c>
      <c r="G8" s="19">
        <v>16</v>
      </c>
      <c r="I8" s="17" t="s">
        <v>0</v>
      </c>
      <c r="J8" s="19"/>
      <c r="K8" s="19"/>
      <c r="M8" s="17" t="s">
        <v>0</v>
      </c>
      <c r="N8" s="19">
        <v>3</v>
      </c>
      <c r="O8" s="19">
        <f>12+234</f>
        <v>246</v>
      </c>
      <c r="Q8" s="17" t="s">
        <v>0</v>
      </c>
      <c r="R8" s="19">
        <f>B8+F8+J8+N8</f>
        <v>16</v>
      </c>
      <c r="S8" s="19">
        <f>C8+G8+K8+O8</f>
        <v>284</v>
      </c>
      <c r="T8" s="25">
        <v>2231.54</v>
      </c>
    </row>
    <row r="9" spans="1:20" x14ac:dyDescent="0.2">
      <c r="A9" s="17" t="s">
        <v>1</v>
      </c>
      <c r="B9" s="19">
        <f>7+3</f>
        <v>10</v>
      </c>
      <c r="C9" s="19">
        <f>9+11</f>
        <v>20</v>
      </c>
      <c r="E9" s="17" t="s">
        <v>1</v>
      </c>
      <c r="F9" s="19">
        <v>3</v>
      </c>
      <c r="G9" s="19">
        <v>24</v>
      </c>
      <c r="I9" s="17" t="s">
        <v>1</v>
      </c>
      <c r="J9" s="19"/>
      <c r="K9" s="19"/>
      <c r="M9" s="17" t="s">
        <v>1</v>
      </c>
      <c r="N9" s="19">
        <v>3</v>
      </c>
      <c r="O9" s="19">
        <f>11+231</f>
        <v>242</v>
      </c>
      <c r="Q9" s="17" t="s">
        <v>1</v>
      </c>
      <c r="R9" s="19">
        <f t="shared" ref="R9:S19" si="0">B9+F9+J9+N9</f>
        <v>16</v>
      </c>
      <c r="S9" s="19">
        <f t="shared" si="0"/>
        <v>286</v>
      </c>
      <c r="T9" s="25">
        <v>2230.48</v>
      </c>
    </row>
    <row r="10" spans="1:20" x14ac:dyDescent="0.2">
      <c r="A10" s="17" t="s">
        <v>2</v>
      </c>
      <c r="B10" s="19">
        <v>11</v>
      </c>
      <c r="C10" s="19">
        <v>25</v>
      </c>
      <c r="E10" s="17" t="s">
        <v>2</v>
      </c>
      <c r="F10" s="19"/>
      <c r="G10" s="19"/>
      <c r="I10" s="17" t="s">
        <v>2</v>
      </c>
      <c r="J10" s="19"/>
      <c r="K10" s="19"/>
      <c r="M10" s="17" t="s">
        <v>2</v>
      </c>
      <c r="N10" s="19">
        <v>5</v>
      </c>
      <c r="O10" s="19">
        <v>240</v>
      </c>
      <c r="Q10" s="17" t="s">
        <v>2</v>
      </c>
      <c r="R10" s="19">
        <f t="shared" si="0"/>
        <v>16</v>
      </c>
      <c r="S10" s="19">
        <f t="shared" si="0"/>
        <v>265</v>
      </c>
      <c r="T10" s="25">
        <v>2109.02</v>
      </c>
    </row>
    <row r="11" spans="1:20" x14ac:dyDescent="0.2">
      <c r="A11" s="17" t="s">
        <v>3</v>
      </c>
      <c r="B11" s="19">
        <f>6+4</f>
        <v>10</v>
      </c>
      <c r="C11" s="19">
        <f>6+18</f>
        <v>24</v>
      </c>
      <c r="E11" s="17" t="s">
        <v>3</v>
      </c>
      <c r="F11" s="19">
        <v>2</v>
      </c>
      <c r="G11" s="19">
        <v>16</v>
      </c>
      <c r="I11" s="17" t="s">
        <v>3</v>
      </c>
      <c r="J11" s="19"/>
      <c r="K11" s="19"/>
      <c r="M11" s="17" t="s">
        <v>3</v>
      </c>
      <c r="N11" s="19">
        <v>4</v>
      </c>
      <c r="O11" s="19">
        <f>12+147</f>
        <v>159</v>
      </c>
      <c r="Q11" s="17" t="s">
        <v>3</v>
      </c>
      <c r="R11" s="19">
        <f t="shared" si="0"/>
        <v>16</v>
      </c>
      <c r="S11" s="19">
        <f t="shared" si="0"/>
        <v>199</v>
      </c>
      <c r="T11" s="25">
        <v>1700.42</v>
      </c>
    </row>
    <row r="12" spans="1:20" x14ac:dyDescent="0.2">
      <c r="A12" s="17" t="s">
        <v>4</v>
      </c>
      <c r="B12" s="19">
        <f>6+3</f>
        <v>9</v>
      </c>
      <c r="C12" s="19">
        <f>10+13</f>
        <v>23</v>
      </c>
      <c r="E12" s="17" t="s">
        <v>4</v>
      </c>
      <c r="F12" s="19">
        <v>1</v>
      </c>
      <c r="G12" s="19">
        <v>6</v>
      </c>
      <c r="I12" s="17" t="s">
        <v>4</v>
      </c>
      <c r="J12" s="19"/>
      <c r="K12" s="19"/>
      <c r="M12" s="17" t="s">
        <v>4</v>
      </c>
      <c r="N12" s="19">
        <v>6</v>
      </c>
      <c r="O12" s="19">
        <f>23+163</f>
        <v>186</v>
      </c>
      <c r="Q12" s="17" t="s">
        <v>4</v>
      </c>
      <c r="R12" s="19">
        <f t="shared" si="0"/>
        <v>16</v>
      </c>
      <c r="S12" s="19">
        <f t="shared" si="0"/>
        <v>215</v>
      </c>
      <c r="T12" s="25">
        <v>1778.74</v>
      </c>
    </row>
    <row r="13" spans="1:20" x14ac:dyDescent="0.2">
      <c r="A13" s="17" t="s">
        <v>5</v>
      </c>
      <c r="B13" s="19">
        <f>4+3</f>
        <v>7</v>
      </c>
      <c r="C13" s="19">
        <f>5+11</f>
        <v>16</v>
      </c>
      <c r="E13" s="17" t="s">
        <v>5</v>
      </c>
      <c r="F13" s="19">
        <v>5</v>
      </c>
      <c r="G13" s="19">
        <v>36</v>
      </c>
      <c r="I13" s="17" t="s">
        <v>5</v>
      </c>
      <c r="J13" s="19"/>
      <c r="K13" s="19"/>
      <c r="M13" s="17" t="s">
        <v>5</v>
      </c>
      <c r="N13" s="19">
        <v>4</v>
      </c>
      <c r="O13" s="19">
        <f>34+138</f>
        <v>172</v>
      </c>
      <c r="Q13" s="17" t="s">
        <v>5</v>
      </c>
      <c r="R13" s="19">
        <f t="shared" si="0"/>
        <v>16</v>
      </c>
      <c r="S13" s="19">
        <f t="shared" si="0"/>
        <v>224</v>
      </c>
      <c r="T13" s="25">
        <v>1813.9</v>
      </c>
    </row>
    <row r="14" spans="1:20" x14ac:dyDescent="0.2">
      <c r="A14" s="17" t="s">
        <v>6</v>
      </c>
      <c r="B14" s="19">
        <f>8+3</f>
        <v>11</v>
      </c>
      <c r="C14" s="19">
        <f>11+14</f>
        <v>25</v>
      </c>
      <c r="E14" s="17" t="s">
        <v>6</v>
      </c>
      <c r="F14" s="19"/>
      <c r="G14" s="19"/>
      <c r="I14" s="17" t="s">
        <v>6</v>
      </c>
      <c r="J14" s="19"/>
      <c r="K14" s="19"/>
      <c r="M14" s="17" t="s">
        <v>6</v>
      </c>
      <c r="N14" s="19">
        <v>5</v>
      </c>
      <c r="O14" s="19">
        <f>14+226</f>
        <v>240</v>
      </c>
      <c r="Q14" s="17" t="s">
        <v>6</v>
      </c>
      <c r="R14" s="19">
        <f t="shared" si="0"/>
        <v>16</v>
      </c>
      <c r="S14" s="19">
        <f t="shared" si="0"/>
        <v>265</v>
      </c>
      <c r="T14" s="25">
        <v>2109.02</v>
      </c>
    </row>
    <row r="15" spans="1:20" x14ac:dyDescent="0.2">
      <c r="A15" s="17" t="s">
        <v>7</v>
      </c>
      <c r="B15" s="19">
        <v>10</v>
      </c>
      <c r="C15" s="19">
        <f>8+14</f>
        <v>22</v>
      </c>
      <c r="E15" s="17" t="s">
        <v>7</v>
      </c>
      <c r="F15" s="19">
        <v>2</v>
      </c>
      <c r="G15" s="19">
        <v>15</v>
      </c>
      <c r="I15" s="17" t="s">
        <v>7</v>
      </c>
      <c r="J15" s="19"/>
      <c r="K15" s="19"/>
      <c r="M15" s="17" t="s">
        <v>7</v>
      </c>
      <c r="N15" s="19">
        <v>4</v>
      </c>
      <c r="O15" s="19">
        <f>14+204</f>
        <v>218</v>
      </c>
      <c r="Q15" s="17" t="s">
        <v>7</v>
      </c>
      <c r="R15" s="19">
        <f t="shared" si="0"/>
        <v>16</v>
      </c>
      <c r="S15" s="19">
        <f t="shared" si="0"/>
        <v>255</v>
      </c>
      <c r="T15" s="25">
        <v>2038.7</v>
      </c>
    </row>
    <row r="16" spans="1:20" x14ac:dyDescent="0.2">
      <c r="A16" s="17" t="s">
        <v>8</v>
      </c>
      <c r="B16" s="19">
        <f>5+7</f>
        <v>12</v>
      </c>
      <c r="C16" s="19">
        <f>5+28</f>
        <v>33</v>
      </c>
      <c r="E16" s="17" t="s">
        <v>8</v>
      </c>
      <c r="F16" s="19"/>
      <c r="G16" s="19"/>
      <c r="I16" s="17" t="s">
        <v>8</v>
      </c>
      <c r="J16" s="19"/>
      <c r="K16" s="19"/>
      <c r="M16" s="17" t="s">
        <v>8</v>
      </c>
      <c r="N16" s="19">
        <v>4</v>
      </c>
      <c r="O16" s="19">
        <f>36+158</f>
        <v>194</v>
      </c>
      <c r="Q16" s="17" t="s">
        <v>8</v>
      </c>
      <c r="R16" s="19">
        <f t="shared" si="0"/>
        <v>16</v>
      </c>
      <c r="S16" s="19">
        <f t="shared" si="0"/>
        <v>227</v>
      </c>
      <c r="T16" s="25">
        <v>1860.76</v>
      </c>
    </row>
    <row r="17" spans="1:20" x14ac:dyDescent="0.2">
      <c r="A17" s="17" t="s">
        <v>9</v>
      </c>
      <c r="B17" s="19">
        <f>7+4</f>
        <v>11</v>
      </c>
      <c r="C17" s="19">
        <f>9+15</f>
        <v>24</v>
      </c>
      <c r="E17" s="17" t="s">
        <v>9</v>
      </c>
      <c r="F17" s="19">
        <v>1</v>
      </c>
      <c r="G17" s="19">
        <v>6</v>
      </c>
      <c r="I17" s="17" t="s">
        <v>9</v>
      </c>
      <c r="J17" s="19"/>
      <c r="K17" s="19"/>
      <c r="M17" s="17" t="s">
        <v>9</v>
      </c>
      <c r="N17" s="19">
        <v>4</v>
      </c>
      <c r="O17" s="19">
        <f>18+152</f>
        <v>170</v>
      </c>
      <c r="Q17" s="17" t="s">
        <v>9</v>
      </c>
      <c r="R17" s="19">
        <f t="shared" si="0"/>
        <v>16</v>
      </c>
      <c r="S17" s="19">
        <f t="shared" si="0"/>
        <v>200</v>
      </c>
      <c r="T17" s="25">
        <v>1727.58</v>
      </c>
    </row>
    <row r="18" spans="1:20" x14ac:dyDescent="0.2">
      <c r="A18" s="17" t="s">
        <v>10</v>
      </c>
      <c r="B18" s="19">
        <f>7+4</f>
        <v>11</v>
      </c>
      <c r="C18" s="19">
        <f>6+15</f>
        <v>21</v>
      </c>
      <c r="E18" s="17" t="s">
        <v>10</v>
      </c>
      <c r="F18" s="19">
        <v>2</v>
      </c>
      <c r="G18" s="19">
        <v>13</v>
      </c>
      <c r="I18" s="17" t="s">
        <v>10</v>
      </c>
      <c r="J18" s="19"/>
      <c r="K18" s="19"/>
      <c r="M18" s="17" t="s">
        <v>10</v>
      </c>
      <c r="N18" s="19">
        <v>4</v>
      </c>
      <c r="O18" s="19">
        <v>187</v>
      </c>
      <c r="Q18" s="17" t="s">
        <v>10</v>
      </c>
      <c r="R18" s="19">
        <f t="shared" si="0"/>
        <v>17</v>
      </c>
      <c r="S18" s="19">
        <f t="shared" si="0"/>
        <v>221</v>
      </c>
      <c r="T18" s="25">
        <v>1892.69</v>
      </c>
    </row>
    <row r="19" spans="1:20" x14ac:dyDescent="0.2">
      <c r="A19" s="17" t="s">
        <v>11</v>
      </c>
      <c r="B19" s="19">
        <f>10+3</f>
        <v>13</v>
      </c>
      <c r="C19" s="19">
        <f>10+12</f>
        <v>22</v>
      </c>
      <c r="E19" s="17" t="s">
        <v>11</v>
      </c>
      <c r="F19" s="19">
        <v>1</v>
      </c>
      <c r="G19" s="19">
        <v>7</v>
      </c>
      <c r="I19" s="17" t="s">
        <v>11</v>
      </c>
      <c r="J19" s="19"/>
      <c r="K19" s="19"/>
      <c r="M19" s="17" t="s">
        <v>11</v>
      </c>
      <c r="N19" s="19">
        <v>4</v>
      </c>
      <c r="O19" s="19">
        <f>17+145</f>
        <v>162</v>
      </c>
      <c r="Q19" s="17" t="s">
        <v>11</v>
      </c>
      <c r="R19" s="19">
        <f t="shared" si="0"/>
        <v>18</v>
      </c>
      <c r="S19" s="19">
        <f t="shared" si="0"/>
        <v>191</v>
      </c>
      <c r="T19" s="25">
        <v>1789.3</v>
      </c>
    </row>
    <row r="20" spans="1:20" x14ac:dyDescent="0.2">
      <c r="A20" s="17"/>
      <c r="B20" s="19"/>
      <c r="C20" s="19"/>
      <c r="E20" s="17"/>
      <c r="F20" s="19"/>
      <c r="G20" s="19"/>
      <c r="I20" s="17"/>
      <c r="J20" s="19"/>
      <c r="K20" s="19"/>
      <c r="M20" s="17"/>
      <c r="N20" s="19"/>
      <c r="O20" s="19"/>
      <c r="Q20" s="17"/>
      <c r="R20" s="19"/>
      <c r="S20" s="19"/>
      <c r="T20" s="25"/>
    </row>
    <row r="21" spans="1:20" x14ac:dyDescent="0.2">
      <c r="A21" s="17" t="s">
        <v>12</v>
      </c>
      <c r="B21" s="19">
        <f>SUM(B8:B20)</f>
        <v>126</v>
      </c>
      <c r="C21" s="19">
        <f>SUM(C8:C20)</f>
        <v>277</v>
      </c>
      <c r="E21" s="17"/>
      <c r="F21" s="19">
        <f t="shared" ref="F21:G21" si="1">SUM(F8:F20)</f>
        <v>19</v>
      </c>
      <c r="G21" s="19">
        <f t="shared" si="1"/>
        <v>139</v>
      </c>
      <c r="I21" s="17"/>
      <c r="J21" s="19">
        <f t="shared" ref="J21:K21" si="2">SUM(J8:J20)</f>
        <v>0</v>
      </c>
      <c r="K21" s="19">
        <f t="shared" si="2"/>
        <v>0</v>
      </c>
      <c r="M21" s="17"/>
      <c r="N21" s="19">
        <f t="shared" ref="N21:O21" si="3">SUM(N8:N20)</f>
        <v>50</v>
      </c>
      <c r="O21" s="19">
        <f t="shared" si="3"/>
        <v>2416</v>
      </c>
      <c r="Q21" s="17"/>
      <c r="R21" s="19">
        <f t="shared" ref="R21:S21" si="4">SUM(R8:R20)</f>
        <v>195</v>
      </c>
      <c r="S21" s="19">
        <f t="shared" si="4"/>
        <v>2832</v>
      </c>
      <c r="T21" s="25">
        <f>SUM(T8:T19)</f>
        <v>23282.15</v>
      </c>
    </row>
    <row r="22" spans="1:20" x14ac:dyDescent="0.2">
      <c r="A22" s="17"/>
      <c r="B22" s="19"/>
      <c r="C22" s="19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35">
        <f>B21+F21+J21+N21</f>
        <v>195</v>
      </c>
      <c r="S22" s="35">
        <f>C21+G21+K21+O21</f>
        <v>2832</v>
      </c>
      <c r="T22" s="36"/>
    </row>
  </sheetData>
  <pageMargins left="0.7" right="0.7" top="0.75" bottom="0.75" header="0.3" footer="0.3"/>
  <pageSetup scale="88" fitToHeight="0" orientation="landscape" horizontalDpi="4294967295" verticalDpi="4294967295" r:id="rId1"/>
  <headerFooter>
    <oddHeader>&amp;R&amp;"Arial,Bold"Response to 28
City of Crittenden Requests
Witness - Debbra Dedden, CPA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64B2AA-44FE-4C51-8E40-FDCA9C0912A4}">
  <dimension ref="A3:G30"/>
  <sheetViews>
    <sheetView workbookViewId="0"/>
  </sheetViews>
  <sheetFormatPr defaultRowHeight="12.75" x14ac:dyDescent="0.2"/>
  <cols>
    <col min="1" max="1" width="11" style="9" bestFit="1" customWidth="1"/>
    <col min="2" max="7" width="9.7109375" style="9" customWidth="1"/>
    <col min="8" max="16384" width="9.140625" style="9"/>
  </cols>
  <sheetData>
    <row r="3" spans="1:7" ht="24.95" customHeight="1" x14ac:dyDescent="0.2">
      <c r="A3" s="10"/>
      <c r="B3" s="11" t="s">
        <v>18</v>
      </c>
      <c r="C3" s="11"/>
      <c r="D3" s="11"/>
      <c r="E3" s="11"/>
      <c r="F3" s="11"/>
      <c r="G3" s="12"/>
    </row>
    <row r="4" spans="1:7" ht="24.95" customHeight="1" x14ac:dyDescent="0.2">
      <c r="A4" s="10"/>
      <c r="B4" s="11"/>
      <c r="C4" s="11" t="s">
        <v>19</v>
      </c>
      <c r="D4" s="14"/>
      <c r="E4" s="14"/>
      <c r="F4" s="14"/>
      <c r="G4" s="15"/>
    </row>
    <row r="5" spans="1:7" ht="24.95" customHeight="1" x14ac:dyDescent="0.2">
      <c r="A5" s="10" t="s">
        <v>45</v>
      </c>
      <c r="B5" s="14"/>
      <c r="C5" s="14"/>
      <c r="D5" s="11"/>
      <c r="E5" s="11"/>
      <c r="F5" s="11"/>
      <c r="G5" s="16" t="s">
        <v>47</v>
      </c>
    </row>
    <row r="6" spans="1:7" ht="12.75" customHeight="1" x14ac:dyDescent="0.2">
      <c r="A6" s="10"/>
      <c r="F6" s="17"/>
      <c r="G6" s="37"/>
    </row>
    <row r="7" spans="1:7" ht="20.100000000000001" customHeight="1" x14ac:dyDescent="0.2">
      <c r="A7" s="17"/>
      <c r="B7" s="18" t="s">
        <v>21</v>
      </c>
      <c r="C7" s="18" t="s">
        <v>22</v>
      </c>
      <c r="D7" s="17">
        <v>10</v>
      </c>
      <c r="E7" s="10">
        <v>10</v>
      </c>
      <c r="F7" s="17"/>
      <c r="G7" s="17"/>
    </row>
    <row r="8" spans="1:7" ht="20.100000000000001" customHeight="1" x14ac:dyDescent="0.2">
      <c r="A8" s="17" t="s">
        <v>46</v>
      </c>
      <c r="B8" s="22">
        <v>34</v>
      </c>
      <c r="C8" s="19">
        <v>66</v>
      </c>
      <c r="D8" s="19">
        <f>C8</f>
        <v>66</v>
      </c>
      <c r="E8" s="38"/>
      <c r="F8" s="23"/>
      <c r="G8" s="17"/>
    </row>
    <row r="9" spans="1:7" ht="20.100000000000001" customHeight="1" x14ac:dyDescent="0.2">
      <c r="A9" s="17" t="s">
        <v>26</v>
      </c>
      <c r="B9" s="22">
        <v>12</v>
      </c>
      <c r="C9" s="19">
        <v>384</v>
      </c>
      <c r="D9" s="19">
        <f>B9*D7</f>
        <v>120</v>
      </c>
      <c r="E9" s="38">
        <f>C9-D9</f>
        <v>264</v>
      </c>
      <c r="F9" s="23"/>
      <c r="G9" s="17"/>
    </row>
    <row r="10" spans="1:7" ht="24.95" customHeight="1" x14ac:dyDescent="0.2">
      <c r="A10" s="17" t="s">
        <v>27</v>
      </c>
      <c r="B10" s="22">
        <f>SUM(B8:B9)</f>
        <v>46</v>
      </c>
      <c r="C10" s="19">
        <f>SUM(C8:C9)</f>
        <v>450</v>
      </c>
      <c r="D10" s="19">
        <f>SUM(D8:D9)</f>
        <v>186</v>
      </c>
      <c r="E10" s="19">
        <f>SUM(E8:E9)</f>
        <v>264</v>
      </c>
      <c r="F10" s="23"/>
      <c r="G10" s="17"/>
    </row>
    <row r="11" spans="1:7" ht="12.75" customHeight="1" x14ac:dyDescent="0.2">
      <c r="A11" s="17" t="s">
        <v>28</v>
      </c>
      <c r="B11" s="17"/>
      <c r="C11" s="23"/>
      <c r="D11" s="23"/>
      <c r="E11" s="23"/>
      <c r="F11" s="23"/>
      <c r="G11" s="17"/>
    </row>
    <row r="12" spans="1:7" s="1" customFormat="1" ht="24.95" customHeight="1" x14ac:dyDescent="0.2">
      <c r="A12" s="18"/>
      <c r="B12" s="18" t="s">
        <v>21</v>
      </c>
      <c r="C12" s="18" t="s">
        <v>22</v>
      </c>
      <c r="D12" s="18" t="s">
        <v>29</v>
      </c>
      <c r="E12" s="18" t="s">
        <v>30</v>
      </c>
      <c r="F12" s="18"/>
      <c r="G12" s="18"/>
    </row>
    <row r="13" spans="1:7" ht="20.100000000000001" customHeight="1" x14ac:dyDescent="0.2">
      <c r="A13" s="17" t="s">
        <v>46</v>
      </c>
      <c r="B13" s="22">
        <f>$B$10</f>
        <v>46</v>
      </c>
      <c r="C13" s="19">
        <f>$D$10</f>
        <v>186</v>
      </c>
      <c r="D13" s="25">
        <v>87.87</v>
      </c>
      <c r="E13" s="19">
        <f>B13*D13</f>
        <v>4042.0200000000004</v>
      </c>
      <c r="F13" s="17"/>
      <c r="G13" s="17"/>
    </row>
    <row r="14" spans="1:7" ht="20.100000000000001" customHeight="1" x14ac:dyDescent="0.2">
      <c r="A14" s="17" t="s">
        <v>26</v>
      </c>
      <c r="B14" s="22"/>
      <c r="C14" s="19">
        <f>$E$10</f>
        <v>264</v>
      </c>
      <c r="D14" s="25">
        <v>5.86</v>
      </c>
      <c r="E14" s="19">
        <f>C14*D14</f>
        <v>1547.0400000000002</v>
      </c>
      <c r="F14" s="17"/>
      <c r="G14" s="17"/>
    </row>
    <row r="15" spans="1:7" ht="24.75" customHeight="1" x14ac:dyDescent="0.2">
      <c r="A15" s="17" t="s">
        <v>27</v>
      </c>
      <c r="B15" s="22"/>
      <c r="C15" s="19">
        <f>SUM(C13:C14)</f>
        <v>450</v>
      </c>
      <c r="D15" s="22"/>
      <c r="E15" s="19">
        <f>SUM(E13:E14)</f>
        <v>5589.06</v>
      </c>
      <c r="F15" s="23"/>
      <c r="G15" s="23"/>
    </row>
    <row r="16" spans="1:7" hidden="1" x14ac:dyDescent="0.2">
      <c r="A16" s="9" t="s">
        <v>31</v>
      </c>
      <c r="B16" s="9" t="s">
        <v>32</v>
      </c>
    </row>
    <row r="17" spans="1:7" ht="24.95" hidden="1" customHeight="1" x14ac:dyDescent="0.2">
      <c r="A17" s="18"/>
      <c r="B17" s="18" t="s">
        <v>21</v>
      </c>
      <c r="C17" s="18" t="s">
        <v>22</v>
      </c>
      <c r="D17" s="18" t="s">
        <v>29</v>
      </c>
      <c r="E17" s="18" t="s">
        <v>30</v>
      </c>
      <c r="F17" s="18"/>
      <c r="G17" s="18"/>
    </row>
    <row r="18" spans="1:7" ht="24.95" hidden="1" customHeight="1" x14ac:dyDescent="0.2">
      <c r="A18" s="17" t="s">
        <v>46</v>
      </c>
      <c r="B18" s="17">
        <f>$B$10</f>
        <v>46</v>
      </c>
      <c r="C18" s="23">
        <f>$D$10</f>
        <v>186</v>
      </c>
      <c r="D18" s="24">
        <v>66</v>
      </c>
      <c r="E18" s="23">
        <f>B18*D18</f>
        <v>3036</v>
      </c>
      <c r="F18" s="17"/>
      <c r="G18" s="17"/>
    </row>
    <row r="19" spans="1:7" ht="24.95" hidden="1" customHeight="1" x14ac:dyDescent="0.2">
      <c r="A19" s="17" t="s">
        <v>26</v>
      </c>
      <c r="B19" s="17"/>
      <c r="C19" s="23">
        <f>$E$10</f>
        <v>264</v>
      </c>
      <c r="D19" s="24">
        <v>2.75</v>
      </c>
      <c r="E19" s="23">
        <f>C19*D19</f>
        <v>726</v>
      </c>
      <c r="F19" s="17"/>
      <c r="G19" s="17"/>
    </row>
    <row r="20" spans="1:7" ht="24.95" hidden="1" customHeight="1" x14ac:dyDescent="0.2">
      <c r="A20" s="17" t="s">
        <v>27</v>
      </c>
      <c r="B20" s="17"/>
      <c r="C20" s="23">
        <f>SUM(C18:C19)</f>
        <v>450</v>
      </c>
      <c r="D20" s="17"/>
      <c r="E20" s="23">
        <f>SUM(E18:E19)</f>
        <v>3762</v>
      </c>
      <c r="F20" s="17"/>
      <c r="G20" s="17"/>
    </row>
    <row r="21" spans="1:7" hidden="1" x14ac:dyDescent="0.2">
      <c r="A21" s="9" t="s">
        <v>31</v>
      </c>
      <c r="B21" s="9" t="s">
        <v>33</v>
      </c>
    </row>
    <row r="22" spans="1:7" ht="24.95" hidden="1" customHeight="1" x14ac:dyDescent="0.2">
      <c r="A22" s="18"/>
      <c r="B22" s="18" t="s">
        <v>21</v>
      </c>
      <c r="C22" s="18" t="s">
        <v>22</v>
      </c>
      <c r="D22" s="18" t="s">
        <v>29</v>
      </c>
      <c r="E22" s="18" t="s">
        <v>30</v>
      </c>
      <c r="F22" s="18"/>
      <c r="G22" s="18"/>
    </row>
    <row r="23" spans="1:7" ht="24.95" hidden="1" customHeight="1" x14ac:dyDescent="0.2">
      <c r="A23" s="17" t="s">
        <v>46</v>
      </c>
      <c r="B23" s="17">
        <f>$B$10</f>
        <v>46</v>
      </c>
      <c r="C23" s="23">
        <f>$D$10</f>
        <v>186</v>
      </c>
      <c r="D23" s="24">
        <v>67.2</v>
      </c>
      <c r="E23" s="23">
        <f>B23*D23</f>
        <v>3091.2000000000003</v>
      </c>
      <c r="F23" s="17"/>
      <c r="G23" s="17"/>
    </row>
    <row r="24" spans="1:7" ht="24.95" hidden="1" customHeight="1" x14ac:dyDescent="0.2">
      <c r="A24" s="17" t="s">
        <v>26</v>
      </c>
      <c r="B24" s="17"/>
      <c r="C24" s="23">
        <f>$E$10</f>
        <v>264</v>
      </c>
      <c r="D24" s="24">
        <v>2.8</v>
      </c>
      <c r="E24" s="23">
        <f>C24*D24</f>
        <v>739.19999999999993</v>
      </c>
      <c r="F24" s="17"/>
      <c r="G24" s="17"/>
    </row>
    <row r="25" spans="1:7" ht="24.95" hidden="1" customHeight="1" x14ac:dyDescent="0.2">
      <c r="A25" s="17" t="s">
        <v>27</v>
      </c>
      <c r="B25" s="17"/>
      <c r="C25" s="23">
        <f>SUM(C23:C24)</f>
        <v>450</v>
      </c>
      <c r="D25" s="17"/>
      <c r="E25" s="23">
        <f>SUM(E23:E24)</f>
        <v>3830.4</v>
      </c>
      <c r="F25" s="17"/>
      <c r="G25" s="17"/>
    </row>
    <row r="26" spans="1:7" x14ac:dyDescent="0.2">
      <c r="A26" s="9" t="s">
        <v>31</v>
      </c>
      <c r="B26" s="9" t="s">
        <v>85</v>
      </c>
    </row>
    <row r="27" spans="1:7" ht="24.95" customHeight="1" x14ac:dyDescent="0.2">
      <c r="A27" s="18"/>
      <c r="B27" s="18" t="s">
        <v>21</v>
      </c>
      <c r="C27" s="18" t="s">
        <v>22</v>
      </c>
      <c r="D27" s="18" t="s">
        <v>29</v>
      </c>
      <c r="E27" s="18" t="s">
        <v>30</v>
      </c>
      <c r="F27" s="18"/>
      <c r="G27" s="18"/>
    </row>
    <row r="28" spans="1:7" ht="24.95" customHeight="1" x14ac:dyDescent="0.2">
      <c r="A28" s="17" t="s">
        <v>46</v>
      </c>
      <c r="B28" s="22">
        <f>$B$10</f>
        <v>46</v>
      </c>
      <c r="C28" s="19">
        <f>$D$10</f>
        <v>186</v>
      </c>
      <c r="D28" s="25">
        <f>D13*1.121+0.01</f>
        <v>98.512270000000015</v>
      </c>
      <c r="E28" s="19">
        <f>B28*D28</f>
        <v>4531.5644200000006</v>
      </c>
      <c r="F28" s="17"/>
      <c r="G28" s="17"/>
    </row>
    <row r="29" spans="1:7" ht="24.95" customHeight="1" x14ac:dyDescent="0.2">
      <c r="A29" s="17" t="s">
        <v>26</v>
      </c>
      <c r="B29" s="22"/>
      <c r="C29" s="19">
        <f>$E$10</f>
        <v>264</v>
      </c>
      <c r="D29" s="25">
        <f>D14*1.121</f>
        <v>6.5690600000000003</v>
      </c>
      <c r="E29" s="19">
        <f>C29*D29</f>
        <v>1734.2318400000001</v>
      </c>
      <c r="F29" s="17"/>
      <c r="G29" s="17"/>
    </row>
    <row r="30" spans="1:7" ht="24.95" customHeight="1" x14ac:dyDescent="0.2">
      <c r="A30" s="17" t="s">
        <v>27</v>
      </c>
      <c r="B30" s="22"/>
      <c r="C30" s="19">
        <f>SUM(C28:C29)</f>
        <v>450</v>
      </c>
      <c r="D30" s="22"/>
      <c r="E30" s="19">
        <f>SUM(E28:E29)</f>
        <v>6265.796260000001</v>
      </c>
      <c r="F30" s="17"/>
      <c r="G30" s="17"/>
    </row>
  </sheetData>
  <pageMargins left="0.75" right="0.75" top="1" bottom="1" header="0.5" footer="0.5"/>
  <pageSetup orientation="portrait" r:id="rId1"/>
  <headerFooter alignWithMargins="0">
    <oddHeader>&amp;R&amp;"Arial,Bold"Response to 28
City of Crittenden Requests
Witness - Debbra Dedden, CPA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C80862-A7E6-49F6-8566-D5F29899ECE8}">
  <sheetPr>
    <pageSetUpPr fitToPage="1"/>
  </sheetPr>
  <dimension ref="A2:T22"/>
  <sheetViews>
    <sheetView workbookViewId="0">
      <selection activeCell="T11" sqref="T11"/>
    </sheetView>
  </sheetViews>
  <sheetFormatPr defaultRowHeight="12.75" x14ac:dyDescent="0.2"/>
  <cols>
    <col min="1" max="1" width="11" customWidth="1"/>
    <col min="2" max="2" width="11.42578125" customWidth="1"/>
    <col min="4" max="4" width="3.7109375" hidden="1" customWidth="1"/>
    <col min="5" max="5" width="11.5703125" hidden="1" customWidth="1"/>
    <col min="6" max="7" width="0" hidden="1" customWidth="1"/>
    <col min="8" max="8" width="3.7109375" hidden="1" customWidth="1"/>
    <col min="9" max="9" width="11.5703125" hidden="1" customWidth="1"/>
    <col min="10" max="11" width="0" hidden="1" customWidth="1"/>
    <col min="12" max="12" width="3.7109375" customWidth="1"/>
    <col min="13" max="13" width="11" customWidth="1"/>
    <col min="16" max="16" width="3.7109375" customWidth="1"/>
    <col min="17" max="17" width="11" customWidth="1"/>
    <col min="20" max="20" width="10.140625" bestFit="1" customWidth="1"/>
  </cols>
  <sheetData>
    <row r="2" spans="1:20" x14ac:dyDescent="0.2">
      <c r="A2" s="30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2"/>
    </row>
    <row r="3" spans="1:20" x14ac:dyDescent="0.2">
      <c r="A3" s="33" t="s">
        <v>48</v>
      </c>
      <c r="T3" s="34"/>
    </row>
    <row r="4" spans="1:20" x14ac:dyDescent="0.2">
      <c r="A4" s="10" t="s">
        <v>45</v>
      </c>
      <c r="B4" s="11"/>
      <c r="C4" s="11"/>
      <c r="T4" s="34"/>
    </row>
    <row r="5" spans="1:20" x14ac:dyDescent="0.2">
      <c r="A5" s="10"/>
      <c r="B5" s="9"/>
      <c r="C5" s="9"/>
      <c r="T5" s="34"/>
    </row>
    <row r="6" spans="1:20" x14ac:dyDescent="0.2">
      <c r="A6" s="17"/>
      <c r="B6" s="18" t="s">
        <v>21</v>
      </c>
      <c r="C6" s="18" t="s">
        <v>22</v>
      </c>
      <c r="E6" s="17"/>
      <c r="F6" s="18" t="s">
        <v>21</v>
      </c>
      <c r="G6" s="18" t="s">
        <v>22</v>
      </c>
      <c r="I6" s="17"/>
      <c r="J6" s="18" t="s">
        <v>21</v>
      </c>
      <c r="K6" s="18" t="s">
        <v>22</v>
      </c>
      <c r="M6" s="17"/>
      <c r="N6" s="18" t="s">
        <v>21</v>
      </c>
      <c r="O6" s="18" t="s">
        <v>22</v>
      </c>
      <c r="Q6" s="17"/>
      <c r="R6" s="18" t="s">
        <v>21</v>
      </c>
      <c r="S6" s="18" t="s">
        <v>22</v>
      </c>
      <c r="T6" s="18" t="s">
        <v>34</v>
      </c>
    </row>
    <row r="7" spans="1:20" x14ac:dyDescent="0.2">
      <c r="A7" s="17" t="s">
        <v>46</v>
      </c>
      <c r="B7" s="19"/>
      <c r="C7" s="19"/>
      <c r="E7" s="17" t="s">
        <v>25</v>
      </c>
      <c r="F7" s="19"/>
      <c r="G7" s="19"/>
      <c r="I7" s="17" t="s">
        <v>25</v>
      </c>
      <c r="J7" s="19"/>
      <c r="K7" s="19"/>
      <c r="M7" s="17" t="s">
        <v>26</v>
      </c>
      <c r="N7" s="19"/>
      <c r="O7" s="19"/>
      <c r="Q7" s="17" t="s">
        <v>44</v>
      </c>
      <c r="R7" s="19"/>
      <c r="S7" s="19"/>
      <c r="T7" s="19"/>
    </row>
    <row r="8" spans="1:20" x14ac:dyDescent="0.2">
      <c r="A8" s="17" t="s">
        <v>0</v>
      </c>
      <c r="B8" s="19">
        <v>3</v>
      </c>
      <c r="C8" s="19">
        <v>7</v>
      </c>
      <c r="E8" s="17" t="s">
        <v>0</v>
      </c>
      <c r="F8" s="19"/>
      <c r="G8" s="19"/>
      <c r="I8" s="17" t="s">
        <v>0</v>
      </c>
      <c r="J8" s="19"/>
      <c r="K8" s="19"/>
      <c r="M8" s="17" t="s">
        <v>0</v>
      </c>
      <c r="N8" s="19">
        <v>1</v>
      </c>
      <c r="O8" s="19">
        <v>129</v>
      </c>
      <c r="Q8" s="17" t="s">
        <v>0</v>
      </c>
      <c r="R8" s="19">
        <f>B8+F8+J8+N8</f>
        <v>4</v>
      </c>
      <c r="S8" s="19">
        <f>C8+G8+K8+O8</f>
        <v>136</v>
      </c>
      <c r="T8" s="25">
        <v>1048.82</v>
      </c>
    </row>
    <row r="9" spans="1:20" x14ac:dyDescent="0.2">
      <c r="A9" s="17" t="s">
        <v>1</v>
      </c>
      <c r="B9" s="19">
        <v>3</v>
      </c>
      <c r="C9" s="19">
        <v>3</v>
      </c>
      <c r="E9" s="17" t="s">
        <v>1</v>
      </c>
      <c r="F9" s="19"/>
      <c r="G9" s="19"/>
      <c r="I9" s="17" t="s">
        <v>1</v>
      </c>
      <c r="J9" s="19"/>
      <c r="K9" s="19"/>
      <c r="M9" s="17" t="s">
        <v>1</v>
      </c>
      <c r="N9" s="19"/>
      <c r="O9" s="19"/>
      <c r="Q9" s="17" t="s">
        <v>1</v>
      </c>
      <c r="R9" s="19">
        <f t="shared" ref="R9:S19" si="0">B9+F9+J9+N9</f>
        <v>3</v>
      </c>
      <c r="S9" s="19">
        <f t="shared" si="0"/>
        <v>3</v>
      </c>
      <c r="T9" s="25">
        <v>263.61</v>
      </c>
    </row>
    <row r="10" spans="1:20" x14ac:dyDescent="0.2">
      <c r="A10" s="17" t="s">
        <v>2</v>
      </c>
      <c r="B10" s="19">
        <v>2</v>
      </c>
      <c r="C10" s="19">
        <v>7</v>
      </c>
      <c r="E10" s="17" t="s">
        <v>2</v>
      </c>
      <c r="F10" s="19"/>
      <c r="G10" s="19"/>
      <c r="I10" s="17" t="s">
        <v>2</v>
      </c>
      <c r="J10" s="19"/>
      <c r="K10" s="19"/>
      <c r="M10" s="17" t="s">
        <v>2</v>
      </c>
      <c r="N10" s="19">
        <v>1</v>
      </c>
      <c r="O10" s="19">
        <v>28</v>
      </c>
      <c r="Q10" s="17" t="s">
        <v>2</v>
      </c>
      <c r="R10" s="19">
        <f t="shared" si="0"/>
        <v>3</v>
      </c>
      <c r="S10" s="19">
        <f t="shared" si="0"/>
        <v>35</v>
      </c>
      <c r="T10" s="25">
        <v>369.09</v>
      </c>
    </row>
    <row r="11" spans="1:20" x14ac:dyDescent="0.2">
      <c r="A11" s="17" t="s">
        <v>3</v>
      </c>
      <c r="B11" s="19">
        <v>3</v>
      </c>
      <c r="C11" s="19">
        <v>5</v>
      </c>
      <c r="E11" s="17" t="s">
        <v>3</v>
      </c>
      <c r="F11" s="19"/>
      <c r="G11" s="19"/>
      <c r="I11" s="17" t="s">
        <v>3</v>
      </c>
      <c r="J11" s="19"/>
      <c r="K11" s="19"/>
      <c r="M11" s="17" t="s">
        <v>3</v>
      </c>
      <c r="N11" s="19">
        <v>1</v>
      </c>
      <c r="O11" s="19">
        <v>27</v>
      </c>
      <c r="Q11" s="17" t="s">
        <v>3</v>
      </c>
      <c r="R11" s="19">
        <f t="shared" si="0"/>
        <v>4</v>
      </c>
      <c r="S11" s="19">
        <f t="shared" si="0"/>
        <v>32</v>
      </c>
      <c r="T11" s="25">
        <v>451.1</v>
      </c>
    </row>
    <row r="12" spans="1:20" x14ac:dyDescent="0.2">
      <c r="A12" s="17" t="s">
        <v>4</v>
      </c>
      <c r="B12" s="19">
        <v>3</v>
      </c>
      <c r="C12" s="19">
        <v>4</v>
      </c>
      <c r="E12" s="17" t="s">
        <v>4</v>
      </c>
      <c r="F12" s="19"/>
      <c r="G12" s="19"/>
      <c r="I12" s="17" t="s">
        <v>4</v>
      </c>
      <c r="J12" s="19"/>
      <c r="K12" s="19"/>
      <c r="M12" s="17" t="s">
        <v>4</v>
      </c>
      <c r="N12" s="19">
        <v>1</v>
      </c>
      <c r="O12" s="19">
        <v>26</v>
      </c>
      <c r="Q12" s="17" t="s">
        <v>4</v>
      </c>
      <c r="R12" s="19">
        <f t="shared" si="0"/>
        <v>4</v>
      </c>
      <c r="S12" s="19">
        <f t="shared" si="0"/>
        <v>30</v>
      </c>
      <c r="T12" s="25">
        <v>445.24</v>
      </c>
    </row>
    <row r="13" spans="1:20" x14ac:dyDescent="0.2">
      <c r="A13" s="17" t="s">
        <v>5</v>
      </c>
      <c r="B13" s="19">
        <v>3</v>
      </c>
      <c r="C13" s="19">
        <v>6</v>
      </c>
      <c r="E13" s="17" t="s">
        <v>5</v>
      </c>
      <c r="F13" s="19"/>
      <c r="G13" s="19"/>
      <c r="I13" s="17" t="s">
        <v>5</v>
      </c>
      <c r="J13" s="19"/>
      <c r="K13" s="19"/>
      <c r="M13" s="17" t="s">
        <v>5</v>
      </c>
      <c r="N13" s="19">
        <v>1</v>
      </c>
      <c r="O13" s="19">
        <v>24</v>
      </c>
      <c r="Q13" s="17" t="s">
        <v>5</v>
      </c>
      <c r="R13" s="19">
        <f t="shared" si="0"/>
        <v>4</v>
      </c>
      <c r="S13" s="19">
        <f t="shared" si="0"/>
        <v>30</v>
      </c>
      <c r="T13" s="25">
        <v>433.52</v>
      </c>
    </row>
    <row r="14" spans="1:20" x14ac:dyDescent="0.2">
      <c r="A14" s="17" t="s">
        <v>6</v>
      </c>
      <c r="B14" s="19">
        <v>3</v>
      </c>
      <c r="C14" s="19">
        <v>7</v>
      </c>
      <c r="E14" s="17" t="s">
        <v>6</v>
      </c>
      <c r="F14" s="19"/>
      <c r="G14" s="19"/>
      <c r="I14" s="17" t="s">
        <v>6</v>
      </c>
      <c r="J14" s="19"/>
      <c r="K14" s="19"/>
      <c r="M14" s="17" t="s">
        <v>6</v>
      </c>
      <c r="N14" s="19">
        <v>1</v>
      </c>
      <c r="O14" s="19">
        <v>28</v>
      </c>
      <c r="Q14" s="17" t="s">
        <v>6</v>
      </c>
      <c r="R14" s="19">
        <f t="shared" si="0"/>
        <v>4</v>
      </c>
      <c r="S14" s="19">
        <f t="shared" si="0"/>
        <v>35</v>
      </c>
      <c r="T14" s="25">
        <v>456.96</v>
      </c>
    </row>
    <row r="15" spans="1:20" x14ac:dyDescent="0.2">
      <c r="A15" s="17" t="s">
        <v>7</v>
      </c>
      <c r="B15" s="19">
        <v>2</v>
      </c>
      <c r="C15" s="19">
        <v>0</v>
      </c>
      <c r="E15" s="17" t="s">
        <v>7</v>
      </c>
      <c r="F15" s="19"/>
      <c r="G15" s="19"/>
      <c r="I15" s="17" t="s">
        <v>7</v>
      </c>
      <c r="J15" s="19"/>
      <c r="K15" s="19"/>
      <c r="M15" s="17" t="s">
        <v>7</v>
      </c>
      <c r="N15" s="19">
        <v>2</v>
      </c>
      <c r="O15" s="19">
        <v>31</v>
      </c>
      <c r="Q15" s="17" t="s">
        <v>7</v>
      </c>
      <c r="R15" s="19">
        <f t="shared" si="0"/>
        <v>4</v>
      </c>
      <c r="S15" s="19">
        <f t="shared" si="0"/>
        <v>31</v>
      </c>
      <c r="T15" s="25">
        <v>415.94</v>
      </c>
    </row>
    <row r="16" spans="1:20" x14ac:dyDescent="0.2">
      <c r="A16" s="17" t="s">
        <v>8</v>
      </c>
      <c r="B16" s="19">
        <v>3</v>
      </c>
      <c r="C16" s="19">
        <v>3</v>
      </c>
      <c r="E16" s="17" t="s">
        <v>8</v>
      </c>
      <c r="F16" s="19"/>
      <c r="G16" s="19"/>
      <c r="I16" s="17" t="s">
        <v>8</v>
      </c>
      <c r="J16" s="19"/>
      <c r="K16" s="19"/>
      <c r="M16" s="17" t="s">
        <v>8</v>
      </c>
      <c r="N16" s="19">
        <v>1</v>
      </c>
      <c r="O16" s="19">
        <v>24</v>
      </c>
      <c r="Q16" s="17" t="s">
        <v>8</v>
      </c>
      <c r="R16" s="19">
        <f t="shared" si="0"/>
        <v>4</v>
      </c>
      <c r="S16" s="19">
        <f t="shared" si="0"/>
        <v>27</v>
      </c>
      <c r="T16" s="25">
        <v>433.52</v>
      </c>
    </row>
    <row r="17" spans="1:20" x14ac:dyDescent="0.2">
      <c r="A17" s="17" t="s">
        <v>9</v>
      </c>
      <c r="B17" s="19">
        <v>3</v>
      </c>
      <c r="C17" s="19">
        <v>7</v>
      </c>
      <c r="E17" s="17" t="s">
        <v>9</v>
      </c>
      <c r="F17" s="19"/>
      <c r="G17" s="19"/>
      <c r="I17" s="17" t="s">
        <v>9</v>
      </c>
      <c r="J17" s="19"/>
      <c r="K17" s="19"/>
      <c r="M17" s="17" t="s">
        <v>9</v>
      </c>
      <c r="N17" s="19">
        <v>1</v>
      </c>
      <c r="O17" s="19">
        <v>19</v>
      </c>
      <c r="Q17" s="17" t="s">
        <v>9</v>
      </c>
      <c r="R17" s="19">
        <f t="shared" si="0"/>
        <v>4</v>
      </c>
      <c r="S17" s="19">
        <f t="shared" si="0"/>
        <v>26</v>
      </c>
      <c r="T17" s="25">
        <v>404.22</v>
      </c>
    </row>
    <row r="18" spans="1:20" x14ac:dyDescent="0.2">
      <c r="A18" s="17" t="s">
        <v>10</v>
      </c>
      <c r="B18" s="19">
        <v>3</v>
      </c>
      <c r="C18" s="19">
        <v>11</v>
      </c>
      <c r="E18" s="17" t="s">
        <v>10</v>
      </c>
      <c r="F18" s="19"/>
      <c r="G18" s="19"/>
      <c r="I18" s="17" t="s">
        <v>10</v>
      </c>
      <c r="J18" s="19"/>
      <c r="K18" s="19"/>
      <c r="M18" s="17" t="s">
        <v>10</v>
      </c>
      <c r="N18" s="19">
        <v>1</v>
      </c>
      <c r="O18" s="19">
        <v>24</v>
      </c>
      <c r="Q18" s="17" t="s">
        <v>10</v>
      </c>
      <c r="R18" s="19">
        <f t="shared" si="0"/>
        <v>4</v>
      </c>
      <c r="S18" s="19">
        <f t="shared" si="0"/>
        <v>35</v>
      </c>
      <c r="T18" s="25">
        <v>433.52</v>
      </c>
    </row>
    <row r="19" spans="1:20" x14ac:dyDescent="0.2">
      <c r="A19" s="17" t="s">
        <v>11</v>
      </c>
      <c r="B19" s="19">
        <v>3</v>
      </c>
      <c r="C19" s="19">
        <v>6</v>
      </c>
      <c r="E19" s="17" t="s">
        <v>11</v>
      </c>
      <c r="F19" s="19"/>
      <c r="G19" s="19"/>
      <c r="I19" s="17" t="s">
        <v>11</v>
      </c>
      <c r="J19" s="19"/>
      <c r="K19" s="19"/>
      <c r="M19" s="17" t="s">
        <v>11</v>
      </c>
      <c r="N19" s="19">
        <v>1</v>
      </c>
      <c r="O19" s="19">
        <v>24</v>
      </c>
      <c r="Q19" s="17" t="s">
        <v>11</v>
      </c>
      <c r="R19" s="19">
        <f t="shared" si="0"/>
        <v>4</v>
      </c>
      <c r="S19" s="19">
        <f t="shared" si="0"/>
        <v>30</v>
      </c>
      <c r="T19" s="25">
        <v>433.52</v>
      </c>
    </row>
    <row r="20" spans="1:20" x14ac:dyDescent="0.2">
      <c r="A20" s="17"/>
      <c r="B20" s="19"/>
      <c r="C20" s="19"/>
      <c r="E20" s="17"/>
      <c r="F20" s="19"/>
      <c r="G20" s="19"/>
      <c r="I20" s="17"/>
      <c r="J20" s="19"/>
      <c r="K20" s="19"/>
      <c r="M20" s="17"/>
      <c r="N20" s="19"/>
      <c r="O20" s="19"/>
      <c r="Q20" s="17"/>
      <c r="R20" s="19"/>
      <c r="S20" s="19"/>
      <c r="T20" s="25"/>
    </row>
    <row r="21" spans="1:20" x14ac:dyDescent="0.2">
      <c r="A21" s="17" t="s">
        <v>12</v>
      </c>
      <c r="B21" s="19">
        <f>SUM(B8:B20)</f>
        <v>34</v>
      </c>
      <c r="C21" s="19">
        <f>SUM(C8:C20)</f>
        <v>66</v>
      </c>
      <c r="E21" s="17"/>
      <c r="F21" s="19">
        <f t="shared" ref="F21:G21" si="1">SUM(F8:F20)</f>
        <v>0</v>
      </c>
      <c r="G21" s="19">
        <f t="shared" si="1"/>
        <v>0</v>
      </c>
      <c r="I21" s="17"/>
      <c r="J21" s="19">
        <f t="shared" ref="J21:K21" si="2">SUM(J8:J20)</f>
        <v>0</v>
      </c>
      <c r="K21" s="19">
        <f t="shared" si="2"/>
        <v>0</v>
      </c>
      <c r="M21" s="17"/>
      <c r="N21" s="19">
        <f t="shared" ref="N21:O21" si="3">SUM(N8:N20)</f>
        <v>12</v>
      </c>
      <c r="O21" s="19">
        <f t="shared" si="3"/>
        <v>384</v>
      </c>
      <c r="Q21" s="17"/>
      <c r="R21" s="19">
        <f t="shared" ref="R21:S21" si="4">SUM(R8:R20)</f>
        <v>46</v>
      </c>
      <c r="S21" s="19">
        <f t="shared" si="4"/>
        <v>450</v>
      </c>
      <c r="T21" s="25">
        <f>SUM(T8:T19)</f>
        <v>5589.0599999999995</v>
      </c>
    </row>
    <row r="22" spans="1:20" x14ac:dyDescent="0.2">
      <c r="A22" s="17"/>
      <c r="B22" s="19"/>
      <c r="C22" s="19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35">
        <f>B21+F21+J21+N21</f>
        <v>46</v>
      </c>
      <c r="S22" s="35">
        <f>C21+G21+K21+O21</f>
        <v>450</v>
      </c>
      <c r="T22" s="36"/>
    </row>
  </sheetData>
  <pageMargins left="0.7" right="0.7" top="0.75" bottom="0.75" header="0.3" footer="0.3"/>
  <pageSetup fitToHeight="0" orientation="landscape" horizontalDpi="4294967295" verticalDpi="4294967295" r:id="rId1"/>
  <headerFooter>
    <oddHeader>&amp;R&amp;"Arial,Bold"Response to 28
City of Crittenden Requests
Witness - Debbra Dedden, CPA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5EC405-6BEE-4A34-A8A0-F9353BFFF991}">
  <dimension ref="A1:G28"/>
  <sheetViews>
    <sheetView workbookViewId="0">
      <selection activeCell="D28" sqref="D28"/>
    </sheetView>
  </sheetViews>
  <sheetFormatPr defaultRowHeight="12.75" x14ac:dyDescent="0.2"/>
  <cols>
    <col min="1" max="1" width="11" style="9" bestFit="1" customWidth="1"/>
    <col min="2" max="7" width="9.7109375" style="9" customWidth="1"/>
    <col min="8" max="16384" width="9.140625" style="9"/>
  </cols>
  <sheetData>
    <row r="1" spans="1:7" ht="24.95" customHeight="1" x14ac:dyDescent="0.2">
      <c r="A1" s="10"/>
      <c r="B1" s="11" t="s">
        <v>18</v>
      </c>
      <c r="C1" s="11"/>
      <c r="D1" s="11"/>
      <c r="E1" s="11"/>
      <c r="F1" s="11"/>
      <c r="G1" s="12"/>
    </row>
    <row r="2" spans="1:7" ht="24.95" customHeight="1" x14ac:dyDescent="0.2">
      <c r="A2" s="10"/>
      <c r="B2" s="11"/>
      <c r="C2" s="11" t="s">
        <v>19</v>
      </c>
      <c r="D2" s="14"/>
      <c r="E2" s="14"/>
      <c r="F2" s="14"/>
      <c r="G2" s="15"/>
    </row>
    <row r="3" spans="1:7" ht="24.95" customHeight="1" x14ac:dyDescent="0.2">
      <c r="A3" s="10" t="s">
        <v>54</v>
      </c>
      <c r="B3" s="14"/>
      <c r="C3" s="14"/>
      <c r="D3" s="11"/>
      <c r="E3" s="11"/>
      <c r="F3" s="11"/>
      <c r="G3" s="16" t="s">
        <v>50</v>
      </c>
    </row>
    <row r="4" spans="1:7" ht="12.75" customHeight="1" x14ac:dyDescent="0.2">
      <c r="A4" s="10"/>
      <c r="F4" s="17"/>
      <c r="G4" s="17"/>
    </row>
    <row r="5" spans="1:7" ht="20.100000000000001" customHeight="1" x14ac:dyDescent="0.2">
      <c r="A5" s="17"/>
      <c r="B5" s="18" t="s">
        <v>21</v>
      </c>
      <c r="C5" s="18" t="s">
        <v>22</v>
      </c>
      <c r="D5" s="17">
        <v>20</v>
      </c>
      <c r="E5" s="10">
        <v>20</v>
      </c>
      <c r="F5" s="17"/>
      <c r="G5" s="17"/>
    </row>
    <row r="6" spans="1:7" ht="20.100000000000001" customHeight="1" x14ac:dyDescent="0.2">
      <c r="A6" s="17" t="s">
        <v>51</v>
      </c>
      <c r="B6" s="22">
        <v>137</v>
      </c>
      <c r="C6" s="19">
        <v>884</v>
      </c>
      <c r="D6" s="19">
        <f>C6</f>
        <v>884</v>
      </c>
      <c r="E6" s="38"/>
      <c r="F6" s="23"/>
      <c r="G6" s="17"/>
    </row>
    <row r="7" spans="1:7" ht="20.100000000000001" customHeight="1" x14ac:dyDescent="0.2">
      <c r="A7" s="17" t="s">
        <v>52</v>
      </c>
      <c r="B7" s="22">
        <v>40</v>
      </c>
      <c r="C7" s="19">
        <v>1958</v>
      </c>
      <c r="D7" s="19">
        <f>B7*D5</f>
        <v>800</v>
      </c>
      <c r="E7" s="38">
        <f>C7-D7</f>
        <v>1158</v>
      </c>
      <c r="F7" s="23"/>
      <c r="G7" s="17"/>
    </row>
    <row r="8" spans="1:7" ht="24.95" customHeight="1" x14ac:dyDescent="0.2">
      <c r="A8" s="17" t="s">
        <v>27</v>
      </c>
      <c r="B8" s="22">
        <f>SUM(B6:B7)</f>
        <v>177</v>
      </c>
      <c r="C8" s="19">
        <f>SUM(C6:C7)</f>
        <v>2842</v>
      </c>
      <c r="D8" s="19">
        <f>SUM(D6:D7)</f>
        <v>1684</v>
      </c>
      <c r="E8" s="19">
        <f>SUM(E6:E7)</f>
        <v>1158</v>
      </c>
      <c r="F8" s="23"/>
      <c r="G8" s="17"/>
    </row>
    <row r="9" spans="1:7" ht="12.75" customHeight="1" x14ac:dyDescent="0.2">
      <c r="A9" s="17" t="s">
        <v>28</v>
      </c>
      <c r="B9" s="17"/>
      <c r="C9" s="23"/>
      <c r="D9" s="23"/>
      <c r="E9" s="23"/>
      <c r="F9" s="23"/>
      <c r="G9" s="17"/>
    </row>
    <row r="10" spans="1:7" s="1" customFormat="1" ht="24.95" customHeight="1" x14ac:dyDescent="0.2">
      <c r="A10" s="18"/>
      <c r="B10" s="18" t="s">
        <v>21</v>
      </c>
      <c r="C10" s="18" t="s">
        <v>22</v>
      </c>
      <c r="D10" s="18" t="s">
        <v>29</v>
      </c>
      <c r="E10" s="18" t="s">
        <v>30</v>
      </c>
      <c r="F10" s="18"/>
      <c r="G10" s="18"/>
    </row>
    <row r="11" spans="1:7" ht="20.100000000000001" customHeight="1" x14ac:dyDescent="0.2">
      <c r="A11" s="17" t="s">
        <v>51</v>
      </c>
      <c r="B11" s="22">
        <f>$B$8</f>
        <v>177</v>
      </c>
      <c r="C11" s="19">
        <f>$D$8</f>
        <v>1684</v>
      </c>
      <c r="D11" s="25">
        <v>146.47</v>
      </c>
      <c r="E11" s="19">
        <f>B11*D11</f>
        <v>25925.19</v>
      </c>
      <c r="F11" s="17"/>
      <c r="G11" s="17"/>
    </row>
    <row r="12" spans="1:7" ht="20.100000000000001" customHeight="1" x14ac:dyDescent="0.2">
      <c r="A12" s="17" t="s">
        <v>52</v>
      </c>
      <c r="B12" s="22"/>
      <c r="C12" s="19">
        <f>$E$8</f>
        <v>1158</v>
      </c>
      <c r="D12" s="25">
        <v>5.86</v>
      </c>
      <c r="E12" s="19">
        <f>C12*D12</f>
        <v>6785.88</v>
      </c>
      <c r="F12" s="17"/>
      <c r="G12" s="17"/>
    </row>
    <row r="13" spans="1:7" ht="24.75" customHeight="1" x14ac:dyDescent="0.2">
      <c r="A13" s="17" t="s">
        <v>27</v>
      </c>
      <c r="B13" s="22"/>
      <c r="C13" s="19">
        <f>SUM(C11:C12)</f>
        <v>2842</v>
      </c>
      <c r="D13" s="22"/>
      <c r="E13" s="19">
        <f>SUM(E11:E12)</f>
        <v>32711.07</v>
      </c>
      <c r="F13" s="23"/>
      <c r="G13" s="23"/>
    </row>
    <row r="14" spans="1:7" hidden="1" x14ac:dyDescent="0.2">
      <c r="A14" s="9" t="s">
        <v>31</v>
      </c>
      <c r="B14" s="9" t="s">
        <v>32</v>
      </c>
    </row>
    <row r="15" spans="1:7" ht="24.95" hidden="1" customHeight="1" x14ac:dyDescent="0.2">
      <c r="A15" s="18"/>
      <c r="B15" s="18" t="s">
        <v>21</v>
      </c>
      <c r="C15" s="18" t="s">
        <v>22</v>
      </c>
      <c r="D15" s="18" t="s">
        <v>29</v>
      </c>
      <c r="E15" s="18" t="s">
        <v>30</v>
      </c>
      <c r="F15" s="18"/>
      <c r="G15" s="18"/>
    </row>
    <row r="16" spans="1:7" ht="24.95" hidden="1" customHeight="1" x14ac:dyDescent="0.2">
      <c r="A16" s="17" t="s">
        <v>51</v>
      </c>
      <c r="B16" s="17">
        <f>$B$8</f>
        <v>177</v>
      </c>
      <c r="C16" s="23">
        <f>$D$8</f>
        <v>1684</v>
      </c>
      <c r="D16" s="24">
        <v>93.5</v>
      </c>
      <c r="E16" s="23">
        <f>B16*D16</f>
        <v>16549.5</v>
      </c>
      <c r="F16" s="17"/>
      <c r="G16" s="17"/>
    </row>
    <row r="17" spans="1:7" ht="24.95" hidden="1" customHeight="1" x14ac:dyDescent="0.2">
      <c r="A17" s="17" t="s">
        <v>52</v>
      </c>
      <c r="B17" s="17"/>
      <c r="C17" s="23">
        <f>$E$8</f>
        <v>1158</v>
      </c>
      <c r="D17" s="24">
        <v>2.75</v>
      </c>
      <c r="E17" s="23">
        <f>C17*D17</f>
        <v>3184.5</v>
      </c>
      <c r="F17" s="17"/>
      <c r="G17" s="17"/>
    </row>
    <row r="18" spans="1:7" ht="24.95" hidden="1" customHeight="1" x14ac:dyDescent="0.2">
      <c r="A18" s="17" t="s">
        <v>27</v>
      </c>
      <c r="B18" s="17"/>
      <c r="C18" s="23">
        <f>SUM(C16:C17)</f>
        <v>2842</v>
      </c>
      <c r="D18" s="17"/>
      <c r="E18" s="23">
        <f>SUM(E16:E17)</f>
        <v>19734</v>
      </c>
      <c r="F18" s="17"/>
      <c r="G18" s="17"/>
    </row>
    <row r="19" spans="1:7" hidden="1" x14ac:dyDescent="0.2">
      <c r="A19" s="9" t="s">
        <v>31</v>
      </c>
      <c r="B19" s="9" t="s">
        <v>33</v>
      </c>
    </row>
    <row r="20" spans="1:7" ht="24.95" hidden="1" customHeight="1" x14ac:dyDescent="0.2">
      <c r="A20" s="18"/>
      <c r="B20" s="18" t="s">
        <v>21</v>
      </c>
      <c r="C20" s="18" t="s">
        <v>22</v>
      </c>
      <c r="D20" s="18" t="s">
        <v>29</v>
      </c>
      <c r="E20" s="18" t="s">
        <v>30</v>
      </c>
      <c r="F20" s="18"/>
      <c r="G20" s="18"/>
    </row>
    <row r="21" spans="1:7" ht="24.95" hidden="1" customHeight="1" x14ac:dyDescent="0.2">
      <c r="A21" s="17" t="s">
        <v>51</v>
      </c>
      <c r="B21" s="17">
        <f>$B$8</f>
        <v>177</v>
      </c>
      <c r="C21" s="23">
        <f>$D$8</f>
        <v>1684</v>
      </c>
      <c r="D21" s="24">
        <v>95.2</v>
      </c>
      <c r="E21" s="23">
        <f>B21*D21</f>
        <v>16850.400000000001</v>
      </c>
      <c r="F21" s="17"/>
      <c r="G21" s="17"/>
    </row>
    <row r="22" spans="1:7" ht="24.95" hidden="1" customHeight="1" x14ac:dyDescent="0.2">
      <c r="A22" s="17" t="s">
        <v>52</v>
      </c>
      <c r="B22" s="17"/>
      <c r="C22" s="23">
        <f>$E$8</f>
        <v>1158</v>
      </c>
      <c r="D22" s="24">
        <v>2.8</v>
      </c>
      <c r="E22" s="23">
        <f>C22*D22</f>
        <v>3242.3999999999996</v>
      </c>
      <c r="F22" s="17"/>
      <c r="G22" s="17"/>
    </row>
    <row r="23" spans="1:7" ht="24.95" hidden="1" customHeight="1" x14ac:dyDescent="0.2">
      <c r="A23" s="17" t="s">
        <v>27</v>
      </c>
      <c r="B23" s="17"/>
      <c r="C23" s="23">
        <f>SUM(C21:C22)</f>
        <v>2842</v>
      </c>
      <c r="D23" s="17"/>
      <c r="E23" s="23">
        <f>SUM(E21:E22)</f>
        <v>20092.800000000003</v>
      </c>
      <c r="F23" s="17"/>
      <c r="G23" s="17"/>
    </row>
    <row r="24" spans="1:7" x14ac:dyDescent="0.2">
      <c r="A24" s="9" t="s">
        <v>31</v>
      </c>
      <c r="B24" s="9" t="s">
        <v>85</v>
      </c>
    </row>
    <row r="25" spans="1:7" ht="24.95" customHeight="1" x14ac:dyDescent="0.2">
      <c r="A25" s="18"/>
      <c r="B25" s="18" t="s">
        <v>21</v>
      </c>
      <c r="C25" s="18" t="s">
        <v>22</v>
      </c>
      <c r="D25" s="18" t="s">
        <v>29</v>
      </c>
      <c r="E25" s="18" t="s">
        <v>30</v>
      </c>
      <c r="F25" s="18"/>
      <c r="G25" s="18"/>
    </row>
    <row r="26" spans="1:7" ht="24.95" customHeight="1" x14ac:dyDescent="0.2">
      <c r="A26" s="17" t="s">
        <v>51</v>
      </c>
      <c r="B26" s="22">
        <f>$B$8</f>
        <v>177</v>
      </c>
      <c r="C26" s="19">
        <f>$D$8</f>
        <v>1684</v>
      </c>
      <c r="D26" s="25">
        <f>D11*1.121+0.01</f>
        <v>164.20286999999999</v>
      </c>
      <c r="E26" s="19">
        <f>B26*D26</f>
        <v>29063.90799</v>
      </c>
      <c r="F26" s="17"/>
      <c r="G26" s="17"/>
    </row>
    <row r="27" spans="1:7" ht="24.95" customHeight="1" x14ac:dyDescent="0.2">
      <c r="A27" s="17" t="s">
        <v>52</v>
      </c>
      <c r="B27" s="22"/>
      <c r="C27" s="19">
        <f>$E$8</f>
        <v>1158</v>
      </c>
      <c r="D27" s="25">
        <f>D12*1.121</f>
        <v>6.5690600000000003</v>
      </c>
      <c r="E27" s="19">
        <f>C27*D27</f>
        <v>7606.9714800000002</v>
      </c>
      <c r="F27" s="17"/>
      <c r="G27" s="17"/>
    </row>
    <row r="28" spans="1:7" ht="24.95" customHeight="1" x14ac:dyDescent="0.2">
      <c r="A28" s="17" t="s">
        <v>27</v>
      </c>
      <c r="B28" s="22"/>
      <c r="C28" s="19">
        <f>SUM(C26:C27)</f>
        <v>2842</v>
      </c>
      <c r="D28" s="22"/>
      <c r="E28" s="19">
        <f>SUM(E26:E27)</f>
        <v>36670.87947</v>
      </c>
      <c r="F28" s="17"/>
      <c r="G28" s="17"/>
    </row>
  </sheetData>
  <pageMargins left="0.75" right="0.75" top="1" bottom="1" header="0.5" footer="0.5"/>
  <pageSetup orientation="portrait" r:id="rId1"/>
  <headerFooter alignWithMargins="0">
    <oddHeader>&amp;R&amp;"Arial,Bold"Response to 28
City of Crittenden Requests
Witness - Debbra Dedden, CPA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F0EEE1-FB26-4AC5-84B4-CF5C74930D3E}">
  <sheetPr>
    <pageSetUpPr fitToPage="1"/>
  </sheetPr>
  <dimension ref="A2:T48"/>
  <sheetViews>
    <sheetView workbookViewId="0">
      <selection activeCell="B10" sqref="B10"/>
    </sheetView>
  </sheetViews>
  <sheetFormatPr defaultRowHeight="12.75" x14ac:dyDescent="0.2"/>
  <cols>
    <col min="1" max="1" width="11" customWidth="1"/>
    <col min="2" max="2" width="11.42578125" customWidth="1"/>
    <col min="4" max="4" width="3.7109375" hidden="1" customWidth="1"/>
    <col min="5" max="5" width="11.5703125" hidden="1" customWidth="1"/>
    <col min="6" max="7" width="0" hidden="1" customWidth="1"/>
    <col min="8" max="8" width="3.7109375" hidden="1" customWidth="1"/>
    <col min="9" max="9" width="11.5703125" hidden="1" customWidth="1"/>
    <col min="10" max="11" width="0" hidden="1" customWidth="1"/>
    <col min="12" max="12" width="3.7109375" customWidth="1"/>
    <col min="13" max="13" width="11" customWidth="1"/>
    <col min="16" max="16" width="3.7109375" customWidth="1"/>
    <col min="17" max="17" width="11" customWidth="1"/>
    <col min="20" max="20" width="10.140625" bestFit="1" customWidth="1"/>
  </cols>
  <sheetData>
    <row r="2" spans="1:20" x14ac:dyDescent="0.2">
      <c r="A2" s="30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2"/>
    </row>
    <row r="3" spans="1:20" x14ac:dyDescent="0.2">
      <c r="A3" s="33" t="s">
        <v>50</v>
      </c>
      <c r="T3" s="34"/>
    </row>
    <row r="4" spans="1:20" x14ac:dyDescent="0.2">
      <c r="A4" s="10" t="s">
        <v>49</v>
      </c>
      <c r="B4" s="11"/>
      <c r="C4" s="11"/>
      <c r="T4" s="34"/>
    </row>
    <row r="5" spans="1:20" x14ac:dyDescent="0.2">
      <c r="A5" s="10"/>
      <c r="B5" s="9"/>
      <c r="C5" s="9"/>
      <c r="T5" s="34"/>
    </row>
    <row r="6" spans="1:20" x14ac:dyDescent="0.2">
      <c r="A6" s="17"/>
      <c r="B6" s="18" t="s">
        <v>21</v>
      </c>
      <c r="C6" s="18" t="s">
        <v>22</v>
      </c>
      <c r="E6" s="17"/>
      <c r="F6" s="18" t="s">
        <v>21</v>
      </c>
      <c r="G6" s="18" t="s">
        <v>22</v>
      </c>
      <c r="I6" s="17"/>
      <c r="J6" s="18" t="s">
        <v>21</v>
      </c>
      <c r="K6" s="18" t="s">
        <v>22</v>
      </c>
      <c r="M6" s="17"/>
      <c r="N6" s="18" t="s">
        <v>21</v>
      </c>
      <c r="O6" s="18" t="s">
        <v>22</v>
      </c>
      <c r="Q6" s="17"/>
      <c r="R6" s="18" t="s">
        <v>21</v>
      </c>
      <c r="S6" s="18" t="s">
        <v>22</v>
      </c>
      <c r="T6" s="18" t="s">
        <v>34</v>
      </c>
    </row>
    <row r="7" spans="1:20" x14ac:dyDescent="0.2">
      <c r="A7" s="17" t="s">
        <v>51</v>
      </c>
      <c r="B7" s="19"/>
      <c r="C7" s="19"/>
      <c r="E7" s="17" t="s">
        <v>25</v>
      </c>
      <c r="F7" s="19"/>
      <c r="G7" s="19"/>
      <c r="I7" s="17" t="s">
        <v>25</v>
      </c>
      <c r="J7" s="19"/>
      <c r="K7" s="19"/>
      <c r="M7" s="17" t="s">
        <v>52</v>
      </c>
      <c r="N7" s="19"/>
      <c r="O7" s="19"/>
      <c r="Q7" s="17" t="s">
        <v>44</v>
      </c>
      <c r="R7" s="19"/>
      <c r="S7" s="19"/>
      <c r="T7" s="19"/>
    </row>
    <row r="8" spans="1:20" x14ac:dyDescent="0.2">
      <c r="A8" s="17" t="s">
        <v>0</v>
      </c>
      <c r="B8" s="19">
        <v>11</v>
      </c>
      <c r="C8" s="19">
        <v>77</v>
      </c>
      <c r="E8" s="17" t="s">
        <v>0</v>
      </c>
      <c r="F8" s="19"/>
      <c r="G8" s="19"/>
      <c r="I8" s="17" t="s">
        <v>0</v>
      </c>
      <c r="J8" s="19"/>
      <c r="K8" s="19"/>
      <c r="M8" s="17" t="s">
        <v>0</v>
      </c>
      <c r="N8" s="19"/>
      <c r="O8" s="19"/>
      <c r="Q8" s="17" t="s">
        <v>0</v>
      </c>
      <c r="R8" s="19">
        <f>B8+F8+J8+N8</f>
        <v>11</v>
      </c>
      <c r="S8" s="19">
        <f>C8+G8+K8+O8</f>
        <v>77</v>
      </c>
      <c r="T8" s="25">
        <v>1611.17</v>
      </c>
    </row>
    <row r="9" spans="1:20" x14ac:dyDescent="0.2">
      <c r="A9" s="17" t="s">
        <v>1</v>
      </c>
      <c r="B9" s="19">
        <v>10</v>
      </c>
      <c r="C9" s="19">
        <f>4+4+27+11</f>
        <v>46</v>
      </c>
      <c r="E9" s="17" t="s">
        <v>1</v>
      </c>
      <c r="F9" s="19"/>
      <c r="G9" s="19"/>
      <c r="I9" s="17" t="s">
        <v>1</v>
      </c>
      <c r="J9" s="19"/>
      <c r="K9" s="19"/>
      <c r="M9" s="17" t="s">
        <v>1</v>
      </c>
      <c r="N9" s="19">
        <v>1</v>
      </c>
      <c r="O9" s="19">
        <v>23</v>
      </c>
      <c r="Q9" s="17" t="s">
        <v>1</v>
      </c>
      <c r="R9" s="19">
        <f t="shared" ref="R9:S19" si="0">B9+F9+J9+N9</f>
        <v>11</v>
      </c>
      <c r="S9" s="19">
        <f t="shared" si="0"/>
        <v>69</v>
      </c>
      <c r="T9" s="25">
        <v>1628.75</v>
      </c>
    </row>
    <row r="10" spans="1:20" x14ac:dyDescent="0.2">
      <c r="A10" s="17" t="s">
        <v>2</v>
      </c>
      <c r="B10" s="19">
        <v>5</v>
      </c>
      <c r="C10" s="19">
        <v>44</v>
      </c>
      <c r="E10" s="17" t="s">
        <v>2</v>
      </c>
      <c r="F10" s="19"/>
      <c r="G10" s="19"/>
      <c r="I10" s="17" t="s">
        <v>2</v>
      </c>
      <c r="J10" s="19"/>
      <c r="K10" s="19"/>
      <c r="M10" s="17" t="s">
        <v>2</v>
      </c>
      <c r="N10" s="19">
        <v>3</v>
      </c>
      <c r="O10" s="19">
        <v>211</v>
      </c>
      <c r="Q10" s="17" t="s">
        <v>2</v>
      </c>
      <c r="R10" s="19">
        <f t="shared" si="0"/>
        <v>8</v>
      </c>
      <c r="S10" s="19">
        <f t="shared" si="0"/>
        <v>255</v>
      </c>
      <c r="T10" s="25">
        <v>2056.62</v>
      </c>
    </row>
    <row r="11" spans="1:20" x14ac:dyDescent="0.2">
      <c r="A11" s="17" t="s">
        <v>3</v>
      </c>
      <c r="B11" s="19">
        <v>11</v>
      </c>
      <c r="C11" s="19">
        <v>87</v>
      </c>
      <c r="E11" s="17" t="s">
        <v>3</v>
      </c>
      <c r="F11" s="19"/>
      <c r="G11" s="19"/>
      <c r="I11" s="17" t="s">
        <v>3</v>
      </c>
      <c r="J11" s="19"/>
      <c r="K11" s="19"/>
      <c r="M11" s="17" t="s">
        <v>3</v>
      </c>
      <c r="N11" s="19"/>
      <c r="O11" s="19"/>
      <c r="Q11" s="17" t="s">
        <v>3</v>
      </c>
      <c r="R11" s="19">
        <f t="shared" si="0"/>
        <v>11</v>
      </c>
      <c r="S11" s="19">
        <f t="shared" si="0"/>
        <v>87</v>
      </c>
      <c r="T11" s="25">
        <v>1611.17</v>
      </c>
    </row>
    <row r="12" spans="1:20" x14ac:dyDescent="0.2">
      <c r="A12" s="17" t="s">
        <v>4</v>
      </c>
      <c r="B12" s="19">
        <v>9</v>
      </c>
      <c r="C12" s="19">
        <f>2+4+14+31</f>
        <v>51</v>
      </c>
      <c r="E12" s="17" t="s">
        <v>4</v>
      </c>
      <c r="F12" s="19"/>
      <c r="G12" s="19"/>
      <c r="I12" s="17" t="s">
        <v>4</v>
      </c>
      <c r="J12" s="19"/>
      <c r="K12" s="19"/>
      <c r="M12" s="17" t="s">
        <v>4</v>
      </c>
      <c r="N12" s="19">
        <v>2</v>
      </c>
      <c r="O12" s="19">
        <v>104</v>
      </c>
      <c r="Q12" s="17" t="s">
        <v>4</v>
      </c>
      <c r="R12" s="19">
        <f t="shared" si="0"/>
        <v>11</v>
      </c>
      <c r="S12" s="19">
        <f t="shared" si="0"/>
        <v>155</v>
      </c>
      <c r="T12" s="25">
        <v>1986.21</v>
      </c>
    </row>
    <row r="13" spans="1:20" x14ac:dyDescent="0.2">
      <c r="A13" s="17" t="s">
        <v>5</v>
      </c>
      <c r="B13" s="19">
        <v>8</v>
      </c>
      <c r="C13" s="19">
        <f>2+5+18+19</f>
        <v>44</v>
      </c>
      <c r="E13" s="17" t="s">
        <v>5</v>
      </c>
      <c r="F13" s="19"/>
      <c r="G13" s="19"/>
      <c r="I13" s="17" t="s">
        <v>5</v>
      </c>
      <c r="J13" s="19"/>
      <c r="K13" s="19"/>
      <c r="M13" s="17" t="s">
        <v>5</v>
      </c>
      <c r="N13" s="19">
        <v>3</v>
      </c>
      <c r="O13" s="19">
        <v>211</v>
      </c>
      <c r="Q13" s="17" t="s">
        <v>5</v>
      </c>
      <c r="R13" s="19">
        <f t="shared" si="0"/>
        <v>11</v>
      </c>
      <c r="S13" s="19">
        <f t="shared" si="0"/>
        <v>255</v>
      </c>
      <c r="T13" s="25">
        <v>2496.0300000000002</v>
      </c>
    </row>
    <row r="14" spans="1:20" x14ac:dyDescent="0.2">
      <c r="A14" s="17" t="s">
        <v>6</v>
      </c>
      <c r="B14" s="19">
        <v>8</v>
      </c>
      <c r="C14" s="19">
        <f>2+12+30</f>
        <v>44</v>
      </c>
      <c r="E14" s="17" t="s">
        <v>6</v>
      </c>
      <c r="F14" s="19"/>
      <c r="G14" s="19"/>
      <c r="I14" s="17" t="s">
        <v>6</v>
      </c>
      <c r="J14" s="19"/>
      <c r="K14" s="19"/>
      <c r="M14" s="17" t="s">
        <v>6</v>
      </c>
      <c r="N14" s="19">
        <v>3</v>
      </c>
      <c r="O14" s="19">
        <v>211</v>
      </c>
      <c r="Q14" s="17" t="s">
        <v>6</v>
      </c>
      <c r="R14" s="19">
        <f t="shared" si="0"/>
        <v>11</v>
      </c>
      <c r="S14" s="19">
        <f t="shared" si="0"/>
        <v>255</v>
      </c>
      <c r="T14" s="25">
        <v>2496.0300000000002</v>
      </c>
    </row>
    <row r="15" spans="1:20" x14ac:dyDescent="0.2">
      <c r="A15" s="17" t="s">
        <v>7</v>
      </c>
      <c r="B15" s="19">
        <v>9</v>
      </c>
      <c r="C15" s="19">
        <f>2+4+9+58</f>
        <v>73</v>
      </c>
      <c r="E15" s="17" t="s">
        <v>7</v>
      </c>
      <c r="F15" s="19"/>
      <c r="G15" s="19"/>
      <c r="I15" s="17" t="s">
        <v>7</v>
      </c>
      <c r="J15" s="19"/>
      <c r="K15" s="19"/>
      <c r="M15" s="17" t="s">
        <v>7</v>
      </c>
      <c r="N15" s="19">
        <v>2</v>
      </c>
      <c r="O15" s="19">
        <v>163</v>
      </c>
      <c r="Q15" s="17" t="s">
        <v>7</v>
      </c>
      <c r="R15" s="19">
        <f t="shared" si="0"/>
        <v>11</v>
      </c>
      <c r="S15" s="19">
        <f t="shared" si="0"/>
        <v>236</v>
      </c>
      <c r="T15" s="25">
        <v>2331.9499999999998</v>
      </c>
    </row>
    <row r="16" spans="1:20" x14ac:dyDescent="0.2">
      <c r="A16" s="17" t="s">
        <v>8</v>
      </c>
      <c r="B16" s="19">
        <v>6</v>
      </c>
      <c r="C16" s="19">
        <f>6+32</f>
        <v>38</v>
      </c>
      <c r="E16" s="17" t="s">
        <v>8</v>
      </c>
      <c r="F16" s="19"/>
      <c r="G16" s="19"/>
      <c r="I16" s="17" t="s">
        <v>8</v>
      </c>
      <c r="J16" s="19"/>
      <c r="K16" s="19"/>
      <c r="M16" s="17" t="s">
        <v>8</v>
      </c>
      <c r="N16" s="19">
        <v>5</v>
      </c>
      <c r="O16" s="19">
        <v>226</v>
      </c>
      <c r="Q16" s="17" t="s">
        <v>8</v>
      </c>
      <c r="R16" s="19">
        <f t="shared" si="0"/>
        <v>11</v>
      </c>
      <c r="S16" s="19">
        <f t="shared" si="0"/>
        <v>264</v>
      </c>
      <c r="T16" s="25">
        <v>2349.5300000000002</v>
      </c>
    </row>
    <row r="17" spans="1:20" x14ac:dyDescent="0.2">
      <c r="A17" s="17" t="s">
        <v>9</v>
      </c>
      <c r="B17" s="19">
        <v>8</v>
      </c>
      <c r="C17" s="19">
        <f>5+4+6+31</f>
        <v>46</v>
      </c>
      <c r="E17" s="17" t="s">
        <v>9</v>
      </c>
      <c r="F17" s="19"/>
      <c r="G17" s="19"/>
      <c r="I17" s="17" t="s">
        <v>9</v>
      </c>
      <c r="J17" s="19"/>
      <c r="K17" s="19"/>
      <c r="M17" s="17" t="s">
        <v>9</v>
      </c>
      <c r="N17" s="19">
        <v>3</v>
      </c>
      <c r="O17" s="19">
        <v>126</v>
      </c>
      <c r="Q17" s="17" t="s">
        <v>9</v>
      </c>
      <c r="R17" s="19">
        <f t="shared" si="0"/>
        <v>11</v>
      </c>
      <c r="S17" s="19">
        <f t="shared" si="0"/>
        <v>172</v>
      </c>
      <c r="T17" s="25">
        <v>1997.93</v>
      </c>
    </row>
    <row r="18" spans="1:20" x14ac:dyDescent="0.2">
      <c r="A18" s="17" t="s">
        <v>10</v>
      </c>
      <c r="B18" s="19">
        <v>10</v>
      </c>
      <c r="C18" s="19">
        <f>2+6+16+28</f>
        <v>52</v>
      </c>
      <c r="E18" s="17" t="s">
        <v>10</v>
      </c>
      <c r="F18" s="19"/>
      <c r="G18" s="19"/>
      <c r="I18" s="17" t="s">
        <v>10</v>
      </c>
      <c r="J18" s="19"/>
      <c r="K18" s="19"/>
      <c r="M18" s="17" t="s">
        <v>10</v>
      </c>
      <c r="N18" s="19">
        <v>1</v>
      </c>
      <c r="O18" s="19">
        <v>49</v>
      </c>
      <c r="Q18" s="17" t="s">
        <v>10</v>
      </c>
      <c r="R18" s="19">
        <f t="shared" si="0"/>
        <v>11</v>
      </c>
      <c r="S18" s="19">
        <f t="shared" si="0"/>
        <v>101</v>
      </c>
      <c r="T18" s="25">
        <v>1781.11</v>
      </c>
    </row>
    <row r="19" spans="1:20" x14ac:dyDescent="0.2">
      <c r="A19" s="17" t="s">
        <v>11</v>
      </c>
      <c r="B19" s="19">
        <v>10</v>
      </c>
      <c r="C19" s="19">
        <f>14+10+30</f>
        <v>54</v>
      </c>
      <c r="E19" s="17" t="s">
        <v>11</v>
      </c>
      <c r="F19" s="19"/>
      <c r="G19" s="19"/>
      <c r="I19" s="17" t="s">
        <v>11</v>
      </c>
      <c r="J19" s="19"/>
      <c r="K19" s="19"/>
      <c r="M19" s="17" t="s">
        <v>11</v>
      </c>
      <c r="N19" s="19">
        <v>1</v>
      </c>
      <c r="O19" s="19">
        <v>24</v>
      </c>
      <c r="Q19" s="17" t="s">
        <v>11</v>
      </c>
      <c r="R19" s="19">
        <f t="shared" si="0"/>
        <v>11</v>
      </c>
      <c r="S19" s="19">
        <f t="shared" si="0"/>
        <v>78</v>
      </c>
      <c r="T19" s="25">
        <v>1634.61</v>
      </c>
    </row>
    <row r="20" spans="1:20" x14ac:dyDescent="0.2">
      <c r="A20" s="17"/>
      <c r="B20" s="19"/>
      <c r="C20" s="19"/>
      <c r="E20" s="17"/>
      <c r="F20" s="19"/>
      <c r="G20" s="19"/>
      <c r="I20" s="17"/>
      <c r="J20" s="19"/>
      <c r="K20" s="19"/>
      <c r="M20" s="17"/>
      <c r="N20" s="19"/>
      <c r="O20" s="19"/>
      <c r="Q20" s="17"/>
      <c r="R20" s="19"/>
      <c r="S20" s="19"/>
      <c r="T20" s="25"/>
    </row>
    <row r="21" spans="1:20" x14ac:dyDescent="0.2">
      <c r="A21" s="17" t="s">
        <v>12</v>
      </c>
      <c r="B21" s="19">
        <f>SUM(B8:B20)</f>
        <v>105</v>
      </c>
      <c r="C21" s="19">
        <f>SUM(C8:C20)</f>
        <v>656</v>
      </c>
      <c r="E21" s="17"/>
      <c r="F21" s="19">
        <f t="shared" ref="F21:G21" si="1">SUM(F8:F20)</f>
        <v>0</v>
      </c>
      <c r="G21" s="19">
        <f t="shared" si="1"/>
        <v>0</v>
      </c>
      <c r="I21" s="17"/>
      <c r="J21" s="19">
        <f t="shared" ref="J21:K21" si="2">SUM(J8:J20)</f>
        <v>0</v>
      </c>
      <c r="K21" s="19">
        <f t="shared" si="2"/>
        <v>0</v>
      </c>
      <c r="M21" s="17"/>
      <c r="N21" s="19">
        <f t="shared" ref="N21:O21" si="3">SUM(N8:N20)</f>
        <v>24</v>
      </c>
      <c r="O21" s="19">
        <f t="shared" si="3"/>
        <v>1348</v>
      </c>
      <c r="Q21" s="17"/>
      <c r="R21" s="19">
        <f t="shared" ref="R21:S21" si="4">SUM(R8:R20)</f>
        <v>129</v>
      </c>
      <c r="S21" s="19">
        <f t="shared" si="4"/>
        <v>2004</v>
      </c>
      <c r="T21" s="25">
        <f>SUM(T8:T19)</f>
        <v>23981.11</v>
      </c>
    </row>
    <row r="22" spans="1:20" x14ac:dyDescent="0.2">
      <c r="A22" s="17"/>
      <c r="B22" s="19"/>
      <c r="C22" s="19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35">
        <f>B21+F21+J21+N21</f>
        <v>129</v>
      </c>
      <c r="S22" s="35">
        <f>C21+G21+K21+O21</f>
        <v>2004</v>
      </c>
      <c r="T22" s="36"/>
    </row>
    <row r="24" spans="1:20" x14ac:dyDescent="0.2">
      <c r="A24" s="30"/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2"/>
    </row>
    <row r="25" spans="1:20" x14ac:dyDescent="0.2">
      <c r="A25" s="10" t="s">
        <v>53</v>
      </c>
      <c r="B25" s="11"/>
      <c r="C25" s="11"/>
      <c r="T25" s="34"/>
    </row>
    <row r="26" spans="1:20" x14ac:dyDescent="0.2">
      <c r="A26" s="10"/>
      <c r="B26" s="9"/>
      <c r="C26" s="9"/>
      <c r="T26" s="34"/>
    </row>
    <row r="27" spans="1:20" x14ac:dyDescent="0.2">
      <c r="A27" s="17"/>
      <c r="B27" s="18" t="s">
        <v>21</v>
      </c>
      <c r="C27" s="18" t="s">
        <v>22</v>
      </c>
      <c r="E27" s="17"/>
      <c r="F27" s="18" t="s">
        <v>21</v>
      </c>
      <c r="G27" s="18" t="s">
        <v>22</v>
      </c>
      <c r="I27" s="17"/>
      <c r="J27" s="18" t="s">
        <v>21</v>
      </c>
      <c r="K27" s="18" t="s">
        <v>22</v>
      </c>
      <c r="M27" s="17"/>
      <c r="N27" s="18" t="s">
        <v>21</v>
      </c>
      <c r="O27" s="18" t="s">
        <v>22</v>
      </c>
      <c r="Q27" s="17"/>
      <c r="R27" s="18" t="s">
        <v>21</v>
      </c>
      <c r="S27" s="18" t="s">
        <v>22</v>
      </c>
      <c r="T27" s="18" t="s">
        <v>34</v>
      </c>
    </row>
    <row r="28" spans="1:20" x14ac:dyDescent="0.2">
      <c r="A28" s="17" t="s">
        <v>51</v>
      </c>
      <c r="B28" s="19"/>
      <c r="C28" s="19"/>
      <c r="E28" s="17" t="s">
        <v>25</v>
      </c>
      <c r="F28" s="19"/>
      <c r="G28" s="19"/>
      <c r="I28" s="17" t="s">
        <v>25</v>
      </c>
      <c r="J28" s="19"/>
      <c r="K28" s="19"/>
      <c r="M28" s="17" t="s">
        <v>52</v>
      </c>
      <c r="N28" s="19"/>
      <c r="O28" s="19"/>
      <c r="Q28" s="17" t="s">
        <v>44</v>
      </c>
      <c r="R28" s="19"/>
      <c r="S28" s="19"/>
      <c r="T28" s="19"/>
    </row>
    <row r="29" spans="1:20" x14ac:dyDescent="0.2">
      <c r="A29" s="17" t="s">
        <v>0</v>
      </c>
      <c r="B29" s="19">
        <v>4</v>
      </c>
      <c r="C29" s="19">
        <v>42</v>
      </c>
      <c r="E29" s="17" t="s">
        <v>0</v>
      </c>
      <c r="F29" s="19"/>
      <c r="G29" s="19"/>
      <c r="I29" s="17" t="s">
        <v>0</v>
      </c>
      <c r="J29" s="19"/>
      <c r="K29" s="19"/>
      <c r="M29" s="17" t="s">
        <v>0</v>
      </c>
      <c r="N29" s="19"/>
      <c r="O29" s="19"/>
      <c r="Q29" s="17" t="s">
        <v>0</v>
      </c>
      <c r="R29" s="19">
        <f>B29+F29+J29+N29</f>
        <v>4</v>
      </c>
      <c r="S29" s="19">
        <f>C29+G29+K29+O29</f>
        <v>42</v>
      </c>
      <c r="T29" s="25">
        <v>585.88</v>
      </c>
    </row>
    <row r="30" spans="1:20" x14ac:dyDescent="0.2">
      <c r="A30" s="17" t="s">
        <v>1</v>
      </c>
      <c r="B30" s="19">
        <v>3</v>
      </c>
      <c r="C30" s="19">
        <v>19</v>
      </c>
      <c r="E30" s="17" t="s">
        <v>1</v>
      </c>
      <c r="F30" s="19"/>
      <c r="G30" s="19"/>
      <c r="I30" s="17" t="s">
        <v>1</v>
      </c>
      <c r="J30" s="19"/>
      <c r="K30" s="19"/>
      <c r="M30" s="17" t="s">
        <v>1</v>
      </c>
      <c r="N30" s="19">
        <v>1</v>
      </c>
      <c r="O30" s="19">
        <v>28</v>
      </c>
      <c r="Q30" s="17" t="s">
        <v>1</v>
      </c>
      <c r="R30" s="19">
        <f t="shared" ref="R30:R40" si="5">B30+F30+J30+N30</f>
        <v>4</v>
      </c>
      <c r="S30" s="19">
        <f t="shared" ref="S30:S40" si="6">C30+G30+K30+O30</f>
        <v>47</v>
      </c>
      <c r="T30" s="25">
        <v>632.76</v>
      </c>
    </row>
    <row r="31" spans="1:20" x14ac:dyDescent="0.2">
      <c r="A31" s="17" t="s">
        <v>2</v>
      </c>
      <c r="B31" s="19">
        <v>3</v>
      </c>
      <c r="C31" s="19">
        <v>26</v>
      </c>
      <c r="E31" s="17" t="s">
        <v>2</v>
      </c>
      <c r="F31" s="19"/>
      <c r="G31" s="19"/>
      <c r="I31" s="17" t="s">
        <v>2</v>
      </c>
      <c r="J31" s="19"/>
      <c r="K31" s="19"/>
      <c r="M31" s="17" t="s">
        <v>2</v>
      </c>
      <c r="N31" s="19">
        <v>1</v>
      </c>
      <c r="O31" s="19">
        <v>25</v>
      </c>
      <c r="Q31" s="17" t="s">
        <v>2</v>
      </c>
      <c r="R31" s="19">
        <f t="shared" si="5"/>
        <v>4</v>
      </c>
      <c r="S31" s="19">
        <f t="shared" si="6"/>
        <v>51</v>
      </c>
      <c r="T31" s="25">
        <v>615.17999999999995</v>
      </c>
    </row>
    <row r="32" spans="1:20" x14ac:dyDescent="0.2">
      <c r="A32" s="17" t="s">
        <v>3</v>
      </c>
      <c r="B32" s="19">
        <v>2</v>
      </c>
      <c r="C32" s="19">
        <v>13</v>
      </c>
      <c r="E32" s="17" t="s">
        <v>3</v>
      </c>
      <c r="F32" s="19"/>
      <c r="G32" s="19"/>
      <c r="I32" s="17" t="s">
        <v>3</v>
      </c>
      <c r="J32" s="19"/>
      <c r="K32" s="19"/>
      <c r="M32" s="17" t="s">
        <v>3</v>
      </c>
      <c r="N32" s="19">
        <v>2</v>
      </c>
      <c r="O32" s="19">
        <v>45</v>
      </c>
      <c r="Q32" s="17" t="s">
        <v>3</v>
      </c>
      <c r="R32" s="19">
        <f t="shared" si="5"/>
        <v>4</v>
      </c>
      <c r="S32" s="19">
        <f t="shared" si="6"/>
        <v>58</v>
      </c>
      <c r="T32" s="25">
        <v>615.17999999999995</v>
      </c>
    </row>
    <row r="33" spans="1:20" x14ac:dyDescent="0.2">
      <c r="A33" s="17" t="s">
        <v>4</v>
      </c>
      <c r="B33" s="19">
        <v>2</v>
      </c>
      <c r="C33" s="19">
        <v>10</v>
      </c>
      <c r="E33" s="17" t="s">
        <v>4</v>
      </c>
      <c r="F33" s="19"/>
      <c r="G33" s="19"/>
      <c r="I33" s="17" t="s">
        <v>4</v>
      </c>
      <c r="J33" s="19"/>
      <c r="K33" s="19"/>
      <c r="M33" s="17" t="s">
        <v>4</v>
      </c>
      <c r="N33" s="19">
        <v>2</v>
      </c>
      <c r="O33" s="19">
        <v>113</v>
      </c>
      <c r="Q33" s="17" t="s">
        <v>4</v>
      </c>
      <c r="R33" s="19">
        <f t="shared" si="5"/>
        <v>4</v>
      </c>
      <c r="S33" s="19">
        <f t="shared" si="6"/>
        <v>123</v>
      </c>
      <c r="T33" s="25">
        <v>1013.66</v>
      </c>
    </row>
    <row r="34" spans="1:20" x14ac:dyDescent="0.2">
      <c r="A34" s="17" t="s">
        <v>5</v>
      </c>
      <c r="B34" s="19">
        <v>3</v>
      </c>
      <c r="C34" s="19">
        <v>27</v>
      </c>
      <c r="E34" s="17" t="s">
        <v>5</v>
      </c>
      <c r="F34" s="19"/>
      <c r="G34" s="19"/>
      <c r="I34" s="17" t="s">
        <v>5</v>
      </c>
      <c r="J34" s="19"/>
      <c r="K34" s="19"/>
      <c r="M34" s="17" t="s">
        <v>5</v>
      </c>
      <c r="N34" s="19">
        <v>1</v>
      </c>
      <c r="O34" s="19">
        <v>40</v>
      </c>
      <c r="Q34" s="17" t="s">
        <v>5</v>
      </c>
      <c r="R34" s="19">
        <f t="shared" si="5"/>
        <v>4</v>
      </c>
      <c r="S34" s="19">
        <f t="shared" si="6"/>
        <v>67</v>
      </c>
      <c r="T34" s="25">
        <v>703.08</v>
      </c>
    </row>
    <row r="35" spans="1:20" x14ac:dyDescent="0.2">
      <c r="A35" s="17" t="s">
        <v>6</v>
      </c>
      <c r="B35" s="19">
        <v>3</v>
      </c>
      <c r="C35" s="19">
        <f>7+19</f>
        <v>26</v>
      </c>
      <c r="E35" s="17" t="s">
        <v>6</v>
      </c>
      <c r="F35" s="19"/>
      <c r="G35" s="19"/>
      <c r="I35" s="17" t="s">
        <v>6</v>
      </c>
      <c r="J35" s="19"/>
      <c r="K35" s="19"/>
      <c r="M35" s="17" t="s">
        <v>6</v>
      </c>
      <c r="N35" s="19">
        <v>1</v>
      </c>
      <c r="O35" s="19">
        <v>25</v>
      </c>
      <c r="Q35" s="17" t="s">
        <v>6</v>
      </c>
      <c r="R35" s="19">
        <f t="shared" si="5"/>
        <v>4</v>
      </c>
      <c r="S35" s="19">
        <f t="shared" si="6"/>
        <v>51</v>
      </c>
      <c r="T35" s="25">
        <v>615.17999999999995</v>
      </c>
    </row>
    <row r="36" spans="1:20" x14ac:dyDescent="0.2">
      <c r="A36" s="17" t="s">
        <v>7</v>
      </c>
      <c r="B36" s="19">
        <v>2</v>
      </c>
      <c r="C36" s="19">
        <v>6</v>
      </c>
      <c r="E36" s="17" t="s">
        <v>7</v>
      </c>
      <c r="F36" s="19"/>
      <c r="G36" s="19"/>
      <c r="I36" s="17" t="s">
        <v>7</v>
      </c>
      <c r="J36" s="19"/>
      <c r="K36" s="19"/>
      <c r="M36" s="17" t="s">
        <v>7</v>
      </c>
      <c r="N36" s="19">
        <v>2</v>
      </c>
      <c r="O36" s="19">
        <v>69</v>
      </c>
      <c r="Q36" s="17" t="s">
        <v>7</v>
      </c>
      <c r="R36" s="19">
        <f t="shared" si="5"/>
        <v>4</v>
      </c>
      <c r="S36" s="19">
        <f t="shared" si="6"/>
        <v>75</v>
      </c>
      <c r="T36" s="25">
        <v>755.82</v>
      </c>
    </row>
    <row r="37" spans="1:20" x14ac:dyDescent="0.2">
      <c r="A37" s="17" t="s">
        <v>8</v>
      </c>
      <c r="B37" s="19">
        <v>2</v>
      </c>
      <c r="C37" s="19">
        <v>10</v>
      </c>
      <c r="E37" s="17" t="s">
        <v>8</v>
      </c>
      <c r="F37" s="19"/>
      <c r="G37" s="19"/>
      <c r="I37" s="17" t="s">
        <v>8</v>
      </c>
      <c r="J37" s="19"/>
      <c r="K37" s="19"/>
      <c r="M37" s="17" t="s">
        <v>8</v>
      </c>
      <c r="N37" s="19">
        <v>2</v>
      </c>
      <c r="O37" s="19">
        <v>83</v>
      </c>
      <c r="Q37" s="17" t="s">
        <v>8</v>
      </c>
      <c r="R37" s="19">
        <f t="shared" si="5"/>
        <v>4</v>
      </c>
      <c r="S37" s="19">
        <f t="shared" si="6"/>
        <v>93</v>
      </c>
      <c r="T37" s="25">
        <v>837.86</v>
      </c>
    </row>
    <row r="38" spans="1:20" x14ac:dyDescent="0.2">
      <c r="A38" s="17" t="s">
        <v>9</v>
      </c>
      <c r="B38" s="19">
        <v>2</v>
      </c>
      <c r="C38" s="19">
        <v>4</v>
      </c>
      <c r="E38" s="17" t="s">
        <v>9</v>
      </c>
      <c r="F38" s="19"/>
      <c r="G38" s="19"/>
      <c r="I38" s="17" t="s">
        <v>9</v>
      </c>
      <c r="J38" s="19"/>
      <c r="K38" s="19"/>
      <c r="M38" s="17" t="s">
        <v>9</v>
      </c>
      <c r="N38" s="19">
        <v>2</v>
      </c>
      <c r="O38" s="19">
        <v>100</v>
      </c>
      <c r="Q38" s="17" t="s">
        <v>9</v>
      </c>
      <c r="R38" s="19">
        <f t="shared" si="5"/>
        <v>4</v>
      </c>
      <c r="S38" s="19">
        <f t="shared" si="6"/>
        <v>104</v>
      </c>
      <c r="T38" s="25">
        <v>937.48</v>
      </c>
    </row>
    <row r="39" spans="1:20" x14ac:dyDescent="0.2">
      <c r="A39" s="17" t="s">
        <v>10</v>
      </c>
      <c r="B39" s="19">
        <v>2</v>
      </c>
      <c r="C39" s="19">
        <v>9</v>
      </c>
      <c r="E39" s="17" t="s">
        <v>10</v>
      </c>
      <c r="F39" s="19"/>
      <c r="G39" s="19"/>
      <c r="I39" s="17" t="s">
        <v>10</v>
      </c>
      <c r="J39" s="19"/>
      <c r="K39" s="19"/>
      <c r="M39" s="17" t="s">
        <v>10</v>
      </c>
      <c r="N39" s="19">
        <v>2</v>
      </c>
      <c r="O39" s="19">
        <v>82</v>
      </c>
      <c r="Q39" s="17" t="s">
        <v>10</v>
      </c>
      <c r="R39" s="19">
        <f t="shared" si="5"/>
        <v>4</v>
      </c>
      <c r="S39" s="19">
        <f t="shared" si="6"/>
        <v>91</v>
      </c>
      <c r="T39" s="25">
        <v>832</v>
      </c>
    </row>
    <row r="40" spans="1:20" x14ac:dyDescent="0.2">
      <c r="A40" s="17" t="s">
        <v>11</v>
      </c>
      <c r="B40" s="19">
        <v>4</v>
      </c>
      <c r="C40" s="19">
        <v>36</v>
      </c>
      <c r="E40" s="17" t="s">
        <v>11</v>
      </c>
      <c r="F40" s="19"/>
      <c r="G40" s="19"/>
      <c r="I40" s="17" t="s">
        <v>11</v>
      </c>
      <c r="J40" s="19"/>
      <c r="K40" s="19"/>
      <c r="M40" s="17" t="s">
        <v>11</v>
      </c>
      <c r="N40" s="19"/>
      <c r="O40" s="19"/>
      <c r="Q40" s="17" t="s">
        <v>11</v>
      </c>
      <c r="R40" s="19">
        <f t="shared" si="5"/>
        <v>4</v>
      </c>
      <c r="S40" s="19">
        <f t="shared" si="6"/>
        <v>36</v>
      </c>
      <c r="T40" s="25">
        <v>585.88</v>
      </c>
    </row>
    <row r="41" spans="1:20" x14ac:dyDescent="0.2">
      <c r="A41" s="17"/>
      <c r="B41" s="19"/>
      <c r="C41" s="19"/>
      <c r="E41" s="17"/>
      <c r="F41" s="19"/>
      <c r="G41" s="19"/>
      <c r="I41" s="17"/>
      <c r="J41" s="19"/>
      <c r="K41" s="19"/>
      <c r="M41" s="17"/>
      <c r="N41" s="19"/>
      <c r="O41" s="19"/>
      <c r="Q41" s="17"/>
      <c r="R41" s="19"/>
      <c r="S41" s="19"/>
      <c r="T41" s="25"/>
    </row>
    <row r="42" spans="1:20" x14ac:dyDescent="0.2">
      <c r="A42" s="17" t="s">
        <v>12</v>
      </c>
      <c r="B42" s="19">
        <f>SUM(B29:B41)</f>
        <v>32</v>
      </c>
      <c r="C42" s="19">
        <f>SUM(C29:C41)</f>
        <v>228</v>
      </c>
      <c r="E42" s="17"/>
      <c r="F42" s="19">
        <f t="shared" ref="F42" si="7">SUM(F29:F41)</f>
        <v>0</v>
      </c>
      <c r="G42" s="19">
        <f t="shared" ref="G42" si="8">SUM(G29:G41)</f>
        <v>0</v>
      </c>
      <c r="I42" s="17"/>
      <c r="J42" s="19">
        <f t="shared" ref="J42" si="9">SUM(J29:J41)</f>
        <v>0</v>
      </c>
      <c r="K42" s="19">
        <f t="shared" ref="K42" si="10">SUM(K29:K41)</f>
        <v>0</v>
      </c>
      <c r="M42" s="17"/>
      <c r="N42" s="19">
        <f t="shared" ref="N42" si="11">SUM(N29:N41)</f>
        <v>16</v>
      </c>
      <c r="O42" s="19">
        <f t="shared" ref="O42" si="12">SUM(O29:O41)</f>
        <v>610</v>
      </c>
      <c r="Q42" s="17"/>
      <c r="R42" s="19">
        <f t="shared" ref="R42" si="13">SUM(R29:R41)</f>
        <v>48</v>
      </c>
      <c r="S42" s="19">
        <f t="shared" ref="S42" si="14">SUM(S29:S41)</f>
        <v>838</v>
      </c>
      <c r="T42" s="25">
        <f>SUM(T29:T40)</f>
        <v>8729.9599999999991</v>
      </c>
    </row>
    <row r="43" spans="1:20" x14ac:dyDescent="0.2">
      <c r="A43" s="17"/>
      <c r="B43" s="19"/>
      <c r="C43" s="19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35">
        <f>B42+F42+J42+N42</f>
        <v>48</v>
      </c>
      <c r="S43" s="35">
        <f>C42+G42+K42+O42</f>
        <v>838</v>
      </c>
      <c r="T43" s="36"/>
    </row>
    <row r="44" spans="1:20" x14ac:dyDescent="0.2">
      <c r="A44" s="30"/>
      <c r="B44" s="31"/>
      <c r="C44" s="31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32"/>
    </row>
    <row r="45" spans="1:20" x14ac:dyDescent="0.2">
      <c r="A45" s="39" t="s">
        <v>39</v>
      </c>
      <c r="T45" s="34"/>
    </row>
    <row r="46" spans="1:20" x14ac:dyDescent="0.2">
      <c r="A46" s="40"/>
      <c r="B46" s="18" t="s">
        <v>21</v>
      </c>
      <c r="C46" s="18" t="s">
        <v>22</v>
      </c>
      <c r="E46" s="17"/>
      <c r="F46" s="18" t="s">
        <v>21</v>
      </c>
      <c r="G46" s="18" t="s">
        <v>22</v>
      </c>
      <c r="I46" s="17"/>
      <c r="J46" s="18" t="s">
        <v>21</v>
      </c>
      <c r="K46" s="18" t="s">
        <v>22</v>
      </c>
      <c r="M46" s="17"/>
      <c r="N46" s="18" t="s">
        <v>21</v>
      </c>
      <c r="O46" s="18" t="s">
        <v>22</v>
      </c>
      <c r="Q46" s="17"/>
      <c r="R46" s="18" t="s">
        <v>21</v>
      </c>
      <c r="S46" s="18" t="s">
        <v>22</v>
      </c>
      <c r="T46" s="18" t="s">
        <v>34</v>
      </c>
    </row>
    <row r="47" spans="1:20" x14ac:dyDescent="0.2">
      <c r="A47" s="40"/>
      <c r="B47" s="19">
        <f>B21+B42</f>
        <v>137</v>
      </c>
      <c r="C47" s="19">
        <f>C21+C42</f>
        <v>884</v>
      </c>
      <c r="M47" s="19"/>
      <c r="N47" s="19">
        <f t="shared" ref="N47:O47" si="15">N21+N42</f>
        <v>40</v>
      </c>
      <c r="O47" s="19">
        <f t="shared" si="15"/>
        <v>1958</v>
      </c>
      <c r="Q47" s="22"/>
      <c r="R47" s="19">
        <f t="shared" ref="R47:S47" si="16">R21+R42</f>
        <v>177</v>
      </c>
      <c r="S47" s="19">
        <f t="shared" si="16"/>
        <v>2842</v>
      </c>
      <c r="T47" s="25">
        <f>T42+T21</f>
        <v>32711.07</v>
      </c>
    </row>
    <row r="48" spans="1:20" x14ac:dyDescent="0.2">
      <c r="A48" s="41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36"/>
    </row>
  </sheetData>
  <pageMargins left="0.7" right="0.7" top="0.75" bottom="0.75" header="0.3" footer="0.3"/>
  <pageSetup scale="84" orientation="landscape" horizontalDpi="4294967295" verticalDpi="4294967295" r:id="rId1"/>
  <headerFooter>
    <oddHeader>&amp;R&amp;"Arial,Bold"Response to 28
City of Crittenden Requests
Witness - Debbra Dedden, CPA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</vt:i4>
      </vt:variant>
    </vt:vector>
  </HeadingPairs>
  <TitlesOfParts>
    <vt:vector size="10" baseType="lpstr">
      <vt:lpstr>Revenue w New Rates </vt:lpstr>
      <vt:lpstr>Test Yr 5 8" </vt:lpstr>
      <vt:lpstr>5 8" Totals by Rate Code</vt:lpstr>
      <vt:lpstr>Test Year Rev 1"</vt:lpstr>
      <vt:lpstr>1" Totals by Rate Code</vt:lpstr>
      <vt:lpstr>Test Year Revnues 1.5"</vt:lpstr>
      <vt:lpstr>1.5" Totals by Rate Code</vt:lpstr>
      <vt:lpstr>Test Yr Revenue 2"</vt:lpstr>
      <vt:lpstr>2" Totals by Rate Code</vt:lpstr>
      <vt:lpstr>'Test Yr 5 8"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Peggy Gamble</dc:creator>
  <cp:lastModifiedBy>Debbra Dedden</cp:lastModifiedBy>
  <cp:lastPrinted>2023-01-28T15:58:51Z</cp:lastPrinted>
  <dcterms:created xsi:type="dcterms:W3CDTF">2022-03-26T00:04:10Z</dcterms:created>
  <dcterms:modified xsi:type="dcterms:W3CDTF">2023-02-01T14:25:56Z</dcterms:modified>
</cp:coreProperties>
</file>