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STAFF 1st Set Rehearing/"/>
    </mc:Choice>
  </mc:AlternateContent>
  <xr:revisionPtr revIDLastSave="0" documentId="13_ncr:1_{F93BBCE0-4AC5-4F55-B1A2-049331A9E87A}" xr6:coauthVersionLast="47" xr6:coauthVersionMax="47" xr10:uidLastSave="{00000000-0000-0000-0000-000000000000}"/>
  <bookViews>
    <workbookView xWindow="-120" yWindow="-120" windowWidth="29040" windowHeight="15840" xr2:uid="{9DF946D9-464D-46CE-A602-FB0BF7ADF071}"/>
  </bookViews>
  <sheets>
    <sheet name="Tab 1 - SCH B-3.2 " sheetId="1" r:id="rId1"/>
    <sheet name="Tab 2 - SCH_J1 Per Order " sheetId="3" r:id="rId2"/>
    <sheet name="Tab 3 - SCH H" sheetId="4" r:id="rId3"/>
  </sheets>
  <externalReferences>
    <externalReference r:id="rId4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PERIOD'!$E$11:$E$239</definedName>
    <definedName name="AmountFP">'[1]FORECASTED PERIOD'!$E$11:$E$235</definedName>
    <definedName name="APPORT">[1]SCH_E1!$AH$276</definedName>
    <definedName name="Base_Period">[1]LOGO!$B$10</definedName>
    <definedName name="Base1">'[1]BASE PERIOD'!$F$11:$F$239</definedName>
    <definedName name="Base10">'[1]BASE PERIOD'!$O$11:$O$239</definedName>
    <definedName name="Base11">'[1]BASE PERIOD'!$P$11:$P$239</definedName>
    <definedName name="Base12">'[1]BASE PERIOD'!$Q$11:$Q$239</definedName>
    <definedName name="Base2">'[1]BASE PERIOD'!$G$11:$G$239</definedName>
    <definedName name="Base3">'[1]BASE PERIOD'!$H$11:$H$239</definedName>
    <definedName name="Base4">'[1]BASE PERIOD'!$I$11:$I$239</definedName>
    <definedName name="Base5">'[1]BASE PERIOD'!$J$11:$J$239</definedName>
    <definedName name="Base6">'[1]BASE PERIOD'!$K$11:$K$239</definedName>
    <definedName name="Base7">'[1]BASE PERIOD'!$L$11:$L$239</definedName>
    <definedName name="Base8">'[1]BASE PERIOD'!$M$11:$M$239</definedName>
    <definedName name="Base9">'[1]BASE PERIOD'!$N$11:$N$239</definedName>
    <definedName name="BasePeriod">'[1]BASE PERIOD'!$A$11:$Q$239</definedName>
    <definedName name="BPActual">'[1]BP Data'!$A$1:$N$219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C_1_PROEXP">[1]SCH_C1!$G$23</definedName>
    <definedName name="CASE">[1]LOGO!$B$6</definedName>
    <definedName name="CODE">'[1]BASE PERIOD'!$C$11:$C$239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'Tab 3 - SCH H'!$I$35</definedName>
    <definedName name="FERCBP">'[1]BASE PERIOD'!$D$11:$D$239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CF">'Tab 3 - SCH H'!#REF!</definedName>
    <definedName name="GRCFdiff">'[1]Rate Case Drivers'!$J$20</definedName>
    <definedName name="GRCFold">'[1]Rate Case Drivers'!$C$20</definedName>
    <definedName name="GROSS_REVENUE_CONVERSION_FACTOR">'Tab 3 - SCH H'!#REF!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'Tab 1 - SCH B-3.2 '!$A$1:$P$49</definedName>
    <definedName name="_xlnm.Print_Area" localSheetId="1">'Tab 2 - SCH_J1 Per Order '!$A$1:$O$36</definedName>
    <definedName name="_xlnm.Print_Area" localSheetId="2">'Tab 3 - SCH H'!$A$1:$K$42</definedName>
    <definedName name="RofR">'[1]SCH_J1 - Forecast'!$M$21</definedName>
    <definedName name="RofRdiff">'[1]Rate Case Drivers'!$I$16</definedName>
    <definedName name="RofRold">'[1]Rate Case Drivers'!$C$16</definedName>
    <definedName name="SCH_B3.2P1">'Tab 1 - SCH B-3.2 '!#REF!</definedName>
    <definedName name="SCH_B3.2P2">'Tab 1 - SCH B-3.2 '!#REF!</definedName>
    <definedName name="SCH_B3.2P3">'Tab 1 - SCH B-3.2 '!#REF!</definedName>
    <definedName name="SCH_B3.2P4">'Tab 1 - SCH B-3.2 '!#REF!</definedName>
    <definedName name="SCH_B3.2P5">'Tab 1 - SCH B-3.2 '!#REF!</definedName>
    <definedName name="SCH_B3.2P6">'Tab 1 - SCH B-3.2 '!#REF!</definedName>
    <definedName name="SCH_D1_ERROR_CHECK">[1]SCH_C2!$J$38</definedName>
    <definedName name="SCH_H">'Tab 3 - SCH H'!#REF!</definedName>
    <definedName name="SCH_H_FP">'Tab 3 - SCH H'!$A$1:$I$35</definedName>
    <definedName name="SCH_J1_Forecast">'Tab 2 - SCH_J1 Per Order '!$A$1:$M$36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CD">'Tab 2 - SCH_J1 Per Order '!$M$15</definedName>
    <definedName name="WPH_a">'Tab 3 - SCH H'!#REF!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" l="1"/>
  <c r="L40" i="1"/>
  <c r="L37" i="1"/>
  <c r="L19" i="1"/>
  <c r="L23" i="1"/>
  <c r="L22" i="1"/>
  <c r="L21" i="1"/>
  <c r="L18" i="1"/>
  <c r="L17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18" i="1"/>
  <c r="A19" i="1" s="1"/>
  <c r="A20" i="1" s="1"/>
  <c r="A21" i="1" s="1"/>
  <c r="A22" i="1" s="1"/>
  <c r="A23" i="1" s="1"/>
  <c r="A24" i="1" s="1"/>
  <c r="A46" i="1" l="1"/>
  <c r="A47" i="1" s="1"/>
  <c r="A48" i="1" s="1"/>
  <c r="K24" i="4"/>
  <c r="K21" i="4"/>
  <c r="K26" i="4" s="1"/>
  <c r="K28" i="4" s="1"/>
  <c r="K30" i="4" s="1"/>
  <c r="K32" i="4" s="1"/>
  <c r="A4" i="4"/>
  <c r="A2" i="4"/>
  <c r="A1" i="4"/>
  <c r="K27" i="3"/>
  <c r="G18" i="3"/>
  <c r="I16" i="3" s="1"/>
  <c r="K29" i="3"/>
  <c r="K28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4" i="3"/>
  <c r="A2" i="3"/>
  <c r="A1" i="3"/>
  <c r="I19" i="4" l="1"/>
  <c r="I21" i="4" s="1"/>
  <c r="I35" i="4" s="1"/>
  <c r="J41" i="1"/>
  <c r="L41" i="1" s="1"/>
  <c r="L43" i="1" s="1"/>
  <c r="I15" i="3"/>
  <c r="I14" i="3" s="1"/>
  <c r="G29" i="3"/>
  <c r="M16" i="3"/>
  <c r="I29" i="3"/>
  <c r="M29" i="3" s="1"/>
  <c r="I24" i="4" l="1"/>
  <c r="I26" i="4" s="1"/>
  <c r="I28" i="4" s="1"/>
  <c r="I30" i="4" s="1"/>
  <c r="B24" i="4"/>
  <c r="M15" i="3"/>
  <c r="O15" i="3" s="1"/>
  <c r="G28" i="3"/>
  <c r="I28" i="3"/>
  <c r="M28" i="3" s="1"/>
  <c r="O16" i="3"/>
  <c r="H37" i="1"/>
  <c r="G27" i="3"/>
  <c r="M14" i="3"/>
  <c r="I18" i="3"/>
  <c r="I27" i="3"/>
  <c r="I31" i="3" s="1"/>
  <c r="M27" i="3"/>
  <c r="M31" i="3" s="1"/>
  <c r="B28" i="4" l="1"/>
  <c r="G31" i="3"/>
  <c r="I32" i="4"/>
  <c r="O14" i="3" s="1"/>
  <c r="O18" i="3" s="1"/>
  <c r="L44" i="1" s="1"/>
  <c r="L46" i="1" s="1"/>
  <c r="L48" i="1" s="1"/>
  <c r="B32" i="4"/>
  <c r="M18" i="3"/>
  <c r="F40" i="1" l="1"/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Ted Czupik</author>
  </authors>
  <commentList>
    <comment ref="G22" authorId="0" shapeId="0" xr:uid="{7C362BA3-609D-42E4-A56C-049E4702DF3C}">
      <text>
        <r>
          <rPr>
            <sz val="10"/>
            <color indexed="81"/>
            <rFont val="Tahoma"/>
            <family val="2"/>
          </rPr>
          <t xml:space="preserve">Thirteen month average balance ended the test period
</t>
        </r>
      </text>
    </comment>
  </commentList>
</comments>
</file>

<file path=xl/sharedStrings.xml><?xml version="1.0" encoding="utf-8"?>
<sst xmlns="http://schemas.openxmlformats.org/spreadsheetml/2006/main" count="149" uniqueCount="123">
  <si>
    <t>DEPRECIATION AND AMORTIZATION ACCRUAL RATES AND</t>
  </si>
  <si>
    <t>JURISDICTIONAL ACCUMULATED BALANCES BY ACCOUNTS,</t>
  </si>
  <si>
    <t>FUNCTIONAL CLASS OR MAJOR PROPERTY GROUP</t>
  </si>
  <si>
    <t>Adjusted Jurisdiction</t>
  </si>
  <si>
    <t>FERC</t>
  </si>
  <si>
    <t>Company</t>
  </si>
  <si>
    <t>Account Title</t>
  </si>
  <si>
    <t>13-Month Average</t>
  </si>
  <si>
    <t>Proposed</t>
  </si>
  <si>
    <t>Calculated</t>
  </si>
  <si>
    <t>Average</t>
  </si>
  <si>
    <t>Line</t>
  </si>
  <si>
    <t>Acct.</t>
  </si>
  <si>
    <t>or Major</t>
  </si>
  <si>
    <t>Plant</t>
  </si>
  <si>
    <t>Accumulated</t>
  </si>
  <si>
    <t>Accrual</t>
  </si>
  <si>
    <t>Depr/Amort</t>
  </si>
  <si>
    <t>% Net</t>
  </si>
  <si>
    <t>Service</t>
  </si>
  <si>
    <t>Curve</t>
  </si>
  <si>
    <t>No.</t>
  </si>
  <si>
    <t>Property Grouping</t>
  </si>
  <si>
    <t>Balance</t>
  </si>
  <si>
    <t>Rate</t>
  </si>
  <si>
    <t>Expense</t>
  </si>
  <si>
    <t>Salvage</t>
  </si>
  <si>
    <t>Life</t>
  </si>
  <si>
    <t>Form</t>
  </si>
  <si>
    <t>(A)</t>
  </si>
  <si>
    <t>(B-1)</t>
  </si>
  <si>
    <t>(B-2)</t>
  </si>
  <si>
    <t>(C)</t>
  </si>
  <si>
    <t>(D)</t>
  </si>
  <si>
    <t>(E)</t>
  </si>
  <si>
    <t>(F)</t>
  </si>
  <si>
    <t>(G=DxF)</t>
  </si>
  <si>
    <t>(H)</t>
  </si>
  <si>
    <t>(I)</t>
  </si>
  <si>
    <t>(J)</t>
  </si>
  <si>
    <t>S2.5</t>
  </si>
  <si>
    <t>Solar Generators</t>
  </si>
  <si>
    <t>Solar Accessory Electric Equipment</t>
  </si>
  <si>
    <t xml:space="preserve"> </t>
  </si>
  <si>
    <t>(2)</t>
  </si>
  <si>
    <t>Depr Exp</t>
  </si>
  <si>
    <t>TY</t>
  </si>
  <si>
    <t>Tax Rate</t>
  </si>
  <si>
    <t>Change to A/D</t>
  </si>
  <si>
    <t>Change to ADIT</t>
  </si>
  <si>
    <t>Change in Rate Base</t>
  </si>
  <si>
    <t>Return on Changes to Rate Base</t>
  </si>
  <si>
    <t>Increase in Revenue Requirement</t>
  </si>
  <si>
    <t>Common Equity</t>
  </si>
  <si>
    <t>COST OF CAPITAL SUMMARY</t>
  </si>
  <si>
    <t>LINE</t>
  </si>
  <si>
    <t>13 MONTH AVG.</t>
  </si>
  <si>
    <t>% OF</t>
  </si>
  <si>
    <t>WEIGHTED</t>
  </si>
  <si>
    <t xml:space="preserve"> NO.</t>
  </si>
  <si>
    <t>CLASS OF CAPITAL</t>
  </si>
  <si>
    <t>REFERENCE</t>
  </si>
  <si>
    <t>BALANCE</t>
  </si>
  <si>
    <t>TOTAL</t>
  </si>
  <si>
    <t>COST %</t>
  </si>
  <si>
    <t>Long-Term Debt</t>
  </si>
  <si>
    <t>J-3</t>
  </si>
  <si>
    <t>Short-Term Debt</t>
  </si>
  <si>
    <t>J-2</t>
  </si>
  <si>
    <t xml:space="preserve">   Total Capital</t>
  </si>
  <si>
    <t>Accumulated Deferred Investment Tax Credit</t>
  </si>
  <si>
    <t xml:space="preserve">   Account 255</t>
  </si>
  <si>
    <t>WPB-6</t>
  </si>
  <si>
    <t>Investment Tax Credit Included in Total Capital</t>
  </si>
  <si>
    <t xml:space="preserve">   Total Capital Including Investment Tax Credit</t>
  </si>
  <si>
    <t>COMPUTATION OF GROSS REVENUE CONVERSION FACTOR</t>
  </si>
  <si>
    <t>PERCENT OF</t>
  </si>
  <si>
    <t>INCREMENTAL</t>
  </si>
  <si>
    <t xml:space="preserve">            DESCRIPTION</t>
  </si>
  <si>
    <t>GROSS</t>
  </si>
  <si>
    <t>REVENUE</t>
  </si>
  <si>
    <t xml:space="preserve">   Operating Revenues</t>
  </si>
  <si>
    <t xml:space="preserve">   Less: Uncollectible Accounts Expenses</t>
  </si>
  <si>
    <t xml:space="preserve">              KPSC Maintenance Tax</t>
  </si>
  <si>
    <t>Subtotal</t>
  </si>
  <si>
    <t xml:space="preserve">   Income before Income Tax (Line 1 - Line 6)</t>
  </si>
  <si>
    <t xml:space="preserve">   Income Taxes - State of Kentucky</t>
  </si>
  <si>
    <t xml:space="preserve">   Income before Federal Income Tax (Line 8 - Line 11)</t>
  </si>
  <si>
    <t xml:space="preserve">   Operating Income Percentage (Line 13 - Line 15) </t>
  </si>
  <si>
    <t>Expense Factor Excluding Tax</t>
  </si>
  <si>
    <t>INCOME</t>
  </si>
  <si>
    <t>TAX</t>
  </si>
  <si>
    <t>ONLY</t>
  </si>
  <si>
    <t>PRETAX</t>
  </si>
  <si>
    <t>(1)</t>
  </si>
  <si>
    <t>SCHEDULE J-1 per Order</t>
  </si>
  <si>
    <t>PAGE  1  OF  1</t>
  </si>
  <si>
    <t>PAGE  1  OF 1</t>
  </si>
  <si>
    <t xml:space="preserve">SCHEDULE H 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</si>
  <si>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Per Excel Schedule filed by the Office of the Attorney General on March 10, 2023 </t>
    </r>
  </si>
  <si>
    <t>Increase in Depreciation Expense due to including Terminal Net Salvage for Solar Assets</t>
  </si>
  <si>
    <t>Adjustment to Depreciation Expense with Expense Gross Up for KPSC Maint Fees</t>
  </si>
  <si>
    <t>DUKE ENERGY KENTUCKY, INC.</t>
  </si>
  <si>
    <t>CASE NO. 2022-00372</t>
  </si>
  <si>
    <t>THIRTEEN MONTH AVERAGE AS OF JUNE 30, 2024</t>
  </si>
  <si>
    <t>SCHEDULE B-3.2</t>
  </si>
  <si>
    <t xml:space="preserve">       (1.00168 from Tab 3 - Sch H)</t>
  </si>
  <si>
    <t>Grossed Up Cost of Capital (Tab 2 - Sch J1 Per Order)</t>
  </si>
  <si>
    <t>Including Terminal Net Salvage</t>
  </si>
  <si>
    <t>Excluding Terminal Net Salvage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</si>
  <si>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Per October 12, 2023 Commission Order page 33 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</si>
  <si>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Per October 12, 2023 Commission Order page 41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</si>
  <si>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 Per Application filed by Duke Energy Kentucky on December 1, 2022 </t>
    </r>
  </si>
  <si>
    <t>Investment</t>
  </si>
  <si>
    <t xml:space="preserve">      Volume 15, John Spanos Direct Testimony,  Attachment JS-1, page 52 of 382 </t>
  </si>
  <si>
    <t xml:space="preserve">      Duke_Energy_KY_Rev_Req-AG Recommendations.xlsx, tab Adj #2 Study-No TNS</t>
  </si>
  <si>
    <t>(Column G Line 3 - Column G Line 7)</t>
  </si>
  <si>
    <t>(Column G Line 16 * Column E Line 18)</t>
  </si>
  <si>
    <t>(Column D Line 21 * Column E Line 21)</t>
  </si>
  <si>
    <t>(Column D Line 22 * Column F Line 22)</t>
  </si>
  <si>
    <t>(Column G Line 21 + Column G Line 22)</t>
  </si>
  <si>
    <t>(Column G Line 24 * Column G Line 25)</t>
  </si>
  <si>
    <t>(Column G Line 18 + Column G Line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</si>
</sst>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0.0000%"/>
    <numFmt numFmtId="167" formatCode="0.000%"/>
    <numFmt numFmtId="168" formatCode="0.000000"/>
    <numFmt numFmtId="169" formatCode="0.00_)"/>
    <numFmt numFmtId="170" formatCode="0.0_)"/>
    <numFmt numFmtId="171" formatCode="0.0000000_)"/>
    <numFmt numFmtId="172" formatCode="0.000000%"/>
  </numFmts>
  <fonts count="15" x14ac:knownFonts="1">
    <font>
      <sz val="10"/>
      <name val="Arial"/>
    </font>
    <font>
      <sz val="12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u val="double"/>
      <sz val="10"/>
      <name val="Arial"/>
      <family val="2"/>
    </font>
    <font>
      <u val="double"/>
      <sz val="10"/>
      <color indexed="12"/>
      <name val="Arial"/>
      <family val="2"/>
    </font>
    <font>
      <sz val="10"/>
      <color indexed="81"/>
      <name val="Tahoma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Continuous"/>
    </xf>
    <xf numFmtId="0" fontId="2" fillId="0" borderId="0" xfId="1" applyFont="1" applyAlignment="1">
      <alignment horizontal="left"/>
    </xf>
    <xf numFmtId="37" fontId="2" fillId="0" borderId="0" xfId="1" applyNumberFormat="1" applyFont="1" applyAlignment="1">
      <alignment horizontal="left"/>
    </xf>
    <xf numFmtId="0" fontId="2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2" xfId="1" quotePrefix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1" xfId="1" quotePrefix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37" fontId="2" fillId="0" borderId="0" xfId="1" applyNumberFormat="1" applyFont="1" applyAlignment="1">
      <alignment horizontal="right"/>
    </xf>
    <xf numFmtId="37" fontId="2" fillId="0" borderId="0" xfId="1" applyNumberFormat="1" applyFont="1"/>
    <xf numFmtId="10" fontId="5" fillId="0" borderId="0" xfId="0" applyNumberFormat="1" applyFont="1" applyAlignment="1">
      <alignment horizontal="center"/>
    </xf>
    <xf numFmtId="0" fontId="2" fillId="0" borderId="0" xfId="0" applyFont="1"/>
    <xf numFmtId="10" fontId="5" fillId="0" borderId="0" xfId="4" applyNumberFormat="1" applyFont="1"/>
    <xf numFmtId="0" fontId="5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"/>
    <xf numFmtId="37" fontId="2" fillId="0" borderId="3" xfId="5" applyNumberFormat="1" applyBorder="1"/>
    <xf numFmtId="0" fontId="0" fillId="0" borderId="0" xfId="5" applyFont="1"/>
    <xf numFmtId="37" fontId="2" fillId="0" borderId="0" xfId="5" applyNumberFormat="1"/>
    <xf numFmtId="164" fontId="2" fillId="0" borderId="0" xfId="5" applyNumberFormat="1"/>
    <xf numFmtId="0" fontId="2" fillId="0" borderId="1" xfId="5" applyBorder="1" applyAlignment="1">
      <alignment horizontal="center"/>
    </xf>
    <xf numFmtId="0" fontId="2" fillId="0" borderId="0" xfId="5" applyAlignment="1">
      <alignment horizontal="center"/>
    </xf>
    <xf numFmtId="9" fontId="2" fillId="0" borderId="0" xfId="5" applyNumberFormat="1"/>
    <xf numFmtId="165" fontId="2" fillId="0" borderId="0" xfId="6" applyNumberFormat="1" applyFill="1"/>
    <xf numFmtId="166" fontId="2" fillId="0" borderId="0" xfId="7" applyNumberFormat="1" applyFill="1"/>
    <xf numFmtId="165" fontId="2" fillId="0" borderId="1" xfId="6" applyNumberFormat="1" applyFill="1" applyBorder="1"/>
    <xf numFmtId="165" fontId="2" fillId="0" borderId="0" xfId="5" applyNumberFormat="1"/>
    <xf numFmtId="165" fontId="2" fillId="0" borderId="3" xfId="6" applyNumberFormat="1" applyFill="1" applyBorder="1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8" applyFont="1"/>
    <xf numFmtId="0" fontId="2" fillId="0" borderId="0" xfId="2" applyFont="1" applyAlignment="1">
      <alignment horizontal="left"/>
    </xf>
    <xf numFmtId="0" fontId="2" fillId="0" borderId="1" xfId="2" applyFont="1" applyBorder="1" applyAlignment="1">
      <alignment horizontal="fill"/>
    </xf>
    <xf numFmtId="0" fontId="2" fillId="0" borderId="0" xfId="2" applyFont="1" applyAlignment="1">
      <alignment horizontal="fill"/>
    </xf>
    <xf numFmtId="0" fontId="2" fillId="0" borderId="0" xfId="9" applyFont="1"/>
    <xf numFmtId="0" fontId="8" fillId="0" borderId="0" xfId="0" applyFont="1" applyAlignment="1">
      <alignment horizontal="center"/>
    </xf>
    <xf numFmtId="0" fontId="2" fillId="0" borderId="2" xfId="2" applyFont="1" applyBorder="1"/>
    <xf numFmtId="37" fontId="6" fillId="0" borderId="0" xfId="2" applyNumberFormat="1" applyFont="1" applyProtection="1">
      <protection locked="0"/>
    </xf>
    <xf numFmtId="167" fontId="2" fillId="0" borderId="0" xfId="2" applyNumberFormat="1" applyFont="1"/>
    <xf numFmtId="10" fontId="2" fillId="0" borderId="0" xfId="2" applyNumberFormat="1" applyFont="1"/>
    <xf numFmtId="167" fontId="6" fillId="0" borderId="0" xfId="2" applyNumberFormat="1" applyFont="1" applyProtection="1">
      <protection locked="0"/>
    </xf>
    <xf numFmtId="168" fontId="5" fillId="0" borderId="0" xfId="0" applyNumberFormat="1" applyFont="1"/>
    <xf numFmtId="167" fontId="2" fillId="0" borderId="0" xfId="2" applyNumberFormat="1" applyFont="1" applyProtection="1">
      <protection locked="0"/>
    </xf>
    <xf numFmtId="37" fontId="2" fillId="0" borderId="0" xfId="2" applyNumberFormat="1" applyFont="1" applyAlignment="1">
      <alignment horizontal="center"/>
    </xf>
    <xf numFmtId="37" fontId="2" fillId="0" borderId="0" xfId="2" applyNumberFormat="1" applyFont="1"/>
    <xf numFmtId="167" fontId="8" fillId="0" borderId="0" xfId="2" applyNumberFormat="1" applyFont="1"/>
    <xf numFmtId="169" fontId="6" fillId="0" borderId="0" xfId="2" applyNumberFormat="1" applyFont="1" applyProtection="1">
      <protection locked="0"/>
    </xf>
    <xf numFmtId="41" fontId="2" fillId="0" borderId="0" xfId="2" applyNumberFormat="1" applyFont="1"/>
    <xf numFmtId="42" fontId="9" fillId="0" borderId="0" xfId="2" applyNumberFormat="1" applyFont="1"/>
    <xf numFmtId="167" fontId="9" fillId="0" borderId="0" xfId="2" applyNumberFormat="1" applyFont="1"/>
    <xf numFmtId="41" fontId="2" fillId="0" borderId="0" xfId="2" applyNumberFormat="1" applyFont="1" applyAlignment="1">
      <alignment horizontal="right"/>
    </xf>
    <xf numFmtId="37" fontId="2" fillId="0" borderId="0" xfId="2" applyNumberFormat="1" applyFont="1" applyAlignment="1">
      <alignment horizontal="right"/>
    </xf>
    <xf numFmtId="167" fontId="2" fillId="0" borderId="0" xfId="2" applyNumberFormat="1" applyFont="1" applyAlignment="1">
      <alignment horizontal="right"/>
    </xf>
    <xf numFmtId="169" fontId="2" fillId="0" borderId="0" xfId="2" applyNumberFormat="1" applyFont="1" applyAlignment="1">
      <alignment horizontal="right"/>
    </xf>
    <xf numFmtId="169" fontId="2" fillId="0" borderId="0" xfId="2" applyNumberFormat="1" applyFont="1"/>
    <xf numFmtId="170" fontId="2" fillId="0" borderId="0" xfId="2" applyNumberFormat="1" applyFont="1"/>
    <xf numFmtId="42" fontId="9" fillId="0" borderId="0" xfId="2" applyNumberFormat="1" applyFont="1" applyAlignment="1">
      <alignment horizontal="right"/>
    </xf>
    <xf numFmtId="0" fontId="8" fillId="0" borderId="0" xfId="2" applyFont="1"/>
    <xf numFmtId="41" fontId="10" fillId="0" borderId="0" xfId="2" applyNumberFormat="1" applyFont="1" applyProtection="1">
      <protection locked="0"/>
    </xf>
    <xf numFmtId="42" fontId="2" fillId="0" borderId="0" xfId="2" applyNumberFormat="1" applyFont="1" applyAlignment="1">
      <alignment horizontal="right"/>
    </xf>
    <xf numFmtId="41" fontId="8" fillId="0" borderId="0" xfId="2" applyNumberFormat="1" applyFont="1" applyAlignment="1">
      <alignment horizontal="right"/>
    </xf>
    <xf numFmtId="41" fontId="6" fillId="0" borderId="0" xfId="2" applyNumberFormat="1" applyFont="1" applyProtection="1">
      <protection locked="0"/>
    </xf>
    <xf numFmtId="0" fontId="2" fillId="0" borderId="0" xfId="2" applyFont="1" applyBorder="1" applyAlignment="1">
      <alignment horizontal="fill"/>
    </xf>
    <xf numFmtId="0" fontId="2" fillId="0" borderId="0" xfId="2" applyFont="1" applyBorder="1"/>
    <xf numFmtId="0" fontId="2" fillId="0" borderId="0" xfId="10" applyFont="1" applyAlignment="1">
      <alignment horizontal="centerContinuous"/>
    </xf>
    <xf numFmtId="0" fontId="2" fillId="0" borderId="0" xfId="10" applyFont="1"/>
    <xf numFmtId="0" fontId="2" fillId="0" borderId="0" xfId="10" applyFont="1" applyAlignment="1">
      <alignment horizontal="left"/>
    </xf>
    <xf numFmtId="0" fontId="2" fillId="0" borderId="1" xfId="10" applyFont="1" applyBorder="1" applyAlignment="1">
      <alignment horizontal="fill"/>
    </xf>
    <xf numFmtId="0" fontId="2" fillId="0" borderId="0" xfId="10" applyFont="1" applyAlignment="1">
      <alignment horizontal="center"/>
    </xf>
    <xf numFmtId="0" fontId="2" fillId="0" borderId="1" xfId="10" applyFont="1" applyBorder="1" applyAlignment="1">
      <alignment horizontal="center"/>
    </xf>
    <xf numFmtId="37" fontId="2" fillId="0" borderId="0" xfId="10" applyNumberFormat="1" applyFont="1"/>
    <xf numFmtId="166" fontId="2" fillId="0" borderId="0" xfId="10" applyNumberFormat="1" applyFont="1"/>
    <xf numFmtId="167" fontId="2" fillId="0" borderId="0" xfId="10" applyNumberFormat="1" applyFont="1"/>
    <xf numFmtId="166" fontId="8" fillId="0" borderId="0" xfId="10" applyNumberFormat="1" applyFont="1"/>
    <xf numFmtId="37" fontId="2" fillId="0" borderId="0" xfId="10" applyNumberFormat="1" applyFont="1" applyAlignment="1">
      <alignment horizontal="right"/>
    </xf>
    <xf numFmtId="167" fontId="2" fillId="0" borderId="0" xfId="10" applyNumberFormat="1" applyFont="1" applyAlignment="1">
      <alignment horizontal="left"/>
    </xf>
    <xf numFmtId="0" fontId="2" fillId="0" borderId="0" xfId="10" applyFont="1" applyAlignment="1">
      <alignment horizontal="right"/>
    </xf>
    <xf numFmtId="171" fontId="9" fillId="0" borderId="0" xfId="10" applyNumberFormat="1" applyFont="1"/>
    <xf numFmtId="167" fontId="8" fillId="0" borderId="0" xfId="10" applyNumberFormat="1" applyFont="1"/>
    <xf numFmtId="172" fontId="9" fillId="0" borderId="0" xfId="10" applyNumberFormat="1" applyFont="1"/>
    <xf numFmtId="0" fontId="12" fillId="0" borderId="0" xfId="10" applyFont="1"/>
    <xf numFmtId="38" fontId="2" fillId="0" borderId="0" xfId="9" applyNumberFormat="1" applyFont="1"/>
    <xf numFmtId="0" fontId="2" fillId="0" borderId="4" xfId="10" applyFont="1" applyBorder="1"/>
    <xf numFmtId="0" fontId="2" fillId="0" borderId="5" xfId="10" applyFont="1" applyBorder="1"/>
    <xf numFmtId="171" fontId="2" fillId="0" borderId="6" xfId="10" applyNumberFormat="1" applyFont="1" applyBorder="1"/>
    <xf numFmtId="172" fontId="2" fillId="0" borderId="0" xfId="10" applyNumberFormat="1" applyFont="1"/>
    <xf numFmtId="0" fontId="2" fillId="0" borderId="0" xfId="5" applyAlignment="1">
      <alignment horizontal="left"/>
    </xf>
    <xf numFmtId="10" fontId="2" fillId="0" borderId="0" xfId="7" applyNumberFormat="1" applyFont="1" applyFill="1" applyBorder="1" applyAlignment="1">
      <alignment horizontal="right"/>
    </xf>
    <xf numFmtId="37" fontId="2" fillId="0" borderId="0" xfId="5" applyNumberFormat="1" applyAlignment="1">
      <alignment horizontal="right"/>
    </xf>
    <xf numFmtId="0" fontId="2" fillId="0" borderId="2" xfId="10" applyFont="1" applyFill="1" applyBorder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0" xfId="10" applyFont="1" applyFill="1"/>
    <xf numFmtId="166" fontId="2" fillId="0" borderId="0" xfId="10" applyNumberFormat="1" applyFont="1" applyFill="1"/>
    <xf numFmtId="167" fontId="2" fillId="0" borderId="0" xfId="10" applyNumberFormat="1" applyFont="1" applyFill="1"/>
    <xf numFmtId="166" fontId="8" fillId="0" borderId="0" xfId="10" applyNumberFormat="1" applyFont="1" applyFill="1"/>
    <xf numFmtId="37" fontId="2" fillId="0" borderId="0" xfId="10" applyNumberFormat="1" applyFont="1" applyFill="1" applyAlignment="1">
      <alignment horizontal="right"/>
    </xf>
    <xf numFmtId="37" fontId="2" fillId="0" borderId="0" xfId="10" applyNumberFormat="1" applyFont="1" applyFill="1"/>
    <xf numFmtId="172" fontId="9" fillId="0" borderId="0" xfId="10" applyNumberFormat="1" applyFont="1" applyFill="1"/>
    <xf numFmtId="0" fontId="2" fillId="0" borderId="0" xfId="10" applyFont="1" applyFill="1" applyAlignment="1">
      <alignment horizontal="right"/>
    </xf>
    <xf numFmtId="171" fontId="9" fillId="0" borderId="0" xfId="10" applyNumberFormat="1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7" fontId="2" fillId="0" borderId="0" xfId="2" applyNumberFormat="1" applyFont="1" applyFill="1"/>
    <xf numFmtId="167" fontId="8" fillId="0" borderId="0" xfId="2" applyNumberFormat="1" applyFont="1" applyFill="1"/>
    <xf numFmtId="167" fontId="9" fillId="0" borderId="0" xfId="2" applyNumberFormat="1" applyFont="1" applyFill="1"/>
    <xf numFmtId="0" fontId="2" fillId="0" borderId="0" xfId="0" applyFont="1" applyFill="1"/>
    <xf numFmtId="0" fontId="2" fillId="0" borderId="2" xfId="5" applyFont="1" applyFill="1" applyBorder="1" applyAlignment="1">
      <alignment horizontal="center"/>
    </xf>
    <xf numFmtId="0" fontId="2" fillId="0" borderId="0" xfId="5" quotePrefix="1" applyFont="1" applyFill="1" applyBorder="1" applyAlignment="1">
      <alignment horizontal="center"/>
    </xf>
    <xf numFmtId="0" fontId="2" fillId="0" borderId="1" xfId="0" applyFont="1" applyFill="1" applyBorder="1"/>
    <xf numFmtId="10" fontId="5" fillId="0" borderId="0" xfId="5" applyNumberFormat="1" applyFont="1" applyAlignment="1">
      <alignment horizontal="center"/>
    </xf>
    <xf numFmtId="0" fontId="2" fillId="0" borderId="0" xfId="0" quotePrefix="1" applyFont="1"/>
    <xf numFmtId="0" fontId="4" fillId="0" borderId="0" xfId="1" quotePrefix="1" applyFont="1"/>
    <xf numFmtId="37" fontId="0" fillId="0" borderId="7" xfId="0" applyNumberFormat="1" applyBorder="1"/>
    <xf numFmtId="167" fontId="2" fillId="0" borderId="1" xfId="7" applyNumberFormat="1" applyFill="1" applyBorder="1"/>
    <xf numFmtId="0" fontId="2" fillId="0" borderId="1" xfId="5" applyBorder="1"/>
    <xf numFmtId="0" fontId="0" fillId="0" borderId="1" xfId="0" applyBorder="1"/>
    <xf numFmtId="0" fontId="0" fillId="0" borderId="0" xfId="0" applyAlignment="1">
      <alignment horizontal="center"/>
    </xf>
    <xf numFmtId="42" fontId="5" fillId="0" borderId="0" xfId="2" applyNumberFormat="1" applyFont="1" applyFill="1" applyProtection="1">
      <protection locked="0"/>
    </xf>
    <xf numFmtId="41" fontId="2" fillId="0" borderId="0" xfId="2" applyNumberFormat="1" applyFont="1" applyFill="1" applyProtection="1">
      <protection locked="0"/>
    </xf>
    <xf numFmtId="41" fontId="8" fillId="0" borderId="0" xfId="2" applyNumberFormat="1" applyFont="1" applyFill="1" applyProtection="1">
      <protection locked="0"/>
    </xf>
    <xf numFmtId="167" fontId="2" fillId="0" borderId="0" xfId="2" applyNumberFormat="1" applyFont="1" applyFill="1" applyProtection="1">
      <protection locked="0"/>
    </xf>
    <xf numFmtId="0" fontId="13" fillId="0" borderId="0" xfId="0" applyFont="1"/>
    <xf numFmtId="0" fontId="2" fillId="0" borderId="0" xfId="2" quotePrefix="1" applyFont="1" applyFill="1"/>
    <xf numFmtId="37" fontId="4" fillId="0" borderId="0" xfId="2" quotePrefix="1" applyNumberFormat="1" applyFont="1" applyProtection="1">
      <protection locked="0"/>
    </xf>
    <xf numFmtId="167" fontId="4" fillId="0" borderId="0" xfId="2" quotePrefix="1" applyNumberFormat="1" applyFont="1" applyProtection="1">
      <protection locked="0"/>
    </xf>
    <xf numFmtId="0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</cellXfs>
  <cellStyles count="12">
    <cellStyle name="Comma 2" xfId="6" xr:uid="{5D256E14-F031-4537-A76A-9033030B5DF1}"/>
    <cellStyle name="Normal" xfId="0" builtinId="0"/>
    <cellStyle name="Normal 10 18" xfId="5" xr:uid="{1F4656ED-1908-4B2B-ADD3-298B401CD92B}"/>
    <cellStyle name="Normal 104" xfId="11" xr:uid="{819FB2DC-29C2-4D83-B792-B2B1F5DD48D8}"/>
    <cellStyle name="Normal 2" xfId="4" xr:uid="{BA166CF8-D948-4E3F-BC17-252679FCCE1C}"/>
    <cellStyle name="Normal_KPSC GAS SFRs-Forward Looking" xfId="9" xr:uid="{3AF817DB-E702-4503-B449-2F99012B0798}"/>
    <cellStyle name="Normal_SCH_H" xfId="10" xr:uid="{2A39B552-3D8D-474C-AB56-C3481EA5F1C2}"/>
    <cellStyle name="Normal_SCH_I5" xfId="8" xr:uid="{5898B98A-98F8-4E84-A910-EC7787374501}"/>
    <cellStyle name="Normal_SCH_J1" xfId="2" xr:uid="{3BD8896B-4D6E-45AE-8576-E919598FA26E}"/>
    <cellStyle name="Normal_Schedule B-2" xfId="3" xr:uid="{DBFEAA4E-A7B1-4E3C-9412-9E107FD43C36}"/>
    <cellStyle name="Normal_Schedule B-3" xfId="1" xr:uid="{65002F05-AB8A-4617-9D88-29C8CA463BAD}"/>
    <cellStyle name="Percent 2" xfId="7" xr:uid="{81ED6B9A-8D44-4B2E-8635-64B827179386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Rehearing/KPSC%20Electric%20SFRs-2022%20-%20Order%20Solar%20Net%20Salv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 refreshError="1"/>
      <sheetData sheetId="3" refreshError="1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0">
          <cell r="F10">
            <v>45138</v>
          </cell>
        </row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 refreshError="1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7.8000000000000014E-3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 refreshError="1"/>
      <sheetData sheetId="13">
        <row r="18">
          <cell r="I18">
            <v>2179630202</v>
          </cell>
        </row>
      </sheetData>
      <sheetData sheetId="14" refreshError="1"/>
      <sheetData sheetId="15">
        <row r="250">
          <cell r="C250">
            <v>0.71360000000000001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2">
          <cell r="J12" t="str">
            <v>WITNESS RESPONSIBLE:</v>
          </cell>
        </row>
      </sheetData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>
        <row r="17">
          <cell r="G17">
            <v>47869300</v>
          </cell>
        </row>
        <row r="23">
          <cell r="G23">
            <v>80181</v>
          </cell>
        </row>
      </sheetData>
      <sheetData sheetId="33">
        <row r="38">
          <cell r="J38" t="str">
            <v/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4">
          <cell r="AC94">
            <v>451322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21">
          <cell r="M21">
            <v>7.1919999999999998E-2</v>
          </cell>
        </row>
      </sheetData>
      <sheetData sheetId="108" refreshError="1"/>
      <sheetData sheetId="109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>
        <row r="57">
          <cell r="J57">
            <v>0.65415999999999996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>
        <row r="56">
          <cell r="J56" t="e">
            <v>#VALUE!</v>
          </cell>
        </row>
      </sheetData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A5FC-383F-4A3C-837C-3B3892AFCC02}">
  <sheetPr codeName="Sheet95">
    <pageSetUpPr fitToPage="1"/>
  </sheetPr>
  <dimension ref="A1:P49"/>
  <sheetViews>
    <sheetView tabSelected="1" view="pageLayout" zoomScaleNormal="90" workbookViewId="0">
      <selection activeCell="L46" sqref="L46"/>
    </sheetView>
  </sheetViews>
  <sheetFormatPr defaultColWidth="11.42578125" defaultRowHeight="12.75" x14ac:dyDescent="0.2"/>
  <cols>
    <col min="1" max="1" width="7.5703125" customWidth="1"/>
    <col min="2" max="2" width="11.42578125" customWidth="1"/>
    <col min="3" max="3" width="14.5703125" customWidth="1"/>
    <col min="4" max="4" width="53.5703125" customWidth="1"/>
    <col min="5" max="5" width="2.42578125" customWidth="1"/>
    <col min="6" max="6" width="15.42578125" customWidth="1"/>
    <col min="7" max="7" width="3.42578125" customWidth="1"/>
    <col min="8" max="8" width="14.42578125" customWidth="1"/>
    <col min="9" max="9" width="3.42578125" customWidth="1"/>
    <col min="10" max="10" width="13.5703125" bestFit="1" customWidth="1"/>
    <col min="11" max="11" width="4" customWidth="1"/>
    <col min="12" max="12" width="14.7109375" customWidth="1"/>
    <col min="13" max="13" width="12.5703125" customWidth="1"/>
    <col min="14" max="14" width="4.42578125" customWidth="1"/>
    <col min="15" max="16" width="12.5703125" customWidth="1"/>
  </cols>
  <sheetData>
    <row r="1" spans="1:16" x14ac:dyDescent="0.2">
      <c r="A1" s="137" t="s">
        <v>102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x14ac:dyDescent="0.2">
      <c r="A2" s="137" t="s">
        <v>103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x14ac:dyDescent="0.2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x14ac:dyDescent="0.2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x14ac:dyDescent="0.2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">
      <c r="A6" s="137" t="s">
        <v>104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27"/>
      <c r="O7" s="24"/>
      <c r="P7" s="24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4" t="s">
        <v>105</v>
      </c>
      <c r="N8" s="4"/>
      <c r="O8" s="24"/>
      <c r="P8" s="24"/>
    </row>
    <row r="9" spans="1:16" x14ac:dyDescent="0.2">
      <c r="D9" s="25"/>
      <c r="E9" s="25"/>
      <c r="F9" s="125"/>
      <c r="G9" s="125"/>
      <c r="H9" s="125"/>
      <c r="I9" s="125"/>
      <c r="J9" s="125"/>
      <c r="K9" s="125"/>
      <c r="L9" s="125"/>
      <c r="M9" s="126"/>
      <c r="N9" s="126"/>
      <c r="O9" s="126"/>
      <c r="P9" s="126"/>
    </row>
    <row r="10" spans="1:16" x14ac:dyDescent="0.2">
      <c r="A10" s="6"/>
      <c r="B10" s="7"/>
      <c r="C10" s="8"/>
      <c r="D10" s="6"/>
      <c r="E10" s="6"/>
      <c r="F10" s="9" t="s">
        <v>3</v>
      </c>
      <c r="G10" s="9"/>
      <c r="H10" s="9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/>
      <c r="B11" s="11" t="s">
        <v>4</v>
      </c>
      <c r="C11" s="11" t="s">
        <v>5</v>
      </c>
      <c r="D11" s="12" t="s">
        <v>6</v>
      </c>
      <c r="E11" s="12"/>
      <c r="F11" s="136" t="s">
        <v>7</v>
      </c>
      <c r="G11" s="136"/>
      <c r="H11" s="136"/>
      <c r="I11" s="1"/>
      <c r="J11" s="12" t="s">
        <v>8</v>
      </c>
      <c r="K11" s="1"/>
      <c r="L11" s="12" t="s">
        <v>9</v>
      </c>
      <c r="M11" s="1"/>
      <c r="N11" s="1"/>
      <c r="O11" s="12" t="s">
        <v>10</v>
      </c>
      <c r="P11" s="1"/>
    </row>
    <row r="12" spans="1:16" x14ac:dyDescent="0.2">
      <c r="A12" s="12" t="s">
        <v>11</v>
      </c>
      <c r="B12" s="12" t="s">
        <v>12</v>
      </c>
      <c r="C12" s="12" t="s">
        <v>12</v>
      </c>
      <c r="D12" s="12" t="s">
        <v>13</v>
      </c>
      <c r="E12" s="12"/>
      <c r="F12" s="12" t="s">
        <v>14</v>
      </c>
      <c r="G12" s="12"/>
      <c r="H12" s="12" t="s">
        <v>15</v>
      </c>
      <c r="I12" s="1"/>
      <c r="J12" s="12" t="s">
        <v>16</v>
      </c>
      <c r="K12" s="1"/>
      <c r="L12" s="12" t="s">
        <v>17</v>
      </c>
      <c r="M12" s="13" t="s">
        <v>18</v>
      </c>
      <c r="N12" s="13"/>
      <c r="O12" s="12" t="s">
        <v>19</v>
      </c>
      <c r="P12" s="12" t="s">
        <v>20</v>
      </c>
    </row>
    <row r="13" spans="1:16" x14ac:dyDescent="0.2">
      <c r="A13" s="12" t="s">
        <v>21</v>
      </c>
      <c r="B13" s="12" t="s">
        <v>21</v>
      </c>
      <c r="C13" s="12" t="s">
        <v>21</v>
      </c>
      <c r="D13" s="12" t="s">
        <v>22</v>
      </c>
      <c r="E13" s="12"/>
      <c r="F13" s="12" t="s">
        <v>113</v>
      </c>
      <c r="G13" s="12"/>
      <c r="H13" s="12" t="s">
        <v>23</v>
      </c>
      <c r="I13" s="1"/>
      <c r="J13" s="12" t="s">
        <v>24</v>
      </c>
      <c r="K13" s="1"/>
      <c r="L13" s="12" t="s">
        <v>25</v>
      </c>
      <c r="M13" s="12" t="s">
        <v>26</v>
      </c>
      <c r="N13" s="12"/>
      <c r="O13" s="12" t="s">
        <v>27</v>
      </c>
      <c r="P13" s="12" t="s">
        <v>28</v>
      </c>
    </row>
    <row r="14" spans="1:16" x14ac:dyDescent="0.2">
      <c r="A14" s="14" t="s">
        <v>29</v>
      </c>
      <c r="B14" s="14" t="s">
        <v>30</v>
      </c>
      <c r="C14" s="14" t="s">
        <v>31</v>
      </c>
      <c r="D14" s="14" t="s">
        <v>32</v>
      </c>
      <c r="E14" s="14"/>
      <c r="F14" s="14" t="s">
        <v>33</v>
      </c>
      <c r="G14" s="14"/>
      <c r="H14" s="14" t="s">
        <v>34</v>
      </c>
      <c r="I14" s="5"/>
      <c r="J14" s="14" t="s">
        <v>35</v>
      </c>
      <c r="K14" s="14"/>
      <c r="L14" s="14" t="s">
        <v>36</v>
      </c>
      <c r="M14" s="14" t="s">
        <v>37</v>
      </c>
      <c r="N14" s="14"/>
      <c r="O14" s="14" t="s">
        <v>38</v>
      </c>
      <c r="P14" s="14" t="s">
        <v>39</v>
      </c>
    </row>
    <row r="15" spans="1:16" x14ac:dyDescent="0.2">
      <c r="A15" s="12" t="s">
        <v>43</v>
      </c>
    </row>
    <row r="16" spans="1:16" x14ac:dyDescent="0.2">
      <c r="A16" s="12"/>
      <c r="B16" s="132" t="s">
        <v>108</v>
      </c>
    </row>
    <row r="17" spans="1:16" x14ac:dyDescent="0.2">
      <c r="A17" s="12">
        <v>1</v>
      </c>
      <c r="B17" s="15">
        <v>344</v>
      </c>
      <c r="C17" s="15">
        <v>3446</v>
      </c>
      <c r="D17" s="16" t="s">
        <v>41</v>
      </c>
      <c r="E17" s="3"/>
      <c r="F17" s="17">
        <v>15778050</v>
      </c>
      <c r="G17" s="3"/>
      <c r="H17" s="18">
        <v>2785944</v>
      </c>
      <c r="I17" s="1"/>
      <c r="J17" s="19">
        <v>5.1700000000000003E-2</v>
      </c>
      <c r="K17" s="122" t="s">
        <v>94</v>
      </c>
      <c r="L17" s="18">
        <f>ROUND(F17*J17,0)</f>
        <v>815725</v>
      </c>
      <c r="M17" s="21">
        <v>-0.2</v>
      </c>
      <c r="N17" s="122" t="s">
        <v>94</v>
      </c>
      <c r="O17" s="22">
        <v>25</v>
      </c>
      <c r="P17" s="22" t="s">
        <v>40</v>
      </c>
    </row>
    <row r="18" spans="1:16" x14ac:dyDescent="0.2">
      <c r="A18" s="12">
        <f>A17+1</f>
        <v>2</v>
      </c>
      <c r="B18" s="15">
        <v>345</v>
      </c>
      <c r="C18" s="15">
        <v>3456</v>
      </c>
      <c r="D18" s="16" t="s">
        <v>42</v>
      </c>
      <c r="E18" s="3"/>
      <c r="F18" s="17">
        <v>1729695</v>
      </c>
      <c r="G18" s="3"/>
      <c r="H18" s="18">
        <v>358981</v>
      </c>
      <c r="I18" s="1"/>
      <c r="J18" s="19">
        <v>5.4600000000000003E-2</v>
      </c>
      <c r="K18" s="122" t="s">
        <v>94</v>
      </c>
      <c r="L18" s="18">
        <f>ROUND(F18*J18,0)</f>
        <v>94441</v>
      </c>
      <c r="M18" s="21">
        <v>-0.2</v>
      </c>
      <c r="N18" s="122" t="s">
        <v>94</v>
      </c>
      <c r="O18" s="22">
        <v>25</v>
      </c>
      <c r="P18" s="22" t="s">
        <v>40</v>
      </c>
    </row>
    <row r="19" spans="1:16" ht="13.5" thickBot="1" x14ac:dyDescent="0.25">
      <c r="A19" s="12">
        <f t="shared" ref="A19:A48" si="0">A18+1</f>
        <v>3</v>
      </c>
      <c r="L19" s="123">
        <f>SUM(L17:L18)</f>
        <v>910166</v>
      </c>
    </row>
    <row r="20" spans="1:16" ht="13.5" thickTop="1" x14ac:dyDescent="0.2">
      <c r="A20" s="12">
        <f>A19+1</f>
        <v>4</v>
      </c>
      <c r="B20" s="132" t="s">
        <v>109</v>
      </c>
    </row>
    <row r="21" spans="1:16" x14ac:dyDescent="0.2">
      <c r="A21" s="12">
        <f t="shared" si="0"/>
        <v>5</v>
      </c>
      <c r="B21" s="15">
        <v>344</v>
      </c>
      <c r="C21" s="15">
        <v>3446</v>
      </c>
      <c r="D21" s="16" t="s">
        <v>41</v>
      </c>
      <c r="E21" s="3"/>
      <c r="F21" s="17">
        <v>15778050</v>
      </c>
      <c r="G21" s="3"/>
      <c r="H21" s="18">
        <v>2785944</v>
      </c>
      <c r="I21" s="1"/>
      <c r="J21" s="120">
        <v>4.3499999999999997E-2</v>
      </c>
      <c r="K21" s="122" t="s">
        <v>44</v>
      </c>
      <c r="L21" s="18">
        <f>ROUND(F21*J21,0)</f>
        <v>686345</v>
      </c>
      <c r="M21" s="21">
        <v>-0.04</v>
      </c>
      <c r="N21" s="122" t="s">
        <v>44</v>
      </c>
      <c r="O21" s="22">
        <v>25</v>
      </c>
      <c r="P21" s="22" t="s">
        <v>40</v>
      </c>
    </row>
    <row r="22" spans="1:16" x14ac:dyDescent="0.2">
      <c r="A22" s="12">
        <f t="shared" si="0"/>
        <v>6</v>
      </c>
      <c r="B22" s="15">
        <v>345</v>
      </c>
      <c r="C22" s="15">
        <v>3456</v>
      </c>
      <c r="D22" s="16" t="s">
        <v>42</v>
      </c>
      <c r="E22" s="3"/>
      <c r="F22" s="17">
        <v>1729695</v>
      </c>
      <c r="G22" s="3"/>
      <c r="H22" s="18">
        <v>358981</v>
      </c>
      <c r="I22" s="1"/>
      <c r="J22" s="120">
        <v>4.6399999999999997E-2</v>
      </c>
      <c r="K22" s="122" t="s">
        <v>44</v>
      </c>
      <c r="L22" s="18">
        <f>ROUND(F22*J22,0)</f>
        <v>80258</v>
      </c>
      <c r="M22" s="21">
        <v>-0.04</v>
      </c>
      <c r="N22" s="122" t="s">
        <v>44</v>
      </c>
      <c r="O22" s="22">
        <v>25</v>
      </c>
      <c r="P22" s="22" t="s">
        <v>40</v>
      </c>
    </row>
    <row r="23" spans="1:16" ht="13.5" thickBot="1" x14ac:dyDescent="0.25">
      <c r="A23" s="12">
        <f t="shared" si="0"/>
        <v>7</v>
      </c>
      <c r="L23" s="123">
        <f>SUM(L21:L22)</f>
        <v>766603</v>
      </c>
    </row>
    <row r="24" spans="1:16" ht="13.5" thickTop="1" x14ac:dyDescent="0.2">
      <c r="A24" s="12">
        <f t="shared" si="0"/>
        <v>8</v>
      </c>
    </row>
    <row r="25" spans="1:16" x14ac:dyDescent="0.2">
      <c r="A25" s="12">
        <f>A21+1</f>
        <v>6</v>
      </c>
      <c r="B25" s="121" t="s">
        <v>112</v>
      </c>
    </row>
    <row r="26" spans="1:16" x14ac:dyDescent="0.2">
      <c r="A26" s="12">
        <f t="shared" si="0"/>
        <v>7</v>
      </c>
      <c r="B26" s="20" t="s">
        <v>114</v>
      </c>
    </row>
    <row r="27" spans="1:16" x14ac:dyDescent="0.2">
      <c r="A27" s="12">
        <f t="shared" si="0"/>
        <v>8</v>
      </c>
    </row>
    <row r="28" spans="1:16" x14ac:dyDescent="0.2">
      <c r="A28" s="12">
        <f t="shared" si="0"/>
        <v>9</v>
      </c>
      <c r="B28" s="121" t="s">
        <v>99</v>
      </c>
    </row>
    <row r="29" spans="1:16" x14ac:dyDescent="0.2">
      <c r="A29" s="12">
        <f t="shared" si="0"/>
        <v>10</v>
      </c>
      <c r="B29" s="121" t="s">
        <v>115</v>
      </c>
    </row>
    <row r="30" spans="1:16" x14ac:dyDescent="0.2">
      <c r="A30" s="12">
        <f t="shared" si="0"/>
        <v>11</v>
      </c>
    </row>
    <row r="31" spans="1:16" x14ac:dyDescent="0.2">
      <c r="A31" s="12">
        <f t="shared" si="0"/>
        <v>12</v>
      </c>
    </row>
    <row r="32" spans="1:16" x14ac:dyDescent="0.2">
      <c r="A32" s="12">
        <f t="shared" si="0"/>
        <v>13</v>
      </c>
    </row>
    <row r="33" spans="1:14" x14ac:dyDescent="0.2">
      <c r="A33" s="12">
        <f t="shared" si="0"/>
        <v>14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1:14" x14ac:dyDescent="0.2">
      <c r="A34" s="12">
        <f t="shared" si="0"/>
        <v>15</v>
      </c>
      <c r="D34" s="25"/>
      <c r="E34" s="25"/>
      <c r="F34" s="25"/>
      <c r="G34" s="25"/>
      <c r="H34" s="25"/>
      <c r="I34" s="25"/>
      <c r="J34" s="25"/>
      <c r="K34" s="25"/>
      <c r="L34" s="25"/>
    </row>
    <row r="35" spans="1:14" ht="13.5" thickBot="1" x14ac:dyDescent="0.25">
      <c r="A35" s="12">
        <f t="shared" si="0"/>
        <v>16</v>
      </c>
      <c r="D35" s="20" t="s">
        <v>100</v>
      </c>
      <c r="E35" s="25"/>
      <c r="F35" s="25"/>
      <c r="G35" s="25"/>
      <c r="H35" s="25"/>
      <c r="I35" s="25"/>
      <c r="K35" s="25"/>
      <c r="L35" s="26">
        <f>L19-L23</f>
        <v>143563</v>
      </c>
      <c r="M35" s="96" t="s">
        <v>116</v>
      </c>
      <c r="N35" s="96"/>
    </row>
    <row r="36" spans="1:14" ht="13.5" thickTop="1" x14ac:dyDescent="0.2">
      <c r="A36" s="12">
        <f t="shared" si="0"/>
        <v>17</v>
      </c>
      <c r="D36" s="25"/>
      <c r="E36" s="25"/>
      <c r="F36" s="25"/>
      <c r="G36" s="25"/>
      <c r="H36" s="27"/>
      <c r="I36" s="25"/>
      <c r="J36" s="25"/>
      <c r="K36" s="25"/>
      <c r="L36" s="28"/>
    </row>
    <row r="37" spans="1:14" ht="13.5" thickBot="1" x14ac:dyDescent="0.25">
      <c r="A37" s="12">
        <f t="shared" si="0"/>
        <v>18</v>
      </c>
      <c r="D37" s="25" t="s">
        <v>101</v>
      </c>
      <c r="E37" s="25"/>
      <c r="F37" s="25"/>
      <c r="G37" s="25"/>
      <c r="H37" s="29">
        <f>+ExpGRCF</f>
        <v>1.0016778</v>
      </c>
      <c r="I37" s="25"/>
      <c r="J37" s="25"/>
      <c r="K37" s="25"/>
      <c r="L37" s="26">
        <f>L35*H37</f>
        <v>143803.87000140001</v>
      </c>
      <c r="M37" s="20" t="s">
        <v>117</v>
      </c>
      <c r="N37" s="20"/>
    </row>
    <row r="38" spans="1:14" ht="13.5" thickTop="1" x14ac:dyDescent="0.2">
      <c r="A38" s="12">
        <f t="shared" si="0"/>
        <v>19</v>
      </c>
      <c r="D38" s="25" t="s">
        <v>106</v>
      </c>
      <c r="E38" s="25"/>
      <c r="F38" s="25"/>
      <c r="G38" s="25"/>
      <c r="H38" s="25"/>
      <c r="I38" s="25"/>
      <c r="J38" s="25"/>
      <c r="K38" s="25"/>
      <c r="L38" s="25"/>
    </row>
    <row r="39" spans="1:14" x14ac:dyDescent="0.2">
      <c r="A39" s="12">
        <f t="shared" si="0"/>
        <v>20</v>
      </c>
      <c r="D39" s="25"/>
      <c r="E39" s="25"/>
      <c r="F39" s="30" t="s">
        <v>45</v>
      </c>
      <c r="G39" s="31"/>
      <c r="H39" s="30" t="s">
        <v>46</v>
      </c>
      <c r="I39" s="25"/>
      <c r="J39" s="30" t="s">
        <v>47</v>
      </c>
      <c r="K39" s="25"/>
      <c r="L39" s="25"/>
    </row>
    <row r="40" spans="1:14" x14ac:dyDescent="0.2">
      <c r="A40" s="12">
        <f t="shared" si="0"/>
        <v>21</v>
      </c>
      <c r="D40" s="25" t="s">
        <v>48</v>
      </c>
      <c r="E40" s="25"/>
      <c r="F40" s="28">
        <f>-L35</f>
        <v>-143563</v>
      </c>
      <c r="G40" s="25"/>
      <c r="H40" s="32">
        <v>0.5</v>
      </c>
      <c r="I40" s="25"/>
      <c r="J40" s="25"/>
      <c r="K40" s="25"/>
      <c r="L40" s="33">
        <f>F40*H40</f>
        <v>-71781.5</v>
      </c>
      <c r="M40" s="20" t="s">
        <v>118</v>
      </c>
      <c r="N40" s="20"/>
    </row>
    <row r="41" spans="1:14" x14ac:dyDescent="0.2">
      <c r="A41" s="12">
        <f t="shared" si="0"/>
        <v>22</v>
      </c>
      <c r="D41" s="25" t="s">
        <v>49</v>
      </c>
      <c r="E41" s="25"/>
      <c r="F41" s="28">
        <f>L35</f>
        <v>143563</v>
      </c>
      <c r="G41" s="25"/>
      <c r="H41" s="25"/>
      <c r="I41" s="25"/>
      <c r="J41" s="34">
        <f>+'Tab 3 - SCH H'!K24+'Tab 3 - SCH H'!K28</f>
        <v>0.24925120000000001</v>
      </c>
      <c r="K41" s="25"/>
      <c r="L41" s="35">
        <f>F41*J41</f>
        <v>35783.250025599998</v>
      </c>
      <c r="M41" s="20" t="s">
        <v>119</v>
      </c>
      <c r="N41" s="20"/>
    </row>
    <row r="42" spans="1:14" x14ac:dyDescent="0.2">
      <c r="A42" s="12">
        <f t="shared" si="0"/>
        <v>23</v>
      </c>
      <c r="D42" s="25"/>
      <c r="E42" s="25"/>
      <c r="F42" s="25"/>
      <c r="G42" s="25"/>
      <c r="H42" s="25"/>
      <c r="I42" s="25"/>
      <c r="J42" s="27"/>
      <c r="K42" s="25"/>
      <c r="L42" s="25"/>
    </row>
    <row r="43" spans="1:14" x14ac:dyDescent="0.2">
      <c r="A43" s="12">
        <f t="shared" si="0"/>
        <v>24</v>
      </c>
      <c r="D43" s="25" t="s">
        <v>50</v>
      </c>
      <c r="E43" s="25"/>
      <c r="F43" s="25"/>
      <c r="G43" s="25"/>
      <c r="H43" s="25"/>
      <c r="I43" s="25"/>
      <c r="J43" s="25"/>
      <c r="K43" s="25"/>
      <c r="L43" s="36">
        <f>SUM(L40:L41)</f>
        <v>-35998.249974400002</v>
      </c>
      <c r="M43" s="20" t="s">
        <v>120</v>
      </c>
      <c r="N43" s="20"/>
    </row>
    <row r="44" spans="1:14" x14ac:dyDescent="0.2">
      <c r="A44" s="12">
        <f t="shared" si="0"/>
        <v>25</v>
      </c>
      <c r="D44" s="25" t="s">
        <v>107</v>
      </c>
      <c r="E44" s="25"/>
      <c r="F44" s="25"/>
      <c r="G44" s="25"/>
      <c r="H44" s="25"/>
      <c r="I44" s="25"/>
      <c r="J44" s="27"/>
      <c r="K44" s="25"/>
      <c r="L44" s="124">
        <f>'Tab 2 - SCH_J1 Per Order '!O18</f>
        <v>8.8948043196000012E-2</v>
      </c>
    </row>
    <row r="45" spans="1:14" x14ac:dyDescent="0.2">
      <c r="A45" s="12">
        <f t="shared" si="0"/>
        <v>26</v>
      </c>
      <c r="D45" s="25"/>
      <c r="E45" s="25"/>
      <c r="F45" s="25"/>
      <c r="G45" s="25"/>
      <c r="H45" s="25"/>
      <c r="I45" s="25"/>
      <c r="J45" s="25"/>
      <c r="K45" s="25"/>
      <c r="L45" s="25"/>
    </row>
    <row r="46" spans="1:14" x14ac:dyDescent="0.2">
      <c r="A46" s="12">
        <f t="shared" si="0"/>
        <v>27</v>
      </c>
      <c r="D46" s="25" t="s">
        <v>51</v>
      </c>
      <c r="E46" s="25"/>
      <c r="F46" s="25"/>
      <c r="G46" s="25"/>
      <c r="H46" s="25"/>
      <c r="I46" s="25"/>
      <c r="J46" s="25"/>
      <c r="K46" s="25"/>
      <c r="L46" s="33">
        <f>L43*L44</f>
        <v>-3201.9738937033376</v>
      </c>
      <c r="M46" s="20" t="s">
        <v>121</v>
      </c>
      <c r="N46" s="20"/>
    </row>
    <row r="47" spans="1:14" x14ac:dyDescent="0.2">
      <c r="A47" s="12">
        <f t="shared" si="0"/>
        <v>28</v>
      </c>
      <c r="D47" s="25"/>
      <c r="E47" s="25"/>
      <c r="F47" s="25"/>
      <c r="G47" s="25"/>
      <c r="H47" s="25"/>
      <c r="I47" s="25"/>
      <c r="J47" s="25"/>
      <c r="K47" s="25"/>
      <c r="L47" s="25"/>
    </row>
    <row r="48" spans="1:14" ht="13.5" thickBot="1" x14ac:dyDescent="0.25">
      <c r="A48" s="12">
        <f t="shared" si="0"/>
        <v>29</v>
      </c>
      <c r="D48" s="27" t="s">
        <v>52</v>
      </c>
      <c r="E48" s="25"/>
      <c r="F48" s="25"/>
      <c r="G48" s="25"/>
      <c r="H48" s="25"/>
      <c r="I48" s="25"/>
      <c r="J48" s="25"/>
      <c r="K48" s="25"/>
      <c r="L48" s="37">
        <f>L37+L46</f>
        <v>140601.89610769667</v>
      </c>
      <c r="M48" s="20" t="s">
        <v>122</v>
      </c>
      <c r="N48" s="20"/>
    </row>
    <row r="49" ht="13.5" thickTop="1" x14ac:dyDescent="0.2"/>
  </sheetData>
  <mergeCells count="7">
    <mergeCell ref="F11:H11"/>
    <mergeCell ref="A1:P1"/>
    <mergeCell ref="A2:P2"/>
    <mergeCell ref="A3:P3"/>
    <mergeCell ref="A4:P4"/>
    <mergeCell ref="A5:P5"/>
    <mergeCell ref="A6:P6"/>
  </mergeCells>
  <pageMargins left="1" right="0.75" top="1" bottom="1" header="0.5" footer="0.5"/>
  <pageSetup scale="60" orientation="landscape" r:id="rId1"/>
  <headerFooter alignWithMargins="0">
    <oddHeader>&amp;R&amp;"Times New Roman,Bold"KyPSC Case No. 2022-00372
STAFF-RHDR-01-003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0CFE-B522-450B-B032-A6E42D158D12}">
  <sheetPr codeName="Sheet69">
    <pageSetUpPr fitToPage="1"/>
  </sheetPr>
  <dimension ref="A1:Q46"/>
  <sheetViews>
    <sheetView view="pageLayout" zoomScaleNormal="100" workbookViewId="0">
      <selection activeCell="L46" sqref="L46"/>
    </sheetView>
  </sheetViews>
  <sheetFormatPr defaultColWidth="8" defaultRowHeight="12.75" x14ac:dyDescent="0.2"/>
  <cols>
    <col min="1" max="1" width="7" customWidth="1"/>
    <col min="2" max="2" width="1.5703125" customWidth="1"/>
    <col min="3" max="3" width="39.5703125" customWidth="1"/>
    <col min="4" max="4" width="1" customWidth="1"/>
    <col min="5" max="5" width="14.42578125" customWidth="1"/>
    <col min="6" max="6" width="0.5703125" customWidth="1"/>
    <col min="7" max="7" width="16.42578125" customWidth="1"/>
    <col min="8" max="8" width="3.42578125" customWidth="1"/>
    <col min="9" max="9" width="11.5703125" customWidth="1"/>
    <col min="10" max="10" width="1" customWidth="1"/>
    <col min="11" max="11" width="11.5703125" customWidth="1"/>
    <col min="12" max="12" width="3.42578125" customWidth="1"/>
    <col min="13" max="13" width="14.42578125" customWidth="1"/>
    <col min="14" max="14" width="2.42578125" customWidth="1"/>
    <col min="15" max="15" width="13.5703125" bestFit="1" customWidth="1"/>
    <col min="16" max="16" width="8.5703125" bestFit="1" customWidth="1"/>
  </cols>
  <sheetData>
    <row r="1" spans="1:17" x14ac:dyDescent="0.2">
      <c r="A1" s="2" t="str">
        <f>COMPANY</f>
        <v>DUKE ENERGY KENTUCKY, INC.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">
      <c r="A2" s="2" t="str">
        <f>CASE</f>
        <v>CASE NO. 2022-00372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x14ac:dyDescent="0.2">
      <c r="A4" s="2" t="str">
        <f>"THIRTEEN MONTH AVERAGE BALANCE ENDING "&amp;Testyear</f>
        <v>THIRTEEN MONTH AVERAGE BALANCE ENDING JUNE 30, 2024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x14ac:dyDescent="0.2">
      <c r="A6" s="40"/>
      <c r="B6" s="38"/>
      <c r="C6" s="38"/>
      <c r="D6" s="38"/>
      <c r="E6" s="38"/>
      <c r="F6" s="38"/>
      <c r="G6" s="38"/>
      <c r="H6" s="38"/>
      <c r="I6" s="38"/>
      <c r="J6" s="38"/>
      <c r="K6" s="41" t="s">
        <v>95</v>
      </c>
      <c r="L6" s="38"/>
      <c r="M6" s="38"/>
      <c r="N6" s="38"/>
    </row>
    <row r="7" spans="1:17" x14ac:dyDescent="0.2">
      <c r="A7" s="41"/>
      <c r="B7" s="38"/>
      <c r="C7" s="38"/>
      <c r="D7" s="38"/>
      <c r="E7" s="38"/>
      <c r="F7" s="38"/>
      <c r="G7" s="38"/>
      <c r="H7" s="38"/>
      <c r="I7" s="38"/>
      <c r="J7" s="38"/>
      <c r="K7" s="41" t="s">
        <v>96</v>
      </c>
      <c r="L7" s="41"/>
      <c r="M7" s="38"/>
      <c r="N7" s="38"/>
    </row>
    <row r="8" spans="1:17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72"/>
      <c r="O8" s="116"/>
    </row>
    <row r="9" spans="1:17" x14ac:dyDescent="0.2">
      <c r="A9" s="43"/>
      <c r="B9" s="43"/>
      <c r="C9" s="43"/>
      <c r="D9" s="43"/>
      <c r="E9" s="43"/>
      <c r="F9" s="43"/>
      <c r="G9" s="39"/>
      <c r="H9" s="39"/>
      <c r="I9" s="43"/>
      <c r="J9" s="43"/>
      <c r="K9" s="43"/>
      <c r="L9" s="43"/>
      <c r="M9" s="43"/>
      <c r="N9" s="43"/>
      <c r="O9" s="117" t="s">
        <v>93</v>
      </c>
    </row>
    <row r="10" spans="1:17" x14ac:dyDescent="0.2">
      <c r="A10" s="39" t="s">
        <v>55</v>
      </c>
      <c r="B10" s="38"/>
      <c r="C10" s="38"/>
      <c r="D10" s="38"/>
      <c r="E10" s="38"/>
      <c r="F10" s="38"/>
      <c r="G10" s="39" t="s">
        <v>56</v>
      </c>
      <c r="H10" s="39"/>
      <c r="I10" s="39" t="s">
        <v>57</v>
      </c>
      <c r="J10" s="38"/>
      <c r="K10" s="39"/>
      <c r="L10" s="38"/>
      <c r="M10" s="39" t="s">
        <v>58</v>
      </c>
      <c r="N10" s="39"/>
      <c r="O10" s="118" t="s">
        <v>58</v>
      </c>
      <c r="Q10" s="23"/>
    </row>
    <row r="11" spans="1:17" x14ac:dyDescent="0.2">
      <c r="A11" s="39" t="s">
        <v>59</v>
      </c>
      <c r="B11" s="38"/>
      <c r="C11" s="39" t="s">
        <v>60</v>
      </c>
      <c r="D11" s="38"/>
      <c r="E11" s="39" t="s">
        <v>61</v>
      </c>
      <c r="F11" s="39"/>
      <c r="G11" s="39" t="s">
        <v>62</v>
      </c>
      <c r="H11" s="39"/>
      <c r="I11" s="39" t="s">
        <v>63</v>
      </c>
      <c r="J11" s="39"/>
      <c r="K11" s="39" t="s">
        <v>64</v>
      </c>
      <c r="L11" s="39"/>
      <c r="M11" s="39" t="s">
        <v>64</v>
      </c>
      <c r="N11" s="39"/>
      <c r="O11" s="112" t="s">
        <v>64</v>
      </c>
      <c r="P11" s="23"/>
      <c r="Q11" s="23"/>
    </row>
    <row r="12" spans="1:17" x14ac:dyDescent="0.2">
      <c r="A12" s="43"/>
      <c r="B12" s="43"/>
      <c r="C12" s="43"/>
      <c r="D12" s="43"/>
      <c r="E12" s="43"/>
      <c r="F12" s="43"/>
      <c r="G12" s="39"/>
      <c r="H12" s="44"/>
      <c r="I12" s="44"/>
      <c r="J12" s="39"/>
      <c r="K12" s="43"/>
      <c r="L12" s="43"/>
      <c r="M12" s="43"/>
      <c r="N12" s="43"/>
      <c r="O12" s="119"/>
      <c r="P12" s="45"/>
      <c r="Q12" s="45"/>
    </row>
    <row r="13" spans="1:17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73"/>
      <c r="O13" s="116"/>
    </row>
    <row r="14" spans="1:17" x14ac:dyDescent="0.2">
      <c r="A14" s="39">
        <v>1</v>
      </c>
      <c r="B14" s="38"/>
      <c r="C14" s="38" t="s">
        <v>53</v>
      </c>
      <c r="D14" s="38"/>
      <c r="E14" s="39"/>
      <c r="F14" s="39"/>
      <c r="G14" s="128">
        <v>951750195</v>
      </c>
      <c r="H14" s="134" t="s">
        <v>94</v>
      </c>
      <c r="I14" s="48">
        <f>1-I15-I16</f>
        <v>0.52144999999999997</v>
      </c>
      <c r="J14" s="49"/>
      <c r="K14" s="131">
        <v>9.7500000000000003E-2</v>
      </c>
      <c r="L14" s="135" t="s">
        <v>44</v>
      </c>
      <c r="M14" s="48">
        <f>ROUND((I14*K14),5)</f>
        <v>5.0840000000000003E-2</v>
      </c>
      <c r="N14" s="48"/>
      <c r="O14" s="113">
        <f>+M14*'Tab 3 - SCH H'!I32</f>
        <v>6.7832675172000007E-2</v>
      </c>
      <c r="P14" s="51"/>
      <c r="Q14" s="48"/>
    </row>
    <row r="15" spans="1:17" x14ac:dyDescent="0.2">
      <c r="A15" s="39">
        <f t="shared" ref="A15:A31" si="0">1+A14</f>
        <v>2</v>
      </c>
      <c r="B15" s="38"/>
      <c r="C15" s="38" t="s">
        <v>65</v>
      </c>
      <c r="D15" s="38"/>
      <c r="E15" s="39" t="s">
        <v>66</v>
      </c>
      <c r="F15" s="39"/>
      <c r="G15" s="129">
        <v>804442968</v>
      </c>
      <c r="H15" s="134" t="s">
        <v>94</v>
      </c>
      <c r="I15" s="48">
        <f>ROUND(G15/$G$18,5)</f>
        <v>0.44074999999999998</v>
      </c>
      <c r="J15" s="49"/>
      <c r="K15" s="52">
        <v>4.3770000000000003E-2</v>
      </c>
      <c r="L15" s="50"/>
      <c r="M15" s="48">
        <f>ROUND((I15*K15),5)</f>
        <v>1.9290000000000002E-2</v>
      </c>
      <c r="N15" s="48"/>
      <c r="O15" s="113">
        <f>+M15*ExpGRCF</f>
        <v>1.9322364761999999E-2</v>
      </c>
      <c r="P15" s="51"/>
      <c r="Q15" s="48"/>
    </row>
    <row r="16" spans="1:17" x14ac:dyDescent="0.2">
      <c r="A16" s="39">
        <f t="shared" si="0"/>
        <v>3</v>
      </c>
      <c r="B16" s="38"/>
      <c r="C16" s="38" t="s">
        <v>67</v>
      </c>
      <c r="D16" s="38"/>
      <c r="E16" s="53" t="s">
        <v>68</v>
      </c>
      <c r="F16" s="54"/>
      <c r="G16" s="130">
        <v>68990481</v>
      </c>
      <c r="H16" s="134" t="s">
        <v>94</v>
      </c>
      <c r="I16" s="55">
        <f>ROUND(G16/$G$18,5)</f>
        <v>3.78E-2</v>
      </c>
      <c r="J16" s="56"/>
      <c r="K16" s="52">
        <v>4.7390000000000002E-2</v>
      </c>
      <c r="L16" s="50"/>
      <c r="M16" s="55">
        <f>ROUND((I16*K16),5)</f>
        <v>1.7899999999999999E-3</v>
      </c>
      <c r="N16" s="55"/>
      <c r="O16" s="114">
        <f>+M16*ExpGRCF</f>
        <v>1.7930032619999999E-3</v>
      </c>
      <c r="P16" s="51"/>
      <c r="Q16" s="48"/>
    </row>
    <row r="17" spans="1:17" x14ac:dyDescent="0.2">
      <c r="A17" s="39">
        <f t="shared" si="0"/>
        <v>4</v>
      </c>
      <c r="B17" s="38"/>
      <c r="C17" s="38"/>
      <c r="D17" s="38"/>
      <c r="E17" s="38"/>
      <c r="F17" s="38"/>
      <c r="G17" s="57"/>
      <c r="H17" s="38"/>
      <c r="I17" s="48"/>
      <c r="J17" s="38"/>
      <c r="K17" s="48"/>
      <c r="L17" s="48"/>
      <c r="M17" s="48"/>
      <c r="N17" s="48"/>
      <c r="O17" s="113"/>
      <c r="Q17" s="48"/>
    </row>
    <row r="18" spans="1:17" x14ac:dyDescent="0.2">
      <c r="A18" s="39">
        <f t="shared" si="0"/>
        <v>5</v>
      </c>
      <c r="B18" s="38"/>
      <c r="C18" s="38" t="s">
        <v>69</v>
      </c>
      <c r="D18" s="38"/>
      <c r="E18" s="38"/>
      <c r="F18" s="38"/>
      <c r="G18" s="58">
        <f>SUM(G14:G16)</f>
        <v>1825183644</v>
      </c>
      <c r="H18" s="54"/>
      <c r="I18" s="59">
        <f>SUM(I14:I16)</f>
        <v>1</v>
      </c>
      <c r="J18" s="49"/>
      <c r="K18" s="48"/>
      <c r="L18" s="48"/>
      <c r="M18" s="59">
        <f>SUM(M14:M17)</f>
        <v>7.1919999999999998E-2</v>
      </c>
      <c r="N18" s="59"/>
      <c r="O18" s="115">
        <f>+SUM(O14:O16)</f>
        <v>8.8948043196000012E-2</v>
      </c>
      <c r="Q18" s="59"/>
    </row>
    <row r="19" spans="1:17" x14ac:dyDescent="0.2">
      <c r="A19" s="39">
        <f t="shared" si="0"/>
        <v>6</v>
      </c>
      <c r="B19" s="38"/>
      <c r="C19" s="38"/>
      <c r="D19" s="38"/>
      <c r="E19" s="54"/>
      <c r="F19" s="54"/>
      <c r="G19" s="60"/>
      <c r="H19" s="61"/>
      <c r="I19" s="62"/>
      <c r="J19" s="63"/>
      <c r="K19" s="64"/>
      <c r="L19" s="64"/>
      <c r="M19" s="63"/>
      <c r="N19" s="63"/>
      <c r="O19" s="116"/>
    </row>
    <row r="20" spans="1:17" x14ac:dyDescent="0.2">
      <c r="A20" s="39">
        <f t="shared" si="0"/>
        <v>7</v>
      </c>
      <c r="B20" s="38"/>
      <c r="C20" s="38"/>
      <c r="D20" s="38"/>
      <c r="E20" s="54"/>
      <c r="F20" s="54"/>
      <c r="G20" s="60"/>
      <c r="H20" s="61"/>
      <c r="I20" s="63"/>
      <c r="J20" s="63"/>
      <c r="K20" s="64"/>
      <c r="L20" s="64"/>
      <c r="M20" s="63"/>
      <c r="N20" s="63"/>
      <c r="O20" s="116"/>
    </row>
    <row r="21" spans="1:17" x14ac:dyDescent="0.2">
      <c r="A21" s="39">
        <f t="shared" si="0"/>
        <v>8</v>
      </c>
      <c r="B21" s="38"/>
      <c r="C21" s="38" t="s">
        <v>70</v>
      </c>
      <c r="D21" s="38"/>
      <c r="E21" s="54"/>
      <c r="F21" s="54"/>
      <c r="G21" s="60"/>
      <c r="H21" s="61"/>
      <c r="I21" s="65"/>
      <c r="J21" s="65"/>
      <c r="K21" s="64"/>
      <c r="L21" s="64"/>
      <c r="M21" s="64"/>
      <c r="N21" s="64"/>
      <c r="O21" s="111"/>
    </row>
    <row r="22" spans="1:17" x14ac:dyDescent="0.2">
      <c r="A22" s="39">
        <f t="shared" si="0"/>
        <v>9</v>
      </c>
      <c r="B22" s="38"/>
      <c r="C22" s="38" t="s">
        <v>71</v>
      </c>
      <c r="D22" s="38"/>
      <c r="E22" s="53" t="s">
        <v>72</v>
      </c>
      <c r="F22" s="54"/>
      <c r="G22" s="66">
        <v>3239205</v>
      </c>
      <c r="H22" s="61"/>
      <c r="I22" s="65"/>
      <c r="J22" s="65"/>
      <c r="K22" s="64"/>
      <c r="L22" s="64"/>
      <c r="M22" s="64"/>
      <c r="N22" s="64"/>
      <c r="O22" s="111"/>
    </row>
    <row r="23" spans="1:17" x14ac:dyDescent="0.2">
      <c r="A23" s="39">
        <f t="shared" si="0"/>
        <v>10</v>
      </c>
      <c r="B23" s="38"/>
      <c r="C23" s="38"/>
      <c r="D23" s="38"/>
      <c r="E23" s="38"/>
      <c r="F23" s="38"/>
      <c r="G23" s="57"/>
      <c r="H23" s="54"/>
      <c r="I23" s="65"/>
      <c r="J23" s="65"/>
      <c r="K23" s="64"/>
      <c r="L23" s="64"/>
      <c r="M23" s="64"/>
      <c r="N23" s="64"/>
      <c r="O23" s="111"/>
    </row>
    <row r="24" spans="1:17" x14ac:dyDescent="0.2">
      <c r="A24" s="39">
        <f t="shared" si="0"/>
        <v>11</v>
      </c>
      <c r="B24" s="38"/>
      <c r="C24" s="38"/>
      <c r="D24" s="38"/>
      <c r="E24" s="38"/>
      <c r="F24" s="38"/>
      <c r="G24" s="60"/>
      <c r="H24" s="61"/>
      <c r="I24" s="65"/>
      <c r="J24" s="65"/>
      <c r="K24" s="64"/>
      <c r="L24" s="64"/>
      <c r="M24" s="64"/>
      <c r="N24" s="64"/>
    </row>
    <row r="25" spans="1:17" x14ac:dyDescent="0.2">
      <c r="A25" s="39">
        <f t="shared" si="0"/>
        <v>12</v>
      </c>
      <c r="B25" s="38"/>
      <c r="C25" s="67" t="s">
        <v>73</v>
      </c>
      <c r="D25" s="38"/>
      <c r="E25" s="38"/>
      <c r="F25" s="38"/>
      <c r="G25" s="57"/>
      <c r="H25" s="54"/>
      <c r="I25" s="65"/>
      <c r="J25" s="65"/>
      <c r="K25" s="64"/>
      <c r="L25" s="64"/>
      <c r="M25" s="64"/>
      <c r="N25" s="64"/>
    </row>
    <row r="26" spans="1:17" x14ac:dyDescent="0.2">
      <c r="A26" s="39">
        <f t="shared" si="0"/>
        <v>13</v>
      </c>
      <c r="B26" s="38"/>
      <c r="C26" s="38"/>
      <c r="D26" s="38"/>
      <c r="E26" s="39"/>
      <c r="F26" s="39"/>
      <c r="G26" s="68"/>
      <c r="H26" s="47"/>
      <c r="I26" s="65"/>
      <c r="J26" s="65"/>
      <c r="K26" s="64"/>
      <c r="L26" s="64"/>
      <c r="M26" s="64"/>
      <c r="N26" s="64"/>
    </row>
    <row r="27" spans="1:17" x14ac:dyDescent="0.2">
      <c r="A27" s="39">
        <f t="shared" si="0"/>
        <v>14</v>
      </c>
      <c r="B27" s="38"/>
      <c r="C27" s="38" t="s">
        <v>53</v>
      </c>
      <c r="D27" s="38"/>
      <c r="E27" s="38"/>
      <c r="F27" s="38"/>
      <c r="G27" s="69">
        <f>ROUND(G14+(I14*G22),0)</f>
        <v>953439278</v>
      </c>
      <c r="H27" s="61"/>
      <c r="I27" s="48">
        <f>I14</f>
        <v>0.52144999999999997</v>
      </c>
      <c r="J27" s="65"/>
      <c r="K27" s="52">
        <f>K14</f>
        <v>9.7500000000000003E-2</v>
      </c>
      <c r="L27" s="48"/>
      <c r="M27" s="48">
        <f>ROUND((I27*K27),5)</f>
        <v>5.0840000000000003E-2</v>
      </c>
      <c r="N27" s="48"/>
    </row>
    <row r="28" spans="1:17" x14ac:dyDescent="0.2">
      <c r="A28" s="39">
        <f t="shared" si="0"/>
        <v>15</v>
      </c>
      <c r="B28" s="38"/>
      <c r="C28" s="38" t="s">
        <v>65</v>
      </c>
      <c r="D28" s="38"/>
      <c r="E28" s="38"/>
      <c r="F28" s="38"/>
      <c r="G28" s="60">
        <f>ROUND(G15+(I15*G22),0)</f>
        <v>805870648</v>
      </c>
      <c r="H28" s="54"/>
      <c r="I28" s="48">
        <f>I15</f>
        <v>0.44074999999999998</v>
      </c>
      <c r="J28" s="65"/>
      <c r="K28" s="52">
        <f>K15</f>
        <v>4.3770000000000003E-2</v>
      </c>
      <c r="L28" s="48"/>
      <c r="M28" s="48">
        <f>ROUND((I28*K28),5)</f>
        <v>1.9290000000000002E-2</v>
      </c>
      <c r="N28" s="48"/>
    </row>
    <row r="29" spans="1:17" x14ac:dyDescent="0.2">
      <c r="A29" s="39">
        <f t="shared" si="0"/>
        <v>16</v>
      </c>
      <c r="B29" s="38"/>
      <c r="C29" s="38" t="s">
        <v>67</v>
      </c>
      <c r="D29" s="38"/>
      <c r="E29" s="39"/>
      <c r="F29" s="39"/>
      <c r="G29" s="70">
        <f>ROUND(G16+(I16*G22),0)</f>
        <v>69112923</v>
      </c>
      <c r="H29" s="47"/>
      <c r="I29" s="55">
        <f>I16</f>
        <v>3.78E-2</v>
      </c>
      <c r="J29" s="65"/>
      <c r="K29" s="52">
        <f>K16</f>
        <v>4.7390000000000002E-2</v>
      </c>
      <c r="L29" s="48"/>
      <c r="M29" s="55">
        <f>ROUND((I29*K29),5)</f>
        <v>1.7899999999999999E-3</v>
      </c>
      <c r="N29" s="55"/>
    </row>
    <row r="30" spans="1:17" x14ac:dyDescent="0.2">
      <c r="A30" s="39">
        <f t="shared" si="0"/>
        <v>17</v>
      </c>
      <c r="B30" s="38"/>
      <c r="C30" s="38"/>
      <c r="D30" s="38"/>
      <c r="E30" s="39"/>
      <c r="F30" s="39"/>
      <c r="G30" s="71"/>
      <c r="H30" s="47"/>
      <c r="I30" s="48"/>
      <c r="J30" s="65"/>
      <c r="K30" s="48"/>
      <c r="L30" s="48"/>
      <c r="M30" s="48"/>
      <c r="N30" s="48"/>
    </row>
    <row r="31" spans="1:17" x14ac:dyDescent="0.2">
      <c r="A31" s="39">
        <f t="shared" si="0"/>
        <v>18</v>
      </c>
      <c r="B31" s="38"/>
      <c r="C31" s="38" t="s">
        <v>74</v>
      </c>
      <c r="D31" s="38"/>
      <c r="E31" s="38"/>
      <c r="F31" s="38"/>
      <c r="G31" s="66">
        <f>SUM(G27:G30)</f>
        <v>1828422849</v>
      </c>
      <c r="H31" s="61"/>
      <c r="I31" s="59">
        <f>SUM(I27:I30)</f>
        <v>1</v>
      </c>
      <c r="J31" s="38"/>
      <c r="K31" s="48"/>
      <c r="L31" s="48"/>
      <c r="M31" s="59">
        <f>SUM(M27:M30)</f>
        <v>7.1919999999999998E-2</v>
      </c>
      <c r="N31" s="59"/>
    </row>
    <row r="32" spans="1:17" x14ac:dyDescent="0.2">
      <c r="A32" s="39"/>
      <c r="B32" s="38"/>
      <c r="C32" s="38"/>
      <c r="D32" s="38"/>
      <c r="E32" s="38"/>
      <c r="F32" s="38"/>
      <c r="G32" s="38"/>
      <c r="H32" s="38"/>
      <c r="I32" s="48"/>
      <c r="J32" s="38"/>
      <c r="K32" s="38"/>
      <c r="L32" s="38"/>
      <c r="M32" s="38"/>
      <c r="N32" s="38"/>
    </row>
    <row r="33" spans="1:14" x14ac:dyDescent="0.2">
      <c r="A33" s="38"/>
      <c r="B33" s="38"/>
      <c r="C33" s="38"/>
      <c r="D33" s="61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x14ac:dyDescent="0.2">
      <c r="A34" s="38"/>
      <c r="B34" s="38"/>
      <c r="C34" s="133" t="s">
        <v>110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">
      <c r="A35" s="38"/>
      <c r="B35" s="38"/>
      <c r="C35" s="133" t="s">
        <v>111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phoneticPr fontId="14" type="noConversion"/>
  <pageMargins left="1" right="0.75" top="1" bottom="1" header="0.5" footer="0.5"/>
  <pageSetup scale="61" orientation="portrait" r:id="rId1"/>
  <headerFooter alignWithMargins="0">
    <oddHeader>&amp;R&amp;"Times New Roman,Bold"KyPSC Case No. 2022-00372
STAFF-RHDR-01-003 Attachment
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370C-E3DA-4B84-9E87-6EDFFFD90A2F}">
  <sheetPr codeName="Sheet62">
    <pageSetUpPr fitToPage="1"/>
  </sheetPr>
  <dimension ref="A1:Z46"/>
  <sheetViews>
    <sheetView view="pageLayout" zoomScaleNormal="100" workbookViewId="0">
      <selection activeCell="L46" sqref="L46"/>
    </sheetView>
  </sheetViews>
  <sheetFormatPr defaultColWidth="8" defaultRowHeight="12.75" x14ac:dyDescent="0.2"/>
  <cols>
    <col min="1" max="1" width="7.42578125" style="25" customWidth="1"/>
    <col min="2" max="2" width="53.5703125" style="25" customWidth="1"/>
    <col min="3" max="3" width="3.42578125" style="25" customWidth="1"/>
    <col min="4" max="4" width="7.5703125" style="25" customWidth="1"/>
    <col min="5" max="5" width="2.42578125" style="25" customWidth="1"/>
    <col min="6" max="6" width="13.42578125" style="25" customWidth="1"/>
    <col min="7" max="7" width="2.42578125" style="25" customWidth="1"/>
    <col min="8" max="8" width="10.5703125" style="25" customWidth="1"/>
    <col min="9" max="9" width="31.5703125" style="25" customWidth="1"/>
    <col min="10" max="10" width="7.42578125" style="25" customWidth="1"/>
    <col min="11" max="11" width="12.140625" style="25" customWidth="1"/>
    <col min="12" max="12" width="22.42578125" style="25" customWidth="1"/>
    <col min="13" max="25" width="12.42578125" style="25" customWidth="1"/>
    <col min="26" max="26" width="4.42578125" style="25" customWidth="1"/>
    <col min="27" max="27" width="16.42578125" style="25" customWidth="1"/>
    <col min="28" max="28" width="2.5703125" style="25" customWidth="1"/>
    <col min="29" max="29" width="19.42578125" style="25" customWidth="1"/>
    <col min="30" max="30" width="14.42578125" style="25" customWidth="1"/>
    <col min="31" max="31" width="6.5703125" style="25" customWidth="1"/>
    <col min="32" max="32" width="44.42578125" style="25" customWidth="1"/>
    <col min="33" max="33" width="19.5703125" style="25" customWidth="1"/>
    <col min="34" max="34" width="14.42578125" style="25" customWidth="1"/>
    <col min="35" max="35" width="19" style="25" customWidth="1"/>
    <col min="36" max="36" width="11.5703125" style="25" customWidth="1"/>
    <col min="37" max="16384" width="8" style="25"/>
  </cols>
  <sheetData>
    <row r="1" spans="1:26" x14ac:dyDescent="0.2">
      <c r="A1" s="74" t="str">
        <f>COMPANY</f>
        <v>DUKE ENERGY KENTUCKY, INC.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6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74" t="str">
        <f>CASE</f>
        <v>CASE NO. 2022-00372</v>
      </c>
      <c r="B2" s="74"/>
      <c r="C2" s="74"/>
      <c r="D2" s="74"/>
      <c r="E2" s="74"/>
      <c r="F2" s="74"/>
      <c r="G2" s="74"/>
      <c r="H2" s="74"/>
      <c r="I2" s="74"/>
      <c r="J2" s="75"/>
      <c r="K2" s="75"/>
      <c r="L2" s="75"/>
      <c r="M2" s="7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5"/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x14ac:dyDescent="0.2">
      <c r="A4" s="74" t="str">
        <f>PeriodF</f>
        <v>FOR THE TWELVE MONTHS ENDED JUNE 30, 2024</v>
      </c>
      <c r="B4" s="74"/>
      <c r="C4" s="74"/>
      <c r="D4" s="74"/>
      <c r="E4" s="74"/>
      <c r="F4" s="74"/>
      <c r="G4" s="74"/>
      <c r="H4" s="74"/>
      <c r="I4" s="74"/>
      <c r="J4" s="75"/>
      <c r="K4" s="75"/>
      <c r="L4" s="75"/>
      <c r="M4" s="76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x14ac:dyDescent="0.2">
      <c r="A5" s="74"/>
      <c r="B5" s="74"/>
      <c r="C5" s="74"/>
      <c r="D5" s="74"/>
      <c r="E5" s="74"/>
      <c r="F5" s="74"/>
      <c r="G5" s="74"/>
      <c r="H5" s="74"/>
      <c r="I5" s="74"/>
      <c r="J5" s="75"/>
      <c r="K5" s="75"/>
      <c r="L5" s="75"/>
      <c r="M5" s="76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x14ac:dyDescent="0.2">
      <c r="A6" s="75"/>
      <c r="B6" s="75"/>
      <c r="C6" s="75"/>
      <c r="D6" s="75"/>
      <c r="E6" s="75"/>
      <c r="F6" s="75"/>
      <c r="G6" s="75"/>
      <c r="H6" s="75"/>
      <c r="I6" s="76" t="s">
        <v>98</v>
      </c>
      <c r="J6" s="75"/>
      <c r="K6" s="75"/>
      <c r="L6" s="75"/>
      <c r="M6" s="76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x14ac:dyDescent="0.2">
      <c r="A7" s="75"/>
      <c r="B7" s="75"/>
      <c r="C7" s="75"/>
      <c r="D7" s="75"/>
      <c r="E7" s="75"/>
      <c r="F7" s="75"/>
      <c r="G7" s="75"/>
      <c r="H7" s="75"/>
      <c r="I7" s="76" t="s">
        <v>97</v>
      </c>
      <c r="J7" s="75"/>
      <c r="K7" s="75"/>
      <c r="L7" s="75"/>
      <c r="M7" s="76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">
      <c r="A8" s="77"/>
      <c r="B8" s="77"/>
      <c r="C8" s="77"/>
      <c r="D8" s="77"/>
      <c r="E8" s="77"/>
      <c r="F8" s="77"/>
      <c r="G8" s="77"/>
      <c r="H8" s="77"/>
      <c r="I8" s="77"/>
      <c r="J8" s="75"/>
      <c r="K8" s="75"/>
      <c r="L8" s="75"/>
      <c r="M8" s="76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2">
      <c r="A9" s="75"/>
      <c r="B9" s="75"/>
      <c r="C9" s="75"/>
      <c r="D9" s="75"/>
      <c r="E9" s="75"/>
      <c r="F9" s="75"/>
      <c r="G9" s="75"/>
      <c r="H9" s="75"/>
      <c r="I9" s="78" t="s">
        <v>76</v>
      </c>
      <c r="J9" s="75"/>
      <c r="K9" s="99" t="s">
        <v>90</v>
      </c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x14ac:dyDescent="0.2">
      <c r="A10" s="78" t="s">
        <v>55</v>
      </c>
      <c r="B10" s="75"/>
      <c r="C10" s="75"/>
      <c r="D10" s="75"/>
      <c r="E10" s="75"/>
      <c r="F10" s="75"/>
      <c r="G10" s="75"/>
      <c r="H10" s="75"/>
      <c r="I10" s="78" t="s">
        <v>77</v>
      </c>
      <c r="J10" s="75"/>
      <c r="K10" s="100" t="s">
        <v>91</v>
      </c>
      <c r="M10" s="76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x14ac:dyDescent="0.2">
      <c r="A11" s="78" t="s">
        <v>59</v>
      </c>
      <c r="B11" s="76" t="s">
        <v>78</v>
      </c>
      <c r="C11" s="75"/>
      <c r="D11" s="75"/>
      <c r="E11" s="75"/>
      <c r="F11" s="75"/>
      <c r="G11" s="75"/>
      <c r="H11" s="75"/>
      <c r="I11" s="78" t="s">
        <v>79</v>
      </c>
      <c r="J11" s="75"/>
      <c r="K11" s="100" t="s">
        <v>92</v>
      </c>
      <c r="M11" s="76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x14ac:dyDescent="0.2">
      <c r="A12" s="77"/>
      <c r="B12" s="77"/>
      <c r="C12" s="77"/>
      <c r="D12" s="77"/>
      <c r="E12" s="77"/>
      <c r="F12" s="77"/>
      <c r="G12" s="77"/>
      <c r="H12" s="77"/>
      <c r="I12" s="79" t="s">
        <v>80</v>
      </c>
      <c r="J12" s="75"/>
      <c r="K12" s="101"/>
      <c r="M12" s="76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102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x14ac:dyDescent="0.2">
      <c r="A14" s="78">
        <v>1</v>
      </c>
      <c r="B14" s="76" t="s">
        <v>81</v>
      </c>
      <c r="C14" s="75"/>
      <c r="D14" s="80"/>
      <c r="E14" s="80"/>
      <c r="F14" s="75"/>
      <c r="G14" s="75"/>
      <c r="H14" s="75"/>
      <c r="I14" s="81">
        <v>1</v>
      </c>
      <c r="J14" s="75"/>
      <c r="K14" s="103">
        <v>1</v>
      </c>
      <c r="M14" s="76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">
      <c r="A15" s="78">
        <v>2</v>
      </c>
      <c r="B15" s="75"/>
      <c r="C15" s="75"/>
      <c r="D15" s="75"/>
      <c r="E15" s="75"/>
      <c r="F15" s="75"/>
      <c r="G15" s="75"/>
      <c r="H15" s="75"/>
      <c r="I15" s="82"/>
      <c r="J15" s="75"/>
      <c r="K15" s="104"/>
      <c r="M15" s="76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x14ac:dyDescent="0.2">
      <c r="A16" s="78">
        <v>3</v>
      </c>
      <c r="B16" s="75"/>
      <c r="C16" s="75"/>
      <c r="D16" s="75"/>
      <c r="E16" s="75"/>
      <c r="F16" s="75"/>
      <c r="G16" s="75"/>
      <c r="H16" s="75"/>
      <c r="I16" s="82"/>
      <c r="J16" s="75"/>
      <c r="K16" s="104"/>
      <c r="M16" s="76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">
      <c r="A17" s="78">
        <v>4</v>
      </c>
      <c r="B17" s="76" t="s">
        <v>82</v>
      </c>
      <c r="C17" s="75"/>
      <c r="D17" s="75"/>
      <c r="E17" s="75"/>
      <c r="F17" s="81">
        <v>1.8200000000000001E-4</v>
      </c>
      <c r="G17" s="75"/>
      <c r="H17" s="75"/>
      <c r="I17" s="82"/>
      <c r="J17" s="75"/>
      <c r="K17" s="104"/>
      <c r="M17" s="7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">
      <c r="A18" s="78">
        <v>5</v>
      </c>
      <c r="B18" s="76" t="s">
        <v>83</v>
      </c>
      <c r="C18" s="75"/>
      <c r="D18" s="75"/>
      <c r="E18" s="75"/>
      <c r="F18" s="81">
        <v>1.493E-3</v>
      </c>
      <c r="G18" s="75"/>
      <c r="H18" s="75"/>
      <c r="I18" s="82"/>
      <c r="J18" s="75"/>
      <c r="K18" s="104"/>
      <c r="M18" s="76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">
      <c r="A19" s="78">
        <v>6</v>
      </c>
      <c r="B19" s="78" t="s">
        <v>84</v>
      </c>
      <c r="C19" s="75"/>
      <c r="D19" s="88"/>
      <c r="E19" s="82"/>
      <c r="F19" s="88"/>
      <c r="G19" s="75"/>
      <c r="H19" s="75"/>
      <c r="I19" s="83">
        <f>F18+F17</f>
        <v>1.6750000000000001E-3</v>
      </c>
      <c r="J19" s="75"/>
      <c r="K19" s="105">
        <v>0</v>
      </c>
      <c r="M19" s="76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">
      <c r="A20" s="78">
        <v>7</v>
      </c>
      <c r="B20" s="75"/>
      <c r="C20" s="75"/>
      <c r="D20" s="84"/>
      <c r="E20" s="84"/>
      <c r="F20" s="84"/>
      <c r="G20" s="75"/>
      <c r="H20" s="75"/>
      <c r="I20" s="84"/>
      <c r="J20" s="75"/>
      <c r="K20" s="106"/>
      <c r="M20" s="76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">
      <c r="A21" s="78">
        <v>8</v>
      </c>
      <c r="B21" s="76" t="s">
        <v>85</v>
      </c>
      <c r="C21" s="75"/>
      <c r="D21" s="85"/>
      <c r="E21" s="85"/>
      <c r="F21" s="80"/>
      <c r="G21" s="75"/>
      <c r="H21" s="75"/>
      <c r="I21" s="81">
        <f>ROUND(I14-I19,7)</f>
        <v>0.99832500000000002</v>
      </c>
      <c r="J21" s="75"/>
      <c r="K21" s="103">
        <f>ROUND(K14-K19,7)</f>
        <v>1</v>
      </c>
      <c r="M21" s="76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">
      <c r="A22" s="78">
        <v>9</v>
      </c>
      <c r="B22" s="75"/>
      <c r="C22" s="75"/>
      <c r="D22" s="75"/>
      <c r="E22" s="75"/>
      <c r="F22" s="75"/>
      <c r="G22" s="75"/>
      <c r="H22" s="75"/>
      <c r="I22" s="80"/>
      <c r="J22" s="75"/>
      <c r="K22" s="107"/>
      <c r="M22" s="76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">
      <c r="A23" s="78">
        <v>10</v>
      </c>
      <c r="B23" s="75" t="s">
        <v>86</v>
      </c>
      <c r="C23" s="75"/>
      <c r="D23" s="75"/>
      <c r="E23" s="75"/>
      <c r="F23" s="75"/>
      <c r="G23" s="75"/>
      <c r="H23" s="75"/>
      <c r="I23" s="82"/>
      <c r="J23" s="75"/>
      <c r="K23" s="104"/>
      <c r="M23" s="76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">
      <c r="A24" s="78">
        <v>11</v>
      </c>
      <c r="B24" s="75" t="str">
        <f>"      ("&amp;TEXT(SIT,"0.00#%")&amp;" * "&amp;TEXT(I21,"##.####%")&amp;" * "&amp;TEXT(APPORT,"##.####%")&amp;")"</f>
        <v xml:space="preserve">      (5.00% * 99.8325% * 99.37%)</v>
      </c>
      <c r="C24" s="75"/>
      <c r="D24" s="75"/>
      <c r="E24" s="75"/>
      <c r="F24" s="75"/>
      <c r="G24" s="75"/>
      <c r="H24" s="75"/>
      <c r="I24" s="83">
        <f>ROUND(SIT*'Tab 3 - SCH H'!I21*APPORT,7)</f>
        <v>4.9601800000000001E-2</v>
      </c>
      <c r="J24" s="75"/>
      <c r="K24" s="105">
        <f>ROUND(5%*99.37%,7)</f>
        <v>4.9685E-2</v>
      </c>
      <c r="M24" s="76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">
      <c r="A25" s="78">
        <v>12</v>
      </c>
      <c r="B25" s="75"/>
      <c r="C25" s="75"/>
      <c r="D25" s="75"/>
      <c r="E25" s="75"/>
      <c r="F25" s="75"/>
      <c r="G25" s="75"/>
      <c r="H25" s="75"/>
      <c r="I25" s="80"/>
      <c r="J25" s="75"/>
      <c r="K25" s="107"/>
      <c r="M25" s="76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x14ac:dyDescent="0.2">
      <c r="A26" s="78">
        <v>13</v>
      </c>
      <c r="B26" s="76" t="s">
        <v>87</v>
      </c>
      <c r="C26" s="75"/>
      <c r="D26" s="75"/>
      <c r="E26" s="75"/>
      <c r="F26" s="75"/>
      <c r="G26" s="75"/>
      <c r="H26" s="75"/>
      <c r="I26" s="81">
        <f>I21-I24</f>
        <v>0.94872319999999999</v>
      </c>
      <c r="J26" s="75"/>
      <c r="K26" s="103">
        <f>K21-K24</f>
        <v>0.95031500000000002</v>
      </c>
      <c r="M26" s="76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">
      <c r="A27" s="78">
        <v>14</v>
      </c>
      <c r="B27" s="75"/>
      <c r="C27" s="75"/>
      <c r="D27" s="75"/>
      <c r="E27" s="75"/>
      <c r="F27" s="75"/>
      <c r="G27" s="75"/>
      <c r="H27" s="75"/>
      <c r="I27" s="80"/>
      <c r="J27" s="75"/>
      <c r="K27" s="107"/>
      <c r="M27" s="76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">
      <c r="A28" s="78">
        <v>15</v>
      </c>
      <c r="B28" s="76" t="str">
        <f>"        Federal Income Tax ("&amp;TEXT(FIT,"##%")&amp;" x "&amp;TEXT(I26,"##.####%")&amp;")"</f>
        <v xml:space="preserve">        Federal Income Tax (21% x 94.8723%)</v>
      </c>
      <c r="C28" s="82"/>
      <c r="D28" s="86"/>
      <c r="E28" s="86"/>
      <c r="F28" s="82"/>
      <c r="G28" s="76"/>
      <c r="H28" s="76"/>
      <c r="I28" s="83">
        <f>ROUND(FIT*'Tab 3 - SCH H'!I26,7)</f>
        <v>0.19923189999999999</v>
      </c>
      <c r="J28" s="75"/>
      <c r="K28" s="105">
        <f>ROUND(FIT*'Tab 3 - SCH H'!K26,7)</f>
        <v>0.1995662</v>
      </c>
      <c r="M28" s="76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x14ac:dyDescent="0.2">
      <c r="A29" s="78">
        <v>16</v>
      </c>
      <c r="B29" s="75"/>
      <c r="C29" s="82"/>
      <c r="D29" s="75"/>
      <c r="E29" s="75"/>
      <c r="F29" s="80"/>
      <c r="G29" s="75"/>
      <c r="H29" s="75"/>
      <c r="I29" s="84"/>
      <c r="J29" s="75"/>
      <c r="K29" s="106"/>
      <c r="M29" s="76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">
      <c r="A30" s="78">
        <v>17</v>
      </c>
      <c r="B30" s="76" t="s">
        <v>88</v>
      </c>
      <c r="C30" s="75"/>
      <c r="D30" s="85"/>
      <c r="E30" s="85"/>
      <c r="F30" s="75"/>
      <c r="G30" s="75"/>
      <c r="H30" s="75"/>
      <c r="I30" s="89">
        <f>ROUND(I26-I28,7)</f>
        <v>0.74949129999999997</v>
      </c>
      <c r="J30" s="75"/>
      <c r="K30" s="108">
        <f>ROUND(K26-K28,7)</f>
        <v>0.75074879999999999</v>
      </c>
      <c r="M30" s="76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">
      <c r="A31" s="78">
        <v>18</v>
      </c>
      <c r="B31" s="75"/>
      <c r="C31" s="75"/>
      <c r="D31" s="75"/>
      <c r="E31" s="75"/>
      <c r="F31" s="75"/>
      <c r="G31" s="75"/>
      <c r="H31" s="75"/>
      <c r="I31" s="86"/>
      <c r="J31" s="75"/>
      <c r="K31" s="109"/>
      <c r="M31" s="76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x14ac:dyDescent="0.2">
      <c r="A32" s="78">
        <v>19</v>
      </c>
      <c r="B32" s="76" t="str">
        <f>"   Gross Revenue Conversion Factor ("&amp;TEXT(I14,"####%")&amp;" / "&amp;TEXT(I30,"##.####%")&amp;")"</f>
        <v xml:space="preserve">   Gross Revenue Conversion Factor (100% / 74.9491%)</v>
      </c>
      <c r="C32" s="75"/>
      <c r="D32" s="75"/>
      <c r="E32" s="75"/>
      <c r="F32" s="75"/>
      <c r="G32" s="75"/>
      <c r="H32" s="75"/>
      <c r="I32" s="87">
        <f>ROUND((I14/I30),7)</f>
        <v>1.3342383</v>
      </c>
      <c r="J32" s="75"/>
      <c r="K32" s="110">
        <f>ROUND((K14/K30),7)</f>
        <v>1.3320034999999999</v>
      </c>
      <c r="M32" s="76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">
      <c r="A33" s="78"/>
      <c r="B33" s="86"/>
      <c r="C33" s="82"/>
      <c r="D33" s="76"/>
      <c r="E33" s="76"/>
      <c r="F33" s="75"/>
      <c r="G33" s="75"/>
      <c r="H33" s="75"/>
      <c r="I33" s="75"/>
      <c r="J33" s="75"/>
      <c r="K33" s="75"/>
      <c r="L33" s="75"/>
      <c r="M33" s="76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x14ac:dyDescent="0.2">
      <c r="A34" s="78"/>
      <c r="B34" s="75"/>
      <c r="C34" s="75"/>
      <c r="D34" s="75"/>
      <c r="E34" s="75"/>
      <c r="F34" s="75"/>
      <c r="G34" s="75"/>
      <c r="H34" s="75"/>
      <c r="I34" s="86"/>
      <c r="J34" s="75"/>
      <c r="K34" s="75"/>
      <c r="L34" s="75"/>
      <c r="M34" s="76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2">
      <c r="A35" s="76"/>
      <c r="B35" s="75"/>
      <c r="C35" s="75"/>
      <c r="D35" s="75"/>
      <c r="E35" s="75"/>
      <c r="F35" s="92" t="s">
        <v>89</v>
      </c>
      <c r="G35" s="93"/>
      <c r="H35" s="93"/>
      <c r="I35" s="94">
        <f>ROUND(I14/I21,7)</f>
        <v>1.0016778</v>
      </c>
      <c r="J35" s="75"/>
      <c r="K35" s="75"/>
      <c r="L35" s="75"/>
      <c r="M35" s="76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90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90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26" x14ac:dyDescent="0.2">
      <c r="A41" s="75"/>
      <c r="B41" s="75"/>
      <c r="C41" s="75"/>
      <c r="D41" s="75"/>
      <c r="E41" s="75"/>
      <c r="J41" s="75"/>
    </row>
    <row r="42" spans="1:26" x14ac:dyDescent="0.2">
      <c r="A42" s="75"/>
      <c r="B42" s="75"/>
      <c r="C42" s="75"/>
      <c r="D42" s="75"/>
      <c r="E42" s="75"/>
      <c r="F42" s="75"/>
      <c r="G42" s="75"/>
      <c r="H42" s="75"/>
      <c r="I42" s="95"/>
      <c r="J42" s="75"/>
    </row>
    <row r="43" spans="1:26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8"/>
      <c r="K43" s="31"/>
      <c r="L43" s="96"/>
      <c r="M43" s="97"/>
      <c r="N43" s="98"/>
      <c r="O43" s="91"/>
      <c r="P43" s="91"/>
      <c r="Q43" s="44"/>
      <c r="R43" s="80"/>
      <c r="S43" s="80"/>
      <c r="T43" s="80"/>
      <c r="U43" s="80"/>
      <c r="V43" s="80"/>
      <c r="W43" s="80"/>
      <c r="X43" s="75"/>
      <c r="Y43" s="75"/>
      <c r="Z43" s="75"/>
    </row>
    <row r="44" spans="1:26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8"/>
      <c r="K44" s="31"/>
      <c r="L44" s="96"/>
      <c r="M44" s="97"/>
      <c r="N44" s="98"/>
      <c r="O44" s="91"/>
      <c r="P44" s="91"/>
      <c r="Q44" s="44"/>
      <c r="R44" s="80"/>
      <c r="S44" s="80"/>
      <c r="T44" s="80"/>
      <c r="U44" s="80"/>
      <c r="V44" s="80"/>
      <c r="W44" s="80"/>
      <c r="X44" s="75"/>
      <c r="Y44" s="75"/>
      <c r="Z44" s="75"/>
    </row>
    <row r="45" spans="1:26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8"/>
      <c r="K45" s="31"/>
      <c r="L45" s="96"/>
      <c r="M45" s="97"/>
      <c r="N45" s="98"/>
      <c r="O45" s="91"/>
      <c r="P45" s="91"/>
      <c r="Q45" s="44"/>
      <c r="R45" s="80"/>
      <c r="S45" s="80"/>
      <c r="T45" s="80"/>
      <c r="U45" s="80"/>
      <c r="V45" s="80"/>
      <c r="W45" s="80"/>
      <c r="X45" s="75"/>
      <c r="Y45" s="75"/>
      <c r="Z45" s="75"/>
    </row>
    <row r="46" spans="1:26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8"/>
      <c r="K46" s="31"/>
      <c r="L46" s="96"/>
      <c r="M46" s="97"/>
      <c r="N46" s="98"/>
      <c r="O46" s="91"/>
      <c r="P46" s="91"/>
      <c r="Q46" s="44"/>
      <c r="R46" s="80"/>
      <c r="S46" s="80"/>
      <c r="T46" s="80"/>
      <c r="U46" s="80"/>
      <c r="V46" s="80"/>
      <c r="W46" s="80"/>
      <c r="X46" s="75"/>
      <c r="Y46" s="75"/>
      <c r="Z46" s="75"/>
    </row>
  </sheetData>
  <pageMargins left="1" right="0.75" top="1" bottom="1" header="0.5" footer="0.5"/>
  <pageSetup scale="79" orientation="landscape" r:id="rId1"/>
  <headerFooter alignWithMargins="0">
    <oddHeader>&amp;R&amp;"Times New Roman,Bold"KyPSC Case No. 2022-00372
STAFF-RHDR-01-003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63783-EDF6-4D34-B011-F0D181EB5B53}">
  <ds:schemaRefs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3FDF77-5C0A-46C9-8444-EBEAF3F07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B12180-D1B7-4141-BD48-3C46DFAAB9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Tab 1 - SCH B-3.2 </vt:lpstr>
      <vt:lpstr>Tab 2 - SCH_J1 Per Order </vt:lpstr>
      <vt:lpstr>Tab 3 - SCH H</vt:lpstr>
      <vt:lpstr>ExpGRCF</vt:lpstr>
      <vt:lpstr>'Tab 1 - SCH B-3.2 '!Print_Area</vt:lpstr>
      <vt:lpstr>'Tab 2 - SCH_J1 Per Order '!Print_Area</vt:lpstr>
      <vt:lpstr>'Tab 3 - SCH H'!Print_Area</vt:lpstr>
      <vt:lpstr>SCH_H_FP</vt:lpstr>
      <vt:lpstr>SCH_J1_Forecast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Solar Assets - Terminal Net Salvage</dc:subject>
  <dc:creator>Whisman, Julie</dc:creator>
  <cp:lastModifiedBy>Sunderman, Minna</cp:lastModifiedBy>
  <cp:lastPrinted>2023-12-15T19:32:45Z</cp:lastPrinted>
  <dcterms:created xsi:type="dcterms:W3CDTF">2023-12-06T14:11:48Z</dcterms:created>
  <dcterms:modified xsi:type="dcterms:W3CDTF">2023-12-20T20:59:55Z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