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AG 2nd Set Data Requests (60)/"/>
    </mc:Choice>
  </mc:AlternateContent>
  <xr:revisionPtr revIDLastSave="0" documentId="13_ncr:1_{260C477C-36D1-4802-91C5-B678FEEB6DEE}" xr6:coauthVersionLast="47" xr6:coauthVersionMax="47" xr10:uidLastSave="{00000000-0000-0000-0000-000000000000}"/>
  <bookViews>
    <workbookView xWindow="-120" yWindow="-120" windowWidth="29040" windowHeight="15840" xr2:uid="{F37C5E81-66F2-4B42-B54F-89C3C0B65873}"/>
  </bookViews>
  <sheets>
    <sheet name="Forced Outage Purchased Power" sheetId="1" r:id="rId1"/>
  </sheets>
  <externalReferences>
    <externalReference r:id="rId2"/>
  </externalReferences>
  <definedNames>
    <definedName name="LossFactor">'[1]EST WS'!$O$90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8" i="1" l="1"/>
  <c r="G7" i="1"/>
  <c r="F7" i="1"/>
  <c r="D18" i="1"/>
  <c r="M7" i="1"/>
  <c r="J7" i="1"/>
  <c r="N64" i="1"/>
  <c r="I7" i="1"/>
  <c r="H7" i="1" l="1"/>
  <c r="M9" i="1" l="1"/>
  <c r="D56" i="1" l="1"/>
  <c r="D65" i="1" s="1"/>
  <c r="D67" i="1" s="1"/>
  <c r="D69" i="1" s="1"/>
  <c r="N53" i="1" s="1"/>
  <c r="F51" i="1"/>
  <c r="E51" i="1"/>
  <c r="D51" i="1"/>
  <c r="C51" i="1"/>
  <c r="B51" i="1"/>
  <c r="N50" i="1"/>
  <c r="M49" i="1"/>
  <c r="M51" i="1" s="1"/>
  <c r="L49" i="1"/>
  <c r="L51" i="1" s="1"/>
  <c r="K49" i="1"/>
  <c r="K51" i="1" s="1"/>
  <c r="J49" i="1"/>
  <c r="J51" i="1" s="1"/>
  <c r="I49" i="1"/>
  <c r="I51" i="1" s="1"/>
  <c r="H49" i="1"/>
  <c r="H51" i="1" s="1"/>
  <c r="G49" i="1"/>
  <c r="M40" i="1"/>
  <c r="L40" i="1"/>
  <c r="J40" i="1"/>
  <c r="I40" i="1"/>
  <c r="H40" i="1"/>
  <c r="G40" i="1"/>
  <c r="D40" i="1"/>
  <c r="C40" i="1"/>
  <c r="B40" i="1"/>
  <c r="N39" i="1"/>
  <c r="K38" i="1"/>
  <c r="K40" i="1" s="1"/>
  <c r="F38" i="1"/>
  <c r="F40" i="1" s="1"/>
  <c r="E38" i="1"/>
  <c r="E40" i="1" s="1"/>
  <c r="M30" i="1"/>
  <c r="J30" i="1"/>
  <c r="I30" i="1"/>
  <c r="F30" i="1"/>
  <c r="E30" i="1"/>
  <c r="C30" i="1"/>
  <c r="B30" i="1"/>
  <c r="N29" i="1"/>
  <c r="L28" i="1"/>
  <c r="L30" i="1" s="1"/>
  <c r="K28" i="1"/>
  <c r="K30" i="1" s="1"/>
  <c r="H28" i="1"/>
  <c r="H30" i="1" s="1"/>
  <c r="G28" i="1"/>
  <c r="G30" i="1" s="1"/>
  <c r="D28" i="1"/>
  <c r="L20" i="1"/>
  <c r="H20" i="1"/>
  <c r="F20" i="1"/>
  <c r="D20" i="1"/>
  <c r="C20" i="1"/>
  <c r="B20" i="1"/>
  <c r="N19" i="1"/>
  <c r="M18" i="1"/>
  <c r="M20" i="1" s="1"/>
  <c r="L18" i="1"/>
  <c r="K18" i="1"/>
  <c r="K20" i="1" s="1"/>
  <c r="J18" i="1"/>
  <c r="J20" i="1" s="1"/>
  <c r="I18" i="1"/>
  <c r="I20" i="1" s="1"/>
  <c r="H18" i="1"/>
  <c r="G18" i="1"/>
  <c r="G20" i="1" s="1"/>
  <c r="E18" i="1"/>
  <c r="E20" i="1" s="1"/>
  <c r="B18" i="1"/>
  <c r="K9" i="1"/>
  <c r="J9" i="1"/>
  <c r="G9" i="1"/>
  <c r="F9" i="1"/>
  <c r="E9" i="1"/>
  <c r="D9" i="1"/>
  <c r="B9" i="1"/>
  <c r="N8" i="1"/>
  <c r="L7" i="1"/>
  <c r="L9" i="1" s="1"/>
  <c r="I9" i="1"/>
  <c r="H9" i="1"/>
  <c r="C7" i="1"/>
  <c r="N38" i="1" l="1"/>
  <c r="N49" i="1"/>
  <c r="N7" i="1"/>
  <c r="N28" i="1"/>
  <c r="D30" i="1"/>
  <c r="N40" i="1"/>
  <c r="N43" i="1" s="1"/>
  <c r="N20" i="1"/>
  <c r="N23" i="1" s="1"/>
  <c r="N30" i="1"/>
  <c r="N33" i="1" s="1"/>
  <c r="N18" i="1"/>
  <c r="C9" i="1"/>
  <c r="N9" i="1" s="1"/>
  <c r="G51" i="1"/>
  <c r="N51" i="1" s="1"/>
  <c r="N54" i="1" s="1"/>
  <c r="G11" i="1" l="1"/>
  <c r="G13" i="1" s="1"/>
  <c r="N58" i="1" l="1"/>
  <c r="N60" i="1" s="1"/>
</calcChain>
</file>

<file path=xl/sharedStrings.xml><?xml version="1.0" encoding="utf-8"?>
<sst xmlns="http://schemas.openxmlformats.org/spreadsheetml/2006/main" count="132" uniqueCount="56">
  <si>
    <t>East Bend</t>
  </si>
  <si>
    <t>2022 ACTUALS Per FAC Filing</t>
  </si>
  <si>
    <t xml:space="preserve"> Schedule 6 </t>
  </si>
  <si>
    <t>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</si>
  <si>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</si>
  <si>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</si>
  <si>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</si>
  <si>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</si>
  <si>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</si>
  <si>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</si>
  <si>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</si>
  <si>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</si>
  <si>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</si>
  <si>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</si>
  <si>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</si>
  <si>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YTD</t>
  </si>
  <si>
    <t>Cost of Purchased Power due to Forced Outage</t>
  </si>
  <si>
    <t>Cost of Purchased Power Recovered Through FAC</t>
  </si>
  <si>
    <t>Cost of Purchased Power Deferred in Reg Asset</t>
  </si>
  <si>
    <t>Cost of Purchased Power Deferred in Reg Asset (thru June 2022 only)</t>
  </si>
  <si>
    <t>Annual Benchmark Included in Base Rates</t>
  </si>
  <si>
    <t>Annual Over/Under Benchmark</t>
  </si>
  <si>
    <t>2021 ACTUALS Per FAC Filing Schedule 6</t>
  </si>
  <si>
    <t>Dec</t>
  </si>
  <si>
    <t>2020 ACTUALS Per FAC Filing Schedule 6</t>
  </si>
  <si>
    <t>2019 ACTUALS Per FAC Filing Schedule 6</t>
  </si>
  <si>
    <t>2018 ACTUALS Per FAC Filing Schedule 6</t>
  </si>
  <si>
    <t>* Reporting period for 2018 starting May to coincide with the implementation of Case No. 2019-00271</t>
  </si>
  <si>
    <t>Jan **</t>
  </si>
  <si>
    <t>Feb **</t>
  </si>
  <si>
    <t>Mar **</t>
  </si>
  <si>
    <t>Apr **</t>
  </si>
  <si>
    <t xml:space="preserve">  2018 prorated for April 14-Dec 31</t>
  </si>
  <si>
    <t xml:space="preserve"># of Days </t>
  </si>
  <si>
    <t>April</t>
  </si>
  <si>
    <t>General Ledger Reconciliation</t>
  </si>
  <si>
    <t>June</t>
  </si>
  <si>
    <t>July</t>
  </si>
  <si>
    <t>General Ledger Balance as of 6/30/22</t>
  </si>
  <si>
    <t>Variance</t>
  </si>
  <si>
    <t>Sept</t>
  </si>
  <si>
    <t xml:space="preserve">Prior Period Correction of Forced Outage Purchased Power </t>
  </si>
  <si>
    <t>Correction of Annual Benchmark Compared to Order</t>
  </si>
  <si>
    <t>Total days in a year</t>
  </si>
  <si>
    <t>262 / 365 =</t>
  </si>
  <si>
    <t>Amount in base rates (annual)</t>
  </si>
  <si>
    <t>2018 - December 2022 Forced Outage Purchased Power Replacement Costs by Expense Month</t>
  </si>
  <si>
    <t>Annual Deferrals Over/Under Benchmark</t>
  </si>
  <si>
    <t>Revised Aug</t>
  </si>
  <si>
    <t xml:space="preserve">Variance </t>
  </si>
  <si>
    <t>Revised May</t>
  </si>
  <si>
    <t>Updated May expense month</t>
  </si>
  <si>
    <t>Updated June expense month</t>
  </si>
  <si>
    <t>Revised Jun</t>
  </si>
  <si>
    <t>Schedule 6</t>
  </si>
  <si>
    <t>Reconciliation for entries recorded after June 30,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</si>
</sst>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4" fillId="0" borderId="0" xfId="3" applyFont="1"/>
    <xf numFmtId="44" fontId="4" fillId="0" borderId="0" xfId="1" applyFont="1"/>
    <xf numFmtId="44" fontId="4" fillId="0" borderId="0" xfId="1" applyFont="1" applyFill="1"/>
    <xf numFmtId="43" fontId="4" fillId="0" borderId="0" xfId="3" applyFont="1" applyBorder="1"/>
    <xf numFmtId="44" fontId="4" fillId="0" borderId="0" xfId="1" applyFont="1" applyBorder="1"/>
    <xf numFmtId="44" fontId="4" fillId="0" borderId="0" xfId="1" applyFont="1" applyFill="1" applyBorder="1"/>
    <xf numFmtId="44" fontId="4" fillId="0" borderId="9" xfId="1" applyFont="1" applyBorder="1"/>
    <xf numFmtId="44" fontId="4" fillId="0" borderId="9" xfId="1" applyFont="1" applyFill="1" applyBorder="1"/>
    <xf numFmtId="43" fontId="2" fillId="0" borderId="0" xfId="0" applyNumberFormat="1" applyFont="1"/>
    <xf numFmtId="43" fontId="2" fillId="0" borderId="0" xfId="3" applyFont="1"/>
    <xf numFmtId="0" fontId="5" fillId="0" borderId="0" xfId="0" applyFont="1"/>
    <xf numFmtId="43" fontId="0" fillId="0" borderId="0" xfId="0" applyNumberFormat="1"/>
    <xf numFmtId="43" fontId="1" fillId="0" borderId="0" xfId="3" applyFont="1"/>
    <xf numFmtId="44" fontId="5" fillId="0" borderId="0" xfId="0" applyNumberFormat="1" applyFont="1"/>
    <xf numFmtId="44" fontId="4" fillId="0" borderId="0" xfId="0" applyNumberFormat="1" applyFont="1"/>
    <xf numFmtId="0" fontId="5" fillId="0" borderId="0" xfId="0" applyFont="1" applyAlignment="1">
      <alignment horizontal="left"/>
    </xf>
    <xf numFmtId="43" fontId="4" fillId="0" borderId="0" xfId="0" applyNumberFormat="1" applyFont="1"/>
    <xf numFmtId="44" fontId="5" fillId="0" borderId="9" xfId="0" applyNumberFormat="1" applyFont="1" applyBorder="1"/>
    <xf numFmtId="0" fontId="4" fillId="0" borderId="0" xfId="0" applyFont="1" applyAlignment="1">
      <alignment horizontal="left"/>
    </xf>
    <xf numFmtId="44" fontId="5" fillId="0" borderId="9" xfId="1" applyFont="1" applyBorder="1"/>
    <xf numFmtId="44" fontId="5" fillId="0" borderId="0" xfId="1" applyFont="1" applyBorder="1"/>
    <xf numFmtId="0" fontId="2" fillId="0" borderId="0" xfId="0" applyFont="1" applyAlignment="1">
      <alignment horizontal="center"/>
    </xf>
    <xf numFmtId="44" fontId="4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4" applyFont="1"/>
    <xf numFmtId="164" fontId="4" fillId="0" borderId="0" xfId="0" applyNumberFormat="1" applyFont="1"/>
    <xf numFmtId="0" fontId="7" fillId="0" borderId="0" xfId="0" applyFont="1"/>
    <xf numFmtId="44" fontId="4" fillId="0" borderId="10" xfId="0" applyNumberFormat="1" applyFont="1" applyBorder="1"/>
    <xf numFmtId="0" fontId="0" fillId="0" borderId="10" xfId="0" applyBorder="1"/>
    <xf numFmtId="0" fontId="0" fillId="0" borderId="0" xfId="0" quotePrefix="1"/>
    <xf numFmtId="9" fontId="0" fillId="0" borderId="0" xfId="2" applyFont="1"/>
    <xf numFmtId="165" fontId="0" fillId="0" borderId="0" xfId="1" applyNumberFormat="1" applyFont="1"/>
    <xf numFmtId="165" fontId="0" fillId="0" borderId="0" xfId="1" applyNumberFormat="1" applyFont="1" applyFill="1"/>
    <xf numFmtId="0" fontId="4" fillId="0" borderId="0" xfId="0" applyFont="1" applyFill="1"/>
    <xf numFmtId="44" fontId="4" fillId="0" borderId="9" xfId="0" applyNumberFormat="1" applyFont="1" applyFill="1" applyBorder="1"/>
    <xf numFmtId="0" fontId="2" fillId="0" borderId="8" xfId="0" applyFont="1" applyFill="1" applyBorder="1" applyAlignment="1">
      <alignment horizontal="center"/>
    </xf>
    <xf numFmtId="43" fontId="2" fillId="0" borderId="0" xfId="0" applyNumberFormat="1" applyFont="1" applyFill="1"/>
    <xf numFmtId="43" fontId="4" fillId="0" borderId="0" xfId="0" applyNumberFormat="1" applyFont="1" applyFill="1"/>
    <xf numFmtId="0" fontId="8" fillId="0" borderId="0" xfId="0" applyFont="1"/>
    <xf numFmtId="0" fontId="3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5">
    <cellStyle name="Comma 2" xfId="3" xr:uid="{5FA6D5D6-BFA7-4831-950F-5CE80660ADC9}"/>
    <cellStyle name="Currency" xfId="1" builtinId="4"/>
    <cellStyle name="Normal" xfId="0" builtinId="0"/>
    <cellStyle name="Normal 3" xfId="4" xr:uid="{D02FB822-6DCE-4341-A65B-1C61DE44CB0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K%20Rider%20Filings\DEK%20FAC%20Filing\Admin\072019%20DEK%20FAC%20Filing%20for%20092019%20Using%2012%20month%20averag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ch 1 - Summary"/>
      <sheetName val="Sch 2 - Fuel Cost"/>
      <sheetName val="Sch 3 - Sales"/>
      <sheetName val="EST WS"/>
      <sheetName val="Sch 4 - Final Fuel Cost"/>
      <sheetName val="Sch 5 - Over (Under)"/>
      <sheetName val="Final S14 WS"/>
      <sheetName val="Sch 6 - RTO Fuel Cost"/>
      <sheetName val="Prev Mo Fin Fuel Cost Schedule"/>
      <sheetName val="S105 March"/>
      <sheetName val="Sch 7 - Prior Period"/>
    </sheetNames>
    <sheetDataSet>
      <sheetData sheetId="0" refreshError="1"/>
      <sheetData sheetId="1"/>
      <sheetData sheetId="2" refreshError="1"/>
      <sheetData sheetId="3" refreshError="1"/>
      <sheetData sheetId="4">
        <row r="90">
          <cell r="O90">
            <v>6.3E-2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1D14-1625-4145-9D23-CA6FF9962224}">
  <sheetPr>
    <pageSetUpPr fitToPage="1"/>
  </sheetPr>
  <dimension ref="A1:P69"/>
  <sheetViews>
    <sheetView tabSelected="1" view="pageLayout" topLeftCell="B1" zoomScaleNormal="90" workbookViewId="0">
      <selection activeCell="N66" sqref="N66"/>
    </sheetView>
  </sheetViews>
  <sheetFormatPr defaultColWidth="9.140625" defaultRowHeight="15" x14ac:dyDescent="0.25"/>
  <cols>
    <col min="1" max="1" width="44.28515625" style="2" customWidth="1"/>
    <col min="2" max="14" width="15.7109375" style="2" customWidth="1"/>
    <col min="15" max="15" width="19.140625" style="2" customWidth="1"/>
    <col min="16" max="16" width="16.140625" style="2" customWidth="1"/>
    <col min="17" max="16384" width="9.140625" style="2"/>
  </cols>
  <sheetData>
    <row r="1" spans="1:16" ht="15.75" x14ac:dyDescent="0.25">
      <c r="A1" s="47" t="s">
        <v>46</v>
      </c>
    </row>
    <row r="2" spans="1:16" ht="15.75" x14ac:dyDescent="0.25">
      <c r="A2" s="1" t="s">
        <v>0</v>
      </c>
    </row>
    <row r="3" spans="1:16" ht="15.75" thickBot="1" x14ac:dyDescent="0.3"/>
    <row r="4" spans="1:16" ht="15.75" thickBot="1" x14ac:dyDescent="0.3">
      <c r="A4" s="48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6" ht="15.75" thickBot="1" x14ac:dyDescent="0.3">
      <c r="A5" s="3"/>
      <c r="B5" s="51" t="s">
        <v>2</v>
      </c>
      <c r="C5" s="52"/>
      <c r="D5" s="52"/>
      <c r="E5" s="53"/>
      <c r="F5" s="4" t="s">
        <v>54</v>
      </c>
      <c r="G5" s="4" t="s">
        <v>54</v>
      </c>
      <c r="H5" s="3"/>
      <c r="I5" s="3"/>
      <c r="J5" s="3"/>
      <c r="K5" s="3"/>
      <c r="L5" s="3"/>
      <c r="M5" s="3"/>
      <c r="N5" s="3"/>
    </row>
    <row r="6" spans="1:16" x14ac:dyDescent="0.25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50</v>
      </c>
      <c r="G6" s="6" t="s">
        <v>53</v>
      </c>
      <c r="H6" s="43" t="s">
        <v>10</v>
      </c>
      <c r="I6" s="43" t="s">
        <v>48</v>
      </c>
      <c r="J6" s="43" t="s">
        <v>12</v>
      </c>
      <c r="K6" s="6" t="s">
        <v>13</v>
      </c>
      <c r="L6" s="6" t="s">
        <v>14</v>
      </c>
      <c r="M6" s="43" t="s">
        <v>23</v>
      </c>
      <c r="N6" s="6" t="s">
        <v>15</v>
      </c>
      <c r="O6" s="7"/>
      <c r="P6" s="7"/>
    </row>
    <row r="7" spans="1:16" x14ac:dyDescent="0.25">
      <c r="A7" s="2" t="s">
        <v>16</v>
      </c>
      <c r="B7" s="8">
        <v>27556.86</v>
      </c>
      <c r="C7" s="8">
        <f>649303.6+4970.62</f>
        <v>654274.22</v>
      </c>
      <c r="D7" s="8">
        <v>0</v>
      </c>
      <c r="E7" s="8">
        <v>0</v>
      </c>
      <c r="F7" s="9">
        <f>3029095.63+56.42</f>
        <v>3029152.05</v>
      </c>
      <c r="G7" s="9">
        <f>1209768.1+62290.34</f>
        <v>1272058.4400000002</v>
      </c>
      <c r="H7" s="9">
        <f>1424109.13+343509.32</f>
        <v>1767618.45</v>
      </c>
      <c r="I7" s="9">
        <f>1166538.2+42787.8</f>
        <v>1209326</v>
      </c>
      <c r="J7" s="9">
        <f>36136.7</f>
        <v>36136.699999999997</v>
      </c>
      <c r="K7" s="8">
        <v>0</v>
      </c>
      <c r="L7" s="8">
        <f>198501.2</f>
        <v>198501.2</v>
      </c>
      <c r="M7" s="9">
        <f>1580784.28+788618.84</f>
        <v>2369403.12</v>
      </c>
      <c r="N7" s="8">
        <f>SUM(B7:M7)</f>
        <v>10564027.040000001</v>
      </c>
      <c r="O7" s="10"/>
      <c r="P7" s="10"/>
    </row>
    <row r="8" spans="1:16" x14ac:dyDescent="0.25">
      <c r="A8" s="2" t="s">
        <v>17</v>
      </c>
      <c r="B8" s="11">
        <v>11241.72</v>
      </c>
      <c r="C8" s="11">
        <v>271590.96000000002</v>
      </c>
      <c r="D8" s="11">
        <v>0</v>
      </c>
      <c r="E8" s="11">
        <v>0</v>
      </c>
      <c r="F8" s="12">
        <v>953898.36</v>
      </c>
      <c r="G8" s="12">
        <v>362992.49</v>
      </c>
      <c r="H8" s="12">
        <v>446583.98</v>
      </c>
      <c r="I8" s="12">
        <v>317710.07</v>
      </c>
      <c r="J8" s="12">
        <v>10000.25</v>
      </c>
      <c r="K8" s="11">
        <v>0</v>
      </c>
      <c r="L8" s="11">
        <v>97032.51</v>
      </c>
      <c r="M8" s="12">
        <v>975608.31999999995</v>
      </c>
      <c r="N8" s="11">
        <f t="shared" ref="N8:N9" si="0">SUM(B8:M8)</f>
        <v>3446658.6599999997</v>
      </c>
    </row>
    <row r="9" spans="1:16" ht="15.75" thickBot="1" x14ac:dyDescent="0.3">
      <c r="A9" s="2" t="s">
        <v>18</v>
      </c>
      <c r="B9" s="13">
        <f>B7-B8</f>
        <v>16315.140000000001</v>
      </c>
      <c r="C9" s="13">
        <f t="shared" ref="C9:L9" si="1">C7-C8</f>
        <v>382683.25999999995</v>
      </c>
      <c r="D9" s="13">
        <f t="shared" si="1"/>
        <v>0</v>
      </c>
      <c r="E9" s="13">
        <f t="shared" si="1"/>
        <v>0</v>
      </c>
      <c r="F9" s="14">
        <f t="shared" si="1"/>
        <v>2075253.69</v>
      </c>
      <c r="G9" s="14">
        <f t="shared" si="1"/>
        <v>909065.95000000019</v>
      </c>
      <c r="H9" s="14">
        <f t="shared" si="1"/>
        <v>1321034.47</v>
      </c>
      <c r="I9" s="14">
        <f t="shared" si="1"/>
        <v>891615.92999999993</v>
      </c>
      <c r="J9" s="14">
        <f t="shared" si="1"/>
        <v>26136.449999999997</v>
      </c>
      <c r="K9" s="13">
        <f t="shared" si="1"/>
        <v>0</v>
      </c>
      <c r="L9" s="13">
        <f t="shared" si="1"/>
        <v>101468.69000000002</v>
      </c>
      <c r="M9" s="14">
        <f t="shared" ref="M9" si="2">M7-M8</f>
        <v>1393794.8000000003</v>
      </c>
      <c r="N9" s="13">
        <f t="shared" si="0"/>
        <v>7117368.3800000008</v>
      </c>
    </row>
    <row r="10" spans="1:16" ht="15.75" thickTop="1" x14ac:dyDescent="0.25">
      <c r="A10"/>
      <c r="B10" s="15"/>
      <c r="C10" s="15"/>
      <c r="D10" s="15"/>
      <c r="E10" s="15"/>
      <c r="F10" s="16"/>
      <c r="G10" s="15"/>
      <c r="H10" s="15"/>
      <c r="I10" s="15"/>
      <c r="J10" s="15"/>
      <c r="K10" s="15"/>
      <c r="L10" s="15"/>
      <c r="M10" s="44"/>
      <c r="N10" s="15"/>
    </row>
    <row r="11" spans="1:16" x14ac:dyDescent="0.25">
      <c r="A11" s="17" t="s">
        <v>19</v>
      </c>
      <c r="B11" s="18"/>
      <c r="C11" s="18"/>
      <c r="D11" s="18"/>
      <c r="E11" s="18"/>
      <c r="F11" s="19"/>
      <c r="G11" s="20">
        <f>SUM(B9:G9)</f>
        <v>3383318.04</v>
      </c>
      <c r="H11" s="18"/>
      <c r="K11" s="18"/>
      <c r="L11" s="18"/>
      <c r="M11" s="18"/>
      <c r="N11" s="21"/>
      <c r="O11" s="21"/>
    </row>
    <row r="12" spans="1:16" x14ac:dyDescent="0.25">
      <c r="A12" s="22" t="s">
        <v>20</v>
      </c>
      <c r="B12" s="18"/>
      <c r="C12" s="18"/>
      <c r="D12" s="18"/>
      <c r="E12" s="18"/>
      <c r="F12" s="19"/>
      <c r="G12" s="20">
        <v>1609963</v>
      </c>
      <c r="H12" s="18"/>
      <c r="K12" s="18"/>
      <c r="L12" s="18"/>
      <c r="M12" s="18"/>
      <c r="N12" s="21"/>
    </row>
    <row r="13" spans="1:16" ht="15.75" thickBot="1" x14ac:dyDescent="0.3">
      <c r="A13" s="17" t="s">
        <v>21</v>
      </c>
      <c r="E13" s="23"/>
      <c r="G13" s="24">
        <f>G11-G12</f>
        <v>1773355.04</v>
      </c>
      <c r="I13" s="25"/>
      <c r="N13" s="21"/>
    </row>
    <row r="14" spans="1:16" ht="15.75" thickTop="1" x14ac:dyDescent="0.25">
      <c r="E14" s="23"/>
      <c r="N14" s="21"/>
    </row>
    <row r="15" spans="1:16" ht="15.75" thickBot="1" x14ac:dyDescent="0.3">
      <c r="E15" s="23"/>
      <c r="O15" s="21"/>
    </row>
    <row r="16" spans="1:16" ht="15.75" thickBot="1" x14ac:dyDescent="0.3">
      <c r="A16" s="48" t="s">
        <v>22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0"/>
      <c r="O16" s="21"/>
    </row>
    <row r="17" spans="1:15" x14ac:dyDescent="0.25">
      <c r="A17" s="5" t="s">
        <v>3</v>
      </c>
      <c r="B17" s="6" t="s">
        <v>4</v>
      </c>
      <c r="C17" s="6" t="s">
        <v>5</v>
      </c>
      <c r="D17" s="43" t="s">
        <v>6</v>
      </c>
      <c r="E17" s="6" t="s">
        <v>7</v>
      </c>
      <c r="F17" s="6" t="s">
        <v>8</v>
      </c>
      <c r="G17" s="6" t="s">
        <v>9</v>
      </c>
      <c r="H17" s="6" t="s">
        <v>10</v>
      </c>
      <c r="I17" s="6" t="s">
        <v>11</v>
      </c>
      <c r="J17" s="6" t="s">
        <v>12</v>
      </c>
      <c r="K17" s="6" t="s">
        <v>13</v>
      </c>
      <c r="L17" s="6" t="s">
        <v>14</v>
      </c>
      <c r="M17" s="6" t="s">
        <v>23</v>
      </c>
      <c r="N17" s="6" t="s">
        <v>15</v>
      </c>
      <c r="O17" s="21"/>
    </row>
    <row r="18" spans="1:15" x14ac:dyDescent="0.25">
      <c r="A18" s="2" t="s">
        <v>16</v>
      </c>
      <c r="B18" s="8">
        <f>1213596.94+53679.27</f>
        <v>1267276.21</v>
      </c>
      <c r="C18" s="8">
        <v>0</v>
      </c>
      <c r="D18" s="8">
        <f>36985.48-5213.31</f>
        <v>31772.170000000002</v>
      </c>
      <c r="E18" s="8">
        <f>286050.21+25639.52</f>
        <v>311689.73000000004</v>
      </c>
      <c r="F18" s="8">
        <v>0</v>
      </c>
      <c r="G18" s="8">
        <f>91956.78</f>
        <v>91956.78</v>
      </c>
      <c r="H18" s="8">
        <f>980721.31+43150.77</f>
        <v>1023872.0800000001</v>
      </c>
      <c r="I18" s="8">
        <f>3555798.7</f>
        <v>3555798.7</v>
      </c>
      <c r="J18" s="8">
        <f>1782944.5+3681.48</f>
        <v>1786625.98</v>
      </c>
      <c r="K18" s="8">
        <f>0</f>
        <v>0</v>
      </c>
      <c r="L18" s="8">
        <f>0</f>
        <v>0</v>
      </c>
      <c r="M18" s="8">
        <f>190400.08</f>
        <v>190400.08</v>
      </c>
      <c r="N18" s="8">
        <f>SUM(B18:M18)</f>
        <v>8259391.7300000004</v>
      </c>
      <c r="O18" s="21"/>
    </row>
    <row r="19" spans="1:15" x14ac:dyDescent="0.25">
      <c r="A19" s="2" t="s">
        <v>17</v>
      </c>
      <c r="B19" s="11">
        <v>875049.67</v>
      </c>
      <c r="C19" s="11">
        <v>0</v>
      </c>
      <c r="D19" s="11">
        <v>31259.18</v>
      </c>
      <c r="E19" s="11">
        <v>198176.59</v>
      </c>
      <c r="F19" s="11">
        <v>0</v>
      </c>
      <c r="G19" s="11">
        <v>46701.1</v>
      </c>
      <c r="H19" s="11">
        <v>524128.57</v>
      </c>
      <c r="I19" s="11">
        <v>1814872.94</v>
      </c>
      <c r="J19" s="11">
        <v>1060259.05</v>
      </c>
      <c r="K19" s="11">
        <v>0</v>
      </c>
      <c r="L19" s="11">
        <v>0</v>
      </c>
      <c r="M19" s="11">
        <v>123617.55</v>
      </c>
      <c r="N19" s="11">
        <f t="shared" ref="N19:N20" si="3">SUM(B19:M19)</f>
        <v>4674064.6500000004</v>
      </c>
      <c r="O19" s="21"/>
    </row>
    <row r="20" spans="1:15" ht="15.75" thickBot="1" x14ac:dyDescent="0.3">
      <c r="A20" s="2" t="s">
        <v>18</v>
      </c>
      <c r="B20" s="13">
        <f>B18-B19</f>
        <v>392226.53999999992</v>
      </c>
      <c r="C20" s="13">
        <f t="shared" ref="C20:M20" si="4">C18-C19</f>
        <v>0</v>
      </c>
      <c r="D20" s="14">
        <f t="shared" si="4"/>
        <v>512.9900000000016</v>
      </c>
      <c r="E20" s="13">
        <f t="shared" si="4"/>
        <v>113513.14000000004</v>
      </c>
      <c r="F20" s="13">
        <f t="shared" si="4"/>
        <v>0</v>
      </c>
      <c r="G20" s="13">
        <f t="shared" si="4"/>
        <v>45255.68</v>
      </c>
      <c r="H20" s="13">
        <f t="shared" si="4"/>
        <v>499743.51000000007</v>
      </c>
      <c r="I20" s="13">
        <f t="shared" si="4"/>
        <v>1740925.7600000002</v>
      </c>
      <c r="J20" s="13">
        <f t="shared" si="4"/>
        <v>726366.92999999993</v>
      </c>
      <c r="K20" s="13">
        <f t="shared" si="4"/>
        <v>0</v>
      </c>
      <c r="L20" s="13">
        <f t="shared" si="4"/>
        <v>0</v>
      </c>
      <c r="M20" s="13">
        <f t="shared" si="4"/>
        <v>66782.529999999984</v>
      </c>
      <c r="N20" s="26">
        <f t="shared" si="3"/>
        <v>3585327.0799999996</v>
      </c>
      <c r="O20" s="21"/>
    </row>
    <row r="21" spans="1:15" ht="15.75" thickTop="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27"/>
      <c r="O21" s="21"/>
    </row>
    <row r="22" spans="1:15" x14ac:dyDescent="0.25">
      <c r="A22" s="22" t="s">
        <v>20</v>
      </c>
      <c r="B22" s="11"/>
      <c r="C22" s="11"/>
      <c r="D22" s="11"/>
      <c r="E22" s="11"/>
      <c r="F22" s="11"/>
      <c r="G22" s="11"/>
      <c r="H22" s="11"/>
      <c r="I22" s="11"/>
      <c r="J22" s="25"/>
      <c r="K22" s="12"/>
      <c r="L22" s="25"/>
      <c r="M22" s="12"/>
      <c r="N22" s="20">
        <v>1609963</v>
      </c>
      <c r="O22" s="21"/>
    </row>
    <row r="23" spans="1:15" ht="15.75" thickBot="1" x14ac:dyDescent="0.3">
      <c r="A23" s="17" t="s">
        <v>21</v>
      </c>
      <c r="J23" s="25"/>
      <c r="L23" s="25"/>
      <c r="N23" s="24">
        <f>N20-N22</f>
        <v>1975364.0799999996</v>
      </c>
    </row>
    <row r="24" spans="1:15" ht="15.75" thickTop="1" x14ac:dyDescent="0.25">
      <c r="L24" s="25"/>
      <c r="N24" s="21"/>
    </row>
    <row r="25" spans="1:15" ht="15.75" thickBot="1" x14ac:dyDescent="0.3"/>
    <row r="26" spans="1:15" ht="15.75" thickBot="1" x14ac:dyDescent="0.3">
      <c r="A26" s="48" t="s">
        <v>24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</row>
    <row r="27" spans="1:15" x14ac:dyDescent="0.25">
      <c r="A27" s="5" t="s">
        <v>3</v>
      </c>
      <c r="B27" s="6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6" t="s">
        <v>12</v>
      </c>
      <c r="K27" s="6" t="s">
        <v>13</v>
      </c>
      <c r="L27" s="6" t="s">
        <v>14</v>
      </c>
      <c r="M27" s="6" t="s">
        <v>23</v>
      </c>
      <c r="N27" s="6" t="s">
        <v>15</v>
      </c>
    </row>
    <row r="28" spans="1:15" x14ac:dyDescent="0.25">
      <c r="A28" s="2" t="s">
        <v>16</v>
      </c>
      <c r="B28" s="8">
        <v>0</v>
      </c>
      <c r="C28" s="8">
        <v>0</v>
      </c>
      <c r="D28" s="8">
        <f>144837.03</f>
        <v>144837.03</v>
      </c>
      <c r="E28" s="8">
        <v>0</v>
      </c>
      <c r="F28" s="8">
        <v>0</v>
      </c>
      <c r="G28" s="8">
        <f>800245.48+16047.76</f>
        <v>816293.24</v>
      </c>
      <c r="H28" s="8">
        <f>111927.3+31416.5</f>
        <v>143343.79999999999</v>
      </c>
      <c r="I28" s="8">
        <v>0</v>
      </c>
      <c r="J28" s="8">
        <v>0</v>
      </c>
      <c r="K28" s="8">
        <f>0</f>
        <v>0</v>
      </c>
      <c r="L28" s="8">
        <f>52901.22</f>
        <v>52901.22</v>
      </c>
      <c r="M28" s="8">
        <v>0</v>
      </c>
      <c r="N28" s="8">
        <f>SUM(B28:M28)</f>
        <v>1157375.29</v>
      </c>
    </row>
    <row r="29" spans="1:15" x14ac:dyDescent="0.25">
      <c r="A29" s="2" t="s">
        <v>17</v>
      </c>
      <c r="B29" s="11">
        <v>0</v>
      </c>
      <c r="C29" s="11">
        <v>0</v>
      </c>
      <c r="D29" s="11">
        <v>144837.03</v>
      </c>
      <c r="E29" s="11">
        <v>0</v>
      </c>
      <c r="F29" s="11">
        <v>0</v>
      </c>
      <c r="G29" s="11">
        <v>816293.24</v>
      </c>
      <c r="H29" s="11">
        <v>128780.2</v>
      </c>
      <c r="I29" s="11">
        <v>0</v>
      </c>
      <c r="J29" s="11">
        <v>0</v>
      </c>
      <c r="K29" s="11">
        <v>0</v>
      </c>
      <c r="L29" s="11">
        <v>51016.98</v>
      </c>
      <c r="M29" s="11">
        <v>0</v>
      </c>
      <c r="N29" s="11">
        <f t="shared" ref="N29:N30" si="5">SUM(B29:M29)</f>
        <v>1140927.45</v>
      </c>
    </row>
    <row r="30" spans="1:15" ht="15.75" thickBot="1" x14ac:dyDescent="0.3">
      <c r="A30" s="2" t="s">
        <v>18</v>
      </c>
      <c r="B30" s="13">
        <f>B28-B29</f>
        <v>0</v>
      </c>
      <c r="C30" s="13">
        <f t="shared" ref="C30:M30" si="6">C28-C29</f>
        <v>0</v>
      </c>
      <c r="D30" s="13">
        <f t="shared" si="6"/>
        <v>0</v>
      </c>
      <c r="E30" s="13">
        <f t="shared" si="6"/>
        <v>0</v>
      </c>
      <c r="F30" s="13">
        <f t="shared" si="6"/>
        <v>0</v>
      </c>
      <c r="G30" s="13">
        <f t="shared" si="6"/>
        <v>0</v>
      </c>
      <c r="H30" s="13">
        <f t="shared" si="6"/>
        <v>14563.599999999991</v>
      </c>
      <c r="I30" s="13">
        <f t="shared" si="6"/>
        <v>0</v>
      </c>
      <c r="J30" s="13">
        <f t="shared" si="6"/>
        <v>0</v>
      </c>
      <c r="K30" s="13">
        <f t="shared" si="6"/>
        <v>0</v>
      </c>
      <c r="L30" s="13">
        <f t="shared" si="6"/>
        <v>1884.239999999998</v>
      </c>
      <c r="M30" s="13">
        <f t="shared" si="6"/>
        <v>0</v>
      </c>
      <c r="N30" s="26">
        <f t="shared" si="5"/>
        <v>16447.839999999989</v>
      </c>
    </row>
    <row r="31" spans="1:15" ht="15.75" thickTop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7"/>
    </row>
    <row r="32" spans="1:15" x14ac:dyDescent="0.25">
      <c r="A32" s="22" t="s">
        <v>20</v>
      </c>
      <c r="B32" s="11"/>
      <c r="C32" s="11"/>
      <c r="D32" s="11"/>
      <c r="E32" s="11"/>
      <c r="F32" s="11"/>
      <c r="G32" s="11"/>
      <c r="H32" s="11"/>
      <c r="I32" s="11"/>
      <c r="J32" s="25"/>
      <c r="K32" s="12"/>
      <c r="L32" s="25"/>
      <c r="M32" s="12"/>
      <c r="N32" s="20">
        <v>1609963</v>
      </c>
    </row>
    <row r="33" spans="1:14" ht="15.75" thickBot="1" x14ac:dyDescent="0.3">
      <c r="A33" s="17" t="s">
        <v>21</v>
      </c>
      <c r="J33" s="25"/>
      <c r="L33" s="25"/>
      <c r="N33" s="24">
        <f>N30-N32</f>
        <v>-1593515.16</v>
      </c>
    </row>
    <row r="34" spans="1:14" ht="15.75" thickTop="1" x14ac:dyDescent="0.25">
      <c r="N34" s="21"/>
    </row>
    <row r="35" spans="1:14" ht="15.75" thickBot="1" x14ac:dyDescent="0.3"/>
    <row r="36" spans="1:14" ht="15.75" thickBot="1" x14ac:dyDescent="0.3">
      <c r="A36" s="48" t="s">
        <v>25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</row>
    <row r="37" spans="1:14" x14ac:dyDescent="0.25">
      <c r="A37" s="5" t="s">
        <v>3</v>
      </c>
      <c r="B37" s="6" t="s">
        <v>4</v>
      </c>
      <c r="C37" s="6" t="s">
        <v>5</v>
      </c>
      <c r="D37" s="6" t="s">
        <v>6</v>
      </c>
      <c r="E37" s="6" t="s">
        <v>7</v>
      </c>
      <c r="F37" s="6" t="s">
        <v>8</v>
      </c>
      <c r="G37" s="6" t="s">
        <v>9</v>
      </c>
      <c r="H37" s="6" t="s">
        <v>10</v>
      </c>
      <c r="I37" s="6" t="s">
        <v>11</v>
      </c>
      <c r="J37" s="6" t="s">
        <v>12</v>
      </c>
      <c r="K37" s="6" t="s">
        <v>13</v>
      </c>
      <c r="L37" s="6" t="s">
        <v>14</v>
      </c>
      <c r="M37" s="6" t="s">
        <v>23</v>
      </c>
      <c r="N37" s="6" t="s">
        <v>15</v>
      </c>
    </row>
    <row r="38" spans="1:14" x14ac:dyDescent="0.25">
      <c r="A38" s="2" t="s">
        <v>16</v>
      </c>
      <c r="B38" s="8">
        <v>0</v>
      </c>
      <c r="C38" s="8">
        <v>0</v>
      </c>
      <c r="D38" s="8">
        <v>0</v>
      </c>
      <c r="E38" s="8">
        <f>714913.95+34360.78</f>
        <v>749274.73</v>
      </c>
      <c r="F38" s="8">
        <f>110185.2+24830.01</f>
        <v>135015.21</v>
      </c>
      <c r="G38" s="8">
        <v>7537.39</v>
      </c>
      <c r="H38" s="8">
        <v>0</v>
      </c>
      <c r="I38" s="8">
        <v>0</v>
      </c>
      <c r="J38" s="8">
        <v>0</v>
      </c>
      <c r="K38" s="8">
        <f>1550626.44+96437.27</f>
        <v>1647063.71</v>
      </c>
      <c r="L38" s="8">
        <v>11103.53</v>
      </c>
      <c r="M38" s="8">
        <v>0</v>
      </c>
      <c r="N38" s="8">
        <f>SUM(B38:M38)</f>
        <v>2549994.5699999998</v>
      </c>
    </row>
    <row r="39" spans="1:14" x14ac:dyDescent="0.25">
      <c r="A39" s="2" t="s">
        <v>17</v>
      </c>
      <c r="B39" s="11">
        <v>0</v>
      </c>
      <c r="C39" s="11">
        <v>0</v>
      </c>
      <c r="D39" s="11">
        <v>0</v>
      </c>
      <c r="E39" s="11">
        <v>473947.69</v>
      </c>
      <c r="F39" s="11">
        <v>83722.42</v>
      </c>
      <c r="G39" s="11">
        <v>7537.39</v>
      </c>
      <c r="H39" s="11">
        <v>0</v>
      </c>
      <c r="I39" s="11">
        <v>0</v>
      </c>
      <c r="J39" s="11">
        <v>0</v>
      </c>
      <c r="K39" s="11">
        <v>959857.2</v>
      </c>
      <c r="L39" s="11">
        <v>11103.53</v>
      </c>
      <c r="M39" s="11">
        <v>0</v>
      </c>
      <c r="N39" s="11">
        <f t="shared" ref="N39:N40" si="7">SUM(B39:M39)</f>
        <v>1536168.23</v>
      </c>
    </row>
    <row r="40" spans="1:14" ht="15.75" thickBot="1" x14ac:dyDescent="0.3">
      <c r="A40" s="2" t="s">
        <v>18</v>
      </c>
      <c r="B40" s="13">
        <f>B38-B39</f>
        <v>0</v>
      </c>
      <c r="C40" s="13">
        <f t="shared" ref="C40:M40" si="8">C38-C39</f>
        <v>0</v>
      </c>
      <c r="D40" s="13">
        <f t="shared" si="8"/>
        <v>0</v>
      </c>
      <c r="E40" s="13">
        <f t="shared" si="8"/>
        <v>275327.03999999998</v>
      </c>
      <c r="F40" s="13">
        <f t="shared" si="8"/>
        <v>51292.789999999994</v>
      </c>
      <c r="G40" s="13">
        <f t="shared" si="8"/>
        <v>0</v>
      </c>
      <c r="H40" s="13">
        <f t="shared" si="8"/>
        <v>0</v>
      </c>
      <c r="I40" s="13">
        <f t="shared" si="8"/>
        <v>0</v>
      </c>
      <c r="J40" s="13">
        <f t="shared" si="8"/>
        <v>0</v>
      </c>
      <c r="K40" s="13">
        <f t="shared" si="8"/>
        <v>687206.51</v>
      </c>
      <c r="L40" s="13">
        <f t="shared" si="8"/>
        <v>0</v>
      </c>
      <c r="M40" s="13">
        <f t="shared" si="8"/>
        <v>0</v>
      </c>
      <c r="N40" s="26">
        <f t="shared" si="7"/>
        <v>1013826.34</v>
      </c>
    </row>
    <row r="41" spans="1:14" ht="15.75" thickTop="1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7"/>
    </row>
    <row r="42" spans="1:14" x14ac:dyDescent="0.25">
      <c r="A42" s="22" t="s">
        <v>20</v>
      </c>
      <c r="B42" s="11"/>
      <c r="C42" s="11"/>
      <c r="D42" s="11"/>
      <c r="E42" s="11"/>
      <c r="F42" s="11"/>
      <c r="G42" s="11"/>
      <c r="H42" s="11"/>
      <c r="I42" s="11"/>
      <c r="J42" s="25"/>
      <c r="K42" s="12"/>
      <c r="L42" s="25"/>
      <c r="M42" s="12"/>
      <c r="N42" s="20">
        <v>1609963</v>
      </c>
    </row>
    <row r="43" spans="1:14" ht="15.75" thickBot="1" x14ac:dyDescent="0.3">
      <c r="A43" s="17" t="s">
        <v>21</v>
      </c>
      <c r="J43" s="25"/>
      <c r="L43" s="25"/>
      <c r="N43" s="24">
        <f>N40-N42</f>
        <v>-596136.66</v>
      </c>
    </row>
    <row r="44" spans="1:14" ht="15.75" thickTop="1" x14ac:dyDescent="0.25">
      <c r="L44" s="25"/>
      <c r="N44" s="21"/>
    </row>
    <row r="45" spans="1:14" ht="15.75" thickBot="1" x14ac:dyDescent="0.3"/>
    <row r="46" spans="1:14" ht="15.75" thickBot="1" x14ac:dyDescent="0.3">
      <c r="A46" s="48" t="s">
        <v>26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</row>
    <row r="47" spans="1:14" x14ac:dyDescent="0.25">
      <c r="A47" t="s">
        <v>27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x14ac:dyDescent="0.25">
      <c r="A48" s="5" t="s">
        <v>3</v>
      </c>
      <c r="B48" s="6" t="s">
        <v>28</v>
      </c>
      <c r="C48" s="6" t="s">
        <v>29</v>
      </c>
      <c r="D48" s="6" t="s">
        <v>30</v>
      </c>
      <c r="E48" s="6" t="s">
        <v>31</v>
      </c>
      <c r="F48" s="6" t="s">
        <v>8</v>
      </c>
      <c r="G48" s="6" t="s">
        <v>9</v>
      </c>
      <c r="H48" s="6" t="s">
        <v>10</v>
      </c>
      <c r="I48" s="6" t="s">
        <v>11</v>
      </c>
      <c r="J48" s="6" t="s">
        <v>12</v>
      </c>
      <c r="K48" s="6" t="s">
        <v>13</v>
      </c>
      <c r="L48" s="6" t="s">
        <v>14</v>
      </c>
      <c r="M48" s="6" t="s">
        <v>23</v>
      </c>
      <c r="N48" s="6" t="s">
        <v>15</v>
      </c>
    </row>
    <row r="49" spans="1:16" x14ac:dyDescent="0.25">
      <c r="A49" s="2" t="s">
        <v>16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f>644582.57+22127.68</f>
        <v>666710.25</v>
      </c>
      <c r="H49" s="8">
        <f>188666.84+20416.83</f>
        <v>209083.66999999998</v>
      </c>
      <c r="I49" s="8">
        <f>415065.13+107389.64</f>
        <v>522454.77</v>
      </c>
      <c r="J49" s="8">
        <f>209162.25+53454.47</f>
        <v>262616.71999999997</v>
      </c>
      <c r="K49" s="8">
        <f>1614652.54+169363.57</f>
        <v>1784016.11</v>
      </c>
      <c r="L49" s="8">
        <f>27253.17</f>
        <v>27253.17</v>
      </c>
      <c r="M49" s="8">
        <f>30042.74</f>
        <v>30042.74</v>
      </c>
      <c r="N49" s="8">
        <f>SUM(B49:M49)</f>
        <v>3502177.43</v>
      </c>
    </row>
    <row r="50" spans="1:16" x14ac:dyDescent="0.25">
      <c r="A50" s="2" t="s">
        <v>17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493488.28</v>
      </c>
      <c r="H50" s="11">
        <v>102904.34</v>
      </c>
      <c r="I50" s="11">
        <v>275505.09999999998</v>
      </c>
      <c r="J50" s="11">
        <v>141821.9</v>
      </c>
      <c r="K50" s="11">
        <v>940757.33</v>
      </c>
      <c r="L50" s="11">
        <v>16044.98</v>
      </c>
      <c r="M50" s="11">
        <v>19154.88</v>
      </c>
      <c r="N50" s="11">
        <f t="shared" ref="N50:N51" si="9">SUM(B50:M50)</f>
        <v>1989676.8099999998</v>
      </c>
    </row>
    <row r="51" spans="1:16" ht="15.75" thickBot="1" x14ac:dyDescent="0.3">
      <c r="A51" s="2" t="s">
        <v>18</v>
      </c>
      <c r="B51" s="13">
        <f>B49-B50</f>
        <v>0</v>
      </c>
      <c r="C51" s="13">
        <f t="shared" ref="C51:M51" si="10">C49-C50</f>
        <v>0</v>
      </c>
      <c r="D51" s="13">
        <f t="shared" si="10"/>
        <v>0</v>
      </c>
      <c r="E51" s="13">
        <f t="shared" si="10"/>
        <v>0</v>
      </c>
      <c r="F51" s="13">
        <f t="shared" si="10"/>
        <v>0</v>
      </c>
      <c r="G51" s="13">
        <f t="shared" si="10"/>
        <v>173221.96999999997</v>
      </c>
      <c r="H51" s="13">
        <f t="shared" si="10"/>
        <v>106179.32999999999</v>
      </c>
      <c r="I51" s="13">
        <f t="shared" si="10"/>
        <v>246949.67000000004</v>
      </c>
      <c r="J51" s="13">
        <f t="shared" si="10"/>
        <v>120794.81999999998</v>
      </c>
      <c r="K51" s="13">
        <f t="shared" si="10"/>
        <v>843258.78000000014</v>
      </c>
      <c r="L51" s="13">
        <f t="shared" si="10"/>
        <v>11208.189999999999</v>
      </c>
      <c r="M51" s="13">
        <f t="shared" si="10"/>
        <v>10887.86</v>
      </c>
      <c r="N51" s="26">
        <f t="shared" si="9"/>
        <v>1512500.62</v>
      </c>
    </row>
    <row r="52" spans="1:16" ht="15.75" thickTop="1" x14ac:dyDescent="0.25">
      <c r="N52" s="17"/>
    </row>
    <row r="53" spans="1:16" x14ac:dyDescent="0.25">
      <c r="A53" s="22" t="s">
        <v>20</v>
      </c>
      <c r="J53" s="25"/>
      <c r="K53" s="12"/>
      <c r="L53" s="29"/>
      <c r="M53" s="12"/>
      <c r="N53" s="20">
        <f>D69</f>
        <v>1155631.4413999999</v>
      </c>
    </row>
    <row r="54" spans="1:16" ht="15.75" thickBot="1" x14ac:dyDescent="0.3">
      <c r="A54" s="17" t="s">
        <v>21</v>
      </c>
      <c r="J54" s="25"/>
      <c r="L54" s="25"/>
      <c r="N54" s="24">
        <f>N51-N53</f>
        <v>356869.17860000022</v>
      </c>
    </row>
    <row r="55" spans="1:16" ht="15.75" thickTop="1" x14ac:dyDescent="0.25">
      <c r="B55" s="30" t="s">
        <v>32</v>
      </c>
      <c r="D55" s="31" t="s">
        <v>33</v>
      </c>
      <c r="J55" s="25"/>
      <c r="L55" s="25"/>
      <c r="N55" s="21"/>
    </row>
    <row r="56" spans="1:16" x14ac:dyDescent="0.25">
      <c r="B56" s="32"/>
      <c r="C56" t="s">
        <v>34</v>
      </c>
      <c r="D56">
        <f>30-13</f>
        <v>17</v>
      </c>
      <c r="J56" s="25"/>
      <c r="L56" s="25"/>
      <c r="N56" s="21"/>
      <c r="P56" s="33"/>
    </row>
    <row r="57" spans="1:16" x14ac:dyDescent="0.25">
      <c r="B57" s="30"/>
      <c r="C57" t="s">
        <v>8</v>
      </c>
      <c r="D57">
        <v>31</v>
      </c>
      <c r="J57" s="46" t="s">
        <v>35</v>
      </c>
      <c r="K57" s="34"/>
    </row>
    <row r="58" spans="1:16" x14ac:dyDescent="0.25">
      <c r="B58" s="30"/>
      <c r="C58" t="s">
        <v>36</v>
      </c>
      <c r="D58">
        <v>30</v>
      </c>
      <c r="J58" s="2" t="s">
        <v>47</v>
      </c>
      <c r="N58" s="21">
        <f>G13+N23+N33+N43+N54</f>
        <v>1915936.4786</v>
      </c>
      <c r="O58" s="21"/>
    </row>
    <row r="59" spans="1:16" x14ac:dyDescent="0.25">
      <c r="B59" s="30"/>
      <c r="C59" t="s">
        <v>37</v>
      </c>
      <c r="D59">
        <v>31</v>
      </c>
      <c r="J59" s="2" t="s">
        <v>38</v>
      </c>
      <c r="N59" s="23">
        <v>1819459.83</v>
      </c>
      <c r="O59" s="21"/>
    </row>
    <row r="60" spans="1:16" x14ac:dyDescent="0.25">
      <c r="B60" s="30"/>
      <c r="C60" t="s">
        <v>11</v>
      </c>
      <c r="D60">
        <v>31</v>
      </c>
      <c r="J60" s="2" t="s">
        <v>39</v>
      </c>
      <c r="N60" s="35">
        <f>N58-N59</f>
        <v>96476.648599999957</v>
      </c>
      <c r="O60" s="21"/>
    </row>
    <row r="61" spans="1:16" x14ac:dyDescent="0.25">
      <c r="B61" s="30"/>
      <c r="C61" t="s">
        <v>40</v>
      </c>
      <c r="D61">
        <v>30</v>
      </c>
      <c r="O61" s="21"/>
    </row>
    <row r="62" spans="1:16" x14ac:dyDescent="0.25">
      <c r="B62" s="30"/>
      <c r="C62" t="s">
        <v>13</v>
      </c>
      <c r="D62">
        <v>31</v>
      </c>
      <c r="J62" s="17" t="s">
        <v>55</v>
      </c>
      <c r="O62" s="21"/>
    </row>
    <row r="63" spans="1:16" x14ac:dyDescent="0.25">
      <c r="B63" s="30"/>
      <c r="C63" t="s">
        <v>14</v>
      </c>
      <c r="D63">
        <v>30</v>
      </c>
      <c r="J63" s="2" t="s">
        <v>41</v>
      </c>
      <c r="N63" s="21">
        <v>60742.47</v>
      </c>
      <c r="O63" s="21"/>
    </row>
    <row r="64" spans="1:16" x14ac:dyDescent="0.25">
      <c r="B64" s="30"/>
      <c r="C64" t="s">
        <v>23</v>
      </c>
      <c r="D64">
        <v>31</v>
      </c>
      <c r="J64" s="2" t="s">
        <v>42</v>
      </c>
      <c r="N64" s="23">
        <f>-20000*4-14369.56</f>
        <v>-94369.56</v>
      </c>
    </row>
    <row r="65" spans="3:14" x14ac:dyDescent="0.25">
      <c r="C65"/>
      <c r="D65" s="36">
        <f>SUM(D56:D64)</f>
        <v>262</v>
      </c>
      <c r="J65" s="41" t="s">
        <v>51</v>
      </c>
      <c r="K65" s="41"/>
      <c r="L65" s="41"/>
      <c r="M65" s="41"/>
      <c r="N65" s="45">
        <v>9290.43</v>
      </c>
    </row>
    <row r="66" spans="3:14" x14ac:dyDescent="0.25">
      <c r="C66" s="30" t="s">
        <v>43</v>
      </c>
      <c r="D66" s="36">
        <v>365</v>
      </c>
      <c r="J66" s="2" t="s">
        <v>52</v>
      </c>
      <c r="N66" s="45">
        <v>-72139.990000000005</v>
      </c>
    </row>
    <row r="67" spans="3:14" x14ac:dyDescent="0.25">
      <c r="C67" s="37" t="s">
        <v>44</v>
      </c>
      <c r="D67" s="38">
        <f>ROUND(D65/365,4)</f>
        <v>0.71779999999999999</v>
      </c>
    </row>
    <row r="68" spans="3:14" ht="15.75" thickBot="1" x14ac:dyDescent="0.3">
      <c r="C68" s="30" t="s">
        <v>45</v>
      </c>
      <c r="D68" s="39">
        <v>1609963</v>
      </c>
      <c r="J68" s="41" t="s">
        <v>49</v>
      </c>
      <c r="K68" s="41"/>
      <c r="L68" s="41"/>
      <c r="M68" s="41"/>
      <c r="N68" s="42">
        <f>SUM(N60:N67)</f>
        <v>-1.4000000519445166E-3</v>
      </c>
    </row>
    <row r="69" spans="3:14" ht="15.75" thickTop="1" x14ac:dyDescent="0.25">
      <c r="C69" s="30" t="s">
        <v>32</v>
      </c>
      <c r="D69" s="40">
        <f>D68*D67</f>
        <v>1155631.4413999999</v>
      </c>
    </row>
  </sheetData>
  <mergeCells count="6">
    <mergeCell ref="A46:N46"/>
    <mergeCell ref="A4:N4"/>
    <mergeCell ref="B5:E5"/>
    <mergeCell ref="A16:N16"/>
    <mergeCell ref="A26:N26"/>
    <mergeCell ref="A36:N36"/>
  </mergeCells>
  <pageMargins left="0.52" right="0.5" top="0.65" bottom="0.31" header="0.16" footer="0.16"/>
  <pageSetup scale="51" orientation="landscape" r:id="rId1"/>
  <headerFooter>
    <oddHeader>&amp;R&amp;"Times New Roman,Bold"&amp;10KyPSC Case No. 2022-00372
AG-DR-02-055 Attachment 2
Page &amp;P of &amp;N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Steinkuhl / Weatherston</Witness>
  </documentManagement>
</p:properties>
</file>

<file path=customXml/itemProps1.xml><?xml version="1.0" encoding="utf-8"?>
<ds:datastoreItem xmlns:ds="http://schemas.openxmlformats.org/officeDocument/2006/customXml" ds:itemID="{B736D2A9-BB9B-4FDB-AE63-FC7EFDA87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49F3F1-0ED2-495D-BC46-5EAF06C464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3E4C6-7E28-41B9-96C1-2231AD62209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745fd72d-7e83-4669-aadd-86863736241e"/>
    <ds:schemaRef ds:uri="5ba878c6-b33b-4b7d-8b1a-66240161f50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Forced Outage Purchased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Forced Outage Purchased Power</dc:subject>
  <dc:creator>Steinkuhl, Lisa D</dc:creator>
  <cp:lastModifiedBy>Sunderman, Minna</cp:lastModifiedBy>
  <cp:lastPrinted>2023-03-01T15:09:53Z</cp:lastPrinted>
  <dcterms:created xsi:type="dcterms:W3CDTF">2023-01-23T18:47:15Z</dcterms:created>
  <dcterms:modified xsi:type="dcterms:W3CDTF">2023-03-01T21:16:11Z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