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1st Set Data Requests/"/>
    </mc:Choice>
  </mc:AlternateContent>
  <xr:revisionPtr revIDLastSave="0" documentId="13_ncr:1_{D4BFCC11-A8CB-46A6-9939-01CE346548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K 22a" sheetId="1" r:id="rId1"/>
    <sheet name="DEK 22b" sheetId="2" r:id="rId2"/>
    <sheet name="DEC 22a" sheetId="3" r:id="rId3"/>
    <sheet name="DEC 22b" sheetId="4" r:id="rId4"/>
  </sheets>
  <definedNames>
    <definedName name="_xlnm.Print_Area" localSheetId="2">'DEC 22a'!$A$1:$N$29</definedName>
    <definedName name="_xlnm.Print_Area" localSheetId="3">'DEC 22b'!$A$1:$J$41</definedName>
    <definedName name="_xlnm.Print_Area" localSheetId="0">'DEK 22a'!$A$1:$N$25</definedName>
    <definedName name="_xlnm.Print_Area" localSheetId="1">'DEK 22b'!$A$1:$I$42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4" l="1"/>
  <c r="C18" i="4"/>
  <c r="C19" i="4"/>
  <c r="C20" i="4"/>
  <c r="C21" i="4"/>
  <c r="C22" i="4"/>
  <c r="C23" i="4"/>
  <c r="C24" i="4"/>
  <c r="C25" i="4"/>
  <c r="C26" i="4"/>
  <c r="C27" i="4"/>
  <c r="C28" i="4"/>
  <c r="C29" i="4"/>
  <c r="C17" i="4"/>
  <c r="G17" i="4"/>
  <c r="C30" i="2" l="1"/>
  <c r="L17" i="3" l="1"/>
  <c r="H17" i="3"/>
  <c r="F17" i="3"/>
  <c r="D17" i="3"/>
  <c r="G19" i="3"/>
  <c r="I19" i="3"/>
  <c r="M21" i="3"/>
  <c r="N20" i="3" s="1"/>
  <c r="M14" i="3"/>
  <c r="I14" i="3"/>
  <c r="G14" i="3" s="1"/>
  <c r="N17" i="3" l="1"/>
  <c r="N18" i="3"/>
  <c r="N16" i="3"/>
  <c r="N21" i="3" s="1"/>
  <c r="N19" i="3"/>
  <c r="I17" i="1" l="1"/>
  <c r="J14" i="1" s="1"/>
  <c r="H16" i="1"/>
  <c r="G17" i="1"/>
  <c r="H13" i="1" s="1"/>
  <c r="E17" i="1"/>
  <c r="F14" i="1" s="1"/>
  <c r="C17" i="1"/>
  <c r="D16" i="1" s="1"/>
  <c r="D15" i="1" l="1"/>
  <c r="D14" i="1"/>
  <c r="D13" i="1"/>
  <c r="J13" i="1"/>
  <c r="H14" i="1"/>
  <c r="H15" i="1"/>
  <c r="F16" i="1"/>
  <c r="F13" i="1"/>
  <c r="F15" i="1"/>
  <c r="J16" i="1"/>
  <c r="J15" i="1"/>
  <c r="I11" i="1" l="1"/>
  <c r="G11" i="1" s="1"/>
  <c r="M11" i="1"/>
  <c r="K17" i="1" l="1"/>
  <c r="G18" i="4" l="1"/>
  <c r="G15" i="2"/>
  <c r="J17" i="1" l="1"/>
  <c r="H17" i="1"/>
  <c r="D17" i="1"/>
  <c r="B17" i="4"/>
  <c r="A6" i="3" l="1"/>
  <c r="A6" i="4"/>
  <c r="A6" i="2"/>
  <c r="A5" i="2"/>
  <c r="A8" i="4" l="1"/>
  <c r="I32" i="4" l="1"/>
  <c r="H32" i="4"/>
  <c r="F32" i="4"/>
  <c r="I30" i="4"/>
  <c r="H30" i="4"/>
  <c r="F30" i="4"/>
  <c r="G29" i="4"/>
  <c r="G28" i="4"/>
  <c r="G27" i="4"/>
  <c r="G26" i="4"/>
  <c r="G25" i="4"/>
  <c r="G24" i="4"/>
  <c r="G23" i="4"/>
  <c r="G22" i="4"/>
  <c r="G21" i="4"/>
  <c r="G20" i="4"/>
  <c r="G19" i="4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2" i="4" s="1"/>
  <c r="A34" i="4" s="1"/>
  <c r="A36" i="4" s="1"/>
  <c r="I21" i="3"/>
  <c r="C21" i="3"/>
  <c r="H27" i="2"/>
  <c r="H28" i="2" s="1"/>
  <c r="F27" i="2"/>
  <c r="F28" i="2" s="1"/>
  <c r="F29" i="2" s="1"/>
  <c r="E27" i="2"/>
  <c r="E28" i="2" s="1"/>
  <c r="D27" i="2"/>
  <c r="D28" i="2" s="1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C15" i="2"/>
  <c r="M17" i="1"/>
  <c r="L16" i="1"/>
  <c r="D20" i="3" l="1"/>
  <c r="H36" i="4"/>
  <c r="D36" i="4"/>
  <c r="H30" i="2"/>
  <c r="D30" i="2"/>
  <c r="J20" i="3"/>
  <c r="J19" i="3"/>
  <c r="J18" i="3"/>
  <c r="J17" i="3"/>
  <c r="J16" i="3"/>
  <c r="N15" i="1"/>
  <c r="N16" i="1"/>
  <c r="N13" i="1"/>
  <c r="L13" i="1"/>
  <c r="G30" i="2"/>
  <c r="K21" i="3"/>
  <c r="L16" i="3" s="1"/>
  <c r="D30" i="4"/>
  <c r="D32" i="4"/>
  <c r="E36" i="4"/>
  <c r="N14" i="1"/>
  <c r="L15" i="1"/>
  <c r="E21" i="3"/>
  <c r="E30" i="4"/>
  <c r="E32" i="4"/>
  <c r="G36" i="4"/>
  <c r="L14" i="1"/>
  <c r="G21" i="3"/>
  <c r="H16" i="3" s="1"/>
  <c r="G30" i="4"/>
  <c r="G32" i="4"/>
  <c r="D19" i="3"/>
  <c r="D16" i="3"/>
  <c r="D18" i="3"/>
  <c r="F36" i="4"/>
  <c r="E30" i="2"/>
  <c r="F30" i="2"/>
  <c r="I36" i="4" l="1"/>
  <c r="I30" i="2"/>
  <c r="F18" i="3"/>
  <c r="F20" i="3"/>
  <c r="F19" i="3"/>
  <c r="F16" i="3"/>
  <c r="H20" i="3"/>
  <c r="H19" i="3"/>
  <c r="H18" i="3"/>
  <c r="N17" i="1"/>
  <c r="L20" i="3"/>
  <c r="L19" i="3"/>
  <c r="L17" i="1"/>
  <c r="C32" i="4"/>
  <c r="D34" i="4" s="1"/>
  <c r="L18" i="3"/>
  <c r="C36" i="4"/>
  <c r="C30" i="4"/>
  <c r="J21" i="3"/>
  <c r="D21" i="3"/>
  <c r="F34" i="4" l="1"/>
  <c r="E34" i="4"/>
  <c r="L21" i="3"/>
  <c r="F21" i="3"/>
  <c r="H21" i="3"/>
  <c r="G34" i="4"/>
  <c r="H34" i="4"/>
  <c r="I34" i="4" l="1"/>
  <c r="C34" i="4" s="1"/>
  <c r="F17" i="1"/>
  <c r="C14" i="2"/>
  <c r="C27" i="2" s="1"/>
  <c r="C28" i="2" s="1"/>
  <c r="G14" i="2"/>
  <c r="G27" i="2" s="1"/>
  <c r="G28" i="2" s="1"/>
  <c r="I27" i="2"/>
  <c r="I28" i="2" s="1"/>
  <c r="G29" i="2" l="1"/>
  <c r="H29" i="2"/>
  <c r="D29" i="2"/>
  <c r="E29" i="2"/>
  <c r="I29" i="2" l="1"/>
  <c r="C29" i="2" s="1"/>
</calcChain>
</file>

<file path=xl/sharedStrings.xml><?xml version="1.0" encoding="utf-8"?>
<sst xmlns="http://schemas.openxmlformats.org/spreadsheetml/2006/main" count="177" uniqueCount="92">
  <si>
    <t>Duke Energy Kentucky, Inc.</t>
  </si>
  <si>
    <t>Calculation of Capital Structure</t>
  </si>
  <si>
    <t>12 Months Ended December</t>
  </si>
  <si>
    <t>Dollars In Thousands</t>
  </si>
  <si>
    <t>Line No.</t>
  </si>
  <si>
    <t>Type of Capital</t>
  </si>
  <si>
    <t>Amount</t>
  </si>
  <si>
    <t>Ratio</t>
  </si>
  <si>
    <t>1.</t>
  </si>
  <si>
    <t>2.</t>
  </si>
  <si>
    <t>Short-Term Debt</t>
  </si>
  <si>
    <t>3.</t>
  </si>
  <si>
    <t>Preferred &amp; Preference Stock</t>
  </si>
  <si>
    <t>4.</t>
  </si>
  <si>
    <r>
      <t xml:space="preserve">Common Equity </t>
    </r>
    <r>
      <rPr>
        <vertAlign val="superscript"/>
        <sz val="10"/>
        <rFont val="Arial"/>
        <family val="2"/>
      </rPr>
      <t>2</t>
    </r>
  </si>
  <si>
    <t>5.</t>
  </si>
  <si>
    <t>Total Capitalization</t>
  </si>
  <si>
    <t>(1) Includes current portion of Long Term Debt</t>
  </si>
  <si>
    <t>(2) Includes Common Stock, Additional Paid in Capital, Retained Earnings and Other Comprehensive Income</t>
  </si>
  <si>
    <t>Calculation of Average Capital Structure</t>
  </si>
  <si>
    <t xml:space="preserve">Total  </t>
  </si>
  <si>
    <t>Line</t>
  </si>
  <si>
    <t>Total</t>
  </si>
  <si>
    <t>Long-term</t>
  </si>
  <si>
    <t>Short-term</t>
  </si>
  <si>
    <t xml:space="preserve">Preferred  </t>
  </si>
  <si>
    <t>Common</t>
  </si>
  <si>
    <t xml:space="preserve">Retained   </t>
  </si>
  <si>
    <t>No.</t>
  </si>
  <si>
    <t>Item</t>
  </si>
  <si>
    <t>Capital</t>
  </si>
  <si>
    <r>
      <t xml:space="preserve">Debt </t>
    </r>
    <r>
      <rPr>
        <b/>
        <u/>
        <vertAlign val="superscript"/>
        <sz val="10"/>
        <rFont val="Arial MT"/>
      </rPr>
      <t>1</t>
    </r>
  </si>
  <si>
    <t>Debt</t>
  </si>
  <si>
    <t>Stock</t>
  </si>
  <si>
    <r>
      <t xml:space="preserve">Stock </t>
    </r>
    <r>
      <rPr>
        <b/>
        <u/>
        <vertAlign val="superscript"/>
        <sz val="10"/>
        <rFont val="Arial MT"/>
      </rPr>
      <t>2</t>
    </r>
  </si>
  <si>
    <t xml:space="preserve">Earnings </t>
  </si>
  <si>
    <t>Equity</t>
  </si>
  <si>
    <t>(a)</t>
  </si>
  <si>
    <t>(b)</t>
  </si>
  <si>
    <t>(c)</t>
  </si>
  <si>
    <t>(d)</t>
  </si>
  <si>
    <t>(e)</t>
  </si>
  <si>
    <t>(f)</t>
  </si>
  <si>
    <t>(g)</t>
  </si>
  <si>
    <t>(h)</t>
  </si>
  <si>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</si>
  <si>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</si>
  <si>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</si>
  <si>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</si>
  <si>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</si>
  <si>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</si>
  <si>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</si>
  <si>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</si>
  <si>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</si>
  <si>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</si>
  <si>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</si>
  <si>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</si>
  <si>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Total (L1 through L13)</t>
  </si>
  <si>
    <t>Average Balance (L14 / 13)</t>
  </si>
  <si>
    <t xml:space="preserve">Average Capitalization Ratio </t>
  </si>
  <si>
    <t xml:space="preserve">End-of-period capitalization Ratio </t>
  </si>
  <si>
    <t>(2) Includes Common Stock, Additional Paid in Capital and Other Comprehensive Income</t>
  </si>
  <si>
    <t xml:space="preserve"> </t>
  </si>
  <si>
    <t xml:space="preserve">Short Term Debt </t>
  </si>
  <si>
    <t xml:space="preserve">Preferred Trust Securities </t>
  </si>
  <si>
    <t>6.</t>
  </si>
  <si>
    <t>Duke Energy Corp.</t>
  </si>
  <si>
    <t xml:space="preserve">Debt </t>
  </si>
  <si>
    <t>Earnings</t>
  </si>
  <si>
    <t>Total (L1-L13)</t>
  </si>
  <si>
    <t>Average Balance (L14/13)</t>
  </si>
  <si>
    <t>Average capitalization ratios</t>
  </si>
  <si>
    <t>End-of-period capitalization ratios</t>
  </si>
  <si>
    <t>Instructions: If the applicant is a member of an affiliated group, the above data is to be provided for the applicant as shown. On a separate schedule, the same</t>
  </si>
  <si>
    <t>data should also be provided for the parent company and the entire system on a consolidated basis.</t>
  </si>
  <si>
    <t>Instructions:</t>
  </si>
  <si>
    <t>1. If applicable , provide an additional schedule in the above format excluding common equity in subsidiaries from the total company capital structure.</t>
  </si>
  <si>
    <t>show the amount of common equity excluded.</t>
  </si>
  <si>
    <t>2. Include premium class of stock.</t>
  </si>
  <si>
    <t>Dollars in Millions</t>
  </si>
  <si>
    <t>(2) Includes Common Stock, Additional Paid in Capital, Retained Earnings, Other Comprehensive Income and Noncontrolling interests</t>
  </si>
  <si>
    <r>
      <t xml:space="preserve">Long Term Debt </t>
    </r>
    <r>
      <rPr>
        <vertAlign val="superscript"/>
        <sz val="10"/>
        <rFont val="Arial"/>
        <family val="2"/>
      </rPr>
      <t>1, 4</t>
    </r>
  </si>
  <si>
    <t>(4) 2014 and forward amounts include the unamortized debt expense amounts, in accordance with updated GAAP guidance</t>
  </si>
  <si>
    <r>
      <t xml:space="preserve">Long Term Debt </t>
    </r>
    <r>
      <rPr>
        <vertAlign val="superscript"/>
        <sz val="10"/>
        <rFont val="Arial"/>
        <family val="2"/>
      </rPr>
      <t>1,3</t>
    </r>
  </si>
  <si>
    <t>(3) 2014 and forward amounts include the unamortized debt expense amounts, in accordance with updated GAAP guidance</t>
  </si>
  <si>
    <t>Schedule 22a</t>
  </si>
  <si>
    <t>Schedule 22b</t>
  </si>
  <si>
    <t>Case No. 2022-00372</t>
  </si>
  <si>
    <t xml:space="preserve">Latest Available </t>
  </si>
  <si>
    <t>(3)  Lastest available quarter is as of September 30, 2022</t>
  </si>
  <si>
    <t>12 Months Ended December 31, 2021</t>
  </si>
  <si>
    <t>Balance at the beginning of Jan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</si>
</sst>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%"/>
    <numFmt numFmtId="167" formatCode="0.00000%"/>
  </numFmts>
  <fonts count="14">
    <font>
      <sz val="11"/>
      <color theme="1"/>
      <name val="Calibri"/>
      <family val="2"/>
      <scheme val="minor"/>
    </font>
    <font>
      <sz val="12"/>
      <name val="Arial MT"/>
    </font>
    <font>
      <sz val="10"/>
      <name val="Arial MT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9"/>
      <name val="Arial MT"/>
    </font>
    <font>
      <b/>
      <sz val="10"/>
      <name val="Arial MT"/>
    </font>
    <font>
      <b/>
      <u/>
      <sz val="10"/>
      <name val="Arial MT"/>
    </font>
    <font>
      <b/>
      <u/>
      <vertAlign val="superscript"/>
      <sz val="10"/>
      <name val="Arial MT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7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3">
    <xf numFmtId="0" fontId="0" fillId="0" borderId="0" xfId="0"/>
    <xf numFmtId="37" fontId="2" fillId="0" borderId="0" xfId="1" applyFont="1"/>
    <xf numFmtId="37" fontId="8" fillId="0" borderId="0" xfId="1" applyFont="1" applyAlignment="1"/>
    <xf numFmtId="37" fontId="2" fillId="0" borderId="6" xfId="1" applyFont="1" applyBorder="1"/>
    <xf numFmtId="37" fontId="2" fillId="0" borderId="0" xfId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2" fillId="0" borderId="10" xfId="1" applyFont="1" applyBorder="1"/>
    <xf numFmtId="37" fontId="2" fillId="0" borderId="2" xfId="1" applyFont="1" applyBorder="1"/>
    <xf numFmtId="37" fontId="9" fillId="0" borderId="11" xfId="1" applyFont="1" applyBorder="1" applyAlignment="1">
      <alignment horizontal="center"/>
    </xf>
    <xf numFmtId="37" fontId="9" fillId="0" borderId="12" xfId="1" applyFont="1" applyBorder="1" applyAlignment="1">
      <alignment horizontal="center"/>
    </xf>
    <xf numFmtId="37" fontId="9" fillId="0" borderId="13" xfId="1" applyFont="1" applyBorder="1" applyAlignment="1">
      <alignment horizontal="center"/>
    </xf>
    <xf numFmtId="37" fontId="9" fillId="0" borderId="14" xfId="1" applyFont="1" applyBorder="1" applyAlignment="1">
      <alignment horizontal="center"/>
    </xf>
    <xf numFmtId="37" fontId="10" fillId="0" borderId="12" xfId="1" applyFont="1" applyBorder="1" applyAlignment="1">
      <alignment horizontal="center"/>
    </xf>
    <xf numFmtId="37" fontId="10" fillId="0" borderId="13" xfId="1" applyFont="1" applyBorder="1" applyAlignment="1">
      <alignment horizontal="center"/>
    </xf>
    <xf numFmtId="37" fontId="10" fillId="0" borderId="14" xfId="1" applyFont="1" applyBorder="1" applyAlignment="1">
      <alignment horizontal="center"/>
    </xf>
    <xf numFmtId="37" fontId="9" fillId="0" borderId="15" xfId="1" applyFont="1" applyBorder="1" applyAlignment="1">
      <alignment horizontal="center"/>
    </xf>
    <xf numFmtId="37" fontId="9" fillId="0" borderId="16" xfId="1" applyFont="1" applyBorder="1" applyAlignment="1">
      <alignment horizontal="center"/>
    </xf>
    <xf numFmtId="37" fontId="9" fillId="0" borderId="17" xfId="1" applyFont="1" applyBorder="1" applyAlignment="1">
      <alignment horizontal="center"/>
    </xf>
    <xf numFmtId="10" fontId="2" fillId="0" borderId="21" xfId="2" applyNumberFormat="1" applyFont="1" applyBorder="1" applyAlignment="1">
      <alignment wrapText="1"/>
    </xf>
    <xf numFmtId="10" fontId="2" fillId="0" borderId="22" xfId="2" applyNumberFormat="1" applyFont="1" applyBorder="1" applyAlignment="1">
      <alignment wrapText="1"/>
    </xf>
    <xf numFmtId="0" fontId="3" fillId="0" borderId="0" xfId="3" applyFont="1"/>
    <xf numFmtId="0" fontId="3" fillId="0" borderId="0" xfId="3" applyFont="1" applyAlignment="1">
      <alignment horizontal="right"/>
    </xf>
    <xf numFmtId="0" fontId="4" fillId="0" borderId="0" xfId="3" applyFont="1" applyAlignment="1">
      <alignment horizontal="centerContinuous"/>
    </xf>
    <xf numFmtId="0" fontId="3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3" fillId="0" borderId="2" xfId="3" applyFont="1" applyBorder="1"/>
    <xf numFmtId="0" fontId="3" fillId="0" borderId="26" xfId="3" applyFont="1" applyBorder="1"/>
    <xf numFmtId="0" fontId="3" fillId="0" borderId="27" xfId="3" applyFont="1" applyBorder="1"/>
    <xf numFmtId="0" fontId="3" fillId="0" borderId="26" xfId="3" applyFont="1" applyBorder="1" applyAlignment="1">
      <alignment horizontal="centerContinuous"/>
    </xf>
    <xf numFmtId="0" fontId="3" fillId="0" borderId="27" xfId="3" applyFont="1" applyBorder="1" applyAlignment="1">
      <alignment horizontal="centerContinuous"/>
    </xf>
    <xf numFmtId="0" fontId="3" fillId="0" borderId="13" xfId="3" applyFont="1" applyBorder="1"/>
    <xf numFmtId="0" fontId="3" fillId="0" borderId="28" xfId="3" applyFont="1" applyBorder="1"/>
    <xf numFmtId="0" fontId="3" fillId="0" borderId="29" xfId="3" applyFont="1" applyBorder="1"/>
    <xf numFmtId="0" fontId="3" fillId="0" borderId="28" xfId="3" applyFont="1" applyBorder="1" applyAlignment="1">
      <alignment horizontal="centerContinuous"/>
    </xf>
    <xf numFmtId="0" fontId="3" fillId="0" borderId="29" xfId="3" applyFont="1" applyBorder="1" applyAlignment="1">
      <alignment horizontal="centerContinuous"/>
    </xf>
    <xf numFmtId="0" fontId="3" fillId="0" borderId="13" xfId="3" applyFont="1" applyBorder="1" applyAlignment="1">
      <alignment horizontal="center"/>
    </xf>
    <xf numFmtId="0" fontId="3" fillId="0" borderId="28" xfId="3" applyFont="1" applyBorder="1" applyAlignment="1">
      <alignment horizontal="center"/>
    </xf>
    <xf numFmtId="0" fontId="6" fillId="0" borderId="30" xfId="3" applyFont="1" applyBorder="1" applyAlignment="1">
      <alignment horizontal="centerContinuous"/>
    </xf>
    <xf numFmtId="0" fontId="3" fillId="0" borderId="16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0" fontId="3" fillId="0" borderId="30" xfId="3" applyFont="1" applyBorder="1" applyAlignment="1">
      <alignment horizontal="left"/>
    </xf>
    <xf numFmtId="165" fontId="3" fillId="0" borderId="1" xfId="4" applyNumberFormat="1" applyFont="1" applyBorder="1"/>
    <xf numFmtId="164" fontId="3" fillId="0" borderId="1" xfId="2" applyNumberFormat="1" applyFont="1" applyBorder="1"/>
    <xf numFmtId="0" fontId="3" fillId="0" borderId="3" xfId="3" applyFont="1" applyBorder="1"/>
    <xf numFmtId="165" fontId="3" fillId="0" borderId="1" xfId="4" applyNumberFormat="1" applyFont="1" applyFill="1" applyBorder="1"/>
    <xf numFmtId="37" fontId="2" fillId="0" borderId="5" xfId="1" applyFont="1" applyBorder="1"/>
    <xf numFmtId="37" fontId="2" fillId="0" borderId="6" xfId="1" applyFont="1" applyBorder="1" applyAlignment="1"/>
    <xf numFmtId="37" fontId="2" fillId="0" borderId="7" xfId="1" applyFont="1" applyBorder="1" applyAlignment="1">
      <alignment horizontal="right"/>
    </xf>
    <xf numFmtId="37" fontId="2" fillId="0" borderId="8" xfId="1" applyFont="1" applyBorder="1"/>
    <xf numFmtId="37" fontId="2" fillId="0" borderId="0" xfId="1" applyFont="1" applyBorder="1" applyAlignment="1"/>
    <xf numFmtId="37" fontId="2" fillId="0" borderId="9" xfId="1" applyFont="1" applyBorder="1" applyAlignment="1">
      <alignment horizontal="right"/>
    </xf>
    <xf numFmtId="0" fontId="4" fillId="0" borderId="8" xfId="3" applyFont="1" applyBorder="1" applyAlignment="1">
      <alignment horizontal="centerContinuous"/>
    </xf>
    <xf numFmtId="37" fontId="9" fillId="0" borderId="0" xfId="1" applyFont="1" applyBorder="1" applyAlignment="1">
      <alignment horizontal="centerContinuous"/>
    </xf>
    <xf numFmtId="37" fontId="2" fillId="0" borderId="0" xfId="1" applyFont="1" applyBorder="1" applyAlignment="1">
      <alignment horizontal="centerContinuous"/>
    </xf>
    <xf numFmtId="37" fontId="2" fillId="0" borderId="9" xfId="1" applyFont="1" applyBorder="1" applyAlignment="1">
      <alignment horizontal="centerContinuous"/>
    </xf>
    <xf numFmtId="37" fontId="9" fillId="0" borderId="0" xfId="1" applyFont="1"/>
    <xf numFmtId="37" fontId="1" fillId="0" borderId="8" xfId="1" applyFont="1" applyBorder="1" applyAlignment="1">
      <alignment horizontal="centerContinuous"/>
    </xf>
    <xf numFmtId="37" fontId="2" fillId="0" borderId="8" xfId="1" applyFont="1" applyBorder="1" applyAlignment="1">
      <alignment horizontal="centerContinuous"/>
    </xf>
    <xf numFmtId="37" fontId="9" fillId="0" borderId="8" xfId="1" applyFont="1" applyBorder="1" applyAlignment="1">
      <alignment horizontal="centerContinuous"/>
    </xf>
    <xf numFmtId="37" fontId="2" fillId="0" borderId="9" xfId="1" applyFont="1" applyBorder="1"/>
    <xf numFmtId="37" fontId="2" fillId="0" borderId="2" xfId="1" applyFont="1" applyBorder="1" applyAlignment="1"/>
    <xf numFmtId="37" fontId="9" fillId="0" borderId="0" xfId="1" applyFont="1" applyAlignment="1">
      <alignment horizontal="center"/>
    </xf>
    <xf numFmtId="37" fontId="10" fillId="0" borderId="0" xfId="1" applyFont="1" applyAlignment="1">
      <alignment horizontal="center"/>
    </xf>
    <xf numFmtId="37" fontId="9" fillId="0" borderId="16" xfId="1" quotePrefix="1" applyFont="1" applyBorder="1" applyAlignment="1">
      <alignment horizontal="center"/>
    </xf>
    <xf numFmtId="37" fontId="9" fillId="0" borderId="17" xfId="1" quotePrefix="1" applyFont="1" applyBorder="1" applyAlignment="1">
      <alignment horizontal="center"/>
    </xf>
    <xf numFmtId="37" fontId="2" fillId="0" borderId="18" xfId="1" applyFont="1" applyBorder="1" applyAlignment="1">
      <alignment horizontal="center" wrapText="1"/>
    </xf>
    <xf numFmtId="37" fontId="2" fillId="0" borderId="1" xfId="1" applyFont="1" applyBorder="1" applyAlignment="1"/>
    <xf numFmtId="165" fontId="2" fillId="0" borderId="1" xfId="4" applyNumberFormat="1" applyFont="1" applyBorder="1" applyAlignment="1">
      <alignment wrapText="1"/>
    </xf>
    <xf numFmtId="165" fontId="2" fillId="0" borderId="19" xfId="4" applyNumberFormat="1" applyFont="1" applyBorder="1" applyAlignment="1">
      <alignment wrapText="1"/>
    </xf>
    <xf numFmtId="37" fontId="2" fillId="0" borderId="0" xfId="1" applyFont="1" applyAlignment="1">
      <alignment wrapText="1"/>
    </xf>
    <xf numFmtId="37" fontId="2" fillId="0" borderId="1" xfId="1" applyFont="1" applyBorder="1" applyAlignment="1">
      <alignment horizontal="left" indent="1"/>
    </xf>
    <xf numFmtId="37" fontId="2" fillId="0" borderId="18" xfId="1" applyFont="1" applyBorder="1" applyAlignment="1">
      <alignment wrapText="1"/>
    </xf>
    <xf numFmtId="165" fontId="2" fillId="0" borderId="1" xfId="4" applyNumberFormat="1" applyFont="1" applyBorder="1" applyAlignment="1">
      <alignment horizontal="center" wrapText="1"/>
    </xf>
    <xf numFmtId="165" fontId="2" fillId="0" borderId="19" xfId="4" applyNumberFormat="1" applyFont="1" applyBorder="1" applyAlignment="1">
      <alignment horizontal="center" wrapText="1"/>
    </xf>
    <xf numFmtId="10" fontId="2" fillId="0" borderId="1" xfId="2" applyNumberFormat="1" applyFont="1" applyBorder="1" applyAlignment="1">
      <alignment wrapText="1"/>
    </xf>
    <xf numFmtId="10" fontId="2" fillId="0" borderId="19" xfId="2" applyNumberFormat="1" applyFont="1" applyBorder="1" applyAlignment="1">
      <alignment wrapText="1"/>
    </xf>
    <xf numFmtId="37" fontId="2" fillId="0" borderId="20" xfId="1" applyFont="1" applyBorder="1" applyAlignment="1">
      <alignment horizontal="center" wrapText="1"/>
    </xf>
    <xf numFmtId="37" fontId="2" fillId="0" borderId="21" xfId="1" applyFont="1" applyBorder="1" applyAlignment="1"/>
    <xf numFmtId="37" fontId="2" fillId="0" borderId="0" xfId="1" applyFont="1" applyAlignment="1">
      <alignment horizontal="center" wrapText="1"/>
    </xf>
    <xf numFmtId="37" fontId="2" fillId="0" borderId="0" xfId="1" applyFont="1" applyAlignment="1"/>
    <xf numFmtId="165" fontId="2" fillId="0" borderId="0" xfId="4" applyNumberFormat="1" applyFont="1"/>
    <xf numFmtId="166" fontId="2" fillId="0" borderId="0" xfId="2" applyNumberFormat="1" applyFont="1" applyBorder="1" applyAlignment="1">
      <alignment wrapText="1"/>
    </xf>
    <xf numFmtId="167" fontId="2" fillId="0" borderId="0" xfId="2" applyNumberFormat="1" applyFont="1" applyAlignment="1">
      <alignment wrapText="1"/>
    </xf>
    <xf numFmtId="167" fontId="2" fillId="0" borderId="0" xfId="4" applyNumberFormat="1" applyFont="1"/>
    <xf numFmtId="165" fontId="2" fillId="0" borderId="0" xfId="4" applyNumberFormat="1" applyFont="1" applyAlignment="1">
      <alignment wrapText="1"/>
    </xf>
    <xf numFmtId="0" fontId="4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3" fillId="0" borderId="33" xfId="0" applyFont="1" applyBorder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3" fillId="0" borderId="34" xfId="0" applyFont="1" applyBorder="1" applyAlignment="1">
      <alignment horizontal="centerContinuous"/>
    </xf>
    <xf numFmtId="0" fontId="12" fillId="0" borderId="0" xfId="0" applyFont="1"/>
    <xf numFmtId="165" fontId="3" fillId="0" borderId="0" xfId="4" applyNumberFormat="1" applyFont="1" applyBorder="1"/>
    <xf numFmtId="165" fontId="3" fillId="0" borderId="0" xfId="4" applyNumberFormat="1" applyFont="1" applyFill="1" applyBorder="1"/>
    <xf numFmtId="0" fontId="12" fillId="0" borderId="0" xfId="0" applyFont="1" applyBorder="1"/>
    <xf numFmtId="42" fontId="12" fillId="0" borderId="1" xfId="0" applyNumberFormat="1" applyFont="1" applyBorder="1"/>
    <xf numFmtId="0" fontId="12" fillId="0" borderId="1" xfId="0" applyFont="1" applyBorder="1"/>
    <xf numFmtId="41" fontId="12" fillId="0" borderId="1" xfId="0" applyNumberFormat="1" applyFont="1" applyBorder="1"/>
    <xf numFmtId="41" fontId="12" fillId="0" borderId="0" xfId="0" applyNumberFormat="1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12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/>
    <xf numFmtId="42" fontId="12" fillId="0" borderId="1" xfId="0" applyNumberFormat="1" applyFont="1" applyFill="1" applyBorder="1"/>
    <xf numFmtId="41" fontId="12" fillId="0" borderId="0" xfId="0" applyNumberFormat="1" applyFont="1" applyFill="1"/>
    <xf numFmtId="9" fontId="12" fillId="0" borderId="0" xfId="0" applyNumberFormat="1" applyFont="1" applyFill="1"/>
    <xf numFmtId="37" fontId="8" fillId="0" borderId="0" xfId="1" applyFont="1" applyFill="1" applyAlignment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 applyAlignment="1">
      <alignment horizontal="right"/>
    </xf>
    <xf numFmtId="0" fontId="12" fillId="0" borderId="8" xfId="0" applyFont="1" applyBorder="1"/>
    <xf numFmtId="0" fontId="12" fillId="0" borderId="9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42" fontId="12" fillId="0" borderId="19" xfId="0" applyNumberFormat="1" applyFont="1" applyBorder="1"/>
    <xf numFmtId="41" fontId="12" fillId="0" borderId="19" xfId="0" applyNumberFormat="1" applyFont="1" applyBorder="1"/>
    <xf numFmtId="0" fontId="12" fillId="0" borderId="20" xfId="0" applyFont="1" applyBorder="1" applyAlignment="1">
      <alignment horizontal="center"/>
    </xf>
    <xf numFmtId="0" fontId="12" fillId="0" borderId="21" xfId="0" applyFont="1" applyBorder="1"/>
    <xf numFmtId="0" fontId="12" fillId="0" borderId="23" xfId="0" applyFont="1" applyBorder="1" applyAlignment="1">
      <alignment horizontal="center"/>
    </xf>
    <xf numFmtId="0" fontId="12" fillId="0" borderId="24" xfId="0" applyFont="1" applyBorder="1"/>
    <xf numFmtId="10" fontId="12" fillId="0" borderId="21" xfId="2" applyNumberFormat="1" applyFont="1" applyBorder="1" applyAlignment="1">
      <alignment wrapText="1"/>
    </xf>
    <xf numFmtId="10" fontId="12" fillId="0" borderId="22" xfId="2" applyNumberFormat="1" applyFont="1" applyBorder="1" applyAlignment="1">
      <alignment wrapText="1"/>
    </xf>
    <xf numFmtId="10" fontId="12" fillId="0" borderId="24" xfId="2" applyNumberFormat="1" applyFont="1" applyBorder="1" applyAlignment="1">
      <alignment wrapText="1"/>
    </xf>
    <xf numFmtId="10" fontId="12" fillId="0" borderId="25" xfId="2" applyNumberFormat="1" applyFont="1" applyBorder="1" applyAlignment="1">
      <alignment wrapText="1"/>
    </xf>
    <xf numFmtId="0" fontId="3" fillId="0" borderId="1" xfId="0" quotePrefix="1" applyFont="1" applyFill="1" applyBorder="1" applyAlignment="1">
      <alignment horizontal="center"/>
    </xf>
    <xf numFmtId="164" fontId="3" fillId="0" borderId="1" xfId="0" applyNumberFormat="1" applyFont="1" applyFill="1" applyBorder="1"/>
    <xf numFmtId="42" fontId="3" fillId="0" borderId="0" xfId="0" applyNumberFormat="1" applyFont="1" applyFill="1" applyBorder="1"/>
    <xf numFmtId="9" fontId="3" fillId="0" borderId="0" xfId="0" applyNumberFormat="1" applyFont="1" applyFill="1" applyBorder="1"/>
    <xf numFmtId="41" fontId="3" fillId="0" borderId="0" xfId="0" applyNumberFormat="1" applyFont="1" applyFill="1" applyBorder="1"/>
    <xf numFmtId="42" fontId="3" fillId="0" borderId="1" xfId="0" applyNumberFormat="1" applyFont="1" applyFill="1" applyBorder="1"/>
    <xf numFmtId="41" fontId="3" fillId="0" borderId="0" xfId="0" applyNumberFormat="1" applyFont="1" applyFill="1"/>
    <xf numFmtId="9" fontId="3" fillId="0" borderId="0" xfId="0" applyNumberFormat="1" applyFont="1" applyFill="1"/>
    <xf numFmtId="41" fontId="3" fillId="0" borderId="1" xfId="0" applyNumberFormat="1" applyFont="1" applyFill="1" applyBorder="1"/>
    <xf numFmtId="41" fontId="12" fillId="0" borderId="1" xfId="0" applyNumberFormat="1" applyFont="1" applyFill="1" applyBorder="1"/>
    <xf numFmtId="42" fontId="12" fillId="0" borderId="19" xfId="0" applyNumberFormat="1" applyFont="1" applyFill="1" applyBorder="1"/>
    <xf numFmtId="41" fontId="12" fillId="0" borderId="19" xfId="0" applyNumberFormat="1" applyFont="1" applyFill="1" applyBorder="1"/>
    <xf numFmtId="164" fontId="3" fillId="0" borderId="1" xfId="2" applyNumberFormat="1" applyFont="1" applyFill="1" applyBorder="1"/>
    <xf numFmtId="165" fontId="2" fillId="0" borderId="1" xfId="4" applyNumberFormat="1" applyFont="1" applyFill="1" applyBorder="1" applyAlignment="1">
      <alignment wrapText="1"/>
    </xf>
    <xf numFmtId="165" fontId="2" fillId="0" borderId="19" xfId="4" applyNumberFormat="1" applyFont="1" applyFill="1" applyBorder="1" applyAlignment="1">
      <alignment wrapText="1"/>
    </xf>
    <xf numFmtId="43" fontId="3" fillId="0" borderId="0" xfId="5" applyFont="1"/>
    <xf numFmtId="43" fontId="3" fillId="0" borderId="0" xfId="3" applyNumberFormat="1" applyFont="1"/>
    <xf numFmtId="0" fontId="3" fillId="0" borderId="0" xfId="3" applyFont="1" applyFill="1"/>
    <xf numFmtId="0" fontId="3" fillId="0" borderId="30" xfId="3" applyFont="1" applyBorder="1" applyAlignment="1">
      <alignment horizontal="centerContinuous"/>
    </xf>
    <xf numFmtId="0" fontId="3" fillId="0" borderId="31" xfId="3" applyFont="1" applyBorder="1" applyAlignment="1">
      <alignment horizontal="centerContinuous"/>
    </xf>
    <xf numFmtId="0" fontId="3" fillId="0" borderId="30" xfId="3" applyFont="1" applyBorder="1" applyAlignment="1">
      <alignment horizontal="center"/>
    </xf>
    <xf numFmtId="0" fontId="3" fillId="0" borderId="26" xfId="3" applyFont="1" applyBorder="1" applyAlignment="1">
      <alignment horizontal="center"/>
    </xf>
    <xf numFmtId="0" fontId="12" fillId="0" borderId="3" xfId="0" applyFont="1" applyFill="1" applyBorder="1"/>
    <xf numFmtId="0" fontId="12" fillId="0" borderId="4" xfId="0" applyFont="1" applyFill="1" applyBorder="1"/>
    <xf numFmtId="0" fontId="6" fillId="0" borderId="0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17" fontId="6" fillId="0" borderId="0" xfId="0" applyNumberFormat="1" applyFont="1" applyFill="1" applyBorder="1" applyAlignment="1">
      <alignment vertical="center" wrapText="1"/>
    </xf>
    <xf numFmtId="0" fontId="6" fillId="0" borderId="3" xfId="3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" fontId="6" fillId="0" borderId="3" xfId="0" applyNumberFormat="1" applyFont="1" applyFill="1" applyBorder="1" applyAlignment="1">
      <alignment horizontal="center" vertical="center" wrapText="1"/>
    </xf>
    <xf numFmtId="0" fontId="6" fillId="0" borderId="30" xfId="3" applyFont="1" applyBorder="1" applyAlignment="1">
      <alignment horizontal="center"/>
    </xf>
    <xf numFmtId="0" fontId="6" fillId="0" borderId="31" xfId="3" applyFont="1" applyBorder="1" applyAlignment="1">
      <alignment horizontal="center"/>
    </xf>
  </cellXfs>
  <cellStyles count="6">
    <cellStyle name="Comma" xfId="5" builtinId="3"/>
    <cellStyle name="Comma 2" xfId="4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Percent 2" xfId="2" xr:uid="{00000000-0005-0000-0000-000004000000}"/>
  </cellStyles>
  <dxfs count="0"/>
  <tableStyles count="0" defaultTableStyle="TableStyleMedium9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Z24"/>
  <sheetViews>
    <sheetView tabSelected="1" view="pageLayout" topLeftCell="B1" zoomScale="90" zoomScaleNormal="100" zoomScalePageLayoutView="90" workbookViewId="0">
      <selection activeCell="O9" sqref="O9"/>
    </sheetView>
  </sheetViews>
  <sheetFormatPr defaultColWidth="9.1796875" defaultRowHeight="14.5"/>
  <cols>
    <col min="1" max="1" width="7.81640625" style="105" customWidth="1"/>
    <col min="2" max="2" width="28" style="105" customWidth="1"/>
    <col min="3" max="3" width="12.7265625" style="105" customWidth="1"/>
    <col min="4" max="4" width="9.1796875" style="105"/>
    <col min="5" max="5" width="12.7265625" style="105" customWidth="1"/>
    <col min="6" max="6" width="9.1796875" style="105"/>
    <col min="7" max="7" width="12.7265625" style="105" customWidth="1"/>
    <col min="8" max="8" width="9.1796875" style="105"/>
    <col min="9" max="9" width="12.7265625" style="105" customWidth="1"/>
    <col min="10" max="10" width="9.1796875" style="105"/>
    <col min="11" max="11" width="12.7265625" style="105" customWidth="1"/>
    <col min="12" max="12" width="9.1796875" style="105"/>
    <col min="13" max="13" width="12.7265625" style="105" customWidth="1"/>
    <col min="14" max="14" width="9.1796875" style="105"/>
    <col min="15" max="15" width="12.7265625" style="105" customWidth="1"/>
    <col min="16" max="16" width="9.1796875" style="105"/>
    <col min="17" max="17" width="12.7265625" style="105" customWidth="1"/>
    <col min="18" max="18" width="9.1796875" style="105"/>
    <col min="19" max="19" width="12.7265625" style="105" customWidth="1"/>
    <col min="20" max="20" width="9.1796875" style="105"/>
    <col min="21" max="21" width="12.7265625" style="105" customWidth="1"/>
    <col min="22" max="22" width="9.1796875" style="105"/>
    <col min="23" max="23" width="12.7265625" style="105" customWidth="1"/>
    <col min="24" max="16384" width="9.1796875" style="105"/>
  </cols>
  <sheetData>
    <row r="3" spans="1:26">
      <c r="M3" s="106" t="s">
        <v>85</v>
      </c>
    </row>
    <row r="5" spans="1:26" ht="20.25" customHeight="1">
      <c r="A5" s="108" t="s">
        <v>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26" ht="15.75" customHeight="1">
      <c r="A6" s="109" t="s">
        <v>87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26" ht="15.75" customHeight="1">
      <c r="A7" s="109" t="s">
        <v>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26" ht="15.75" customHeight="1">
      <c r="A8" s="109" t="s">
        <v>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26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</row>
    <row r="10" spans="1:26">
      <c r="C10" s="164" t="s">
        <v>88</v>
      </c>
      <c r="D10" s="165"/>
      <c r="E10" s="159"/>
      <c r="F10" s="160"/>
      <c r="G10" s="159"/>
      <c r="H10" s="160"/>
      <c r="I10" s="159"/>
      <c r="J10" s="160"/>
      <c r="K10" s="159"/>
      <c r="L10" s="160"/>
      <c r="M10" s="159"/>
      <c r="N10" s="160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spans="1:26" s="107" customFormat="1" ht="13">
      <c r="A11" s="168" t="s">
        <v>4</v>
      </c>
      <c r="B11" s="168" t="s">
        <v>5</v>
      </c>
      <c r="C11" s="170">
        <v>44805</v>
      </c>
      <c r="D11" s="167"/>
      <c r="E11" s="166">
        <v>2021</v>
      </c>
      <c r="F11" s="167"/>
      <c r="G11" s="166">
        <f>+I11+1</f>
        <v>2020</v>
      </c>
      <c r="H11" s="167"/>
      <c r="I11" s="166">
        <f>+K11+1</f>
        <v>2019</v>
      </c>
      <c r="J11" s="167"/>
      <c r="K11" s="166">
        <v>2018</v>
      </c>
      <c r="L11" s="167"/>
      <c r="M11" s="166">
        <f>K11-1</f>
        <v>2017</v>
      </c>
      <c r="N11" s="167"/>
      <c r="O11" s="162"/>
      <c r="P11" s="161"/>
      <c r="Q11" s="161"/>
      <c r="R11" s="161"/>
      <c r="S11" s="161"/>
      <c r="T11" s="161"/>
      <c r="U11" s="161"/>
      <c r="V11" s="161"/>
      <c r="W11" s="163"/>
      <c r="X11" s="161"/>
      <c r="Y11" s="161"/>
      <c r="Z11" s="161"/>
    </row>
    <row r="12" spans="1:26" s="107" customFormat="1" ht="12.5">
      <c r="A12" s="169"/>
      <c r="B12" s="169"/>
      <c r="C12" s="112" t="s">
        <v>6</v>
      </c>
      <c r="D12" s="112" t="s">
        <v>7</v>
      </c>
      <c r="E12" s="112" t="s">
        <v>6</v>
      </c>
      <c r="F12" s="112" t="s">
        <v>7</v>
      </c>
      <c r="G12" s="112" t="s">
        <v>6</v>
      </c>
      <c r="H12" s="112" t="s">
        <v>7</v>
      </c>
      <c r="I12" s="112" t="s">
        <v>6</v>
      </c>
      <c r="J12" s="112" t="s">
        <v>7</v>
      </c>
      <c r="K12" s="112" t="s">
        <v>6</v>
      </c>
      <c r="L12" s="112" t="s">
        <v>7</v>
      </c>
      <c r="M12" s="112" t="s">
        <v>6</v>
      </c>
      <c r="N12" s="112" t="s">
        <v>7</v>
      </c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4"/>
      <c r="Z12" s="115"/>
    </row>
    <row r="13" spans="1:26" s="107" customFormat="1">
      <c r="A13" s="137" t="s">
        <v>8</v>
      </c>
      <c r="B13" s="116" t="s">
        <v>83</v>
      </c>
      <c r="C13" s="142">
        <v>779095</v>
      </c>
      <c r="D13" s="138">
        <f>ROUND(C13/$C$17,3)</f>
        <v>0.45100000000000001</v>
      </c>
      <c r="E13" s="142">
        <v>729221</v>
      </c>
      <c r="F13" s="138">
        <f>ROUND(E13/$E$17,3)</f>
        <v>0.441</v>
      </c>
      <c r="G13" s="142">
        <v>728796</v>
      </c>
      <c r="H13" s="138">
        <f>ROUND(G13/$G$17,3)</f>
        <v>0.47899999999999998</v>
      </c>
      <c r="I13" s="142">
        <v>658807</v>
      </c>
      <c r="J13" s="138">
        <f>ROUND(I13/$I$17,3)</f>
        <v>0.47499999999999998</v>
      </c>
      <c r="K13" s="142">
        <v>550111</v>
      </c>
      <c r="L13" s="138">
        <f>ROUND(K13/$K$17,3)</f>
        <v>0.46400000000000002</v>
      </c>
      <c r="M13" s="142">
        <v>451180</v>
      </c>
      <c r="N13" s="138">
        <f>ROUND(M13/$M$17,3)</f>
        <v>0.46899999999999997</v>
      </c>
      <c r="O13" s="139"/>
      <c r="P13" s="140"/>
      <c r="Q13" s="139"/>
      <c r="R13" s="140"/>
      <c r="S13" s="139"/>
      <c r="T13" s="140"/>
      <c r="U13" s="139"/>
      <c r="V13" s="140"/>
      <c r="W13" s="139"/>
      <c r="X13" s="140"/>
      <c r="Y13" s="114"/>
      <c r="Z13" s="114"/>
    </row>
    <row r="14" spans="1:26" s="107" customFormat="1" ht="12.5">
      <c r="A14" s="137" t="s">
        <v>9</v>
      </c>
      <c r="B14" s="116" t="s">
        <v>10</v>
      </c>
      <c r="C14" s="145">
        <v>74494</v>
      </c>
      <c r="D14" s="138">
        <f t="shared" ref="D14:D16" si="0">ROUND(C14/$C$17,3)</f>
        <v>4.2999999999999997E-2</v>
      </c>
      <c r="E14" s="145">
        <v>102596</v>
      </c>
      <c r="F14" s="138">
        <f t="shared" ref="F14:F16" si="1">ROUND(E14/$E$17,3)</f>
        <v>6.2E-2</v>
      </c>
      <c r="G14" s="145">
        <v>75472</v>
      </c>
      <c r="H14" s="138">
        <f t="shared" ref="H14:H16" si="2">ROUND(G14/$G$17,3)</f>
        <v>0.05</v>
      </c>
      <c r="I14" s="145">
        <v>82509</v>
      </c>
      <c r="J14" s="138">
        <f t="shared" ref="J14:J16" si="3">ROUND(I14/$I$17,3)</f>
        <v>0.06</v>
      </c>
      <c r="K14" s="145">
        <v>38875</v>
      </c>
      <c r="L14" s="138">
        <f t="shared" ref="L14:L16" si="4">ROUND(K14/$K$17,3)</f>
        <v>3.3000000000000002E-2</v>
      </c>
      <c r="M14" s="145">
        <v>0</v>
      </c>
      <c r="N14" s="138">
        <f t="shared" ref="N14:N15" si="5">ROUND(M14/$M$17,3)</f>
        <v>0</v>
      </c>
      <c r="O14" s="141"/>
      <c r="P14" s="140"/>
      <c r="Q14" s="141"/>
      <c r="R14" s="140"/>
      <c r="S14" s="141"/>
      <c r="T14" s="140"/>
      <c r="U14" s="141"/>
      <c r="V14" s="140"/>
      <c r="W14" s="141"/>
      <c r="X14" s="140"/>
      <c r="Y14" s="114"/>
      <c r="Z14" s="114"/>
    </row>
    <row r="15" spans="1:26" s="107" customFormat="1" ht="12.5">
      <c r="A15" s="137" t="s">
        <v>11</v>
      </c>
      <c r="B15" s="116" t="s">
        <v>12</v>
      </c>
      <c r="C15" s="145"/>
      <c r="D15" s="138">
        <f t="shared" si="0"/>
        <v>0</v>
      </c>
      <c r="E15" s="145"/>
      <c r="F15" s="138">
        <f t="shared" si="1"/>
        <v>0</v>
      </c>
      <c r="G15" s="145"/>
      <c r="H15" s="138">
        <f t="shared" si="2"/>
        <v>0</v>
      </c>
      <c r="I15" s="145"/>
      <c r="J15" s="138">
        <f t="shared" si="3"/>
        <v>0</v>
      </c>
      <c r="K15" s="145">
        <v>0</v>
      </c>
      <c r="L15" s="138">
        <f t="shared" si="4"/>
        <v>0</v>
      </c>
      <c r="M15" s="145">
        <v>0</v>
      </c>
      <c r="N15" s="138">
        <f t="shared" si="5"/>
        <v>0</v>
      </c>
      <c r="O15" s="141"/>
      <c r="P15" s="140"/>
      <c r="Q15" s="141"/>
      <c r="R15" s="140"/>
      <c r="S15" s="141"/>
      <c r="T15" s="140"/>
      <c r="U15" s="141"/>
      <c r="V15" s="140"/>
      <c r="W15" s="141"/>
      <c r="X15" s="140"/>
      <c r="Y15" s="114"/>
      <c r="Z15" s="114"/>
    </row>
    <row r="16" spans="1:26" s="107" customFormat="1">
      <c r="A16" s="137" t="s">
        <v>13</v>
      </c>
      <c r="B16" s="116" t="s">
        <v>14</v>
      </c>
      <c r="C16" s="145">
        <v>872466</v>
      </c>
      <c r="D16" s="138">
        <f t="shared" si="0"/>
        <v>0.505</v>
      </c>
      <c r="E16" s="145">
        <v>821633</v>
      </c>
      <c r="F16" s="138">
        <f t="shared" si="1"/>
        <v>0.497</v>
      </c>
      <c r="G16" s="145">
        <v>718236</v>
      </c>
      <c r="H16" s="138">
        <f t="shared" si="2"/>
        <v>0.47199999999999998</v>
      </c>
      <c r="I16" s="145">
        <v>645094</v>
      </c>
      <c r="J16" s="138">
        <f t="shared" si="3"/>
        <v>0.46500000000000002</v>
      </c>
      <c r="K16" s="145">
        <v>596224</v>
      </c>
      <c r="L16" s="138">
        <f t="shared" si="4"/>
        <v>0.503</v>
      </c>
      <c r="M16" s="145">
        <v>511414</v>
      </c>
      <c r="N16" s="138">
        <f>ROUND(M16/$M$17,3)</f>
        <v>0.53100000000000003</v>
      </c>
      <c r="O16" s="141"/>
      <c r="P16" s="140"/>
      <c r="Q16" s="141"/>
      <c r="R16" s="140"/>
      <c r="S16" s="141"/>
      <c r="T16" s="140"/>
      <c r="U16" s="141"/>
      <c r="V16" s="140"/>
      <c r="W16" s="141"/>
      <c r="X16" s="140"/>
      <c r="Y16" s="114"/>
      <c r="Z16" s="114"/>
    </row>
    <row r="17" spans="1:26" s="107" customFormat="1" ht="12.5">
      <c r="A17" s="137" t="s">
        <v>15</v>
      </c>
      <c r="B17" s="116" t="s">
        <v>16</v>
      </c>
      <c r="C17" s="142">
        <f>SUM(C13:C16)</f>
        <v>1726055</v>
      </c>
      <c r="D17" s="138">
        <f t="shared" ref="D17" si="6">SUM(D13:D16)</f>
        <v>0.999</v>
      </c>
      <c r="E17" s="142">
        <f>SUM(E13:E16)</f>
        <v>1653450</v>
      </c>
      <c r="F17" s="138">
        <f t="shared" ref="F17" si="7">SUM(F13:F16)</f>
        <v>1</v>
      </c>
      <c r="G17" s="142">
        <f>SUM(G13:G16)</f>
        <v>1522504</v>
      </c>
      <c r="H17" s="138">
        <f t="shared" ref="H17" si="8">SUM(H13:H16)</f>
        <v>1.0009999999999999</v>
      </c>
      <c r="I17" s="142">
        <f>SUM(I13:I16)</f>
        <v>1386410</v>
      </c>
      <c r="J17" s="138">
        <f t="shared" ref="J17" si="9">SUM(J13:J16)</f>
        <v>1</v>
      </c>
      <c r="K17" s="142">
        <f>SUM(K13:K16)</f>
        <v>1185210</v>
      </c>
      <c r="L17" s="138">
        <f t="shared" ref="L17:N17" si="10">SUM(L13:L16)</f>
        <v>1</v>
      </c>
      <c r="M17" s="142">
        <f t="shared" si="10"/>
        <v>962594</v>
      </c>
      <c r="N17" s="138">
        <f t="shared" si="10"/>
        <v>1</v>
      </c>
      <c r="O17" s="139"/>
      <c r="P17" s="140"/>
      <c r="Q17" s="139"/>
      <c r="R17" s="140"/>
      <c r="S17" s="139"/>
      <c r="T17" s="140"/>
      <c r="U17" s="139"/>
      <c r="V17" s="140"/>
      <c r="W17" s="139"/>
      <c r="X17" s="140"/>
      <c r="Y17" s="114"/>
      <c r="Z17" s="114"/>
    </row>
    <row r="18" spans="1:26" s="107" customFormat="1" ht="12.5"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4"/>
      <c r="O18" s="141"/>
      <c r="P18" s="140"/>
      <c r="Q18" s="141"/>
      <c r="R18" s="140"/>
      <c r="S18" s="141"/>
      <c r="T18" s="140"/>
      <c r="U18" s="141"/>
      <c r="V18" s="140"/>
      <c r="W18" s="141"/>
      <c r="X18" s="140"/>
      <c r="Y18" s="114"/>
      <c r="Z18" s="114"/>
    </row>
    <row r="19" spans="1:26">
      <c r="B19" s="105" t="s">
        <v>17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18"/>
      <c r="M19" s="118"/>
      <c r="N19" s="119"/>
    </row>
    <row r="20" spans="1:26">
      <c r="B20" s="105" t="s">
        <v>18</v>
      </c>
      <c r="C20" s="118"/>
      <c r="D20" s="119"/>
      <c r="E20" s="118"/>
      <c r="F20" s="119"/>
      <c r="G20" s="118"/>
      <c r="H20" s="119"/>
      <c r="I20" s="118"/>
      <c r="J20" s="119"/>
      <c r="K20" s="118"/>
      <c r="L20" s="118"/>
      <c r="M20" s="118"/>
      <c r="N20" s="119"/>
    </row>
    <row r="21" spans="1:26">
      <c r="B21" s="22" t="s">
        <v>84</v>
      </c>
      <c r="C21" s="118"/>
      <c r="D21" s="119"/>
      <c r="E21" s="118"/>
      <c r="F21" s="119"/>
      <c r="G21" s="118"/>
      <c r="H21" s="119"/>
      <c r="I21" s="118"/>
      <c r="J21" s="119"/>
      <c r="K21" s="118"/>
      <c r="L21" s="119"/>
      <c r="M21" s="118"/>
      <c r="N21" s="119"/>
    </row>
    <row r="22" spans="1:26">
      <c r="C22" s="118"/>
      <c r="D22" s="119"/>
      <c r="E22" s="118"/>
      <c r="F22" s="119"/>
      <c r="G22" s="118"/>
      <c r="H22" s="119"/>
      <c r="I22" s="118"/>
      <c r="J22" s="119"/>
      <c r="K22" s="118"/>
      <c r="L22" s="119"/>
      <c r="M22" s="118"/>
      <c r="N22" s="119"/>
    </row>
    <row r="23" spans="1:26">
      <c r="A23" s="120"/>
      <c r="B23" s="105" t="s">
        <v>73</v>
      </c>
      <c r="C23" s="118"/>
      <c r="D23" s="119"/>
      <c r="E23" s="118"/>
      <c r="F23" s="119"/>
      <c r="G23" s="118"/>
      <c r="H23" s="119"/>
      <c r="I23" s="118"/>
      <c r="J23" s="119"/>
      <c r="K23" s="118"/>
      <c r="L23" s="119"/>
      <c r="M23" s="118"/>
      <c r="N23" s="119"/>
    </row>
    <row r="24" spans="1:26">
      <c r="B24" s="105" t="s">
        <v>74</v>
      </c>
      <c r="C24" s="118"/>
      <c r="E24" s="118"/>
      <c r="G24" s="118"/>
      <c r="I24" s="118"/>
      <c r="K24" s="118"/>
      <c r="M24" s="118"/>
      <c r="N24" s="118"/>
    </row>
  </sheetData>
  <mergeCells count="9">
    <mergeCell ref="C10:D10"/>
    <mergeCell ref="K11:L11"/>
    <mergeCell ref="M11:N11"/>
    <mergeCell ref="A11:A12"/>
    <mergeCell ref="B11:B12"/>
    <mergeCell ref="E11:F11"/>
    <mergeCell ref="G11:H11"/>
    <mergeCell ref="I11:J11"/>
    <mergeCell ref="C11:D11"/>
  </mergeCells>
  <pageMargins left="0.7" right="0.7" top="0.75" bottom="0.75" header="0.3" footer="0.3"/>
  <pageSetup scale="67" orientation="landscape" r:id="rId1"/>
  <headerFooter>
    <oddHeader>&amp;R&amp;"Times New Roman,Bold"&amp;10KyPSC Case No. 2022-00372
STAFF-DR-01-022 Attachment
Page &amp;P of &amp;N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view="pageLayout" zoomScale="80" zoomScaleNormal="100" zoomScalePageLayoutView="80" workbookViewId="0">
      <selection activeCell="D28" sqref="D28"/>
    </sheetView>
  </sheetViews>
  <sheetFormatPr defaultColWidth="9.1796875" defaultRowHeight="14.5"/>
  <cols>
    <col min="1" max="1" width="9.1796875" style="97"/>
    <col min="2" max="2" width="43.7265625" style="97" customWidth="1"/>
    <col min="3" max="9" width="12.7265625" style="97" customWidth="1"/>
    <col min="10" max="16384" width="9.1796875" style="97"/>
  </cols>
  <sheetData>
    <row r="1" spans="1:14">
      <c r="A1" s="121"/>
      <c r="B1" s="122"/>
      <c r="C1" s="122"/>
      <c r="D1" s="122"/>
      <c r="E1" s="122"/>
      <c r="F1" s="122"/>
      <c r="G1" s="122"/>
      <c r="H1" s="3"/>
      <c r="I1" s="123"/>
    </row>
    <row r="2" spans="1:14">
      <c r="A2" s="124"/>
      <c r="B2" s="100"/>
      <c r="C2" s="100"/>
      <c r="D2" s="100"/>
      <c r="E2" s="100"/>
      <c r="F2" s="100"/>
      <c r="G2" s="100"/>
      <c r="H2" s="4"/>
      <c r="I2" s="125"/>
    </row>
    <row r="3" spans="1:14">
      <c r="A3" s="124"/>
      <c r="B3" s="100"/>
      <c r="C3" s="100"/>
      <c r="D3" s="100"/>
      <c r="E3" s="100"/>
      <c r="F3" s="100"/>
      <c r="G3" s="100"/>
      <c r="H3" s="4"/>
      <c r="I3" s="125" t="s">
        <v>86</v>
      </c>
    </row>
    <row r="4" spans="1:14">
      <c r="A4" s="124"/>
      <c r="B4" s="100"/>
      <c r="C4" s="100"/>
      <c r="D4" s="100"/>
      <c r="E4" s="100"/>
      <c r="F4" s="100"/>
      <c r="G4" s="100"/>
      <c r="H4" s="4"/>
      <c r="I4" s="125"/>
    </row>
    <row r="5" spans="1:14" ht="20.25" customHeight="1">
      <c r="A5" s="88" t="str">
        <f>'DEK 22a'!A5</f>
        <v>Duke Energy Kentucky, Inc.</v>
      </c>
      <c r="B5" s="89"/>
      <c r="C5" s="89"/>
      <c r="D5" s="89"/>
      <c r="E5" s="89"/>
      <c r="F5" s="89"/>
      <c r="G5" s="89"/>
      <c r="H5" s="89"/>
      <c r="I5" s="90"/>
      <c r="J5" s="5"/>
      <c r="K5" s="5"/>
      <c r="L5" s="5"/>
      <c r="M5" s="5"/>
      <c r="N5" s="5"/>
    </row>
    <row r="6" spans="1:14" ht="15.75" customHeight="1">
      <c r="A6" s="91" t="str">
        <f>'DEK 22a'!A6</f>
        <v>Case No. 2022-00372</v>
      </c>
      <c r="B6" s="92"/>
      <c r="C6" s="92"/>
      <c r="D6" s="92"/>
      <c r="E6" s="92"/>
      <c r="F6" s="92"/>
      <c r="G6" s="92"/>
      <c r="H6" s="92"/>
      <c r="I6" s="93"/>
      <c r="J6" s="6"/>
      <c r="K6" s="6"/>
      <c r="L6" s="6"/>
      <c r="M6" s="6"/>
      <c r="N6" s="6"/>
    </row>
    <row r="7" spans="1:14" ht="15.75" customHeight="1">
      <c r="A7" s="91" t="s">
        <v>19</v>
      </c>
      <c r="B7" s="92"/>
      <c r="C7" s="92"/>
      <c r="D7" s="92"/>
      <c r="E7" s="92"/>
      <c r="F7" s="92"/>
      <c r="G7" s="92"/>
      <c r="H7" s="92"/>
      <c r="I7" s="93"/>
      <c r="J7" s="6"/>
      <c r="K7" s="6"/>
      <c r="L7" s="6"/>
      <c r="M7" s="6"/>
      <c r="N7" s="6"/>
    </row>
    <row r="8" spans="1:14" ht="15.75" customHeight="1">
      <c r="A8" s="91" t="s">
        <v>90</v>
      </c>
      <c r="B8" s="92"/>
      <c r="C8" s="92"/>
      <c r="D8" s="92"/>
      <c r="E8" s="92"/>
      <c r="F8" s="92"/>
      <c r="G8" s="92"/>
      <c r="H8" s="92"/>
      <c r="I8" s="93"/>
      <c r="J8" s="6"/>
      <c r="K8" s="6"/>
      <c r="L8" s="6"/>
      <c r="M8" s="6"/>
      <c r="N8" s="6"/>
    </row>
    <row r="9" spans="1:14">
      <c r="A9" s="94" t="s">
        <v>3</v>
      </c>
      <c r="B9" s="95"/>
      <c r="C9" s="95"/>
      <c r="D9" s="95"/>
      <c r="E9" s="95"/>
      <c r="F9" s="95"/>
      <c r="G9" s="95"/>
      <c r="H9" s="95"/>
      <c r="I9" s="96"/>
      <c r="J9" s="7"/>
      <c r="K9" s="7"/>
      <c r="L9" s="7"/>
      <c r="M9" s="7"/>
      <c r="N9" s="7"/>
    </row>
    <row r="10" spans="1:14">
      <c r="A10" s="8"/>
      <c r="B10" s="9"/>
      <c r="C10" s="9"/>
      <c r="D10" s="9"/>
      <c r="E10" s="9"/>
      <c r="F10" s="9"/>
      <c r="G10" s="9"/>
      <c r="H10" s="9"/>
      <c r="I10" s="10" t="s">
        <v>20</v>
      </c>
      <c r="J10" s="7"/>
      <c r="K10" s="7"/>
      <c r="L10" s="7"/>
      <c r="M10" s="7"/>
      <c r="N10" s="7"/>
    </row>
    <row r="11" spans="1:14">
      <c r="A11" s="11" t="s">
        <v>21</v>
      </c>
      <c r="B11" s="12"/>
      <c r="C11" s="12" t="s">
        <v>22</v>
      </c>
      <c r="D11" s="12" t="s">
        <v>23</v>
      </c>
      <c r="E11" s="12" t="s">
        <v>24</v>
      </c>
      <c r="F11" s="12" t="s">
        <v>25</v>
      </c>
      <c r="G11" s="12" t="s">
        <v>26</v>
      </c>
      <c r="H11" s="12" t="s">
        <v>27</v>
      </c>
      <c r="I11" s="13" t="s">
        <v>26</v>
      </c>
      <c r="J11" s="7"/>
      <c r="K11" s="7"/>
      <c r="L11" s="7"/>
      <c r="M11" s="7"/>
      <c r="N11" s="7"/>
    </row>
    <row r="12" spans="1:14" ht="15.5">
      <c r="A12" s="14" t="s">
        <v>28</v>
      </c>
      <c r="B12" s="15" t="s">
        <v>29</v>
      </c>
      <c r="C12" s="15" t="s">
        <v>30</v>
      </c>
      <c r="D12" s="15" t="s">
        <v>31</v>
      </c>
      <c r="E12" s="15" t="s">
        <v>32</v>
      </c>
      <c r="F12" s="15" t="s">
        <v>33</v>
      </c>
      <c r="G12" s="15" t="s">
        <v>34</v>
      </c>
      <c r="H12" s="15" t="s">
        <v>35</v>
      </c>
      <c r="I12" s="16" t="s">
        <v>36</v>
      </c>
      <c r="J12" s="7"/>
      <c r="K12" s="7"/>
      <c r="L12" s="7"/>
      <c r="M12" s="7"/>
      <c r="N12" s="7"/>
    </row>
    <row r="13" spans="1:14">
      <c r="A13" s="17"/>
      <c r="B13" s="18" t="s">
        <v>37</v>
      </c>
      <c r="C13" s="18" t="s">
        <v>38</v>
      </c>
      <c r="D13" s="18" t="s">
        <v>39</v>
      </c>
      <c r="E13" s="18" t="s">
        <v>40</v>
      </c>
      <c r="F13" s="18" t="s">
        <v>41</v>
      </c>
      <c r="G13" s="18" t="s">
        <v>42</v>
      </c>
      <c r="H13" s="18" t="s">
        <v>43</v>
      </c>
      <c r="I13" s="19" t="s">
        <v>44</v>
      </c>
      <c r="J13" s="7"/>
      <c r="K13" s="7"/>
      <c r="L13" s="7"/>
      <c r="M13" s="7"/>
      <c r="N13" s="7"/>
    </row>
    <row r="14" spans="1:14">
      <c r="A14" s="126">
        <v>1</v>
      </c>
      <c r="B14" s="102" t="s">
        <v>91</v>
      </c>
      <c r="C14" s="101">
        <f>D14+E14+F14+I14</f>
        <v>1522505</v>
      </c>
      <c r="D14" s="117">
        <v>728796</v>
      </c>
      <c r="E14" s="117">
        <v>75472</v>
      </c>
      <c r="F14" s="117">
        <v>0</v>
      </c>
      <c r="G14" s="117">
        <f>I14-H14</f>
        <v>251274</v>
      </c>
      <c r="H14" s="117">
        <v>466963</v>
      </c>
      <c r="I14" s="147">
        <v>718237</v>
      </c>
    </row>
    <row r="15" spans="1:14">
      <c r="A15" s="126">
        <v>2</v>
      </c>
      <c r="B15" s="102" t="s">
        <v>45</v>
      </c>
      <c r="C15" s="103">
        <f>D15+E15+F15+I15</f>
        <v>1536207</v>
      </c>
      <c r="D15" s="146">
        <v>728835</v>
      </c>
      <c r="E15" s="146">
        <v>78847</v>
      </c>
      <c r="F15" s="146">
        <v>0</v>
      </c>
      <c r="G15" s="146">
        <f>I15-H15</f>
        <v>251275</v>
      </c>
      <c r="H15" s="146">
        <v>477250</v>
      </c>
      <c r="I15" s="148">
        <v>728525</v>
      </c>
    </row>
    <row r="16" spans="1:14">
      <c r="A16" s="126">
        <v>3</v>
      </c>
      <c r="B16" s="102" t="s">
        <v>46</v>
      </c>
      <c r="C16" s="103">
        <f t="shared" ref="C16:C26" si="0">D16+E16+F16+I16</f>
        <v>1543989</v>
      </c>
      <c r="D16" s="146">
        <v>728875</v>
      </c>
      <c r="E16" s="146">
        <v>79904</v>
      </c>
      <c r="F16" s="146">
        <v>0</v>
      </c>
      <c r="G16" s="146">
        <f t="shared" ref="G16:G26" si="1">I16-H16</f>
        <v>251274</v>
      </c>
      <c r="H16" s="146">
        <v>483936</v>
      </c>
      <c r="I16" s="148">
        <v>735210</v>
      </c>
    </row>
    <row r="17" spans="1:9">
      <c r="A17" s="126">
        <v>4</v>
      </c>
      <c r="B17" s="102" t="s">
        <v>47</v>
      </c>
      <c r="C17" s="103">
        <f t="shared" si="0"/>
        <v>1549016</v>
      </c>
      <c r="D17" s="146">
        <v>728914</v>
      </c>
      <c r="E17" s="146">
        <v>79798</v>
      </c>
      <c r="F17" s="146">
        <v>0</v>
      </c>
      <c r="G17" s="146">
        <f t="shared" si="1"/>
        <v>251274</v>
      </c>
      <c r="H17" s="146">
        <v>489030</v>
      </c>
      <c r="I17" s="148">
        <v>740304</v>
      </c>
    </row>
    <row r="18" spans="1:9">
      <c r="A18" s="126">
        <v>5</v>
      </c>
      <c r="B18" s="102" t="s">
        <v>48</v>
      </c>
      <c r="C18" s="103">
        <f t="shared" si="0"/>
        <v>1555246</v>
      </c>
      <c r="D18" s="146">
        <v>728953</v>
      </c>
      <c r="E18" s="146">
        <v>83201</v>
      </c>
      <c r="F18" s="146">
        <v>0</v>
      </c>
      <c r="G18" s="146">
        <f t="shared" si="1"/>
        <v>251274</v>
      </c>
      <c r="H18" s="146">
        <v>491818</v>
      </c>
      <c r="I18" s="148">
        <v>743092</v>
      </c>
    </row>
    <row r="19" spans="1:9">
      <c r="A19" s="126">
        <v>6</v>
      </c>
      <c r="B19" s="102" t="s">
        <v>49</v>
      </c>
      <c r="C19" s="103">
        <f t="shared" si="0"/>
        <v>1558766</v>
      </c>
      <c r="D19" s="146">
        <v>728992</v>
      </c>
      <c r="E19" s="146">
        <v>83368</v>
      </c>
      <c r="F19" s="146">
        <v>0</v>
      </c>
      <c r="G19" s="146">
        <f t="shared" si="1"/>
        <v>251274</v>
      </c>
      <c r="H19" s="146">
        <v>495132</v>
      </c>
      <c r="I19" s="148">
        <v>746406</v>
      </c>
    </row>
    <row r="20" spans="1:9">
      <c r="A20" s="126">
        <v>7</v>
      </c>
      <c r="B20" s="102" t="s">
        <v>50</v>
      </c>
      <c r="C20" s="103">
        <f t="shared" si="0"/>
        <v>1559750</v>
      </c>
      <c r="D20" s="146">
        <v>729031</v>
      </c>
      <c r="E20" s="146">
        <v>31652</v>
      </c>
      <c r="F20" s="146">
        <v>0</v>
      </c>
      <c r="G20" s="146">
        <f t="shared" si="1"/>
        <v>301274</v>
      </c>
      <c r="H20" s="146">
        <v>497793</v>
      </c>
      <c r="I20" s="148">
        <v>799067</v>
      </c>
    </row>
    <row r="21" spans="1:9">
      <c r="A21" s="126">
        <v>8</v>
      </c>
      <c r="B21" s="102" t="s">
        <v>51</v>
      </c>
      <c r="C21" s="103">
        <f t="shared" si="0"/>
        <v>1567232</v>
      </c>
      <c r="D21" s="146">
        <v>729071</v>
      </c>
      <c r="E21" s="146">
        <v>33581</v>
      </c>
      <c r="F21" s="146">
        <v>0</v>
      </c>
      <c r="G21" s="146">
        <f t="shared" si="1"/>
        <v>301274</v>
      </c>
      <c r="H21" s="146">
        <v>503306</v>
      </c>
      <c r="I21" s="148">
        <v>804580</v>
      </c>
    </row>
    <row r="22" spans="1:9">
      <c r="A22" s="126">
        <v>9</v>
      </c>
      <c r="B22" s="102" t="s">
        <v>52</v>
      </c>
      <c r="C22" s="103">
        <f t="shared" si="0"/>
        <v>1574639</v>
      </c>
      <c r="D22" s="146">
        <v>729110</v>
      </c>
      <c r="E22" s="146">
        <v>35316</v>
      </c>
      <c r="F22" s="146">
        <v>0</v>
      </c>
      <c r="G22" s="146">
        <f t="shared" si="1"/>
        <v>301274</v>
      </c>
      <c r="H22" s="146">
        <v>508939</v>
      </c>
      <c r="I22" s="148">
        <v>810213</v>
      </c>
    </row>
    <row r="23" spans="1:9">
      <c r="A23" s="126">
        <v>10</v>
      </c>
      <c r="B23" s="102" t="s">
        <v>53</v>
      </c>
      <c r="C23" s="103">
        <f t="shared" si="0"/>
        <v>1593680</v>
      </c>
      <c r="D23" s="146">
        <v>729149</v>
      </c>
      <c r="E23" s="146">
        <v>51940</v>
      </c>
      <c r="F23" s="146">
        <v>0</v>
      </c>
      <c r="G23" s="146">
        <f t="shared" si="1"/>
        <v>301274</v>
      </c>
      <c r="H23" s="146">
        <v>511317</v>
      </c>
      <c r="I23" s="148">
        <v>812591</v>
      </c>
    </row>
    <row r="24" spans="1:9">
      <c r="A24" s="126">
        <v>11</v>
      </c>
      <c r="B24" s="102" t="s">
        <v>54</v>
      </c>
      <c r="C24" s="103">
        <f>D24+E24+F24+I24</f>
        <v>1611110</v>
      </c>
      <c r="D24" s="146">
        <v>779180</v>
      </c>
      <c r="E24" s="146">
        <v>17686</v>
      </c>
      <c r="F24" s="146">
        <v>0</v>
      </c>
      <c r="G24" s="146">
        <f>I24-H24</f>
        <v>301274</v>
      </c>
      <c r="H24" s="146">
        <v>512970</v>
      </c>
      <c r="I24" s="148">
        <v>814244</v>
      </c>
    </row>
    <row r="25" spans="1:9">
      <c r="A25" s="126">
        <v>12</v>
      </c>
      <c r="B25" s="102" t="s">
        <v>55</v>
      </c>
      <c r="C25" s="103">
        <f t="shared" si="0"/>
        <v>1628813</v>
      </c>
      <c r="D25" s="146">
        <v>729201</v>
      </c>
      <c r="E25" s="146">
        <v>80672</v>
      </c>
      <c r="F25" s="146">
        <v>0</v>
      </c>
      <c r="G25" s="146">
        <f t="shared" si="1"/>
        <v>301274</v>
      </c>
      <c r="H25" s="146">
        <v>517666</v>
      </c>
      <c r="I25" s="148">
        <v>818940</v>
      </c>
    </row>
    <row r="26" spans="1:9">
      <c r="A26" s="126">
        <v>13</v>
      </c>
      <c r="B26" s="102" t="s">
        <v>56</v>
      </c>
      <c r="C26" s="103">
        <f t="shared" si="0"/>
        <v>1653450</v>
      </c>
      <c r="D26" s="117">
        <v>729221</v>
      </c>
      <c r="E26" s="146">
        <v>102596</v>
      </c>
      <c r="F26" s="146">
        <v>0</v>
      </c>
      <c r="G26" s="146">
        <f t="shared" si="1"/>
        <v>301274</v>
      </c>
      <c r="H26" s="117">
        <v>520359</v>
      </c>
      <c r="I26" s="147">
        <v>821633</v>
      </c>
    </row>
    <row r="27" spans="1:9">
      <c r="A27" s="126">
        <v>14</v>
      </c>
      <c r="B27" s="102" t="s">
        <v>57</v>
      </c>
      <c r="C27" s="103">
        <f>SUM(C14:C26)</f>
        <v>20454403</v>
      </c>
      <c r="D27" s="103">
        <f t="shared" ref="D27:I27" si="2">SUM(D14:D26)</f>
        <v>9527328</v>
      </c>
      <c r="E27" s="103">
        <f t="shared" si="2"/>
        <v>834033</v>
      </c>
      <c r="F27" s="103">
        <f t="shared" si="2"/>
        <v>0</v>
      </c>
      <c r="G27" s="103">
        <f t="shared" si="2"/>
        <v>3616563</v>
      </c>
      <c r="H27" s="103">
        <f t="shared" si="2"/>
        <v>6476479</v>
      </c>
      <c r="I27" s="128">
        <f t="shared" si="2"/>
        <v>10093042</v>
      </c>
    </row>
    <row r="28" spans="1:9">
      <c r="A28" s="126">
        <v>15</v>
      </c>
      <c r="B28" s="102" t="s">
        <v>58</v>
      </c>
      <c r="C28" s="101">
        <f>C27/13</f>
        <v>1573415.6153846155</v>
      </c>
      <c r="D28" s="101">
        <f t="shared" ref="D28:I28" si="3">D27/13</f>
        <v>732871.38461538462</v>
      </c>
      <c r="E28" s="101">
        <f t="shared" si="3"/>
        <v>64156.384615384617</v>
      </c>
      <c r="F28" s="101">
        <f t="shared" si="3"/>
        <v>0</v>
      </c>
      <c r="G28" s="101">
        <f t="shared" si="3"/>
        <v>278197.15384615387</v>
      </c>
      <c r="H28" s="101">
        <f t="shared" si="3"/>
        <v>498190.69230769231</v>
      </c>
      <c r="I28" s="127">
        <f t="shared" si="3"/>
        <v>776387.84615384613</v>
      </c>
    </row>
    <row r="29" spans="1:9" ht="15" thickBot="1">
      <c r="A29" s="129">
        <v>16</v>
      </c>
      <c r="B29" s="130" t="s">
        <v>59</v>
      </c>
      <c r="C29" s="133">
        <f>SUM(D29:F29)+I29</f>
        <v>1</v>
      </c>
      <c r="D29" s="133">
        <f>ROUND(D28/$C$28,4)</f>
        <v>0.46579999999999999</v>
      </c>
      <c r="E29" s="133">
        <f>ROUND(E28/$C$28,4)</f>
        <v>4.0800000000000003E-2</v>
      </c>
      <c r="F29" s="133">
        <f>IF(F28=0,0,+F28/$C$42)</f>
        <v>0</v>
      </c>
      <c r="G29" s="133">
        <f>ROUND(G28/$C$28,4)</f>
        <v>0.17680000000000001</v>
      </c>
      <c r="H29" s="133">
        <f>ROUND(H28/$C$28,4)</f>
        <v>0.31659999999999999</v>
      </c>
      <c r="I29" s="134">
        <f>ROUND(G29+H29,4)</f>
        <v>0.49340000000000001</v>
      </c>
    </row>
    <row r="30" spans="1:9" ht="15" thickBot="1">
      <c r="A30" s="131">
        <v>17</v>
      </c>
      <c r="B30" s="132" t="s">
        <v>60</v>
      </c>
      <c r="C30" s="135">
        <f>ROUND(SUM(D30:F30)+I30,0)</f>
        <v>1</v>
      </c>
      <c r="D30" s="135">
        <f>ROUND(D26/$C$26,4)</f>
        <v>0.441</v>
      </c>
      <c r="E30" s="135">
        <f>ROUND(E26/$C$26,4)</f>
        <v>6.2E-2</v>
      </c>
      <c r="F30" s="135">
        <f>F26/$C$26</f>
        <v>0</v>
      </c>
      <c r="G30" s="135">
        <f>ROUND(G26/$C$26,4)</f>
        <v>0.1822</v>
      </c>
      <c r="H30" s="135">
        <f>ROUND(H26/$C$26,4)</f>
        <v>0.31469999999999998</v>
      </c>
      <c r="I30" s="136">
        <f>ROUND(G30+H30,4)</f>
        <v>0.49690000000000001</v>
      </c>
    </row>
    <row r="31" spans="1:9">
      <c r="C31" s="104"/>
      <c r="D31" s="104"/>
      <c r="E31" s="104"/>
      <c r="F31" s="104"/>
      <c r="G31" s="104"/>
      <c r="H31" s="104"/>
      <c r="I31" s="104"/>
    </row>
    <row r="32" spans="1:9">
      <c r="B32" s="97" t="s">
        <v>17</v>
      </c>
      <c r="C32" s="104"/>
      <c r="D32" s="104"/>
      <c r="E32" s="104"/>
      <c r="F32" s="104"/>
      <c r="G32" s="104"/>
      <c r="H32" s="104"/>
      <c r="I32" s="104"/>
    </row>
    <row r="33" spans="2:9">
      <c r="B33" s="97" t="s">
        <v>61</v>
      </c>
      <c r="C33" s="104"/>
      <c r="D33" s="104"/>
      <c r="E33" s="104"/>
      <c r="F33" s="104"/>
      <c r="G33" s="104"/>
      <c r="H33" s="104"/>
      <c r="I33" s="104"/>
    </row>
    <row r="34" spans="2:9">
      <c r="C34" s="104"/>
      <c r="D34" s="104"/>
      <c r="E34" s="104"/>
      <c r="F34" s="104"/>
      <c r="G34" s="104"/>
      <c r="H34" s="104"/>
      <c r="I34" s="104"/>
    </row>
    <row r="35" spans="2:9">
      <c r="B35" s="82"/>
      <c r="C35" s="104"/>
      <c r="D35" s="104"/>
      <c r="E35" s="104"/>
      <c r="F35" s="104"/>
      <c r="G35" s="104"/>
      <c r="H35" s="104"/>
      <c r="I35" s="104"/>
    </row>
    <row r="36" spans="2:9">
      <c r="B36" s="105" t="s">
        <v>75</v>
      </c>
      <c r="C36" s="105"/>
      <c r="D36" s="105"/>
      <c r="E36" s="105"/>
      <c r="F36" s="105"/>
      <c r="G36" s="105"/>
      <c r="H36" s="105"/>
      <c r="I36" s="105"/>
    </row>
    <row r="37" spans="2:9">
      <c r="B37" s="105" t="s">
        <v>76</v>
      </c>
      <c r="C37" s="105"/>
      <c r="D37" s="105"/>
      <c r="E37" s="105"/>
      <c r="F37" s="105"/>
      <c r="G37" s="105"/>
      <c r="H37" s="105"/>
      <c r="I37" s="105"/>
    </row>
    <row r="38" spans="2:9">
      <c r="B38" s="105" t="s">
        <v>77</v>
      </c>
      <c r="C38" s="105"/>
      <c r="D38" s="105"/>
      <c r="E38" s="105"/>
      <c r="F38" s="105"/>
      <c r="G38" s="105"/>
      <c r="H38" s="105"/>
      <c r="I38" s="105"/>
    </row>
    <row r="39" spans="2:9">
      <c r="B39" s="105"/>
      <c r="C39" s="105"/>
      <c r="D39" s="105"/>
      <c r="E39" s="105"/>
      <c r="F39" s="105"/>
      <c r="G39" s="105"/>
      <c r="H39" s="105"/>
      <c r="I39" s="105"/>
    </row>
    <row r="40" spans="2:9">
      <c r="B40" s="105" t="s">
        <v>78</v>
      </c>
      <c r="C40" s="105"/>
      <c r="D40" s="105"/>
      <c r="E40" s="105"/>
      <c r="F40" s="105"/>
      <c r="G40" s="105"/>
      <c r="H40" s="105"/>
      <c r="I40" s="105"/>
    </row>
  </sheetData>
  <pageMargins left="0.7" right="0.7" top="0.75" bottom="0.75" header="0.3" footer="0.3"/>
  <pageSetup scale="74" orientation="landscape" r:id="rId1"/>
  <headerFooter>
    <oddHeader>&amp;R&amp;"Times New Roman,Bold"&amp;10KyPSC Case No. 2022-00372
STAFF-DR-01-022 Attachment
Page &amp;P of &amp;N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4"/>
  <sheetViews>
    <sheetView view="pageLayout" topLeftCell="B1" zoomScale="90" zoomScaleNormal="100" zoomScalePageLayoutView="90" workbookViewId="0">
      <selection activeCell="D28" sqref="D28"/>
    </sheetView>
  </sheetViews>
  <sheetFormatPr defaultColWidth="9.1796875" defaultRowHeight="12.5"/>
  <cols>
    <col min="1" max="1" width="9.1796875" style="22"/>
    <col min="2" max="2" width="29" style="22" customWidth="1"/>
    <col min="3" max="3" width="11.26953125" style="22" customWidth="1"/>
    <col min="4" max="4" width="9.26953125" style="22" bestFit="1" customWidth="1"/>
    <col min="5" max="5" width="11.26953125" style="22" bestFit="1" customWidth="1"/>
    <col min="6" max="6" width="9.26953125" style="22" bestFit="1" customWidth="1"/>
    <col min="7" max="7" width="12.26953125" style="22" bestFit="1" customWidth="1"/>
    <col min="8" max="8" width="9.26953125" style="22" bestFit="1" customWidth="1"/>
    <col min="9" max="9" width="11.453125" style="22" bestFit="1" customWidth="1"/>
    <col min="10" max="10" width="10.26953125" style="22" bestFit="1" customWidth="1"/>
    <col min="11" max="11" width="12.26953125" style="22" bestFit="1" customWidth="1"/>
    <col min="12" max="12" width="9.26953125" style="22" bestFit="1" customWidth="1"/>
    <col min="13" max="13" width="12.26953125" style="22" bestFit="1" customWidth="1"/>
    <col min="14" max="14" width="8.7265625" style="22" customWidth="1"/>
    <col min="15" max="16384" width="9.1796875" style="22"/>
  </cols>
  <sheetData>
    <row r="1" spans="1:14">
      <c r="K1" s="1"/>
      <c r="L1" s="23"/>
      <c r="M1" s="1"/>
    </row>
    <row r="2" spans="1:14">
      <c r="K2" s="1"/>
      <c r="L2" s="23"/>
      <c r="M2" s="1"/>
    </row>
    <row r="3" spans="1:14">
      <c r="L3" s="23" t="s">
        <v>85</v>
      </c>
    </row>
    <row r="4" spans="1:14">
      <c r="L4" s="23"/>
    </row>
    <row r="5" spans="1:14" ht="20">
      <c r="A5" s="24" t="s">
        <v>66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 ht="15.5">
      <c r="A6" s="26" t="str">
        <f>'DEK 22a'!A6</f>
        <v>Case No. 2022-00372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4" ht="15.5">
      <c r="A7" s="25" t="s">
        <v>1</v>
      </c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4" ht="15.5">
      <c r="A8" s="25" t="s">
        <v>2</v>
      </c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4">
      <c r="A9" s="25" t="s">
        <v>79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4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2" spans="1:14">
      <c r="A12" s="27"/>
      <c r="B12" s="28"/>
      <c r="C12" s="28"/>
      <c r="D12" s="29"/>
      <c r="E12" s="28"/>
      <c r="F12" s="29"/>
      <c r="G12" s="30"/>
      <c r="H12" s="31"/>
      <c r="I12" s="30" t="s">
        <v>62</v>
      </c>
      <c r="J12" s="31"/>
      <c r="K12" s="158" t="s">
        <v>62</v>
      </c>
      <c r="L12" s="31"/>
      <c r="M12" s="30"/>
      <c r="N12" s="31"/>
    </row>
    <row r="13" spans="1:14" ht="13">
      <c r="A13" s="32"/>
      <c r="B13" s="33"/>
      <c r="C13" s="171" t="s">
        <v>88</v>
      </c>
      <c r="D13" s="172"/>
      <c r="E13" s="33"/>
      <c r="F13" s="34"/>
      <c r="G13" s="35"/>
      <c r="H13" s="36"/>
      <c r="I13" s="157" t="s">
        <v>62</v>
      </c>
      <c r="J13" s="156"/>
      <c r="K13" s="155"/>
      <c r="L13" s="156"/>
      <c r="M13" s="35"/>
      <c r="N13" s="36"/>
    </row>
    <row r="14" spans="1:14" ht="13">
      <c r="A14" s="37" t="s">
        <v>21</v>
      </c>
      <c r="B14" s="38"/>
      <c r="C14" s="170">
        <v>44834</v>
      </c>
      <c r="D14" s="167"/>
      <c r="E14" s="166">
        <v>2021</v>
      </c>
      <c r="F14" s="167"/>
      <c r="G14" s="166">
        <f>+I14+1</f>
        <v>2020</v>
      </c>
      <c r="H14" s="167"/>
      <c r="I14" s="166">
        <f>+K14+1</f>
        <v>2019</v>
      </c>
      <c r="J14" s="167"/>
      <c r="K14" s="166">
        <v>2018</v>
      </c>
      <c r="L14" s="167"/>
      <c r="M14" s="166">
        <f>K14-1</f>
        <v>2017</v>
      </c>
      <c r="N14" s="167"/>
    </row>
    <row r="15" spans="1:14" ht="13">
      <c r="A15" s="40" t="s">
        <v>28</v>
      </c>
      <c r="B15" s="39" t="s">
        <v>5</v>
      </c>
      <c r="C15" s="41" t="s">
        <v>6</v>
      </c>
      <c r="D15" s="41" t="s">
        <v>7</v>
      </c>
      <c r="E15" s="41" t="s">
        <v>6</v>
      </c>
      <c r="F15" s="41" t="s">
        <v>7</v>
      </c>
      <c r="G15" s="41" t="s">
        <v>6</v>
      </c>
      <c r="H15" s="41" t="s">
        <v>7</v>
      </c>
      <c r="I15" s="41" t="s">
        <v>6</v>
      </c>
      <c r="J15" s="41" t="s">
        <v>7</v>
      </c>
      <c r="K15" s="41" t="s">
        <v>6</v>
      </c>
      <c r="L15" s="41" t="s">
        <v>7</v>
      </c>
      <c r="M15" s="41" t="s">
        <v>6</v>
      </c>
      <c r="N15" s="41" t="s">
        <v>7</v>
      </c>
    </row>
    <row r="16" spans="1:14" ht="15.5">
      <c r="A16" s="42" t="s">
        <v>8</v>
      </c>
      <c r="B16" s="43" t="s">
        <v>81</v>
      </c>
      <c r="C16" s="47">
        <v>69309</v>
      </c>
      <c r="D16" s="149">
        <f>ROUND(C16/C$21,3)</f>
        <v>0.55400000000000005</v>
      </c>
      <c r="E16" s="47">
        <v>63835</v>
      </c>
      <c r="F16" s="149">
        <f>ROUND(E16/E$21,3)</f>
        <v>0.54</v>
      </c>
      <c r="G16" s="101">
        <v>59862.972207886</v>
      </c>
      <c r="H16" s="149">
        <f>ROUNDUP(G16/G$21,3)</f>
        <v>0.53500000000000003</v>
      </c>
      <c r="I16" s="101">
        <v>58126.092435939994</v>
      </c>
      <c r="J16" s="149">
        <f>ROUND(I16/I$21,3)</f>
        <v>0.53200000000000003</v>
      </c>
      <c r="K16" s="101">
        <v>54529.413573509999</v>
      </c>
      <c r="L16" s="45">
        <f>ROUND(K16/$K$21,3)</f>
        <v>0.53600000000000003</v>
      </c>
      <c r="M16" s="101">
        <v>52278.590683989998</v>
      </c>
      <c r="N16" s="149">
        <f>ROUND(M16/M$21,3)</f>
        <v>0.54400000000000004</v>
      </c>
    </row>
    <row r="17" spans="1:14" ht="14.5">
      <c r="A17" s="42" t="s">
        <v>9</v>
      </c>
      <c r="B17" s="43" t="s">
        <v>63</v>
      </c>
      <c r="C17" s="47">
        <v>3606</v>
      </c>
      <c r="D17" s="149">
        <f>ROUND(C17/C$21,3)</f>
        <v>2.9000000000000001E-2</v>
      </c>
      <c r="E17" s="47">
        <v>3304</v>
      </c>
      <c r="F17" s="149">
        <f>ROUNDDOWN(E17/E$21,3)</f>
        <v>2.7E-2</v>
      </c>
      <c r="G17" s="103">
        <v>2872.893427298</v>
      </c>
      <c r="H17" s="149">
        <f>ROUNDDOWN(G17/G$21,3)</f>
        <v>2.5000000000000001E-2</v>
      </c>
      <c r="I17" s="103">
        <v>3134.9640396499999</v>
      </c>
      <c r="J17" s="149">
        <f t="shared" ref="J17:J20" si="0">ROUND(I17/I$21,3)</f>
        <v>2.9000000000000001E-2</v>
      </c>
      <c r="K17" s="103">
        <v>3409.9432356799998</v>
      </c>
      <c r="L17" s="149">
        <f>ROUNDDOWN(K17/K$21,3)</f>
        <v>3.3000000000000002E-2</v>
      </c>
      <c r="M17" s="103">
        <v>2163.3340528700001</v>
      </c>
      <c r="N17" s="149">
        <f t="shared" ref="N17:N19" si="1">ROUND(M17/M$21,3)</f>
        <v>2.1999999999999999E-2</v>
      </c>
    </row>
    <row r="18" spans="1:14" ht="14.5">
      <c r="A18" s="42" t="s">
        <v>11</v>
      </c>
      <c r="B18" s="46" t="s">
        <v>64</v>
      </c>
      <c r="C18" s="47">
        <v>0</v>
      </c>
      <c r="D18" s="149">
        <f t="shared" ref="D18:D19" si="2">ROUND(C18/C$21,3)</f>
        <v>0</v>
      </c>
      <c r="E18" s="47"/>
      <c r="F18" s="149">
        <f t="shared" ref="F18:F19" si="3">ROUND(E18/E$21,3)</f>
        <v>0</v>
      </c>
      <c r="G18" s="47">
        <v>0</v>
      </c>
      <c r="H18" s="149">
        <f t="shared" ref="H18:H20" si="4">ROUND(G18/G$21,3)</f>
        <v>0</v>
      </c>
      <c r="I18" s="103">
        <v>0</v>
      </c>
      <c r="J18" s="149">
        <f t="shared" si="0"/>
        <v>0</v>
      </c>
      <c r="K18" s="47">
        <v>0</v>
      </c>
      <c r="L18" s="45">
        <f>ROUND(K18/$K$21,3)</f>
        <v>0</v>
      </c>
      <c r="M18" s="47"/>
      <c r="N18" s="149">
        <f t="shared" si="1"/>
        <v>0</v>
      </c>
    </row>
    <row r="19" spans="1:14" ht="14.5">
      <c r="A19" s="42" t="s">
        <v>13</v>
      </c>
      <c r="B19" s="46" t="s">
        <v>12</v>
      </c>
      <c r="C19" s="47">
        <v>1962</v>
      </c>
      <c r="D19" s="149">
        <f t="shared" si="2"/>
        <v>1.6E-2</v>
      </c>
      <c r="E19" s="47">
        <v>1962</v>
      </c>
      <c r="F19" s="149">
        <f t="shared" si="3"/>
        <v>1.7000000000000001E-2</v>
      </c>
      <c r="G19" s="47">
        <f>973+989</f>
        <v>1962</v>
      </c>
      <c r="H19" s="149">
        <f t="shared" si="4"/>
        <v>1.7999999999999999E-2</v>
      </c>
      <c r="I19" s="103">
        <f>973+989</f>
        <v>1962</v>
      </c>
      <c r="J19" s="149">
        <f t="shared" si="0"/>
        <v>1.7999999999999999E-2</v>
      </c>
      <c r="K19" s="47">
        <v>0</v>
      </c>
      <c r="L19" s="45">
        <f>ROUND(K19/$K$21,3)</f>
        <v>0</v>
      </c>
      <c r="M19" s="47">
        <v>0</v>
      </c>
      <c r="N19" s="149">
        <f t="shared" si="1"/>
        <v>0</v>
      </c>
    </row>
    <row r="20" spans="1:14" ht="15.5">
      <c r="A20" s="42" t="s">
        <v>15</v>
      </c>
      <c r="B20" s="43" t="s">
        <v>14</v>
      </c>
      <c r="C20" s="47">
        <v>50207</v>
      </c>
      <c r="D20" s="149">
        <f>ROUND(C20/C$21,3)</f>
        <v>0.40100000000000002</v>
      </c>
      <c r="E20" s="47">
        <v>49174</v>
      </c>
      <c r="F20" s="149">
        <f>ROUND(E20/E$21,3)</f>
        <v>0.41599999999999998</v>
      </c>
      <c r="G20" s="103">
        <v>47222.224291354207</v>
      </c>
      <c r="H20" s="149">
        <f t="shared" si="4"/>
        <v>0.42199999999999999</v>
      </c>
      <c r="I20" s="103">
        <v>45988.977270380528</v>
      </c>
      <c r="J20" s="149">
        <f t="shared" si="0"/>
        <v>0.42099999999999999</v>
      </c>
      <c r="K20" s="103">
        <v>43834.372729390736</v>
      </c>
      <c r="L20" s="45">
        <f>ROUND(K20/$K$21,3)</f>
        <v>0.43099999999999999</v>
      </c>
      <c r="M20" s="103">
        <v>41736.667778894065</v>
      </c>
      <c r="N20" s="149">
        <f>ROUND(M20/M$21,3)</f>
        <v>0.434</v>
      </c>
    </row>
    <row r="21" spans="1:14">
      <c r="A21" s="42" t="s">
        <v>65</v>
      </c>
      <c r="B21" s="46" t="s">
        <v>16</v>
      </c>
      <c r="C21" s="44">
        <f t="shared" ref="C21:J21" si="5">SUM(C16:C20)</f>
        <v>125084</v>
      </c>
      <c r="D21" s="45">
        <f t="shared" si="5"/>
        <v>1</v>
      </c>
      <c r="E21" s="44">
        <f t="shared" si="5"/>
        <v>118275</v>
      </c>
      <c r="F21" s="45">
        <f t="shared" si="5"/>
        <v>1</v>
      </c>
      <c r="G21" s="44">
        <f t="shared" si="5"/>
        <v>111920.0899265382</v>
      </c>
      <c r="H21" s="45">
        <f t="shared" si="5"/>
        <v>1</v>
      </c>
      <c r="I21" s="44">
        <f t="shared" si="5"/>
        <v>109212.03374597052</v>
      </c>
      <c r="J21" s="45">
        <f t="shared" si="5"/>
        <v>1</v>
      </c>
      <c r="K21" s="44">
        <f>SUM(K16:K20)</f>
        <v>101773.72953858074</v>
      </c>
      <c r="L21" s="45">
        <f>SUM(L16:L20)</f>
        <v>1</v>
      </c>
      <c r="M21" s="44">
        <f>SUM(M16:M20)</f>
        <v>96178.592515754062</v>
      </c>
      <c r="N21" s="45">
        <f t="shared" ref="N21" si="6">SUM(N16:N20)</f>
        <v>1</v>
      </c>
    </row>
    <row r="25" spans="1:14" ht="14.5">
      <c r="B25" s="97" t="s">
        <v>17</v>
      </c>
    </row>
    <row r="26" spans="1:14" ht="14.5">
      <c r="B26" s="97" t="s">
        <v>80</v>
      </c>
    </row>
    <row r="27" spans="1:14" ht="14.5">
      <c r="B27" s="97" t="s">
        <v>89</v>
      </c>
      <c r="G27" s="98"/>
    </row>
    <row r="28" spans="1:14">
      <c r="B28" s="22" t="s">
        <v>82</v>
      </c>
      <c r="G28" s="98"/>
    </row>
    <row r="29" spans="1:14">
      <c r="B29" s="154"/>
      <c r="G29" s="98"/>
    </row>
    <row r="30" spans="1:14">
      <c r="G30" s="99"/>
    </row>
    <row r="31" spans="1:14" ht="13">
      <c r="A31" s="2"/>
      <c r="G31" s="99"/>
    </row>
    <row r="32" spans="1:14">
      <c r="I32" s="152"/>
      <c r="J32" s="152"/>
    </row>
    <row r="33" spans="9:10">
      <c r="I33" s="152"/>
      <c r="J33" s="152"/>
    </row>
    <row r="34" spans="9:10">
      <c r="I34" s="153"/>
      <c r="J34" s="153"/>
    </row>
  </sheetData>
  <mergeCells count="7">
    <mergeCell ref="M14:N14"/>
    <mergeCell ref="C13:D13"/>
    <mergeCell ref="C14:D14"/>
    <mergeCell ref="E14:F14"/>
    <mergeCell ref="G14:H14"/>
    <mergeCell ref="I14:J14"/>
    <mergeCell ref="K14:L14"/>
  </mergeCells>
  <pageMargins left="0.7" right="0.7" top="0.75" bottom="0.75" header="0.3" footer="0.3"/>
  <pageSetup scale="74" fitToHeight="0" orientation="landscape" r:id="rId1"/>
  <headerFooter>
    <oddHeader>&amp;R&amp;"Times New Roman,Bold"&amp;10KyPSC Case No. 2022-00372
STAFF-DR-01-022 Attachment
Page &amp;P of &amp;N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74"/>
  <sheetViews>
    <sheetView view="pageLayout" zoomScale="80" zoomScaleNormal="100" zoomScalePageLayoutView="80" workbookViewId="0">
      <selection activeCell="D28" sqref="D28"/>
    </sheetView>
  </sheetViews>
  <sheetFormatPr defaultColWidth="9.1796875" defaultRowHeight="12.5"/>
  <cols>
    <col min="1" max="1" width="4.453125" style="1" customWidth="1"/>
    <col min="2" max="2" width="34.1796875" style="82" customWidth="1"/>
    <col min="3" max="9" width="12.7265625" style="1" customWidth="1"/>
    <col min="10" max="11" width="9.1796875" style="1"/>
    <col min="12" max="12" width="10.26953125" style="1" bestFit="1" customWidth="1"/>
    <col min="13" max="16384" width="9.1796875" style="1"/>
  </cols>
  <sheetData>
    <row r="1" spans="1:10">
      <c r="A1" s="48"/>
      <c r="B1" s="49"/>
      <c r="C1" s="3"/>
      <c r="D1" s="3"/>
      <c r="E1" s="3"/>
      <c r="F1" s="3"/>
      <c r="G1" s="3"/>
      <c r="H1" s="3"/>
      <c r="I1" s="50"/>
    </row>
    <row r="2" spans="1:10">
      <c r="A2" s="51"/>
      <c r="B2" s="52"/>
      <c r="C2" s="4"/>
      <c r="D2" s="4"/>
      <c r="E2" s="4"/>
      <c r="F2" s="4"/>
      <c r="G2" s="4"/>
      <c r="H2" s="4"/>
      <c r="I2" s="53"/>
    </row>
    <row r="3" spans="1:10">
      <c r="A3" s="51"/>
      <c r="B3" s="52"/>
      <c r="C3" s="4"/>
      <c r="D3" s="4"/>
      <c r="E3" s="4"/>
      <c r="F3" s="4"/>
      <c r="G3" s="4"/>
      <c r="H3" s="4"/>
      <c r="I3" s="53" t="s">
        <v>86</v>
      </c>
    </row>
    <row r="4" spans="1:10">
      <c r="A4" s="51"/>
      <c r="B4" s="52"/>
      <c r="C4" s="4"/>
      <c r="D4" s="4"/>
      <c r="E4" s="4"/>
      <c r="F4" s="4"/>
      <c r="G4" s="4"/>
      <c r="H4" s="4"/>
      <c r="I4" s="53"/>
    </row>
    <row r="5" spans="1:10" ht="20">
      <c r="A5" s="54" t="s">
        <v>66</v>
      </c>
      <c r="B5" s="55"/>
      <c r="C5" s="55"/>
      <c r="D5" s="55"/>
      <c r="E5" s="55"/>
      <c r="F5" s="56"/>
      <c r="G5" s="56"/>
      <c r="H5" s="56"/>
      <c r="I5" s="57"/>
      <c r="J5" s="58"/>
    </row>
    <row r="6" spans="1:10" ht="15.5">
      <c r="A6" s="59" t="str">
        <f>'DEK 22a'!A6</f>
        <v>Case No. 2022-00372</v>
      </c>
      <c r="B6" s="55"/>
      <c r="C6" s="55"/>
      <c r="D6" s="55"/>
      <c r="E6" s="55"/>
      <c r="F6" s="56"/>
      <c r="G6" s="56"/>
      <c r="H6" s="56"/>
      <c r="I6" s="57"/>
    </row>
    <row r="7" spans="1:10" ht="15.5">
      <c r="A7" s="59" t="s">
        <v>19</v>
      </c>
      <c r="B7" s="55"/>
      <c r="C7" s="55"/>
      <c r="D7" s="55"/>
      <c r="E7" s="55"/>
      <c r="F7" s="56"/>
      <c r="G7" s="56"/>
      <c r="H7" s="56"/>
      <c r="I7" s="57"/>
    </row>
    <row r="8" spans="1:10" ht="15.5">
      <c r="A8" s="59" t="str">
        <f>'DEK 22b'!A8</f>
        <v>12 Months Ended December 31, 2021</v>
      </c>
      <c r="B8" s="55"/>
      <c r="C8" s="55"/>
      <c r="D8" s="55"/>
      <c r="E8" s="55"/>
      <c r="F8" s="56"/>
      <c r="G8" s="56"/>
      <c r="H8" s="56"/>
      <c r="I8" s="57"/>
    </row>
    <row r="9" spans="1:10" ht="13">
      <c r="A9" s="60" t="s">
        <v>79</v>
      </c>
      <c r="B9" s="55"/>
      <c r="C9" s="55"/>
      <c r="D9" s="55"/>
      <c r="E9" s="55"/>
      <c r="F9" s="56"/>
      <c r="G9" s="56"/>
      <c r="H9" s="56"/>
      <c r="I9" s="57"/>
    </row>
    <row r="10" spans="1:10" ht="13">
      <c r="A10" s="61"/>
      <c r="B10" s="55"/>
      <c r="C10" s="55"/>
      <c r="D10" s="55"/>
      <c r="E10" s="55"/>
      <c r="F10" s="56"/>
      <c r="G10" s="56"/>
      <c r="H10" s="56"/>
      <c r="I10" s="57"/>
    </row>
    <row r="11" spans="1:10" ht="13">
      <c r="A11" s="61"/>
      <c r="B11" s="55"/>
      <c r="C11" s="55"/>
      <c r="D11" s="55"/>
      <c r="E11" s="55"/>
      <c r="F11" s="56"/>
      <c r="G11" s="56"/>
      <c r="H11" s="56"/>
      <c r="I11" s="57"/>
    </row>
    <row r="12" spans="1:10" ht="13">
      <c r="A12" s="61"/>
      <c r="B12" s="55"/>
      <c r="C12" s="4"/>
      <c r="D12" s="4"/>
      <c r="E12" s="4"/>
      <c r="F12" s="4"/>
      <c r="G12" s="4"/>
      <c r="H12" s="4"/>
      <c r="I12" s="62"/>
    </row>
    <row r="13" spans="1:10" ht="13">
      <c r="A13" s="8"/>
      <c r="B13" s="63"/>
      <c r="C13" s="9"/>
      <c r="D13" s="9"/>
      <c r="E13" s="9"/>
      <c r="F13" s="9"/>
      <c r="G13" s="9"/>
      <c r="H13" s="9"/>
      <c r="I13" s="10" t="s">
        <v>20</v>
      </c>
    </row>
    <row r="14" spans="1:10" s="64" customFormat="1" ht="13">
      <c r="A14" s="11" t="s">
        <v>21</v>
      </c>
      <c r="B14" s="12"/>
      <c r="C14" s="12" t="s">
        <v>22</v>
      </c>
      <c r="D14" s="12" t="s">
        <v>23</v>
      </c>
      <c r="E14" s="12" t="s">
        <v>24</v>
      </c>
      <c r="F14" s="12" t="s">
        <v>25</v>
      </c>
      <c r="G14" s="12" t="s">
        <v>26</v>
      </c>
      <c r="H14" s="12" t="s">
        <v>27</v>
      </c>
      <c r="I14" s="13" t="s">
        <v>26</v>
      </c>
    </row>
    <row r="15" spans="1:10" s="65" customFormat="1" ht="15">
      <c r="A15" s="14" t="s">
        <v>28</v>
      </c>
      <c r="B15" s="15" t="s">
        <v>29</v>
      </c>
      <c r="C15" s="15" t="s">
        <v>30</v>
      </c>
      <c r="D15" s="15" t="s">
        <v>31</v>
      </c>
      <c r="E15" s="15" t="s">
        <v>67</v>
      </c>
      <c r="F15" s="15" t="s">
        <v>33</v>
      </c>
      <c r="G15" s="15" t="s">
        <v>34</v>
      </c>
      <c r="H15" s="15" t="s">
        <v>68</v>
      </c>
      <c r="I15" s="16" t="s">
        <v>36</v>
      </c>
    </row>
    <row r="16" spans="1:10" s="64" customFormat="1" ht="13">
      <c r="A16" s="17"/>
      <c r="B16" s="66" t="s">
        <v>37</v>
      </c>
      <c r="C16" s="66" t="s">
        <v>38</v>
      </c>
      <c r="D16" s="66" t="s">
        <v>39</v>
      </c>
      <c r="E16" s="66" t="s">
        <v>40</v>
      </c>
      <c r="F16" s="66" t="s">
        <v>41</v>
      </c>
      <c r="G16" s="66" t="s">
        <v>42</v>
      </c>
      <c r="H16" s="66" t="s">
        <v>43</v>
      </c>
      <c r="I16" s="67" t="s">
        <v>44</v>
      </c>
    </row>
    <row r="17" spans="1:18" s="72" customFormat="1" ht="13">
      <c r="A17" s="68">
        <v>1</v>
      </c>
      <c r="B17" s="69" t="str">
        <f>'DEK 22b'!B14</f>
        <v>Balance at the beginning of Jan 1, 2021</v>
      </c>
      <c r="C17" s="150">
        <f>+D17+E17+F17+I17</f>
        <v>111829</v>
      </c>
      <c r="D17" s="150">
        <v>59863</v>
      </c>
      <c r="E17" s="150">
        <v>2782</v>
      </c>
      <c r="F17" s="150">
        <v>1962</v>
      </c>
      <c r="G17" s="150">
        <f>I17-H17</f>
        <v>43769</v>
      </c>
      <c r="H17" s="150">
        <v>3453</v>
      </c>
      <c r="I17" s="151">
        <v>47222</v>
      </c>
      <c r="R17" s="64"/>
    </row>
    <row r="18" spans="1:18" s="72" customFormat="1" ht="13">
      <c r="A18" s="68">
        <f t="shared" ref="A18:A30" si="0">1+A17</f>
        <v>2</v>
      </c>
      <c r="B18" s="69" t="s">
        <v>45</v>
      </c>
      <c r="C18" s="150">
        <f t="shared" ref="C18:C29" si="1">+D18+E18+F18+I18</f>
        <v>111872</v>
      </c>
      <c r="D18" s="150">
        <v>60045</v>
      </c>
      <c r="E18" s="150">
        <v>2991</v>
      </c>
      <c r="F18" s="150">
        <v>1962</v>
      </c>
      <c r="G18" s="150">
        <f>I18-H18</f>
        <v>43777</v>
      </c>
      <c r="H18" s="150">
        <v>3097</v>
      </c>
      <c r="I18" s="151">
        <v>46874</v>
      </c>
      <c r="R18" s="64"/>
    </row>
    <row r="19" spans="1:18" s="72" customFormat="1" ht="13">
      <c r="A19" s="68">
        <f t="shared" si="0"/>
        <v>3</v>
      </c>
      <c r="B19" s="69" t="s">
        <v>46</v>
      </c>
      <c r="C19" s="150">
        <f t="shared" si="1"/>
        <v>113003</v>
      </c>
      <c r="D19" s="150">
        <v>60031</v>
      </c>
      <c r="E19" s="150">
        <v>3556</v>
      </c>
      <c r="F19" s="150">
        <v>1962</v>
      </c>
      <c r="G19" s="150">
        <f t="shared" ref="G19:G28" si="2">I19-H19</f>
        <v>43752</v>
      </c>
      <c r="H19" s="150">
        <v>3702</v>
      </c>
      <c r="I19" s="151">
        <v>47454</v>
      </c>
      <c r="R19" s="64"/>
    </row>
    <row r="20" spans="1:18" s="72" customFormat="1" ht="13">
      <c r="A20" s="68">
        <f t="shared" si="0"/>
        <v>4</v>
      </c>
      <c r="B20" s="69" t="s">
        <v>47</v>
      </c>
      <c r="C20" s="150">
        <f t="shared" si="1"/>
        <v>113987</v>
      </c>
      <c r="D20" s="150">
        <v>60354</v>
      </c>
      <c r="E20" s="150">
        <v>3975</v>
      </c>
      <c r="F20" s="150">
        <v>1962</v>
      </c>
      <c r="G20" s="150">
        <f t="shared" si="2"/>
        <v>43762</v>
      </c>
      <c r="H20" s="150">
        <v>3934</v>
      </c>
      <c r="I20" s="151">
        <v>47696</v>
      </c>
      <c r="R20" s="64"/>
    </row>
    <row r="21" spans="1:18" s="72" customFormat="1" ht="13">
      <c r="A21" s="68">
        <f t="shared" si="0"/>
        <v>5</v>
      </c>
      <c r="B21" s="69" t="s">
        <v>48</v>
      </c>
      <c r="C21" s="150">
        <f t="shared" si="1"/>
        <v>114275</v>
      </c>
      <c r="D21" s="150">
        <v>61111</v>
      </c>
      <c r="E21" s="150">
        <v>3322</v>
      </c>
      <c r="F21" s="150">
        <v>1962</v>
      </c>
      <c r="G21" s="150">
        <f t="shared" si="2"/>
        <v>43769</v>
      </c>
      <c r="H21" s="150">
        <v>4111</v>
      </c>
      <c r="I21" s="151">
        <v>47880</v>
      </c>
      <c r="R21" s="64"/>
    </row>
    <row r="22" spans="1:18" s="72" customFormat="1" ht="13">
      <c r="A22" s="68">
        <f t="shared" si="0"/>
        <v>6</v>
      </c>
      <c r="B22" s="69" t="s">
        <v>49</v>
      </c>
      <c r="C22" s="150">
        <f t="shared" si="1"/>
        <v>113814</v>
      </c>
      <c r="D22" s="150">
        <v>60579</v>
      </c>
      <c r="E22" s="150">
        <v>3887</v>
      </c>
      <c r="F22" s="150">
        <v>1962</v>
      </c>
      <c r="G22" s="150">
        <f t="shared" si="2"/>
        <v>43777</v>
      </c>
      <c r="H22" s="150">
        <v>3609</v>
      </c>
      <c r="I22" s="151">
        <v>47386</v>
      </c>
      <c r="R22" s="64"/>
    </row>
    <row r="23" spans="1:18" s="72" customFormat="1" ht="13">
      <c r="A23" s="68">
        <f t="shared" si="0"/>
        <v>7</v>
      </c>
      <c r="B23" s="69" t="s">
        <v>50</v>
      </c>
      <c r="C23" s="150">
        <f t="shared" si="1"/>
        <v>115143</v>
      </c>
      <c r="D23" s="150">
        <v>62385</v>
      </c>
      <c r="E23" s="150">
        <v>3213</v>
      </c>
      <c r="F23" s="150">
        <v>1962</v>
      </c>
      <c r="G23" s="150">
        <f t="shared" si="2"/>
        <v>43789</v>
      </c>
      <c r="H23" s="150">
        <v>3794</v>
      </c>
      <c r="I23" s="151">
        <v>47583</v>
      </c>
      <c r="R23" s="64"/>
    </row>
    <row r="24" spans="1:18" s="72" customFormat="1" ht="13">
      <c r="A24" s="68">
        <f t="shared" si="0"/>
        <v>8</v>
      </c>
      <c r="B24" s="69" t="s">
        <v>51</v>
      </c>
      <c r="C24" s="150">
        <f t="shared" si="1"/>
        <v>115989</v>
      </c>
      <c r="D24" s="150">
        <v>62831</v>
      </c>
      <c r="E24" s="150">
        <v>3754</v>
      </c>
      <c r="F24" s="150">
        <v>1962</v>
      </c>
      <c r="G24" s="150">
        <f t="shared" si="2"/>
        <v>43795</v>
      </c>
      <c r="H24" s="150">
        <v>3647</v>
      </c>
      <c r="I24" s="151">
        <v>47442</v>
      </c>
      <c r="R24" s="64"/>
    </row>
    <row r="25" spans="1:18" s="72" customFormat="1" ht="13">
      <c r="A25" s="68">
        <f t="shared" si="0"/>
        <v>9</v>
      </c>
      <c r="B25" s="69" t="s">
        <v>52</v>
      </c>
      <c r="C25" s="150">
        <f t="shared" si="1"/>
        <v>115427</v>
      </c>
      <c r="D25" s="150">
        <v>62862</v>
      </c>
      <c r="E25" s="150">
        <v>2602</v>
      </c>
      <c r="F25" s="150">
        <v>1962</v>
      </c>
      <c r="G25" s="150">
        <f t="shared" si="2"/>
        <v>43801</v>
      </c>
      <c r="H25" s="150">
        <v>4200</v>
      </c>
      <c r="I25" s="151">
        <v>48001</v>
      </c>
      <c r="R25" s="64"/>
    </row>
    <row r="26" spans="1:18" s="72" customFormat="1" ht="13">
      <c r="A26" s="68">
        <f t="shared" si="0"/>
        <v>10</v>
      </c>
      <c r="B26" s="69" t="s">
        <v>53</v>
      </c>
      <c r="C26" s="150">
        <f t="shared" si="1"/>
        <v>116141</v>
      </c>
      <c r="D26" s="150">
        <v>62802</v>
      </c>
      <c r="E26" s="150">
        <v>2098</v>
      </c>
      <c r="F26" s="150">
        <v>1962</v>
      </c>
      <c r="G26" s="150">
        <f t="shared" si="2"/>
        <v>44349</v>
      </c>
      <c r="H26" s="150">
        <v>4930</v>
      </c>
      <c r="I26" s="151">
        <v>49279</v>
      </c>
      <c r="R26" s="64"/>
    </row>
    <row r="27" spans="1:18" s="72" customFormat="1" ht="13">
      <c r="A27" s="68">
        <f t="shared" si="0"/>
        <v>11</v>
      </c>
      <c r="B27" s="69" t="s">
        <v>54</v>
      </c>
      <c r="C27" s="150">
        <f t="shared" si="1"/>
        <v>115352</v>
      </c>
      <c r="D27" s="150">
        <v>62766</v>
      </c>
      <c r="E27" s="150">
        <v>1870</v>
      </c>
      <c r="F27" s="150">
        <v>1962</v>
      </c>
      <c r="G27" s="150">
        <f t="shared" si="2"/>
        <v>44354</v>
      </c>
      <c r="H27" s="150">
        <v>4400</v>
      </c>
      <c r="I27" s="151">
        <v>48754</v>
      </c>
      <c r="R27" s="64"/>
    </row>
    <row r="28" spans="1:18" s="72" customFormat="1">
      <c r="A28" s="68">
        <f t="shared" si="0"/>
        <v>12</v>
      </c>
      <c r="B28" s="69" t="s">
        <v>55</v>
      </c>
      <c r="C28" s="150">
        <f t="shared" si="1"/>
        <v>116413</v>
      </c>
      <c r="D28" s="150">
        <v>63412</v>
      </c>
      <c r="E28" s="150">
        <v>2102</v>
      </c>
      <c r="F28" s="150">
        <v>1962</v>
      </c>
      <c r="G28" s="150">
        <f t="shared" si="2"/>
        <v>44365</v>
      </c>
      <c r="H28" s="150">
        <v>4572</v>
      </c>
      <c r="I28" s="151">
        <v>48937</v>
      </c>
    </row>
    <row r="29" spans="1:18" s="72" customFormat="1">
      <c r="A29" s="68">
        <f t="shared" si="0"/>
        <v>13</v>
      </c>
      <c r="B29" s="69" t="s">
        <v>56</v>
      </c>
      <c r="C29" s="150">
        <f t="shared" si="1"/>
        <v>118275</v>
      </c>
      <c r="D29" s="150">
        <v>63835</v>
      </c>
      <c r="E29" s="150">
        <f>3304-1</f>
        <v>3303</v>
      </c>
      <c r="F29" s="150">
        <v>1962</v>
      </c>
      <c r="G29" s="150">
        <f>I29-H29</f>
        <v>44372</v>
      </c>
      <c r="H29" s="150">
        <v>4803</v>
      </c>
      <c r="I29" s="151">
        <v>49175</v>
      </c>
    </row>
    <row r="30" spans="1:18" s="72" customFormat="1">
      <c r="A30" s="68">
        <f t="shared" si="0"/>
        <v>14</v>
      </c>
      <c r="B30" s="73" t="s">
        <v>69</v>
      </c>
      <c r="C30" s="70">
        <f t="shared" ref="C30:I30" si="3">SUM(C17:C29)</f>
        <v>1491520</v>
      </c>
      <c r="D30" s="70">
        <f t="shared" si="3"/>
        <v>802876</v>
      </c>
      <c r="E30" s="70">
        <f t="shared" si="3"/>
        <v>39455</v>
      </c>
      <c r="F30" s="70">
        <f t="shared" si="3"/>
        <v>25506</v>
      </c>
      <c r="G30" s="70">
        <f t="shared" si="3"/>
        <v>571431</v>
      </c>
      <c r="H30" s="70">
        <f t="shared" si="3"/>
        <v>52252</v>
      </c>
      <c r="I30" s="71">
        <f t="shared" si="3"/>
        <v>623683</v>
      </c>
    </row>
    <row r="31" spans="1:18" s="72" customFormat="1">
      <c r="A31" s="74"/>
      <c r="B31" s="69"/>
      <c r="C31" s="70"/>
      <c r="D31" s="70"/>
      <c r="E31" s="70"/>
      <c r="F31" s="70"/>
      <c r="G31" s="70"/>
      <c r="H31" s="70"/>
      <c r="I31" s="71"/>
    </row>
    <row r="32" spans="1:18" s="72" customFormat="1">
      <c r="A32" s="68">
        <f>1+A30</f>
        <v>15</v>
      </c>
      <c r="B32" s="69" t="s">
        <v>70</v>
      </c>
      <c r="C32" s="75">
        <f t="shared" ref="C32:I32" si="4">IF(C18=0,"N/A",AVERAGE(C17:C29))</f>
        <v>114732.30769230769</v>
      </c>
      <c r="D32" s="75">
        <f t="shared" si="4"/>
        <v>61759.692307692305</v>
      </c>
      <c r="E32" s="75">
        <f t="shared" si="4"/>
        <v>3035</v>
      </c>
      <c r="F32" s="75">
        <f t="shared" si="4"/>
        <v>1962</v>
      </c>
      <c r="G32" s="75">
        <f t="shared" si="4"/>
        <v>43956.230769230766</v>
      </c>
      <c r="H32" s="75">
        <f t="shared" si="4"/>
        <v>4019.3846153846152</v>
      </c>
      <c r="I32" s="76">
        <f t="shared" si="4"/>
        <v>47975.615384615383</v>
      </c>
    </row>
    <row r="33" spans="1:9" s="72" customFormat="1">
      <c r="A33" s="68"/>
      <c r="B33" s="69"/>
      <c r="C33" s="75"/>
      <c r="D33" s="75"/>
      <c r="E33" s="75"/>
      <c r="F33" s="75"/>
      <c r="G33" s="75"/>
      <c r="H33" s="75"/>
      <c r="I33" s="76"/>
    </row>
    <row r="34" spans="1:9" s="72" customFormat="1">
      <c r="A34" s="68">
        <f>1+A32</f>
        <v>16</v>
      </c>
      <c r="B34" s="69" t="s">
        <v>71</v>
      </c>
      <c r="C34" s="77">
        <f>SUM(D34:F34)+I34</f>
        <v>1.0000006758206395</v>
      </c>
      <c r="D34" s="77">
        <f>ROUND(D32/$C$32,4)</f>
        <v>0.5383</v>
      </c>
      <c r="E34" s="77">
        <f>ROUND(E32/$C$32,4)</f>
        <v>2.6499999999999999E-2</v>
      </c>
      <c r="F34" s="77">
        <f>IF(F30=0,0,+F32/$C$32)</f>
        <v>1.7100675820639347E-2</v>
      </c>
      <c r="G34" s="77">
        <f>ROUND(G32/$C$32,4)</f>
        <v>0.3831</v>
      </c>
      <c r="H34" s="77">
        <f>ROUND(H32/$C$32,4)</f>
        <v>3.5000000000000003E-2</v>
      </c>
      <c r="I34" s="78">
        <f>+G34+H34</f>
        <v>0.41810000000000003</v>
      </c>
    </row>
    <row r="35" spans="1:9" s="72" customFormat="1">
      <c r="A35" s="68"/>
      <c r="B35" s="69"/>
      <c r="C35" s="70"/>
      <c r="D35" s="70"/>
      <c r="E35" s="70"/>
      <c r="F35" s="70"/>
      <c r="G35" s="70"/>
      <c r="H35" s="70"/>
      <c r="I35" s="71"/>
    </row>
    <row r="36" spans="1:9" s="72" customFormat="1" ht="12.75" customHeight="1" thickBot="1">
      <c r="A36" s="79">
        <f>1+A34</f>
        <v>17</v>
      </c>
      <c r="B36" s="80" t="s">
        <v>72</v>
      </c>
      <c r="C36" s="20">
        <f>SUM(D36:F36)+I36</f>
        <v>0.99998845909955603</v>
      </c>
      <c r="D36" s="20">
        <f>ROUND(D29/$C$29,4)</f>
        <v>0.53969999999999996</v>
      </c>
      <c r="E36" s="20">
        <f>ROUND(E29/$C$29,4)</f>
        <v>2.7900000000000001E-2</v>
      </c>
      <c r="F36" s="20">
        <f>+F29/$C$29</f>
        <v>1.658845909955612E-2</v>
      </c>
      <c r="G36" s="20">
        <f>ROUND(G29/$C$29,4)</f>
        <v>0.37519999999999998</v>
      </c>
      <c r="H36" s="20">
        <f>ROUND(H29/$C$29,4)</f>
        <v>4.0599999999999997E-2</v>
      </c>
      <c r="I36" s="21">
        <f>+G36+H36</f>
        <v>0.41579999999999995</v>
      </c>
    </row>
    <row r="37" spans="1:9">
      <c r="A37" s="81"/>
      <c r="C37" s="83"/>
      <c r="D37" s="83"/>
      <c r="E37" s="83"/>
      <c r="F37" s="83"/>
      <c r="G37" s="83"/>
      <c r="H37" s="83"/>
      <c r="I37" s="83"/>
    </row>
    <row r="38" spans="1:9" ht="14.5">
      <c r="A38" s="81"/>
      <c r="B38" t="s">
        <v>17</v>
      </c>
      <c r="C38" s="83"/>
      <c r="D38" s="83"/>
      <c r="E38" s="83"/>
      <c r="F38" s="83"/>
      <c r="G38" s="83"/>
      <c r="H38" s="83"/>
      <c r="I38" s="83"/>
    </row>
    <row r="39" spans="1:9" ht="14.5">
      <c r="A39" s="81"/>
      <c r="B39" t="s">
        <v>80</v>
      </c>
      <c r="C39" s="83"/>
      <c r="D39" s="83"/>
      <c r="E39" s="83"/>
      <c r="F39" s="83"/>
      <c r="G39" s="83"/>
      <c r="H39" s="83"/>
      <c r="I39" s="83"/>
    </row>
    <row r="40" spans="1:9" ht="14.5">
      <c r="A40" s="81"/>
      <c r="B40"/>
      <c r="C40" s="83"/>
      <c r="D40" s="83"/>
      <c r="E40" s="83"/>
      <c r="F40" s="83"/>
      <c r="G40" s="83"/>
      <c r="H40" s="83"/>
      <c r="I40" s="83"/>
    </row>
    <row r="41" spans="1:9">
      <c r="A41" s="81"/>
      <c r="C41" s="83"/>
      <c r="D41" s="84"/>
      <c r="E41" s="84"/>
      <c r="F41" s="83"/>
      <c r="G41" s="83"/>
      <c r="H41" s="83"/>
      <c r="I41" s="83"/>
    </row>
    <row r="42" spans="1:9">
      <c r="A42" s="81"/>
      <c r="C42" s="83"/>
      <c r="D42" s="83"/>
      <c r="E42" s="83"/>
      <c r="F42" s="83"/>
      <c r="G42" s="83"/>
      <c r="H42" s="83"/>
      <c r="I42" s="83"/>
    </row>
    <row r="43" spans="1:9" ht="13">
      <c r="B43" s="2"/>
      <c r="C43" s="83"/>
      <c r="D43" s="83"/>
      <c r="E43" s="83"/>
      <c r="F43" s="83"/>
      <c r="G43" s="83"/>
      <c r="H43" s="83"/>
      <c r="I43" s="83"/>
    </row>
    <row r="44" spans="1:9">
      <c r="C44" s="83"/>
      <c r="D44" s="83"/>
      <c r="E44" s="83"/>
      <c r="F44" s="83"/>
      <c r="G44" s="83"/>
      <c r="H44" s="83"/>
      <c r="I44" s="83"/>
    </row>
    <row r="45" spans="1:9">
      <c r="C45" s="83"/>
      <c r="D45" s="85"/>
      <c r="E45" s="85"/>
      <c r="F45" s="86"/>
      <c r="G45" s="85"/>
      <c r="H45" s="85"/>
      <c r="I45" s="83"/>
    </row>
    <row r="46" spans="1:9">
      <c r="C46" s="83"/>
      <c r="D46" s="83"/>
      <c r="E46" s="83"/>
      <c r="F46" s="83"/>
      <c r="G46" s="83"/>
      <c r="H46" s="83"/>
      <c r="I46" s="83"/>
    </row>
    <row r="47" spans="1:9">
      <c r="C47" s="87"/>
      <c r="D47" s="87"/>
      <c r="I47" s="83"/>
    </row>
    <row r="48" spans="1:9">
      <c r="C48" s="87"/>
      <c r="D48" s="87"/>
      <c r="E48" s="83"/>
      <c r="F48" s="83"/>
      <c r="G48" s="83"/>
      <c r="I48" s="83"/>
    </row>
    <row r="49" spans="3:9">
      <c r="C49" s="87"/>
      <c r="D49" s="87"/>
      <c r="E49" s="83"/>
      <c r="F49" s="83"/>
      <c r="G49" s="83"/>
      <c r="I49" s="83"/>
    </row>
    <row r="50" spans="3:9">
      <c r="C50" s="87"/>
      <c r="D50" s="87"/>
      <c r="F50" s="83"/>
      <c r="G50" s="83"/>
      <c r="I50" s="83"/>
    </row>
    <row r="51" spans="3:9">
      <c r="C51" s="87"/>
      <c r="D51" s="87"/>
      <c r="F51" s="83"/>
      <c r="G51" s="83"/>
      <c r="I51" s="83"/>
    </row>
    <row r="52" spans="3:9">
      <c r="C52" s="87"/>
      <c r="D52" s="87"/>
      <c r="G52" s="83"/>
      <c r="I52" s="83"/>
    </row>
    <row r="53" spans="3:9">
      <c r="C53" s="87"/>
      <c r="D53" s="87"/>
      <c r="F53" s="83"/>
      <c r="G53" s="83"/>
      <c r="I53" s="83"/>
    </row>
    <row r="54" spans="3:9">
      <c r="C54" s="87"/>
      <c r="D54" s="87"/>
      <c r="F54" s="83"/>
      <c r="G54" s="83"/>
      <c r="I54" s="83"/>
    </row>
    <row r="55" spans="3:9">
      <c r="C55" s="87"/>
      <c r="D55" s="87"/>
      <c r="F55" s="83"/>
      <c r="G55" s="83"/>
      <c r="I55" s="83"/>
    </row>
    <row r="56" spans="3:9">
      <c r="C56" s="87"/>
      <c r="D56" s="87"/>
      <c r="F56" s="83"/>
      <c r="G56" s="83"/>
      <c r="I56" s="83"/>
    </row>
    <row r="57" spans="3:9">
      <c r="C57" s="87"/>
      <c r="D57" s="87"/>
      <c r="F57" s="83"/>
      <c r="G57" s="83"/>
      <c r="I57" s="83"/>
    </row>
    <row r="58" spans="3:9">
      <c r="C58" s="87"/>
      <c r="D58" s="87"/>
      <c r="F58" s="83"/>
      <c r="G58" s="83"/>
      <c r="I58" s="83"/>
    </row>
    <row r="59" spans="3:9">
      <c r="C59" s="87"/>
      <c r="D59" s="87"/>
      <c r="F59" s="83"/>
      <c r="G59" s="83"/>
      <c r="I59" s="83"/>
    </row>
    <row r="60" spans="3:9">
      <c r="C60" s="83"/>
      <c r="D60" s="83"/>
      <c r="E60" s="83"/>
      <c r="F60" s="83"/>
      <c r="G60" s="83"/>
      <c r="H60" s="83"/>
      <c r="I60" s="83"/>
    </row>
    <row r="61" spans="3:9">
      <c r="C61" s="83"/>
      <c r="D61" s="83"/>
      <c r="E61" s="83"/>
      <c r="F61" s="83"/>
      <c r="G61" s="83"/>
      <c r="H61" s="83"/>
      <c r="I61" s="83"/>
    </row>
    <row r="62" spans="3:9">
      <c r="C62" s="83"/>
      <c r="D62" s="83"/>
      <c r="E62" s="83"/>
      <c r="F62" s="83"/>
      <c r="G62" s="83"/>
      <c r="H62" s="83"/>
      <c r="I62" s="83"/>
    </row>
    <row r="63" spans="3:9">
      <c r="C63" s="83"/>
      <c r="D63" s="83"/>
      <c r="E63" s="83"/>
      <c r="F63" s="83"/>
      <c r="G63" s="83"/>
      <c r="H63" s="83"/>
      <c r="I63" s="83"/>
    </row>
    <row r="64" spans="3:9">
      <c r="C64" s="83"/>
      <c r="D64" s="83"/>
      <c r="E64" s="83"/>
      <c r="F64" s="83"/>
      <c r="G64" s="83"/>
      <c r="H64" s="83"/>
      <c r="I64" s="83"/>
    </row>
    <row r="65" spans="3:9">
      <c r="C65" s="83"/>
      <c r="D65" s="83"/>
      <c r="E65" s="83"/>
      <c r="F65" s="83"/>
      <c r="G65" s="83"/>
      <c r="H65" s="83"/>
      <c r="I65" s="83"/>
    </row>
    <row r="66" spans="3:9">
      <c r="C66" s="83"/>
      <c r="D66" s="83"/>
      <c r="E66" s="83"/>
      <c r="F66" s="83"/>
      <c r="G66" s="83"/>
      <c r="H66" s="83"/>
      <c r="I66" s="83"/>
    </row>
    <row r="67" spans="3:9">
      <c r="C67" s="83"/>
      <c r="D67" s="83"/>
      <c r="E67" s="83"/>
      <c r="F67" s="83"/>
      <c r="G67" s="83"/>
      <c r="H67" s="83"/>
      <c r="I67" s="83"/>
    </row>
    <row r="68" spans="3:9">
      <c r="C68" s="83"/>
      <c r="D68" s="83"/>
      <c r="E68" s="83"/>
      <c r="F68" s="83"/>
      <c r="G68" s="83"/>
      <c r="H68" s="83"/>
      <c r="I68" s="83"/>
    </row>
    <row r="69" spans="3:9">
      <c r="C69" s="83"/>
      <c r="D69" s="83"/>
      <c r="E69" s="83"/>
      <c r="F69" s="83"/>
      <c r="G69" s="83"/>
      <c r="H69" s="83"/>
      <c r="I69" s="83"/>
    </row>
    <row r="70" spans="3:9">
      <c r="C70" s="83"/>
      <c r="D70" s="83"/>
      <c r="E70" s="83"/>
      <c r="F70" s="83"/>
      <c r="G70" s="83"/>
      <c r="H70" s="83"/>
      <c r="I70" s="83"/>
    </row>
    <row r="71" spans="3:9">
      <c r="C71" s="83"/>
      <c r="D71" s="83"/>
      <c r="E71" s="83"/>
      <c r="F71" s="83"/>
      <c r="G71" s="83"/>
      <c r="H71" s="83"/>
      <c r="I71" s="83"/>
    </row>
    <row r="72" spans="3:9">
      <c r="C72" s="83"/>
      <c r="D72" s="83"/>
      <c r="E72" s="83"/>
      <c r="F72" s="83"/>
      <c r="G72" s="83"/>
      <c r="H72" s="83"/>
      <c r="I72" s="83"/>
    </row>
    <row r="73" spans="3:9">
      <c r="C73" s="83"/>
      <c r="D73" s="83"/>
      <c r="E73" s="83"/>
      <c r="F73" s="83"/>
      <c r="G73" s="83"/>
      <c r="H73" s="83"/>
      <c r="I73" s="83"/>
    </row>
    <row r="74" spans="3:9">
      <c r="C74" s="83"/>
      <c r="D74" s="83"/>
      <c r="E74" s="83"/>
      <c r="F74" s="83"/>
      <c r="G74" s="83"/>
      <c r="H74" s="83"/>
      <c r="I74" s="83"/>
    </row>
  </sheetData>
  <printOptions horizontalCentered="1"/>
  <pageMargins left="0.7" right="0.7" top="0.75" bottom="0.75" header="0.3" footer="0.3"/>
  <pageSetup scale="74" orientation="landscape" blackAndWhite="1" r:id="rId1"/>
  <headerFooter>
    <oddHeader>&amp;R&amp;"Times New Roman,Bold"&amp;10KyPSC Case No. 2022-00372
STAFF-DR-01-022 Attachment
Page &amp;P of &amp;N</oddHead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Witness xmlns="5ba878c6-b33b-4b7d-8b1a-66240161f50d">Weatherston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DB48D6-31AC-4313-8897-6A57DB91DEC9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745fd72d-7e83-4669-aadd-86863736241e"/>
    <ds:schemaRef ds:uri="5ba878c6-b33b-4b7d-8b1a-66240161f50d"/>
  </ds:schemaRefs>
</ds:datastoreItem>
</file>

<file path=customXml/itemProps2.xml><?xml version="1.0" encoding="utf-8"?>
<ds:datastoreItem xmlns:ds="http://schemas.openxmlformats.org/officeDocument/2006/customXml" ds:itemID="{D0456519-3B41-40D3-8B2C-A21A36C4BC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743503-FD1B-4FDD-84ED-E9043AE0C7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DEK 22a</vt:lpstr>
      <vt:lpstr>DEK 22b</vt:lpstr>
      <vt:lpstr>DEC 22a</vt:lpstr>
      <vt:lpstr>DEC 22b</vt:lpstr>
      <vt:lpstr>'DEC 22a'!Print_Area</vt:lpstr>
      <vt:lpstr>'DEC 22b'!Print_Area</vt:lpstr>
      <vt:lpstr>'DEK 22a'!Print_Area</vt:lpstr>
      <vt:lpstr>'DEK 22b'!Print_Area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Capital Structure for prior periods</dc:subject>
  <dc:creator>Melendez, Brenda R</dc:creator>
  <cp:lastModifiedBy>D'Ascenzo, Rocco</cp:lastModifiedBy>
  <cp:lastPrinted>2022-12-15T19:53:57Z</cp:lastPrinted>
  <dcterms:created xsi:type="dcterms:W3CDTF">2009-07-09T21:51:05Z</dcterms:created>
  <dcterms:modified xsi:type="dcterms:W3CDTF">2022-12-15T19:54:04Z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