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Testimony/Bruce Sailers/"/>
    </mc:Choice>
  </mc:AlternateContent>
  <xr:revisionPtr revIDLastSave="0" documentId="13_ncr:1_{151E1F52-0D47-4970-A5A3-3930F21329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le Attachment ADMIN 251" sheetId="7" r:id="rId1"/>
    <sheet name="DEK Deferred Tax Calc - Pole " sheetId="5" r:id="rId2"/>
  </sheets>
  <definedNames>
    <definedName name="_xlnm.Print_Area" localSheetId="0">'Pole Attachment ADMIN 251'!$A$1:$T$66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0" i="7" l="1"/>
  <c r="H17" i="5" l="1"/>
  <c r="G35" i="7" l="1"/>
  <c r="H35" i="7" s="1"/>
  <c r="I35" i="7" s="1"/>
  <c r="J35" i="7" s="1"/>
  <c r="G36" i="7"/>
  <c r="H36" i="7" s="1"/>
  <c r="I36" i="7" s="1"/>
  <c r="J36" i="7" s="1"/>
  <c r="G37" i="7"/>
  <c r="H37" i="7" s="1"/>
  <c r="I37" i="7" s="1"/>
  <c r="J37" i="7" s="1"/>
  <c r="G60" i="7" l="1"/>
  <c r="H60" i="7" s="1"/>
  <c r="I60" i="7" s="1"/>
  <c r="J60" i="7" s="1"/>
  <c r="G43" i="7" l="1"/>
  <c r="H43" i="7" s="1"/>
  <c r="I43" i="7" s="1"/>
  <c r="J43" i="7" s="1"/>
  <c r="G39" i="7" l="1"/>
  <c r="H39" i="7" s="1"/>
  <c r="I39" i="7" s="1"/>
  <c r="J39" i="7" s="1"/>
  <c r="P9" i="7" l="1"/>
  <c r="Q9" i="7"/>
  <c r="P10" i="7"/>
  <c r="P14" i="7" l="1"/>
  <c r="P12" i="7"/>
  <c r="P11" i="7"/>
  <c r="P13" i="7"/>
  <c r="G44" i="7"/>
  <c r="G40" i="7"/>
  <c r="H40" i="7" s="1"/>
  <c r="I40" i="7" s="1"/>
  <c r="J40" i="7" s="1"/>
  <c r="G49" i="7"/>
  <c r="H49" i="7" s="1"/>
  <c r="I49" i="7" s="1"/>
  <c r="J49" i="7" s="1"/>
  <c r="G47" i="7"/>
  <c r="H47" i="7" s="1"/>
  <c r="I47" i="7" s="1"/>
  <c r="J47" i="7" s="1"/>
  <c r="G48" i="7"/>
  <c r="H48" i="7" s="1"/>
  <c r="I48" i="7" s="1"/>
  <c r="J48" i="7" s="1"/>
  <c r="G55" i="7"/>
  <c r="H55" i="7" s="1"/>
  <c r="I55" i="7" s="1"/>
  <c r="J55" i="7" s="1"/>
  <c r="G54" i="7"/>
  <c r="H54" i="7" s="1"/>
  <c r="I54" i="7" s="1"/>
  <c r="J54" i="7" s="1"/>
  <c r="G53" i="7"/>
  <c r="H53" i="7" s="1"/>
  <c r="I53" i="7" s="1"/>
  <c r="J53" i="7" s="1"/>
  <c r="G52" i="7"/>
  <c r="H52" i="7" s="1"/>
  <c r="I52" i="7" s="1"/>
  <c r="J52" i="7" s="1"/>
  <c r="G51" i="7"/>
  <c r="H51" i="7" s="1"/>
  <c r="I51" i="7" s="1"/>
  <c r="J51" i="7" s="1"/>
  <c r="G50" i="7"/>
  <c r="H50" i="7" s="1"/>
  <c r="I50" i="7" s="1"/>
  <c r="J50" i="7" s="1"/>
  <c r="G46" i="7"/>
  <c r="H46" i="7" s="1"/>
  <c r="I46" i="7" s="1"/>
  <c r="J46" i="7" s="1"/>
  <c r="G45" i="7"/>
  <c r="H45" i="7" s="1"/>
  <c r="I45" i="7" s="1"/>
  <c r="J45" i="7" s="1"/>
  <c r="G42" i="7"/>
  <c r="H42" i="7" s="1"/>
  <c r="I42" i="7" s="1"/>
  <c r="J42" i="7" s="1"/>
  <c r="G41" i="7"/>
  <c r="H41" i="7" s="1"/>
  <c r="I41" i="7" s="1"/>
  <c r="J41" i="7" s="1"/>
  <c r="G38" i="7"/>
  <c r="H38" i="7" s="1"/>
  <c r="I38" i="7" s="1"/>
  <c r="J38" i="7" s="1"/>
  <c r="G34" i="7"/>
  <c r="H34" i="7" s="1"/>
  <c r="I34" i="7" s="1"/>
  <c r="J34" i="7" s="1"/>
  <c r="G33" i="7"/>
  <c r="H33" i="7" s="1"/>
  <c r="I33" i="7" s="1"/>
  <c r="J33" i="7" s="1"/>
  <c r="H44" i="7" l="1"/>
  <c r="I44" i="7" l="1"/>
  <c r="H19" i="5"/>
  <c r="J44" i="7" l="1"/>
  <c r="J28" i="7"/>
  <c r="I19" i="7"/>
  <c r="I28" i="7"/>
  <c r="I26" i="7"/>
  <c r="I18" i="7"/>
  <c r="I17" i="7"/>
  <c r="J26" i="7" l="1"/>
  <c r="J19" i="7"/>
  <c r="J18" i="7"/>
  <c r="J17" i="7"/>
  <c r="H26" i="7"/>
  <c r="H18" i="7"/>
  <c r="H17" i="7"/>
  <c r="H19" i="7"/>
  <c r="G19" i="7"/>
  <c r="G26" i="7"/>
  <c r="G18" i="7"/>
  <c r="G17" i="7"/>
  <c r="G9" i="7" l="1"/>
  <c r="H14" i="7"/>
  <c r="F14" i="7"/>
  <c r="F10" i="7"/>
  <c r="G14" i="7"/>
  <c r="G10" i="7"/>
  <c r="F26" i="7"/>
  <c r="F17" i="7"/>
  <c r="I14" i="7" l="1"/>
  <c r="I10" i="7"/>
  <c r="F19" i="7"/>
  <c r="F9" i="7"/>
  <c r="J14" i="7"/>
  <c r="H9" i="7"/>
  <c r="H10" i="7"/>
  <c r="F18" i="7"/>
  <c r="I9" i="7" l="1"/>
  <c r="J10" i="7"/>
  <c r="J9" i="7"/>
  <c r="F26" i="5"/>
  <c r="F25" i="5"/>
  <c r="F24" i="5"/>
  <c r="H24" i="5" l="1"/>
  <c r="H25" i="5"/>
  <c r="H26" i="5"/>
  <c r="F56" i="7"/>
  <c r="F25" i="7" l="1"/>
  <c r="F57" i="7"/>
  <c r="F58" i="7"/>
  <c r="F24" i="7"/>
  <c r="F59" i="7"/>
  <c r="H28" i="5"/>
  <c r="G56" i="7"/>
  <c r="G25" i="7" s="1"/>
  <c r="F20" i="7" l="1"/>
  <c r="G58" i="7"/>
  <c r="G57" i="7"/>
  <c r="G12" i="7" s="1"/>
  <c r="G11" i="7" s="1"/>
  <c r="G59" i="7"/>
  <c r="H59" i="7" s="1"/>
  <c r="J59" i="7" s="1"/>
  <c r="F12" i="7"/>
  <c r="F11" i="7" s="1"/>
  <c r="F21" i="7"/>
  <c r="F22" i="7" s="1"/>
  <c r="I56" i="7"/>
  <c r="G24" i="7"/>
  <c r="H56" i="7"/>
  <c r="H58" i="7"/>
  <c r="J58" i="7" s="1"/>
  <c r="I58" i="7"/>
  <c r="F13" i="7" l="1"/>
  <c r="G20" i="7"/>
  <c r="I59" i="7"/>
  <c r="F23" i="7"/>
  <c r="F27" i="7" s="1"/>
  <c r="H57" i="7"/>
  <c r="H20" i="7" s="1"/>
  <c r="I57" i="7"/>
  <c r="I20" i="7" s="1"/>
  <c r="H24" i="7"/>
  <c r="H25" i="7"/>
  <c r="I24" i="7"/>
  <c r="I25" i="7"/>
  <c r="G21" i="7"/>
  <c r="G22" i="7" s="1"/>
  <c r="I11" i="7"/>
  <c r="J56" i="7"/>
  <c r="G23" i="7"/>
  <c r="G13" i="7"/>
  <c r="I13" i="7" s="1"/>
  <c r="I12" i="7"/>
  <c r="I23" i="7" s="1"/>
  <c r="H12" i="7" l="1"/>
  <c r="H11" i="7" s="1"/>
  <c r="J57" i="7"/>
  <c r="J20" i="7" s="1"/>
  <c r="J21" i="7" s="1"/>
  <c r="J22" i="7" s="1"/>
  <c r="G27" i="7"/>
  <c r="I21" i="7"/>
  <c r="I22" i="7" s="1"/>
  <c r="I27" i="7" s="1"/>
  <c r="H21" i="7"/>
  <c r="H22" i="7" s="1"/>
  <c r="J24" i="7"/>
  <c r="J25" i="7"/>
  <c r="J11" i="7" l="1"/>
  <c r="H23" i="7"/>
  <c r="H13" i="7"/>
  <c r="J13" i="7" s="1"/>
  <c r="J15" i="7" s="1"/>
  <c r="J12" i="7"/>
  <c r="J23" i="7" s="1"/>
  <c r="J27" i="7" s="1"/>
  <c r="H27" i="7"/>
  <c r="F15" i="7"/>
  <c r="I15" i="7"/>
  <c r="I29" i="7" s="1"/>
  <c r="G15" i="7"/>
  <c r="J29" i="7" l="1"/>
  <c r="H15" i="7"/>
</calcChain>
</file>

<file path=xl/sharedStrings.xml><?xml version="1.0" encoding="utf-8"?>
<sst xmlns="http://schemas.openxmlformats.org/spreadsheetml/2006/main" count="189" uniqueCount="168">
  <si>
    <t>Amount</t>
  </si>
  <si>
    <t>Gross Pole Investment</t>
  </si>
  <si>
    <t>Pole Depreciation Reserve</t>
  </si>
  <si>
    <t>Pole Maintenance</t>
  </si>
  <si>
    <t xml:space="preserve">  C. Depreciation Reserve</t>
  </si>
  <si>
    <t xml:space="preserve">  D. Accumulated Deferred Taxes</t>
  </si>
  <si>
    <t>Depreciation</t>
  </si>
  <si>
    <t>Administration</t>
  </si>
  <si>
    <t>Taxes (Normalized)</t>
  </si>
  <si>
    <t>Rate of Return</t>
  </si>
  <si>
    <t>Total Carrying Charge</t>
  </si>
  <si>
    <t>Allocated Space</t>
  </si>
  <si>
    <t>Input Data</t>
  </si>
  <si>
    <t xml:space="preserve">A. </t>
  </si>
  <si>
    <t>B.</t>
  </si>
  <si>
    <t>3. Accum Depr. for FERC Acctg 369</t>
  </si>
  <si>
    <t>C.</t>
  </si>
  <si>
    <t>D.</t>
  </si>
  <si>
    <t>E.</t>
  </si>
  <si>
    <t>F.</t>
  </si>
  <si>
    <t>G.</t>
  </si>
  <si>
    <t>H.</t>
  </si>
  <si>
    <t xml:space="preserve">Depreciation Rate - Distribution Property </t>
  </si>
  <si>
    <t>I.</t>
  </si>
  <si>
    <t>J.</t>
  </si>
  <si>
    <t>K.</t>
  </si>
  <si>
    <t>Accum. Depr. - Utility Plant in Service</t>
  </si>
  <si>
    <t>L.</t>
  </si>
  <si>
    <t>M.</t>
  </si>
  <si>
    <t xml:space="preserve">N. </t>
  </si>
  <si>
    <t>O.</t>
  </si>
  <si>
    <t>1. ADIT for Poles (Acct 364)</t>
  </si>
  <si>
    <t>Deferred Tax Calculation Worksheet</t>
  </si>
  <si>
    <t>2. ADIT for Overhead Conductor (Acct 365)</t>
  </si>
  <si>
    <t>3. ADIT for Services (Acct 369)</t>
  </si>
  <si>
    <t>P.</t>
  </si>
  <si>
    <t>Q.</t>
  </si>
  <si>
    <t>R.</t>
  </si>
  <si>
    <t>S.</t>
  </si>
  <si>
    <t>T.</t>
  </si>
  <si>
    <t>U.</t>
  </si>
  <si>
    <t>V.</t>
  </si>
  <si>
    <t>FCC Pole Attachment Rate Formula</t>
  </si>
  <si>
    <t>Reference/Source</t>
  </si>
  <si>
    <t>B1 below</t>
  </si>
  <si>
    <t>Net Pole Investment</t>
  </si>
  <si>
    <t>Number of Poles</t>
  </si>
  <si>
    <t>Net Investment Per Bare Pole</t>
  </si>
  <si>
    <t xml:space="preserve">  A. Maintenance of Overhead Lines </t>
  </si>
  <si>
    <t xml:space="preserve">B1+B2+B3 </t>
  </si>
  <si>
    <t>R1+R2+R3</t>
  </si>
  <si>
    <t xml:space="preserve">  E. Total Investment in Poles - Net</t>
  </si>
  <si>
    <t xml:space="preserve">  F. Pole Maintenance Ratio</t>
  </si>
  <si>
    <t>Poles, Towers, &amp; Fixtures (Acctg.364)</t>
  </si>
  <si>
    <t>Accum. Depr. - Distribution Plant</t>
  </si>
  <si>
    <t>1. Accum Depr. for FERC Acctg 364</t>
  </si>
  <si>
    <t>2. Accum Depr. for FERC Acctg 365</t>
  </si>
  <si>
    <t>Gross Investment - Distribution Plant</t>
  </si>
  <si>
    <t>Number of Distribution Poles</t>
  </si>
  <si>
    <t xml:space="preserve">Provided by Cost Accounting </t>
  </si>
  <si>
    <t>Mtce of Overhead Lines (Acctg. 593)</t>
  </si>
  <si>
    <t>Overhead Conductors &amp; Devices (Acctg. 365)</t>
  </si>
  <si>
    <t>Services (Acctg. 369)</t>
  </si>
  <si>
    <t xml:space="preserve">Provided by Plant Accounting </t>
  </si>
  <si>
    <t>Admin. &amp; Gen. Exps. (Acctgs. 920-935)</t>
  </si>
  <si>
    <t>Utility Plant in Service</t>
  </si>
  <si>
    <t>Taxes Other Than Income Taxes (Acctg. 408.1)</t>
  </si>
  <si>
    <t>Income Taxes - Federal (Acctg. 409.1)</t>
  </si>
  <si>
    <t>Income Taxes - Other (Acctg. 409.1)</t>
  </si>
  <si>
    <t>Prov. for Deferred Inc. Taxes (Acctg 410.1)</t>
  </si>
  <si>
    <t>Investment Tax Credit Adj. - Net (Acctg 411.4)</t>
  </si>
  <si>
    <t>Allocation of Accumulated Deferred Tax Balances (Acct. 190)</t>
  </si>
  <si>
    <t>To Plant Accounts 364, 365 and 369</t>
  </si>
  <si>
    <t>FERC</t>
  </si>
  <si>
    <t>Allocated ADIT</t>
  </si>
  <si>
    <t>Form No. 1</t>
  </si>
  <si>
    <t>Amounts</t>
  </si>
  <si>
    <t>Source</t>
  </si>
  <si>
    <t>($)</t>
  </si>
  <si>
    <t>Accumulated Deferred Taxes (Acct. 190)</t>
  </si>
  <si>
    <t xml:space="preserve">     </t>
  </si>
  <si>
    <t>Accumulated Deferred Taxes for Electric</t>
  </si>
  <si>
    <t>% of Total</t>
  </si>
  <si>
    <t>Electric Plant in Service</t>
  </si>
  <si>
    <t xml:space="preserve">    Total Plant</t>
  </si>
  <si>
    <t xml:space="preserve">       Total Accts 364, 365 and 369</t>
  </si>
  <si>
    <t xml:space="preserve">       Poles (Acct. 364)</t>
  </si>
  <si>
    <t xml:space="preserve">       Overhead Conductor (Acct. 365)</t>
  </si>
  <si>
    <t xml:space="preserve">       Services (Acct. 369)</t>
  </si>
  <si>
    <t>Poles</t>
  </si>
  <si>
    <t>X.</t>
  </si>
  <si>
    <t>A + F + G</t>
  </si>
  <si>
    <t>FERC Form 1, Page 207, Line 75, Column g</t>
  </si>
  <si>
    <t>FERC Form 1, Page 323, Line 197, Column b.</t>
  </si>
  <si>
    <t>FERC Form 1, Page 200, Line 8, Column c.</t>
  </si>
  <si>
    <t>FERC Form 1, Page 200, Line 22, Column c.</t>
  </si>
  <si>
    <t>FERC Form 1, Page 219, Line 26, Column c.</t>
  </si>
  <si>
    <t>FERC Form 1, Page 207, Line 64, Column g</t>
  </si>
  <si>
    <t>FERC Form 1, Page 322, Line 149, Column b.</t>
  </si>
  <si>
    <t>FERC Form 1, Page 207, Line 65, Column g.</t>
  </si>
  <si>
    <t>FERC Form 1, Page 207, Line 69, Column g.</t>
  </si>
  <si>
    <t>(5 - 3) / 6</t>
  </si>
  <si>
    <t>8A  / 8E</t>
  </si>
  <si>
    <t>A Below</t>
  </si>
  <si>
    <t>S Below</t>
  </si>
  <si>
    <t>E Below</t>
  </si>
  <si>
    <t>8F + 9 + 10 + 11 + 12</t>
  </si>
  <si>
    <t>7 * 13 * 14</t>
  </si>
  <si>
    <t>Maximum Rate Per Attachment</t>
  </si>
  <si>
    <t>Space Occupied (feet)</t>
  </si>
  <si>
    <t>D Below</t>
  </si>
  <si>
    <t>T / U</t>
  </si>
  <si>
    <t>ADIT - Accelerated Amort. Property (Acctg. 281)</t>
  </si>
  <si>
    <t>ADIT - Other Property (Acctg. 282)</t>
  </si>
  <si>
    <t>ADIT - Other  (Acctg. 283)</t>
  </si>
  <si>
    <t>Accumulated Deferred Taxes (Poles)</t>
  </si>
  <si>
    <t>R1 Below</t>
  </si>
  <si>
    <t>1. ADIT - Accelerated Amort. Property (Acctg. 281)</t>
  </si>
  <si>
    <t>2. ADIT - Other Property (Acctg. 282)</t>
  </si>
  <si>
    <t>3. ADIT - Other  (Acctg. 283)</t>
  </si>
  <si>
    <t>Accumulated Deferred Inc. Taxes (Acct 190, 281, 282, 283)</t>
  </si>
  <si>
    <t>Pg 272, Line 8, Column k.</t>
  </si>
  <si>
    <t>Pg 274, Line 2, Column k.</t>
  </si>
  <si>
    <t>Pg 276, Line 9, Column k.</t>
  </si>
  <si>
    <t xml:space="preserve">  B. Total Investment in Poles, Conductors, Services</t>
  </si>
  <si>
    <t>1 - 2 + R1</t>
  </si>
  <si>
    <t>(L + M + N + O + P + Q) / (J - K + R)</t>
  </si>
  <si>
    <t>Pg 234, line 8, column c</t>
  </si>
  <si>
    <t>Administrative Case No. 251</t>
  </si>
  <si>
    <t>Usable Space ( feet) - Two Users</t>
  </si>
  <si>
    <t>Usable Space ( feet) - Three Users</t>
  </si>
  <si>
    <t>W.</t>
  </si>
  <si>
    <t>Pole Height ( feet) - Two Users</t>
  </si>
  <si>
    <t>Pole Height ( feet) - Three Users</t>
  </si>
  <si>
    <t>Duke Energy Kentucky</t>
  </si>
  <si>
    <t>Pg 207, line 104, column g</t>
  </si>
  <si>
    <t>Appurtenance Factor</t>
  </si>
  <si>
    <t>FERC Form 1, Page 273, Line 8, Column k.</t>
  </si>
  <si>
    <t>FERC Form 1, Page 275, Line 2, Column k.</t>
  </si>
  <si>
    <t>FERC Form 1, Page 277, Line 9, Column k.</t>
  </si>
  <si>
    <t>35'</t>
  </si>
  <si>
    <t>40'</t>
  </si>
  <si>
    <t>45'</t>
  </si>
  <si>
    <t>Three User</t>
  </si>
  <si>
    <t>Two User</t>
  </si>
  <si>
    <t>For Use of Electric Utility Poles</t>
  </si>
  <si>
    <t>FERC Form 1, Page 115, Line 14, Column g.</t>
  </si>
  <si>
    <t>FERC Form 1, Page 115, Line 15, Column g.</t>
  </si>
  <si>
    <t>FERC Form 1, Page 115, Line 16, Column g.</t>
  </si>
  <si>
    <t>FERC Form 1, Page 115, Line 17, Column g.</t>
  </si>
  <si>
    <t>FERC Form 1, Page 115, Line 18, Column g.</t>
  </si>
  <si>
    <t>FERC Form 1, Page 115, Line 19, Column g.</t>
  </si>
  <si>
    <t># of Poles</t>
  </si>
  <si>
    <t>Sum</t>
  </si>
  <si>
    <t>Poles, Towers &amp; Fixtures</t>
  </si>
  <si>
    <t>Cost</t>
  </si>
  <si>
    <t>(1 - 2 + R1) * 15%</t>
  </si>
  <si>
    <t>(1 / (1 - 2 + R1)) * H.</t>
  </si>
  <si>
    <t>I / (J - K + R)</t>
  </si>
  <si>
    <t>Revised CATV Pole Attachment Formula - Adminstrative Case No. 251</t>
  </si>
  <si>
    <t>ADIT - Tax Reform Act (Acctg. 254)</t>
  </si>
  <si>
    <t>8B - 8C + 8D</t>
  </si>
  <si>
    <t>BASED UPON 2021 FERC FORM 1 DATA</t>
  </si>
  <si>
    <t>Source:  Duke Energy Kentucky 2021 FERC Form No. 1</t>
  </si>
  <si>
    <t>Attachment H-22A of Rate Case (Protected + Unprotected)</t>
  </si>
  <si>
    <t>Case No. 2022-00372</t>
  </si>
  <si>
    <t>(Less) Prov. for Def. Inc. Taxes - Cr. (Acctg 411.1)</t>
  </si>
  <si>
    <t>Twelve Months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</si>
</sst>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0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12" fillId="0" borderId="1">
      <alignment horizontal="center"/>
    </xf>
    <xf numFmtId="0" fontId="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</cellStyleXfs>
  <cellXfs count="65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6" fillId="0" borderId="0" xfId="0" applyFont="1" applyAlignment="1">
      <alignment horizontal="center"/>
    </xf>
    <xf numFmtId="5" fontId="6" fillId="0" borderId="0" xfId="2" applyNumberFormat="1" applyFont="1" applyFill="1"/>
    <xf numFmtId="5" fontId="6" fillId="0" borderId="0" xfId="0" applyNumberFormat="1" applyFont="1" applyFill="1" applyAlignment="1">
      <alignment horizontal="right"/>
    </xf>
    <xf numFmtId="7" fontId="6" fillId="0" borderId="0" xfId="2" applyNumberFormat="1" applyFont="1" applyFill="1"/>
    <xf numFmtId="10" fontId="6" fillId="0" borderId="0" xfId="0" applyNumberFormat="1" applyFont="1" applyFill="1"/>
    <xf numFmtId="10" fontId="6" fillId="0" borderId="0" xfId="3" applyNumberFormat="1" applyFont="1" applyFill="1"/>
    <xf numFmtId="164" fontId="0" fillId="0" borderId="0" xfId="0" applyNumberFormat="1"/>
    <xf numFmtId="7" fontId="8" fillId="0" borderId="0" xfId="2" applyNumberFormat="1" applyFont="1" applyFill="1"/>
    <xf numFmtId="0" fontId="0" fillId="0" borderId="0" xfId="0" applyFill="1"/>
    <xf numFmtId="0" fontId="8" fillId="0" borderId="0" xfId="0" applyFont="1"/>
    <xf numFmtId="0" fontId="10" fillId="0" borderId="0" xfId="0" applyFont="1"/>
    <xf numFmtId="5" fontId="6" fillId="0" borderId="0" xfId="0" applyNumberFormat="1" applyFont="1" applyFill="1"/>
    <xf numFmtId="0" fontId="9" fillId="0" borderId="0" xfId="0" applyFont="1"/>
    <xf numFmtId="0" fontId="0" fillId="0" borderId="0" xfId="0" applyBorder="1"/>
    <xf numFmtId="0" fontId="6" fillId="0" borderId="0" xfId="0" applyFont="1"/>
    <xf numFmtId="164" fontId="6" fillId="0" borderId="0" xfId="0" applyNumberFormat="1" applyFont="1" applyFill="1"/>
    <xf numFmtId="165" fontId="6" fillId="0" borderId="0" xfId="1" applyNumberFormat="1" applyFont="1" applyFill="1"/>
    <xf numFmtId="0" fontId="7" fillId="0" borderId="0" xfId="8"/>
    <xf numFmtId="0" fontId="7" fillId="0" borderId="0" xfId="8" applyAlignment="1">
      <alignment horizontal="center"/>
    </xf>
    <xf numFmtId="0" fontId="7" fillId="0" borderId="0" xfId="8" applyBorder="1" applyAlignment="1">
      <alignment horizontal="center"/>
    </xf>
    <xf numFmtId="0" fontId="7" fillId="0" borderId="2" xfId="8" applyBorder="1" applyAlignment="1">
      <alignment horizontal="center"/>
    </xf>
    <xf numFmtId="0" fontId="7" fillId="0" borderId="0" xfId="8" quotePrefix="1" applyAlignment="1">
      <alignment horizontal="center"/>
    </xf>
    <xf numFmtId="165" fontId="0" fillId="0" borderId="0" xfId="1" applyNumberFormat="1" applyFont="1"/>
    <xf numFmtId="44" fontId="0" fillId="0" borderId="0" xfId="2" quotePrefix="1" applyFont="1" applyAlignment="1">
      <alignment horizontal="center"/>
    </xf>
    <xf numFmtId="10" fontId="0" fillId="0" borderId="2" xfId="3" applyNumberFormat="1" applyFont="1" applyBorder="1"/>
    <xf numFmtId="165" fontId="0" fillId="0" borderId="0" xfId="1" applyNumberFormat="1" applyFont="1" applyFill="1"/>
    <xf numFmtId="10" fontId="0" fillId="0" borderId="0" xfId="3" applyNumberFormat="1" applyFont="1"/>
    <xf numFmtId="165" fontId="0" fillId="0" borderId="2" xfId="1" applyNumberFormat="1" applyFont="1" applyFill="1" applyBorder="1"/>
    <xf numFmtId="0" fontId="7" fillId="0" borderId="0" xfId="8" applyBorder="1"/>
    <xf numFmtId="5" fontId="0" fillId="0" borderId="0" xfId="1" applyNumberFormat="1" applyFont="1" applyFill="1"/>
    <xf numFmtId="5" fontId="7" fillId="0" borderId="3" xfId="8" applyNumberFormat="1" applyBorder="1"/>
    <xf numFmtId="5" fontId="0" fillId="0" borderId="3" xfId="1" applyNumberFormat="1" applyFont="1" applyBorder="1"/>
    <xf numFmtId="0" fontId="7" fillId="0" borderId="0" xfId="8" quotePrefix="1" applyAlignment="1">
      <alignment horizontal="left"/>
    </xf>
    <xf numFmtId="0" fontId="13" fillId="0" borderId="0" xfId="0" applyFont="1" applyFill="1"/>
    <xf numFmtId="5" fontId="7" fillId="0" borderId="0" xfId="8" applyNumberFormat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8" applyFont="1"/>
    <xf numFmtId="0" fontId="7" fillId="0" borderId="0" xfId="8"/>
    <xf numFmtId="0" fontId="7" fillId="0" borderId="0" xfId="8" quotePrefix="1" applyFont="1" applyFill="1" applyAlignment="1">
      <alignment horizontal="left"/>
    </xf>
    <xf numFmtId="0" fontId="7" fillId="0" borderId="0" xfId="8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left"/>
    </xf>
    <xf numFmtId="5" fontId="0" fillId="0" borderId="0" xfId="1" applyNumberFormat="1" applyFont="1" applyFill="1"/>
    <xf numFmtId="0" fontId="0" fillId="0" borderId="0" xfId="0" applyAlignment="1">
      <alignment horizontal="right"/>
    </xf>
    <xf numFmtId="165" fontId="6" fillId="0" borderId="0" xfId="1" applyNumberFormat="1" applyFont="1" applyFill="1" applyBorder="1"/>
    <xf numFmtId="10" fontId="6" fillId="0" borderId="0" xfId="0" applyNumberFormat="1" applyFont="1" applyFill="1" applyBorder="1"/>
    <xf numFmtId="165" fontId="6" fillId="0" borderId="0" xfId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Continuous"/>
    </xf>
    <xf numFmtId="7" fontId="3" fillId="0" borderId="0" xfId="2" applyNumberFormat="1" applyFont="1" applyFill="1"/>
    <xf numFmtId="0" fontId="6" fillId="0" borderId="0" xfId="0" applyFont="1" applyFill="1" applyAlignment="1">
      <alignment horizontal="center"/>
    </xf>
    <xf numFmtId="0" fontId="14" fillId="0" borderId="0" xfId="0" applyFont="1" applyFill="1"/>
    <xf numFmtId="2" fontId="6" fillId="0" borderId="0" xfId="0" applyNumberFormat="1" applyFont="1" applyFill="1"/>
    <xf numFmtId="165" fontId="0" fillId="0" borderId="0" xfId="1" applyNumberFormat="1" applyFont="1" applyFill="1" applyBorder="1"/>
    <xf numFmtId="5" fontId="0" fillId="0" borderId="2" xfId="1" applyNumberFormat="1" applyFont="1" applyFill="1" applyBorder="1"/>
    <xf numFmtId="166" fontId="6" fillId="0" borderId="0" xfId="0" applyNumberFormat="1" applyFont="1" applyFill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5">
    <cellStyle name="Comma" xfId="1" builtinId="3"/>
    <cellStyle name="Comma 2" xfId="10" xr:uid="{00000000-0005-0000-0000-000001000000}"/>
    <cellStyle name="Comma 3" xfId="13" xr:uid="{00000000-0005-0000-0000-000002000000}"/>
    <cellStyle name="Currency" xfId="2" builtinId="4"/>
    <cellStyle name="Currency 2" xfId="11" xr:uid="{00000000-0005-0000-0000-000004000000}"/>
    <cellStyle name="Normal" xfId="0" builtinId="0"/>
    <cellStyle name="Normal 2" xfId="4" xr:uid="{00000000-0005-0000-0000-000006000000}"/>
    <cellStyle name="Normal 3" xfId="8" xr:uid="{00000000-0005-0000-0000-000007000000}"/>
    <cellStyle name="Normal 4" xfId="9" xr:uid="{00000000-0005-0000-0000-000008000000}"/>
    <cellStyle name="Normal 48" xfId="14" xr:uid="{00000000-0005-0000-0000-000009000000}"/>
    <cellStyle name="Percent" xfId="3" builtinId="5"/>
    <cellStyle name="Percent 2" xfId="12" xr:uid="{00000000-0005-0000-0000-00000B000000}"/>
    <cellStyle name="PSChar" xfId="5" xr:uid="{00000000-0005-0000-0000-00000C000000}"/>
    <cellStyle name="PSDec" xfId="6" xr:uid="{00000000-0005-0000-0000-00000D000000}"/>
    <cellStyle name="PSHeading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87"/>
  <sheetViews>
    <sheetView tabSelected="1" view="pageLayout" zoomScale="130" zoomScaleNormal="150" zoomScalePageLayoutView="130" workbookViewId="0">
      <selection activeCell="L4" sqref="L4"/>
    </sheetView>
  </sheetViews>
  <sheetFormatPr defaultRowHeight="12.75" x14ac:dyDescent="0.2"/>
  <cols>
    <col min="1" max="1" width="4.28515625" customWidth="1"/>
    <col min="2" max="2" width="13" customWidth="1"/>
    <col min="5" max="10" width="11.7109375" customWidth="1"/>
    <col min="11" max="11" width="5.5703125" customWidth="1"/>
    <col min="12" max="12" width="32.140625" bestFit="1" customWidth="1"/>
    <col min="14" max="14" width="11.28515625" customWidth="1"/>
    <col min="16" max="16" width="12.140625" bestFit="1" customWidth="1"/>
  </cols>
  <sheetData>
    <row r="1" spans="1:18" x14ac:dyDescent="0.2">
      <c r="A1" s="39" t="s">
        <v>134</v>
      </c>
      <c r="B1" s="1"/>
      <c r="C1" s="1"/>
      <c r="D1" s="1"/>
      <c r="E1" s="1"/>
      <c r="F1" s="1"/>
      <c r="G1" s="1"/>
      <c r="H1" s="1"/>
      <c r="I1" s="1"/>
      <c r="J1" s="1"/>
      <c r="K1" s="52"/>
      <c r="L1" s="63"/>
      <c r="M1" s="52"/>
      <c r="N1" s="52"/>
    </row>
    <row r="2" spans="1:18" x14ac:dyDescent="0.2">
      <c r="A2" s="55" t="s">
        <v>165</v>
      </c>
      <c r="B2" s="2"/>
      <c r="C2" s="2"/>
      <c r="D2" s="2"/>
      <c r="E2" s="2"/>
      <c r="F2" s="2"/>
      <c r="G2" s="2"/>
      <c r="H2" s="2"/>
      <c r="I2" s="2"/>
      <c r="J2" s="2"/>
      <c r="K2" s="54"/>
      <c r="L2" s="64"/>
      <c r="M2" s="54"/>
      <c r="N2" s="54"/>
    </row>
    <row r="3" spans="1:18" x14ac:dyDescent="0.2">
      <c r="A3" s="2" t="s">
        <v>159</v>
      </c>
      <c r="B3" s="1"/>
      <c r="C3" s="1"/>
      <c r="D3" s="1"/>
      <c r="E3" s="1"/>
      <c r="F3" s="1"/>
      <c r="G3" s="1"/>
      <c r="H3" s="1"/>
      <c r="I3" s="1"/>
      <c r="J3" s="1"/>
      <c r="K3" s="52"/>
      <c r="L3" s="52"/>
      <c r="M3" s="52"/>
      <c r="N3" s="52"/>
    </row>
    <row r="4" spans="1:18" x14ac:dyDescent="0.2">
      <c r="A4" s="2" t="s">
        <v>145</v>
      </c>
      <c r="B4" s="1"/>
      <c r="C4" s="1"/>
      <c r="D4" s="1"/>
      <c r="E4" s="1"/>
      <c r="F4" s="1"/>
      <c r="G4" s="1"/>
      <c r="H4" s="1"/>
      <c r="I4" s="1"/>
      <c r="J4" s="1"/>
      <c r="K4" s="52"/>
      <c r="L4" s="52"/>
      <c r="M4" s="52"/>
      <c r="N4" s="52"/>
    </row>
    <row r="5" spans="1:18" x14ac:dyDescent="0.2">
      <c r="A5" s="40" t="s">
        <v>162</v>
      </c>
      <c r="B5" s="40"/>
      <c r="C5" s="40"/>
      <c r="D5" s="40"/>
      <c r="E5" s="40"/>
      <c r="F5" s="40"/>
      <c r="G5" s="40"/>
      <c r="H5" s="40"/>
      <c r="I5" s="40"/>
      <c r="J5" s="40"/>
      <c r="K5" s="53"/>
      <c r="L5" s="53"/>
      <c r="M5" s="53"/>
      <c r="N5" s="53"/>
      <c r="P5" t="s">
        <v>155</v>
      </c>
      <c r="Q5" t="s">
        <v>152</v>
      </c>
    </row>
    <row r="6" spans="1:18" x14ac:dyDescent="0.2">
      <c r="P6" s="6">
        <v>5063896.0200000117</v>
      </c>
      <c r="Q6" s="51">
        <v>6584</v>
      </c>
      <c r="R6" t="s">
        <v>140</v>
      </c>
    </row>
    <row r="7" spans="1:18" x14ac:dyDescent="0.2">
      <c r="B7" s="3" t="s">
        <v>42</v>
      </c>
      <c r="F7" s="3" t="s">
        <v>0</v>
      </c>
      <c r="G7" s="3"/>
      <c r="H7" s="3"/>
      <c r="I7" s="3"/>
      <c r="J7" s="3"/>
      <c r="L7" s="3" t="s">
        <v>43</v>
      </c>
      <c r="P7" s="6">
        <v>16761296.159999985</v>
      </c>
      <c r="Q7" s="51">
        <v>16707</v>
      </c>
      <c r="R7" t="s">
        <v>141</v>
      </c>
    </row>
    <row r="8" spans="1:18" x14ac:dyDescent="0.2">
      <c r="F8" s="48" t="s">
        <v>140</v>
      </c>
      <c r="G8" s="48" t="s">
        <v>141</v>
      </c>
      <c r="H8" s="48" t="s">
        <v>142</v>
      </c>
      <c r="I8" s="48" t="s">
        <v>144</v>
      </c>
      <c r="J8" s="48" t="s">
        <v>143</v>
      </c>
      <c r="P8" s="6">
        <v>19253743.970000025</v>
      </c>
      <c r="Q8" s="51">
        <v>10936</v>
      </c>
      <c r="R8" t="s">
        <v>142</v>
      </c>
    </row>
    <row r="9" spans="1:18" x14ac:dyDescent="0.2">
      <c r="A9" s="4">
        <v>1</v>
      </c>
      <c r="B9" s="18" t="s">
        <v>1</v>
      </c>
      <c r="C9" s="18"/>
      <c r="D9" s="18"/>
      <c r="E9" s="18"/>
      <c r="F9" s="5">
        <f>ROUND(F33*$P$11,0)</f>
        <v>5063896</v>
      </c>
      <c r="G9" s="5">
        <f>ROUND(G33*$P$12,0)</f>
        <v>16761296</v>
      </c>
      <c r="H9" s="5">
        <f>ROUND(H33*$P$13,0)</f>
        <v>19253744</v>
      </c>
      <c r="I9" s="5">
        <f t="shared" ref="I9:J14" si="0">SUM(F9:G9)</f>
        <v>21825192</v>
      </c>
      <c r="J9" s="5">
        <f t="shared" si="0"/>
        <v>36015040</v>
      </c>
      <c r="K9" s="18"/>
      <c r="L9" s="18" t="s">
        <v>103</v>
      </c>
      <c r="M9" s="18"/>
      <c r="P9" s="6">
        <f>SUM(P6:P8)</f>
        <v>41078936.150000021</v>
      </c>
      <c r="Q9" s="51">
        <f>SUM(Q6:Q8)</f>
        <v>34227</v>
      </c>
      <c r="R9" t="s">
        <v>153</v>
      </c>
    </row>
    <row r="10" spans="1:18" x14ac:dyDescent="0.2">
      <c r="A10" s="4">
        <v>2</v>
      </c>
      <c r="B10" s="18" t="s">
        <v>2</v>
      </c>
      <c r="C10" s="18"/>
      <c r="D10" s="18"/>
      <c r="E10" s="18"/>
      <c r="F10" s="15">
        <f>ROUND(F35*$P$11,0)</f>
        <v>1898245</v>
      </c>
      <c r="G10" s="15">
        <f>ROUND(G35*$P$12,0)</f>
        <v>6283117</v>
      </c>
      <c r="H10" s="15">
        <f>ROUND(H35*$P$13,0)</f>
        <v>7217433</v>
      </c>
      <c r="I10" s="5">
        <f t="shared" si="0"/>
        <v>8181362</v>
      </c>
      <c r="J10" s="5">
        <f t="shared" si="0"/>
        <v>13500550</v>
      </c>
      <c r="K10" s="45"/>
      <c r="L10" s="45" t="s">
        <v>44</v>
      </c>
      <c r="M10" s="18"/>
      <c r="P10" s="6">
        <f>F33</f>
        <v>74482036</v>
      </c>
      <c r="Q10" s="12"/>
      <c r="R10" t="s">
        <v>154</v>
      </c>
    </row>
    <row r="11" spans="1:18" x14ac:dyDescent="0.2">
      <c r="A11" s="4">
        <v>3</v>
      </c>
      <c r="B11" s="18" t="s">
        <v>136</v>
      </c>
      <c r="C11" s="18"/>
      <c r="D11" s="18"/>
      <c r="E11" s="18"/>
      <c r="F11" s="15">
        <f>(F9-F10+F12)*0.15</f>
        <v>380974.8</v>
      </c>
      <c r="G11" s="15">
        <f t="shared" ref="G11:H11" si="1">(G9-G10+G12)*0.15</f>
        <v>1261011.45</v>
      </c>
      <c r="H11" s="15">
        <f t="shared" si="1"/>
        <v>1448527.05</v>
      </c>
      <c r="I11" s="5">
        <f t="shared" si="0"/>
        <v>1641986.25</v>
      </c>
      <c r="J11" s="5">
        <f t="shared" si="0"/>
        <v>2709538.5</v>
      </c>
      <c r="K11" s="45"/>
      <c r="L11" s="46" t="s">
        <v>156</v>
      </c>
      <c r="O11" s="18"/>
      <c r="P11" s="18">
        <f>P6/$P$10</f>
        <v>6.7988152472094235E-2</v>
      </c>
    </row>
    <row r="12" spans="1:18" x14ac:dyDescent="0.2">
      <c r="A12" s="4">
        <v>4</v>
      </c>
      <c r="B12" s="18" t="s">
        <v>115</v>
      </c>
      <c r="C12" s="18"/>
      <c r="D12" s="18"/>
      <c r="E12" s="18"/>
      <c r="F12" s="6">
        <f>ROUND(F57*$P$11,0)</f>
        <v>-625819</v>
      </c>
      <c r="G12" s="6">
        <f>ROUND(G57*$P$12,0)</f>
        <v>-2071436</v>
      </c>
      <c r="H12" s="6">
        <f>ROUND(H57*$P$13,0)</f>
        <v>-2379464</v>
      </c>
      <c r="I12" s="5">
        <f t="shared" si="0"/>
        <v>-2697255</v>
      </c>
      <c r="J12" s="5">
        <f t="shared" si="0"/>
        <v>-4450900</v>
      </c>
      <c r="K12" s="45"/>
      <c r="L12" s="45" t="s">
        <v>116</v>
      </c>
      <c r="M12" s="18"/>
      <c r="P12" s="18">
        <f>P7/$P$10</f>
        <v>0.22503810395301205</v>
      </c>
    </row>
    <row r="13" spans="1:18" x14ac:dyDescent="0.2">
      <c r="A13" s="4">
        <v>5</v>
      </c>
      <c r="B13" s="18" t="s">
        <v>45</v>
      </c>
      <c r="C13" s="18"/>
      <c r="D13" s="18"/>
      <c r="E13" s="18"/>
      <c r="F13" s="15">
        <f>F9-F10+F12</f>
        <v>2539832</v>
      </c>
      <c r="G13" s="15">
        <f t="shared" ref="G13:H13" si="2">G9-G10+G12</f>
        <v>8406743</v>
      </c>
      <c r="H13" s="15">
        <f t="shared" si="2"/>
        <v>9656847</v>
      </c>
      <c r="I13" s="5">
        <f t="shared" si="0"/>
        <v>10946575</v>
      </c>
      <c r="J13" s="5">
        <f t="shared" si="0"/>
        <v>18063590</v>
      </c>
      <c r="K13" s="45"/>
      <c r="L13" s="45" t="s">
        <v>125</v>
      </c>
      <c r="M13" s="18"/>
      <c r="O13" s="18"/>
      <c r="P13" s="18">
        <f>P8/$P$10</f>
        <v>0.25850184828459877</v>
      </c>
    </row>
    <row r="14" spans="1:18" x14ac:dyDescent="0.2">
      <c r="A14" s="4">
        <v>6</v>
      </c>
      <c r="B14" s="18" t="s">
        <v>46</v>
      </c>
      <c r="C14" s="18"/>
      <c r="D14" s="18"/>
      <c r="E14" s="18"/>
      <c r="F14" s="20">
        <f>Q6</f>
        <v>6584</v>
      </c>
      <c r="G14" s="20">
        <f>Q7</f>
        <v>16707</v>
      </c>
      <c r="H14" s="20">
        <f>Q8</f>
        <v>10936</v>
      </c>
      <c r="I14" s="20">
        <f t="shared" si="0"/>
        <v>23291</v>
      </c>
      <c r="J14" s="20">
        <f t="shared" si="0"/>
        <v>27643</v>
      </c>
      <c r="K14" s="45"/>
      <c r="L14" s="45" t="s">
        <v>110</v>
      </c>
      <c r="M14" s="18"/>
      <c r="P14" s="18">
        <f>P9/P10</f>
        <v>0.55152810470970504</v>
      </c>
    </row>
    <row r="15" spans="1:18" x14ac:dyDescent="0.2">
      <c r="A15" s="4">
        <v>7</v>
      </c>
      <c r="B15" s="18" t="s">
        <v>47</v>
      </c>
      <c r="C15" s="18"/>
      <c r="D15" s="18"/>
      <c r="E15" s="18"/>
      <c r="F15" s="7">
        <f>(F13-F11)/F14</f>
        <v>327.89447144592958</v>
      </c>
      <c r="G15" s="7">
        <f>(G13-G11)/G14</f>
        <v>427.70883761297659</v>
      </c>
      <c r="H15" s="7">
        <f>(H13-H11)/H14</f>
        <v>750.57790325530357</v>
      </c>
      <c r="I15" s="7">
        <f>(I13-I11)/I14</f>
        <v>399.4928835172384</v>
      </c>
      <c r="J15" s="7">
        <f>(J13-J11)/J14</f>
        <v>555.44085301884741</v>
      </c>
      <c r="K15" s="45"/>
      <c r="L15" s="45" t="s">
        <v>101</v>
      </c>
      <c r="M15" s="18"/>
      <c r="O15" s="18"/>
    </row>
    <row r="16" spans="1:18" x14ac:dyDescent="0.2">
      <c r="A16" s="4">
        <v>8</v>
      </c>
      <c r="B16" s="18" t="s">
        <v>3</v>
      </c>
      <c r="C16" s="18"/>
      <c r="D16" s="18"/>
      <c r="E16" s="18"/>
      <c r="F16" s="45"/>
      <c r="G16" s="45"/>
      <c r="H16" s="45"/>
      <c r="I16" s="45"/>
      <c r="J16" s="45"/>
      <c r="K16" s="45"/>
      <c r="L16" s="45"/>
      <c r="M16" s="18"/>
    </row>
    <row r="17" spans="1:13" x14ac:dyDescent="0.2">
      <c r="A17" s="4"/>
      <c r="B17" s="18" t="s">
        <v>48</v>
      </c>
      <c r="C17" s="18"/>
      <c r="D17" s="18"/>
      <c r="E17" s="18"/>
      <c r="F17" s="6">
        <f>F40</f>
        <v>6352091</v>
      </c>
      <c r="G17" s="6">
        <f>G40</f>
        <v>6352091</v>
      </c>
      <c r="H17" s="6">
        <f>H40</f>
        <v>6352091</v>
      </c>
      <c r="I17" s="6">
        <f>I40</f>
        <v>6352091</v>
      </c>
      <c r="J17" s="6">
        <f>J40</f>
        <v>6352091</v>
      </c>
      <c r="K17" s="45"/>
      <c r="L17" s="45" t="s">
        <v>105</v>
      </c>
      <c r="M17" s="18"/>
    </row>
    <row r="18" spans="1:13" x14ac:dyDescent="0.2">
      <c r="A18" s="4"/>
      <c r="B18" s="18" t="s">
        <v>124</v>
      </c>
      <c r="C18" s="18"/>
      <c r="D18" s="18"/>
      <c r="E18" s="18"/>
      <c r="F18" s="6">
        <f>F33+F41+F42</f>
        <v>248780121</v>
      </c>
      <c r="G18" s="6">
        <f>G33+G41+G42</f>
        <v>248780121</v>
      </c>
      <c r="H18" s="6">
        <f>H33+H41+H42</f>
        <v>248780121</v>
      </c>
      <c r="I18" s="6">
        <f>I33+I41+I42</f>
        <v>248780121</v>
      </c>
      <c r="J18" s="6">
        <f>J33+J41+J42</f>
        <v>248780121</v>
      </c>
      <c r="K18" s="45"/>
      <c r="L18" s="45" t="s">
        <v>91</v>
      </c>
      <c r="M18" s="18"/>
    </row>
    <row r="19" spans="1:13" x14ac:dyDescent="0.2">
      <c r="A19" s="4"/>
      <c r="B19" s="18" t="s">
        <v>4</v>
      </c>
      <c r="C19" s="18"/>
      <c r="D19" s="18"/>
      <c r="E19" s="18"/>
      <c r="F19" s="6">
        <f>F35+F36+F37</f>
        <v>72815838.909999996</v>
      </c>
      <c r="G19" s="6">
        <f>G35+G36+G37</f>
        <v>72815838.909999996</v>
      </c>
      <c r="H19" s="6">
        <f>H35+H36+H37</f>
        <v>72815838.909999996</v>
      </c>
      <c r="I19" s="6">
        <f>I35+I36+I37</f>
        <v>72815838.909999996</v>
      </c>
      <c r="J19" s="6">
        <f>J35+J36+J37</f>
        <v>72815838.909999996</v>
      </c>
      <c r="K19" s="45"/>
      <c r="L19" s="45" t="s">
        <v>49</v>
      </c>
      <c r="M19" s="18"/>
    </row>
    <row r="20" spans="1:13" x14ac:dyDescent="0.2">
      <c r="A20" s="4"/>
      <c r="B20" s="18" t="s">
        <v>5</v>
      </c>
      <c r="C20" s="18"/>
      <c r="D20" s="18"/>
      <c r="E20" s="18"/>
      <c r="F20" s="6">
        <f>+F57+F58+F59</f>
        <v>-30735651</v>
      </c>
      <c r="G20" s="6">
        <f>+G57+G58+G59</f>
        <v>-30735651</v>
      </c>
      <c r="H20" s="6">
        <f>+H57+H58+H59</f>
        <v>-30735651</v>
      </c>
      <c r="I20" s="6">
        <f>+I57+I58+I59</f>
        <v>-30735651</v>
      </c>
      <c r="J20" s="6">
        <f>+J57+J58+J59</f>
        <v>-30735651</v>
      </c>
      <c r="K20" s="45"/>
      <c r="L20" s="45" t="s">
        <v>50</v>
      </c>
      <c r="M20" s="18"/>
    </row>
    <row r="21" spans="1:13" x14ac:dyDescent="0.2">
      <c r="A21" s="4"/>
      <c r="B21" s="18" t="s">
        <v>51</v>
      </c>
      <c r="C21" s="18"/>
      <c r="D21" s="18"/>
      <c r="E21" s="18"/>
      <c r="F21" s="6">
        <f>F18-F19+F20</f>
        <v>145228631.09</v>
      </c>
      <c r="G21" s="6">
        <f t="shared" ref="G21:J21" si="3">G18-G19+G20</f>
        <v>145228631.09</v>
      </c>
      <c r="H21" s="6">
        <f t="shared" si="3"/>
        <v>145228631.09</v>
      </c>
      <c r="I21" s="6">
        <f t="shared" si="3"/>
        <v>145228631.09</v>
      </c>
      <c r="J21" s="6">
        <f t="shared" si="3"/>
        <v>145228631.09</v>
      </c>
      <c r="K21" s="45"/>
      <c r="L21" s="46" t="s">
        <v>161</v>
      </c>
      <c r="M21" s="18"/>
    </row>
    <row r="22" spans="1:13" x14ac:dyDescent="0.2">
      <c r="A22" s="4"/>
      <c r="B22" s="18" t="s">
        <v>52</v>
      </c>
      <c r="C22" s="18"/>
      <c r="D22" s="18"/>
      <c r="E22" s="18"/>
      <c r="F22" s="8">
        <f>F17/F21</f>
        <v>4.3738558659714488E-2</v>
      </c>
      <c r="G22" s="8">
        <f>G17/G21</f>
        <v>4.3738558659714488E-2</v>
      </c>
      <c r="H22" s="8">
        <f>H17/H21</f>
        <v>4.3738558659714488E-2</v>
      </c>
      <c r="I22" s="8">
        <f>I17/I21</f>
        <v>4.3738558659714488E-2</v>
      </c>
      <c r="J22" s="8">
        <f>J17/J21</f>
        <v>4.3738558659714488E-2</v>
      </c>
      <c r="K22" s="45"/>
      <c r="L22" s="45" t="s">
        <v>102</v>
      </c>
      <c r="M22" s="18"/>
    </row>
    <row r="23" spans="1:13" x14ac:dyDescent="0.2">
      <c r="A23" s="4">
        <v>9</v>
      </c>
      <c r="B23" s="18" t="s">
        <v>6</v>
      </c>
      <c r="C23" s="18"/>
      <c r="D23" s="18"/>
      <c r="E23" s="18"/>
      <c r="F23" s="8">
        <f>(F9/(F9-F10+F12))*F43</f>
        <v>4.1670246850972821E-2</v>
      </c>
      <c r="G23" s="8">
        <f t="shared" ref="G23:J23" si="4">(G9/(G9-G10+G12))*G43</f>
        <v>4.1670250464418856E-2</v>
      </c>
      <c r="H23" s="8">
        <f t="shared" si="4"/>
        <v>4.167025216408627E-2</v>
      </c>
      <c r="I23" s="8">
        <f t="shared" si="4"/>
        <v>4.1670249626024579E-2</v>
      </c>
      <c r="J23" s="8">
        <f t="shared" si="4"/>
        <v>4.1670251373065924E-2</v>
      </c>
      <c r="K23" s="45"/>
      <c r="L23" s="46" t="s">
        <v>157</v>
      </c>
      <c r="M23" s="18"/>
    </row>
    <row r="24" spans="1:13" x14ac:dyDescent="0.2">
      <c r="A24" s="4">
        <v>10</v>
      </c>
      <c r="B24" s="18" t="s">
        <v>7</v>
      </c>
      <c r="C24" s="18"/>
      <c r="D24" s="18"/>
      <c r="E24" s="18"/>
      <c r="F24" s="8">
        <f>ROUND(F44/(F45-F46+F56),4)</f>
        <v>2.1899999999999999E-2</v>
      </c>
      <c r="G24" s="8">
        <f t="shared" ref="G24:J24" si="5">ROUND(G44/(G45-G46+G56),4)</f>
        <v>2.1899999999999999E-2</v>
      </c>
      <c r="H24" s="8">
        <f t="shared" si="5"/>
        <v>2.1899999999999999E-2</v>
      </c>
      <c r="I24" s="8">
        <f t="shared" si="5"/>
        <v>2.1899999999999999E-2</v>
      </c>
      <c r="J24" s="8">
        <f t="shared" si="5"/>
        <v>2.1899999999999999E-2</v>
      </c>
      <c r="K24" s="45"/>
      <c r="L24" s="46" t="s">
        <v>158</v>
      </c>
      <c r="M24" s="18"/>
    </row>
    <row r="25" spans="1:13" x14ac:dyDescent="0.2">
      <c r="A25" s="4">
        <v>11</v>
      </c>
      <c r="B25" s="18" t="s">
        <v>8</v>
      </c>
      <c r="C25" s="18"/>
      <c r="D25" s="18"/>
      <c r="E25" s="18"/>
      <c r="F25" s="9">
        <f>SUM(F50:F55)/(F45-F46+F56)</f>
        <v>2.1600474784718125E-2</v>
      </c>
      <c r="G25" s="9">
        <f>SUM(G50:G55)/(G45-G46+G56)</f>
        <v>2.1600474784718125E-2</v>
      </c>
      <c r="H25" s="9">
        <f>SUM(H50:H55)/(H45-H46+H56)</f>
        <v>2.1600474784718125E-2</v>
      </c>
      <c r="I25" s="9">
        <f>SUM(I50:I55)/(I45-I46+I56)</f>
        <v>2.1600474784718125E-2</v>
      </c>
      <c r="J25" s="9">
        <f>SUM(J50:J55)/(J45-J46+J56)</f>
        <v>2.1600474784718125E-2</v>
      </c>
      <c r="K25" s="45"/>
      <c r="L25" s="45" t="s">
        <v>126</v>
      </c>
      <c r="M25" s="18"/>
    </row>
    <row r="26" spans="1:13" x14ac:dyDescent="0.2">
      <c r="A26" s="4">
        <v>12</v>
      </c>
      <c r="B26" s="18" t="s">
        <v>9</v>
      </c>
      <c r="C26" s="18"/>
      <c r="D26" s="18"/>
      <c r="E26" s="18"/>
      <c r="F26" s="62">
        <f>F60</f>
        <v>7.5300000000000006E-2</v>
      </c>
      <c r="G26" s="62">
        <f>G60</f>
        <v>7.5300000000000006E-2</v>
      </c>
      <c r="H26" s="62">
        <f>H60</f>
        <v>7.5300000000000006E-2</v>
      </c>
      <c r="I26" s="62">
        <f>I60</f>
        <v>7.5300000000000006E-2</v>
      </c>
      <c r="J26" s="62">
        <f>J60</f>
        <v>7.5300000000000006E-2</v>
      </c>
      <c r="K26" s="45"/>
      <c r="L26" s="45" t="s">
        <v>104</v>
      </c>
      <c r="M26" s="18"/>
    </row>
    <row r="27" spans="1:13" x14ac:dyDescent="0.2">
      <c r="A27" s="4">
        <v>13</v>
      </c>
      <c r="B27" s="18" t="s">
        <v>10</v>
      </c>
      <c r="C27" s="18"/>
      <c r="D27" s="18"/>
      <c r="E27" s="18"/>
      <c r="F27" s="8">
        <f>SUM(F22:F26)</f>
        <v>0.20420928029540544</v>
      </c>
      <c r="G27" s="8">
        <f>SUM(G22:G26)</f>
        <v>0.20420928390885149</v>
      </c>
      <c r="H27" s="8">
        <f>SUM(H22:H26)</f>
        <v>0.20420928560851889</v>
      </c>
      <c r="I27" s="8">
        <f>SUM(I22:I26)</f>
        <v>0.20420928307045721</v>
      </c>
      <c r="J27" s="8">
        <f>SUM(J22:J26)</f>
        <v>0.20420928481749856</v>
      </c>
      <c r="K27" s="45"/>
      <c r="L27" s="45" t="s">
        <v>106</v>
      </c>
      <c r="M27" s="18"/>
    </row>
    <row r="28" spans="1:13" x14ac:dyDescent="0.2">
      <c r="A28" s="4">
        <v>14</v>
      </c>
      <c r="B28" s="18" t="s">
        <v>11</v>
      </c>
      <c r="C28" s="18"/>
      <c r="D28" s="18"/>
      <c r="E28" s="18"/>
      <c r="F28" s="8"/>
      <c r="G28" s="8"/>
      <c r="H28" s="8"/>
      <c r="I28" s="8">
        <f>I61/I62</f>
        <v>0.12239902080783353</v>
      </c>
      <c r="J28" s="8">
        <f>J61/J63</f>
        <v>7.5930144267274111E-2</v>
      </c>
      <c r="K28" s="18"/>
      <c r="L28" s="18" t="s">
        <v>111</v>
      </c>
      <c r="M28" s="18"/>
    </row>
    <row r="29" spans="1:13" x14ac:dyDescent="0.2">
      <c r="A29" s="4">
        <v>15</v>
      </c>
      <c r="B29" s="45" t="s">
        <v>108</v>
      </c>
      <c r="C29" s="45"/>
      <c r="D29" s="37"/>
      <c r="E29" s="37"/>
      <c r="F29" s="11"/>
      <c r="G29" s="11"/>
      <c r="H29" s="11"/>
      <c r="I29" s="56">
        <f>(I15*I27)*I28</f>
        <v>9.9853311303310797</v>
      </c>
      <c r="J29" s="56">
        <f>(J15*J27)*J28</f>
        <v>8.6124661619893814</v>
      </c>
      <c r="K29" s="18"/>
      <c r="L29" s="18" t="s">
        <v>107</v>
      </c>
      <c r="M29" s="18"/>
    </row>
    <row r="30" spans="1:13" x14ac:dyDescent="0.2">
      <c r="A30" s="4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x14ac:dyDescent="0.2">
      <c r="A31" s="4"/>
      <c r="B31" s="3" t="s">
        <v>12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x14ac:dyDescent="0.2">
      <c r="A32" s="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6" x14ac:dyDescent="0.2">
      <c r="A33" s="4" t="s">
        <v>13</v>
      </c>
      <c r="B33" s="18" t="s">
        <v>53</v>
      </c>
      <c r="C33" s="18"/>
      <c r="D33" s="18"/>
      <c r="E33" s="18"/>
      <c r="F33" s="6">
        <v>74482036</v>
      </c>
      <c r="G33" s="6">
        <f>F33</f>
        <v>74482036</v>
      </c>
      <c r="H33" s="6">
        <f t="shared" ref="H33:J33" si="6">G33</f>
        <v>74482036</v>
      </c>
      <c r="I33" s="6">
        <f t="shared" si="6"/>
        <v>74482036</v>
      </c>
      <c r="J33" s="6">
        <f t="shared" si="6"/>
        <v>74482036</v>
      </c>
      <c r="K33" s="18"/>
      <c r="L33" s="46" t="s">
        <v>97</v>
      </c>
      <c r="M33" s="18"/>
    </row>
    <row r="34" spans="1:16" x14ac:dyDescent="0.2">
      <c r="A34" s="4" t="s">
        <v>14</v>
      </c>
      <c r="B34" s="18" t="s">
        <v>54</v>
      </c>
      <c r="C34" s="18"/>
      <c r="D34" s="18"/>
      <c r="E34" s="18"/>
      <c r="F34" s="6">
        <v>150530889</v>
      </c>
      <c r="G34" s="6">
        <f>F34</f>
        <v>150530889</v>
      </c>
      <c r="H34" s="6">
        <f t="shared" ref="H34:J34" si="7">G34</f>
        <v>150530889</v>
      </c>
      <c r="I34" s="6">
        <f t="shared" si="7"/>
        <v>150530889</v>
      </c>
      <c r="J34" s="6">
        <f t="shared" si="7"/>
        <v>150530889</v>
      </c>
      <c r="K34" s="18"/>
      <c r="L34" s="46" t="s">
        <v>96</v>
      </c>
      <c r="M34" s="18"/>
    </row>
    <row r="35" spans="1:16" x14ac:dyDescent="0.2">
      <c r="A35" s="4"/>
      <c r="B35" s="18" t="s">
        <v>55</v>
      </c>
      <c r="C35" s="18"/>
      <c r="D35" s="18"/>
      <c r="E35" s="18"/>
      <c r="F35" s="6">
        <v>27920237.23</v>
      </c>
      <c r="G35" s="6">
        <f t="shared" ref="G35:G37" si="8">F35</f>
        <v>27920237.23</v>
      </c>
      <c r="H35" s="6">
        <f t="shared" ref="H35:H37" si="9">G35</f>
        <v>27920237.23</v>
      </c>
      <c r="I35" s="6">
        <f t="shared" ref="I35:I37" si="10">H35</f>
        <v>27920237.23</v>
      </c>
      <c r="J35" s="6">
        <f t="shared" ref="J35:J37" si="11">I35</f>
        <v>27920237.23</v>
      </c>
      <c r="K35" s="18"/>
      <c r="L35" s="45" t="s">
        <v>63</v>
      </c>
      <c r="M35" s="18"/>
      <c r="N35" s="19"/>
    </row>
    <row r="36" spans="1:16" x14ac:dyDescent="0.2">
      <c r="A36" s="4"/>
      <c r="B36" s="18" t="s">
        <v>56</v>
      </c>
      <c r="C36" s="18"/>
      <c r="D36" s="18"/>
      <c r="E36" s="18"/>
      <c r="F36" s="6">
        <v>34254141.719999999</v>
      </c>
      <c r="G36" s="6">
        <f t="shared" si="8"/>
        <v>34254141.719999999</v>
      </c>
      <c r="H36" s="6">
        <f t="shared" si="9"/>
        <v>34254141.719999999</v>
      </c>
      <c r="I36" s="6">
        <f t="shared" si="10"/>
        <v>34254141.719999999</v>
      </c>
      <c r="J36" s="6">
        <f t="shared" si="11"/>
        <v>34254141.719999999</v>
      </c>
      <c r="K36" s="18"/>
      <c r="L36" s="45" t="s">
        <v>63</v>
      </c>
      <c r="M36" s="18"/>
      <c r="N36" s="19"/>
    </row>
    <row r="37" spans="1:16" x14ac:dyDescent="0.2">
      <c r="A37" s="4"/>
      <c r="B37" s="18" t="s">
        <v>15</v>
      </c>
      <c r="C37" s="18"/>
      <c r="D37" s="18"/>
      <c r="E37" s="18"/>
      <c r="F37" s="6">
        <v>10641459.960000001</v>
      </c>
      <c r="G37" s="6">
        <f t="shared" si="8"/>
        <v>10641459.960000001</v>
      </c>
      <c r="H37" s="6">
        <f t="shared" si="9"/>
        <v>10641459.960000001</v>
      </c>
      <c r="I37" s="6">
        <f t="shared" si="10"/>
        <v>10641459.960000001</v>
      </c>
      <c r="J37" s="6">
        <f t="shared" si="11"/>
        <v>10641459.960000001</v>
      </c>
      <c r="K37" s="18"/>
      <c r="L37" s="45" t="s">
        <v>63</v>
      </c>
      <c r="M37" s="18"/>
      <c r="N37" s="19"/>
    </row>
    <row r="38" spans="1:16" x14ac:dyDescent="0.2">
      <c r="A38" s="4" t="s">
        <v>16</v>
      </c>
      <c r="B38" s="18" t="s">
        <v>57</v>
      </c>
      <c r="C38" s="18"/>
      <c r="D38" s="18"/>
      <c r="E38" s="18"/>
      <c r="F38" s="6">
        <v>622687366</v>
      </c>
      <c r="G38" s="6">
        <f t="shared" ref="G38:G55" si="12">F38</f>
        <v>622687366</v>
      </c>
      <c r="H38" s="6">
        <f t="shared" ref="H38:J38" si="13">G38</f>
        <v>622687366</v>
      </c>
      <c r="I38" s="6">
        <f t="shared" si="13"/>
        <v>622687366</v>
      </c>
      <c r="J38" s="6">
        <f t="shared" si="13"/>
        <v>622687366</v>
      </c>
      <c r="K38" s="18"/>
      <c r="L38" s="46" t="s">
        <v>92</v>
      </c>
      <c r="M38" s="18"/>
    </row>
    <row r="39" spans="1:16" x14ac:dyDescent="0.2">
      <c r="A39" s="4" t="s">
        <v>17</v>
      </c>
      <c r="B39" s="18" t="s">
        <v>58</v>
      </c>
      <c r="C39" s="18"/>
      <c r="D39" s="18"/>
      <c r="E39" s="18"/>
      <c r="F39" s="51">
        <v>41110</v>
      </c>
      <c r="G39" s="49">
        <f t="shared" si="12"/>
        <v>41110</v>
      </c>
      <c r="H39" s="49">
        <f t="shared" ref="H39:J39" si="14">G39</f>
        <v>41110</v>
      </c>
      <c r="I39" s="49">
        <f t="shared" si="14"/>
        <v>41110</v>
      </c>
      <c r="J39" s="49">
        <f t="shared" si="14"/>
        <v>41110</v>
      </c>
      <c r="K39" s="45"/>
      <c r="L39" s="45" t="s">
        <v>59</v>
      </c>
      <c r="M39" s="18"/>
      <c r="N39" s="12"/>
    </row>
    <row r="40" spans="1:16" x14ac:dyDescent="0.2">
      <c r="A40" s="4" t="s">
        <v>18</v>
      </c>
      <c r="B40" s="18" t="s">
        <v>60</v>
      </c>
      <c r="C40" s="18"/>
      <c r="D40" s="18"/>
      <c r="E40" s="18"/>
      <c r="F40" s="6">
        <v>6352091</v>
      </c>
      <c r="G40" s="6">
        <f t="shared" si="12"/>
        <v>6352091</v>
      </c>
      <c r="H40" s="6">
        <f t="shared" ref="H40:J44" si="15">G40</f>
        <v>6352091</v>
      </c>
      <c r="I40" s="6">
        <f t="shared" si="15"/>
        <v>6352091</v>
      </c>
      <c r="J40" s="6">
        <f t="shared" si="15"/>
        <v>6352091</v>
      </c>
      <c r="K40" s="18"/>
      <c r="L40" s="46" t="s">
        <v>98</v>
      </c>
      <c r="M40" s="18"/>
    </row>
    <row r="41" spans="1:16" x14ac:dyDescent="0.2">
      <c r="A41" s="4" t="s">
        <v>19</v>
      </c>
      <c r="B41" s="18" t="s">
        <v>61</v>
      </c>
      <c r="C41" s="18"/>
      <c r="D41" s="18"/>
      <c r="E41" s="18"/>
      <c r="F41" s="6">
        <v>152067838</v>
      </c>
      <c r="G41" s="6">
        <f t="shared" si="12"/>
        <v>152067838</v>
      </c>
      <c r="H41" s="6">
        <f t="shared" si="15"/>
        <v>152067838</v>
      </c>
      <c r="I41" s="6">
        <f t="shared" si="15"/>
        <v>152067838</v>
      </c>
      <c r="J41" s="6">
        <f t="shared" si="15"/>
        <v>152067838</v>
      </c>
      <c r="K41" s="18"/>
      <c r="L41" s="46" t="s">
        <v>99</v>
      </c>
      <c r="M41" s="18"/>
    </row>
    <row r="42" spans="1:16" x14ac:dyDescent="0.2">
      <c r="A42" s="4" t="s">
        <v>20</v>
      </c>
      <c r="B42" s="18" t="s">
        <v>62</v>
      </c>
      <c r="C42" s="18"/>
      <c r="D42" s="18"/>
      <c r="E42" s="18"/>
      <c r="F42" s="6">
        <v>22230247</v>
      </c>
      <c r="G42" s="6">
        <f t="shared" si="12"/>
        <v>22230247</v>
      </c>
      <c r="H42" s="6">
        <f t="shared" si="15"/>
        <v>22230247</v>
      </c>
      <c r="I42" s="6">
        <f t="shared" si="15"/>
        <v>22230247</v>
      </c>
      <c r="J42" s="6">
        <f t="shared" si="15"/>
        <v>22230247</v>
      </c>
      <c r="K42" s="18"/>
      <c r="L42" s="46" t="s">
        <v>100</v>
      </c>
      <c r="M42" s="18"/>
    </row>
    <row r="43" spans="1:16" x14ac:dyDescent="0.2">
      <c r="A43" s="4" t="s">
        <v>21</v>
      </c>
      <c r="B43" s="18" t="s">
        <v>22</v>
      </c>
      <c r="C43" s="18"/>
      <c r="D43" s="18"/>
      <c r="E43" s="18"/>
      <c r="F43" s="50">
        <v>2.0899999999999998E-2</v>
      </c>
      <c r="G43" s="50">
        <f t="shared" si="12"/>
        <v>2.0899999999999998E-2</v>
      </c>
      <c r="H43" s="50">
        <f t="shared" ref="H43:J43" si="16">G43</f>
        <v>2.0899999999999998E-2</v>
      </c>
      <c r="I43" s="50">
        <f t="shared" si="16"/>
        <v>2.0899999999999998E-2</v>
      </c>
      <c r="J43" s="50">
        <f t="shared" si="16"/>
        <v>2.0899999999999998E-2</v>
      </c>
      <c r="K43" s="45"/>
      <c r="L43" s="45" t="s">
        <v>63</v>
      </c>
      <c r="M43" s="18"/>
      <c r="N43" s="18"/>
    </row>
    <row r="44" spans="1:16" x14ac:dyDescent="0.2">
      <c r="A44" s="4" t="s">
        <v>23</v>
      </c>
      <c r="B44" s="18" t="s">
        <v>64</v>
      </c>
      <c r="C44" s="18"/>
      <c r="D44" s="18"/>
      <c r="E44" s="18"/>
      <c r="F44" s="6">
        <v>22907236</v>
      </c>
      <c r="G44" s="6">
        <f t="shared" si="12"/>
        <v>22907236</v>
      </c>
      <c r="H44" s="6">
        <f t="shared" si="15"/>
        <v>22907236</v>
      </c>
      <c r="I44" s="6">
        <f t="shared" si="15"/>
        <v>22907236</v>
      </c>
      <c r="J44" s="6">
        <f t="shared" si="15"/>
        <v>22907236</v>
      </c>
      <c r="K44" s="18"/>
      <c r="L44" s="46" t="s">
        <v>93</v>
      </c>
      <c r="M44" s="18"/>
    </row>
    <row r="45" spans="1:16" x14ac:dyDescent="0.2">
      <c r="A45" s="4" t="s">
        <v>24</v>
      </c>
      <c r="B45" s="18" t="s">
        <v>65</v>
      </c>
      <c r="C45" s="18"/>
      <c r="D45" s="18"/>
      <c r="E45" s="18"/>
      <c r="F45" s="6">
        <v>2149668551</v>
      </c>
      <c r="G45" s="6">
        <f t="shared" si="12"/>
        <v>2149668551</v>
      </c>
      <c r="H45" s="6">
        <f t="shared" ref="H45:J49" si="17">G45</f>
        <v>2149668551</v>
      </c>
      <c r="I45" s="6">
        <f t="shared" si="17"/>
        <v>2149668551</v>
      </c>
      <c r="J45" s="6">
        <f t="shared" si="17"/>
        <v>2149668551</v>
      </c>
      <c r="K45" s="18"/>
      <c r="L45" s="46" t="s">
        <v>94</v>
      </c>
      <c r="M45" s="13"/>
      <c r="N45" s="14"/>
      <c r="P45" s="10"/>
    </row>
    <row r="46" spans="1:16" x14ac:dyDescent="0.2">
      <c r="A46" s="4" t="s">
        <v>25</v>
      </c>
      <c r="B46" s="18" t="s">
        <v>26</v>
      </c>
      <c r="C46" s="18"/>
      <c r="D46" s="18"/>
      <c r="E46" s="18"/>
      <c r="F46" s="6">
        <v>840267458</v>
      </c>
      <c r="G46" s="6">
        <f t="shared" si="12"/>
        <v>840267458</v>
      </c>
      <c r="H46" s="6">
        <f t="shared" si="17"/>
        <v>840267458</v>
      </c>
      <c r="I46" s="6">
        <f t="shared" si="17"/>
        <v>840267458</v>
      </c>
      <c r="J46" s="6">
        <f t="shared" si="17"/>
        <v>840267458</v>
      </c>
      <c r="K46" s="18"/>
      <c r="L46" s="46" t="s">
        <v>95</v>
      </c>
      <c r="M46" s="18"/>
    </row>
    <row r="47" spans="1:16" x14ac:dyDescent="0.2">
      <c r="A47" s="4"/>
      <c r="B47" s="45" t="s">
        <v>117</v>
      </c>
      <c r="C47" s="45"/>
      <c r="D47" s="45"/>
      <c r="E47" s="45"/>
      <c r="F47" s="6">
        <v>0</v>
      </c>
      <c r="G47" s="6">
        <f t="shared" si="12"/>
        <v>0</v>
      </c>
      <c r="H47" s="6">
        <f t="shared" si="17"/>
        <v>0</v>
      </c>
      <c r="I47" s="6">
        <f t="shared" si="17"/>
        <v>0</v>
      </c>
      <c r="J47" s="6">
        <f t="shared" si="17"/>
        <v>0</v>
      </c>
      <c r="K47" s="45"/>
      <c r="L47" s="46" t="s">
        <v>137</v>
      </c>
      <c r="M47" s="45"/>
      <c r="N47" s="12"/>
    </row>
    <row r="48" spans="1:16" x14ac:dyDescent="0.2">
      <c r="A48" s="4"/>
      <c r="B48" s="45" t="s">
        <v>118</v>
      </c>
      <c r="C48" s="45"/>
      <c r="D48" s="45"/>
      <c r="E48" s="45"/>
      <c r="F48" s="6">
        <v>227752649</v>
      </c>
      <c r="G48" s="6">
        <f t="shared" si="12"/>
        <v>227752649</v>
      </c>
      <c r="H48" s="6">
        <f t="shared" si="17"/>
        <v>227752649</v>
      </c>
      <c r="I48" s="6">
        <f t="shared" si="17"/>
        <v>227752649</v>
      </c>
      <c r="J48" s="6">
        <f t="shared" si="17"/>
        <v>227752649</v>
      </c>
      <c r="K48" s="45"/>
      <c r="L48" s="46" t="s">
        <v>138</v>
      </c>
      <c r="M48" s="45"/>
      <c r="N48" s="12"/>
    </row>
    <row r="49" spans="1:14" x14ac:dyDescent="0.2">
      <c r="A49" s="4"/>
      <c r="B49" s="45" t="s">
        <v>119</v>
      </c>
      <c r="C49" s="45"/>
      <c r="D49" s="45"/>
      <c r="E49" s="45"/>
      <c r="F49" s="6">
        <v>31279406</v>
      </c>
      <c r="G49" s="6">
        <f t="shared" si="12"/>
        <v>31279406</v>
      </c>
      <c r="H49" s="6">
        <f t="shared" si="17"/>
        <v>31279406</v>
      </c>
      <c r="I49" s="6">
        <f t="shared" si="17"/>
        <v>31279406</v>
      </c>
      <c r="J49" s="6">
        <f t="shared" si="17"/>
        <v>31279406</v>
      </c>
      <c r="K49" s="45"/>
      <c r="L49" s="46" t="s">
        <v>139</v>
      </c>
      <c r="M49" s="45"/>
      <c r="N49" s="12"/>
    </row>
    <row r="50" spans="1:14" x14ac:dyDescent="0.2">
      <c r="A50" s="4" t="s">
        <v>27</v>
      </c>
      <c r="B50" s="18" t="s">
        <v>66</v>
      </c>
      <c r="C50" s="18"/>
      <c r="D50" s="18"/>
      <c r="E50" s="18"/>
      <c r="F50" s="6">
        <v>15842108</v>
      </c>
      <c r="G50" s="6">
        <f t="shared" si="12"/>
        <v>15842108</v>
      </c>
      <c r="H50" s="6">
        <f t="shared" ref="H50:J55" si="18">G50</f>
        <v>15842108</v>
      </c>
      <c r="I50" s="6">
        <f t="shared" si="18"/>
        <v>15842108</v>
      </c>
      <c r="J50" s="6">
        <f t="shared" si="18"/>
        <v>15842108</v>
      </c>
      <c r="K50" s="18"/>
      <c r="L50" s="46" t="s">
        <v>146</v>
      </c>
      <c r="M50" s="18"/>
    </row>
    <row r="51" spans="1:14" x14ac:dyDescent="0.2">
      <c r="A51" s="4" t="s">
        <v>28</v>
      </c>
      <c r="B51" s="18" t="s">
        <v>67</v>
      </c>
      <c r="C51" s="18"/>
      <c r="D51" s="18"/>
      <c r="E51" s="18"/>
      <c r="F51" s="6">
        <v>-8317550</v>
      </c>
      <c r="G51" s="6">
        <f t="shared" si="12"/>
        <v>-8317550</v>
      </c>
      <c r="H51" s="6">
        <f t="shared" si="18"/>
        <v>-8317550</v>
      </c>
      <c r="I51" s="6">
        <f t="shared" si="18"/>
        <v>-8317550</v>
      </c>
      <c r="J51" s="6">
        <f t="shared" si="18"/>
        <v>-8317550</v>
      </c>
      <c r="K51" s="18"/>
      <c r="L51" s="46" t="s">
        <v>147</v>
      </c>
      <c r="M51" s="18"/>
    </row>
    <row r="52" spans="1:14" x14ac:dyDescent="0.2">
      <c r="A52" s="4" t="s">
        <v>29</v>
      </c>
      <c r="B52" s="18" t="s">
        <v>68</v>
      </c>
      <c r="C52" s="18"/>
      <c r="D52" s="18"/>
      <c r="E52" s="18"/>
      <c r="F52" s="6">
        <v>-2533237</v>
      </c>
      <c r="G52" s="6">
        <f t="shared" si="12"/>
        <v>-2533237</v>
      </c>
      <c r="H52" s="6">
        <f t="shared" si="18"/>
        <v>-2533237</v>
      </c>
      <c r="I52" s="6">
        <f t="shared" si="18"/>
        <v>-2533237</v>
      </c>
      <c r="J52" s="6">
        <f t="shared" si="18"/>
        <v>-2533237</v>
      </c>
      <c r="K52" s="18"/>
      <c r="L52" s="46" t="s">
        <v>148</v>
      </c>
      <c r="M52" s="18"/>
    </row>
    <row r="53" spans="1:14" x14ac:dyDescent="0.2">
      <c r="A53" s="4" t="s">
        <v>30</v>
      </c>
      <c r="B53" s="18" t="s">
        <v>69</v>
      </c>
      <c r="C53" s="18"/>
      <c r="D53" s="18"/>
      <c r="E53" s="18"/>
      <c r="F53" s="6">
        <v>47582356</v>
      </c>
      <c r="G53" s="6">
        <f t="shared" si="12"/>
        <v>47582356</v>
      </c>
      <c r="H53" s="6">
        <f t="shared" si="18"/>
        <v>47582356</v>
      </c>
      <c r="I53" s="6">
        <f t="shared" si="18"/>
        <v>47582356</v>
      </c>
      <c r="J53" s="6">
        <f t="shared" si="18"/>
        <v>47582356</v>
      </c>
      <c r="K53" s="18"/>
      <c r="L53" s="46" t="s">
        <v>149</v>
      </c>
      <c r="M53" s="18"/>
    </row>
    <row r="54" spans="1:14" x14ac:dyDescent="0.2">
      <c r="A54" s="4" t="s">
        <v>35</v>
      </c>
      <c r="B54" s="18" t="s">
        <v>166</v>
      </c>
      <c r="C54" s="18"/>
      <c r="D54" s="18"/>
      <c r="E54" s="18"/>
      <c r="F54" s="6">
        <v>-30003029</v>
      </c>
      <c r="G54" s="6">
        <f t="shared" si="12"/>
        <v>-30003029</v>
      </c>
      <c r="H54" s="6">
        <f t="shared" si="18"/>
        <v>-30003029</v>
      </c>
      <c r="I54" s="6">
        <f t="shared" si="18"/>
        <v>-30003029</v>
      </c>
      <c r="J54" s="6">
        <f t="shared" si="18"/>
        <v>-30003029</v>
      </c>
      <c r="K54" s="18"/>
      <c r="L54" s="46" t="s">
        <v>150</v>
      </c>
      <c r="M54" s="18"/>
    </row>
    <row r="55" spans="1:14" x14ac:dyDescent="0.2">
      <c r="A55" s="4" t="s">
        <v>36</v>
      </c>
      <c r="B55" s="18" t="s">
        <v>70</v>
      </c>
      <c r="C55" s="18"/>
      <c r="D55" s="18"/>
      <c r="E55" s="18"/>
      <c r="F55" s="6">
        <v>-428</v>
      </c>
      <c r="G55" s="6">
        <f t="shared" si="12"/>
        <v>-428</v>
      </c>
      <c r="H55" s="6">
        <f t="shared" si="18"/>
        <v>-428</v>
      </c>
      <c r="I55" s="6">
        <f t="shared" si="18"/>
        <v>-428</v>
      </c>
      <c r="J55" s="6">
        <f t="shared" si="18"/>
        <v>-428</v>
      </c>
      <c r="K55" s="18"/>
      <c r="L55" s="46" t="s">
        <v>151</v>
      </c>
      <c r="M55" s="18"/>
    </row>
    <row r="56" spans="1:14" x14ac:dyDescent="0.2">
      <c r="A56" s="4" t="s">
        <v>37</v>
      </c>
      <c r="B56" s="18" t="s">
        <v>120</v>
      </c>
      <c r="C56" s="18"/>
      <c r="D56" s="18"/>
      <c r="E56" s="18"/>
      <c r="F56" s="6">
        <f>'DEK Deferred Tax Calc - Pole '!H19</f>
        <v>-264506468</v>
      </c>
      <c r="G56" s="6">
        <f t="shared" ref="G56:H60" si="19">F56</f>
        <v>-264506468</v>
      </c>
      <c r="H56" s="6">
        <f t="shared" si="19"/>
        <v>-264506468</v>
      </c>
      <c r="I56" s="6">
        <f t="shared" ref="I56:J59" si="20">G56</f>
        <v>-264506468</v>
      </c>
      <c r="J56" s="6">
        <f t="shared" si="20"/>
        <v>-264506468</v>
      </c>
      <c r="K56" s="18"/>
      <c r="L56" s="18" t="s">
        <v>32</v>
      </c>
      <c r="M56" s="18"/>
    </row>
    <row r="57" spans="1:14" x14ac:dyDescent="0.2">
      <c r="A57" s="4"/>
      <c r="B57" s="18" t="s">
        <v>31</v>
      </c>
      <c r="C57" s="18"/>
      <c r="D57" s="18"/>
      <c r="E57" s="18"/>
      <c r="F57" s="6">
        <f>'DEK Deferred Tax Calc - Pole '!H24</f>
        <v>-9204825</v>
      </c>
      <c r="G57" s="6">
        <f t="shared" si="19"/>
        <v>-9204825</v>
      </c>
      <c r="H57" s="6">
        <f t="shared" si="19"/>
        <v>-9204825</v>
      </c>
      <c r="I57" s="6">
        <f t="shared" si="20"/>
        <v>-9204825</v>
      </c>
      <c r="J57" s="6">
        <f t="shared" si="20"/>
        <v>-9204825</v>
      </c>
      <c r="K57" s="18"/>
      <c r="L57" s="18" t="s">
        <v>32</v>
      </c>
      <c r="M57" s="18"/>
    </row>
    <row r="58" spans="1:14" x14ac:dyDescent="0.2">
      <c r="A58" s="4"/>
      <c r="B58" s="18" t="s">
        <v>33</v>
      </c>
      <c r="C58" s="18"/>
      <c r="D58" s="18"/>
      <c r="E58" s="18"/>
      <c r="F58" s="6">
        <f>'DEK Deferred Tax Calc - Pole '!H25</f>
        <v>-18779959</v>
      </c>
      <c r="G58" s="6">
        <f t="shared" si="19"/>
        <v>-18779959</v>
      </c>
      <c r="H58" s="6">
        <f t="shared" si="19"/>
        <v>-18779959</v>
      </c>
      <c r="I58" s="6">
        <f t="shared" si="20"/>
        <v>-18779959</v>
      </c>
      <c r="J58" s="6">
        <f t="shared" si="20"/>
        <v>-18779959</v>
      </c>
      <c r="K58" s="18"/>
      <c r="L58" s="18" t="s">
        <v>32</v>
      </c>
      <c r="M58" s="18"/>
    </row>
    <row r="59" spans="1:14" x14ac:dyDescent="0.2">
      <c r="A59" s="4"/>
      <c r="B59" s="18" t="s">
        <v>34</v>
      </c>
      <c r="C59" s="18"/>
      <c r="D59" s="18"/>
      <c r="E59" s="18"/>
      <c r="F59" s="6">
        <f>'DEK Deferred Tax Calc - Pole '!H26</f>
        <v>-2750867</v>
      </c>
      <c r="G59" s="6">
        <f t="shared" si="19"/>
        <v>-2750867</v>
      </c>
      <c r="H59" s="6">
        <f t="shared" si="19"/>
        <v>-2750867</v>
      </c>
      <c r="I59" s="6">
        <f t="shared" si="20"/>
        <v>-2750867</v>
      </c>
      <c r="J59" s="6">
        <f t="shared" si="20"/>
        <v>-2750867</v>
      </c>
      <c r="K59" s="18"/>
      <c r="L59" s="18" t="s">
        <v>32</v>
      </c>
      <c r="M59" s="18"/>
    </row>
    <row r="60" spans="1:14" x14ac:dyDescent="0.2">
      <c r="A60" s="57" t="s">
        <v>38</v>
      </c>
      <c r="B60" s="45" t="s">
        <v>9</v>
      </c>
      <c r="C60" s="45"/>
      <c r="D60" s="45"/>
      <c r="E60" s="45"/>
      <c r="F60" s="8">
        <v>7.5300000000000006E-2</v>
      </c>
      <c r="G60" s="8">
        <f>F60</f>
        <v>7.5300000000000006E-2</v>
      </c>
      <c r="H60" s="8">
        <f t="shared" si="19"/>
        <v>7.5300000000000006E-2</v>
      </c>
      <c r="I60" s="8">
        <f t="shared" ref="I60:J60" si="21">H60</f>
        <v>7.5300000000000006E-2</v>
      </c>
      <c r="J60" s="8">
        <f t="shared" si="21"/>
        <v>7.5300000000000006E-2</v>
      </c>
      <c r="K60" s="45"/>
      <c r="L60" s="46" t="str">
        <f>+"Proposed in KYPSC "&amp;A2</f>
        <v>Proposed in KYPSC Case No. 2022-00372</v>
      </c>
      <c r="M60" s="45"/>
    </row>
    <row r="61" spans="1:14" x14ac:dyDescent="0.2">
      <c r="A61" s="57" t="s">
        <v>39</v>
      </c>
      <c r="B61" s="45" t="s">
        <v>109</v>
      </c>
      <c r="C61" s="58"/>
      <c r="D61" s="58"/>
      <c r="E61" s="12"/>
      <c r="F61" s="59">
        <v>1</v>
      </c>
      <c r="G61" s="59">
        <v>1</v>
      </c>
      <c r="H61" s="59">
        <v>1</v>
      </c>
      <c r="I61" s="59">
        <v>1</v>
      </c>
      <c r="J61" s="59">
        <v>1</v>
      </c>
      <c r="K61" s="12"/>
      <c r="L61" s="45" t="s">
        <v>128</v>
      </c>
      <c r="M61" s="12"/>
    </row>
    <row r="62" spans="1:14" x14ac:dyDescent="0.2">
      <c r="A62" s="57" t="s">
        <v>40</v>
      </c>
      <c r="B62" s="45" t="s">
        <v>129</v>
      </c>
      <c r="C62" s="58"/>
      <c r="D62" s="58"/>
      <c r="E62" s="12"/>
      <c r="F62" s="45"/>
      <c r="G62" s="45"/>
      <c r="H62" s="45"/>
      <c r="I62" s="45">
        <v>8.17</v>
      </c>
      <c r="J62" s="45">
        <v>8.17</v>
      </c>
      <c r="K62" s="12"/>
      <c r="L62" s="45" t="s">
        <v>128</v>
      </c>
      <c r="M62" s="12"/>
    </row>
    <row r="63" spans="1:14" x14ac:dyDescent="0.2">
      <c r="A63" s="57" t="s">
        <v>41</v>
      </c>
      <c r="B63" s="45" t="s">
        <v>130</v>
      </c>
      <c r="C63" s="58"/>
      <c r="D63" s="58"/>
      <c r="E63" s="12"/>
      <c r="F63" s="45"/>
      <c r="G63" s="45"/>
      <c r="H63" s="45"/>
      <c r="I63" s="45">
        <v>13.17</v>
      </c>
      <c r="J63" s="45">
        <v>13.17</v>
      </c>
      <c r="K63" s="12"/>
      <c r="L63" s="45" t="s">
        <v>128</v>
      </c>
      <c r="M63" s="12"/>
    </row>
    <row r="64" spans="1:14" x14ac:dyDescent="0.2">
      <c r="A64" s="57" t="s">
        <v>131</v>
      </c>
      <c r="B64" s="45" t="s">
        <v>132</v>
      </c>
      <c r="C64" s="58"/>
      <c r="D64" s="58"/>
      <c r="E64" s="12"/>
      <c r="F64" s="45"/>
      <c r="G64" s="45"/>
      <c r="H64" s="45"/>
      <c r="I64" s="45">
        <v>37.5</v>
      </c>
      <c r="J64" s="45">
        <v>37.5</v>
      </c>
      <c r="K64" s="12"/>
      <c r="L64" s="45" t="s">
        <v>128</v>
      </c>
      <c r="M64" s="12"/>
    </row>
    <row r="65" spans="1:27" x14ac:dyDescent="0.2">
      <c r="A65" s="57" t="s">
        <v>90</v>
      </c>
      <c r="B65" s="45" t="s">
        <v>133</v>
      </c>
      <c r="C65" s="58"/>
      <c r="D65" s="58"/>
      <c r="E65" s="12"/>
      <c r="F65" s="45"/>
      <c r="G65" s="45"/>
      <c r="H65" s="45"/>
      <c r="I65" s="45">
        <v>42.5</v>
      </c>
      <c r="J65" s="45">
        <v>42.5</v>
      </c>
      <c r="K65" s="12"/>
      <c r="L65" s="45" t="s">
        <v>128</v>
      </c>
      <c r="M65" s="12"/>
    </row>
    <row r="66" spans="1:27" ht="15" x14ac:dyDescent="0.2">
      <c r="A66" s="16"/>
    </row>
    <row r="67" spans="1:27" ht="15" x14ac:dyDescent="0.2">
      <c r="A67" s="16"/>
    </row>
    <row r="68" spans="1:27" ht="15" x14ac:dyDescent="0.2">
      <c r="A68" s="16"/>
    </row>
    <row r="69" spans="1:27" ht="15" x14ac:dyDescent="0.2">
      <c r="A69" s="16"/>
    </row>
    <row r="70" spans="1:27" ht="15" x14ac:dyDescent="0.2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5" x14ac:dyDescent="0.2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5" x14ac:dyDescent="0.2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5" x14ac:dyDescent="0.2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5" x14ac:dyDescent="0.2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x14ac:dyDescent="0.2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x14ac:dyDescent="0.2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x14ac:dyDescent="0.2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x14ac:dyDescent="0.2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x14ac:dyDescent="0.2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x14ac:dyDescent="0.2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2:27" x14ac:dyDescent="0.2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2:27" x14ac:dyDescent="0.2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2:27" x14ac:dyDescent="0.2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2:27" x14ac:dyDescent="0.2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2:27" x14ac:dyDescent="0.2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2:27" x14ac:dyDescent="0.2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2:27" x14ac:dyDescent="0.2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</sheetData>
  <pageMargins left="0.75" right="0.75" top="1" bottom="1" header="0.5" footer="0.5"/>
  <pageSetup scale="55" orientation="landscape" r:id="rId1"/>
  <headerFooter alignWithMargins="0">
    <oddHeader>&amp;R&amp;"Times New Roman,Bold"Attachment BLS-7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W87"/>
  <sheetViews>
    <sheetView view="pageLayout" zoomScaleNormal="100" workbookViewId="0">
      <selection activeCell="B1" sqref="B1"/>
    </sheetView>
  </sheetViews>
  <sheetFormatPr defaultColWidth="9.140625" defaultRowHeight="12.75" x14ac:dyDescent="0.2"/>
  <cols>
    <col min="1" max="1" width="3.7109375" style="21" customWidth="1"/>
    <col min="2" max="2" width="42.85546875" style="21" customWidth="1"/>
    <col min="3" max="3" width="1.7109375" style="21" customWidth="1"/>
    <col min="4" max="4" width="16.7109375" style="21" bestFit="1" customWidth="1"/>
    <col min="5" max="5" width="1.28515625" style="21" customWidth="1"/>
    <col min="6" max="6" width="11" style="21" customWidth="1"/>
    <col min="7" max="7" width="1" style="21" customWidth="1"/>
    <col min="8" max="8" width="15.140625" style="21" bestFit="1" customWidth="1"/>
    <col min="9" max="9" width="1.85546875" style="21" customWidth="1"/>
    <col min="10" max="10" width="10.140625" style="21" customWidth="1"/>
    <col min="11" max="16384" width="9.140625" style="21"/>
  </cols>
  <sheetData>
    <row r="1" spans="2:10" x14ac:dyDescent="0.2">
      <c r="B1" s="42"/>
    </row>
    <row r="2" spans="2:10" x14ac:dyDescent="0.2">
      <c r="B2" s="42"/>
    </row>
    <row r="3" spans="2:10" x14ac:dyDescent="0.2">
      <c r="B3" s="21" t="s">
        <v>165</v>
      </c>
    </row>
    <row r="4" spans="2:10" x14ac:dyDescent="0.2">
      <c r="B4" s="41" t="s">
        <v>134</v>
      </c>
    </row>
    <row r="5" spans="2:10" x14ac:dyDescent="0.2">
      <c r="B5" s="21" t="s">
        <v>71</v>
      </c>
    </row>
    <row r="6" spans="2:10" x14ac:dyDescent="0.2">
      <c r="B6" s="21" t="s">
        <v>72</v>
      </c>
    </row>
    <row r="7" spans="2:10" x14ac:dyDescent="0.2">
      <c r="B7" s="42" t="s">
        <v>167</v>
      </c>
    </row>
    <row r="9" spans="2:10" x14ac:dyDescent="0.2">
      <c r="B9" s="21" t="s">
        <v>89</v>
      </c>
      <c r="J9" s="22" t="s">
        <v>73</v>
      </c>
    </row>
    <row r="10" spans="2:10" x14ac:dyDescent="0.2">
      <c r="H10" s="23" t="s">
        <v>74</v>
      </c>
      <c r="J10" s="22" t="s">
        <v>75</v>
      </c>
    </row>
    <row r="11" spans="2:10" x14ac:dyDescent="0.2">
      <c r="H11" s="24" t="s">
        <v>76</v>
      </c>
      <c r="J11" s="22" t="s">
        <v>77</v>
      </c>
    </row>
    <row r="12" spans="2:10" x14ac:dyDescent="0.2">
      <c r="H12" s="25" t="s">
        <v>78</v>
      </c>
    </row>
    <row r="13" spans="2:10" x14ac:dyDescent="0.2">
      <c r="B13" s="21" t="s">
        <v>79</v>
      </c>
      <c r="D13" s="21" t="s">
        <v>80</v>
      </c>
      <c r="H13" s="47">
        <v>53751239</v>
      </c>
      <c r="J13" s="36" t="s">
        <v>127</v>
      </c>
    </row>
    <row r="14" spans="2:10" x14ac:dyDescent="0.2">
      <c r="B14" s="21" t="s">
        <v>112</v>
      </c>
      <c r="H14" s="47">
        <v>0</v>
      </c>
      <c r="J14" s="36" t="s">
        <v>121</v>
      </c>
    </row>
    <row r="15" spans="2:10" x14ac:dyDescent="0.2">
      <c r="B15" s="21" t="s">
        <v>113</v>
      </c>
      <c r="H15" s="47">
        <v>-227752649</v>
      </c>
      <c r="J15" s="36" t="s">
        <v>122</v>
      </c>
    </row>
    <row r="16" spans="2:10" x14ac:dyDescent="0.2">
      <c r="B16" s="21" t="s">
        <v>114</v>
      </c>
      <c r="H16" s="60">
        <v>-31279406</v>
      </c>
      <c r="J16" s="36" t="s">
        <v>123</v>
      </c>
    </row>
    <row r="17" spans="2:10" s="42" customFormat="1" x14ac:dyDescent="0.2">
      <c r="B17" s="36" t="s">
        <v>160</v>
      </c>
      <c r="H17" s="60">
        <f>-45721375-13504277</f>
        <v>-59225652</v>
      </c>
      <c r="J17" s="36" t="s">
        <v>164</v>
      </c>
    </row>
    <row r="18" spans="2:10" x14ac:dyDescent="0.2">
      <c r="H18" s="26"/>
      <c r="J18" s="22"/>
    </row>
    <row r="19" spans="2:10" ht="13.5" thickBot="1" x14ac:dyDescent="0.25">
      <c r="B19" s="21" t="s">
        <v>81</v>
      </c>
      <c r="H19" s="35">
        <f>+H13+H14+H15+H16+H17</f>
        <v>-264506468</v>
      </c>
      <c r="J19" s="22"/>
    </row>
    <row r="20" spans="2:10" ht="13.5" thickTop="1" x14ac:dyDescent="0.2">
      <c r="J20" s="22"/>
    </row>
    <row r="21" spans="2:10" x14ac:dyDescent="0.2">
      <c r="F21" s="22" t="s">
        <v>82</v>
      </c>
      <c r="J21" s="22"/>
    </row>
    <row r="22" spans="2:10" x14ac:dyDescent="0.2">
      <c r="B22" s="21" t="s">
        <v>83</v>
      </c>
      <c r="D22" s="27" t="s">
        <v>78</v>
      </c>
      <c r="H22" s="25" t="s">
        <v>78</v>
      </c>
      <c r="J22" s="22"/>
    </row>
    <row r="23" spans="2:10" x14ac:dyDescent="0.2">
      <c r="B23" s="21" t="s">
        <v>84</v>
      </c>
      <c r="D23" s="61">
        <v>2141261295</v>
      </c>
      <c r="F23" s="28">
        <v>1</v>
      </c>
      <c r="J23" s="44" t="s">
        <v>135</v>
      </c>
    </row>
    <row r="24" spans="2:10" x14ac:dyDescent="0.2">
      <c r="B24" s="21" t="s">
        <v>86</v>
      </c>
      <c r="D24" s="47">
        <v>74482036</v>
      </c>
      <c r="F24" s="30">
        <f>ROUND(D24/D$23,4)</f>
        <v>3.4799999999999998E-2</v>
      </c>
      <c r="H24" s="33">
        <f>ROUND(F24*H$19,0)</f>
        <v>-9204825</v>
      </c>
      <c r="J24" s="47" t="s">
        <v>97</v>
      </c>
    </row>
    <row r="25" spans="2:10" x14ac:dyDescent="0.2">
      <c r="B25" s="21" t="s">
        <v>87</v>
      </c>
      <c r="D25" s="47">
        <v>152067838</v>
      </c>
      <c r="F25" s="30">
        <f>ROUND(D25/D$23,4)</f>
        <v>7.0999999999999994E-2</v>
      </c>
      <c r="H25" s="29">
        <f>ROUND(F25*H$19,0)</f>
        <v>-18779959</v>
      </c>
      <c r="J25" s="47" t="s">
        <v>99</v>
      </c>
    </row>
    <row r="26" spans="2:10" x14ac:dyDescent="0.2">
      <c r="B26" s="21" t="s">
        <v>88</v>
      </c>
      <c r="D26" s="47">
        <v>22230247</v>
      </c>
      <c r="F26" s="30">
        <f>ROUND(D26/D$23,4)</f>
        <v>1.04E-2</v>
      </c>
      <c r="H26" s="31">
        <f>ROUND(F26*H$19,0)</f>
        <v>-2750867</v>
      </c>
      <c r="J26" s="47" t="s">
        <v>100</v>
      </c>
    </row>
    <row r="27" spans="2:10" x14ac:dyDescent="0.2">
      <c r="J27" s="22"/>
    </row>
    <row r="28" spans="2:10" ht="13.5" thickBot="1" x14ac:dyDescent="0.25">
      <c r="B28" s="21" t="s">
        <v>85</v>
      </c>
      <c r="H28" s="34">
        <f>SUM(H24:H27)</f>
        <v>-30735651</v>
      </c>
    </row>
    <row r="29" spans="2:10" ht="13.5" thickTop="1" x14ac:dyDescent="0.2"/>
    <row r="32" spans="2:10" x14ac:dyDescent="0.2">
      <c r="B32" s="43" t="s">
        <v>163</v>
      </c>
    </row>
    <row r="33" spans="8:8" x14ac:dyDescent="0.2">
      <c r="H33" s="38"/>
    </row>
    <row r="70" spans="2:23" x14ac:dyDescent="0.2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2:23" x14ac:dyDescent="0.2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2:23" x14ac:dyDescent="0.2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spans="2:23" x14ac:dyDescent="0.2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2:23" x14ac:dyDescent="0.2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2:23" x14ac:dyDescent="0.2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2:23" x14ac:dyDescent="0.2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spans="2:23" x14ac:dyDescent="0.2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2:23" x14ac:dyDescent="0.2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2:23" x14ac:dyDescent="0.2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2:23" x14ac:dyDescent="0.2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2:23" x14ac:dyDescent="0.2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2:23" x14ac:dyDescent="0.2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2:23" x14ac:dyDescent="0.2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2:23" x14ac:dyDescent="0.2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2:23" x14ac:dyDescent="0.2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2:23" x14ac:dyDescent="0.2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2:23" x14ac:dyDescent="0.2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</sheetData>
  <pageMargins left="0.75" right="0.75" top="1" bottom="1" header="0.5" footer="0.5"/>
  <pageSetup scale="81" orientation="landscape" r:id="rId1"/>
  <headerFooter alignWithMargins="0">
    <oddHeader>&amp;R&amp;"Times New Roman,Bold"Attachment BLS-7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2F93C9-A138-444F-88A0-60780044053B}">
  <ds:schemaRefs>
    <ds:schemaRef ds:uri="http://schemas.microsoft.com/office/2006/metadata/properties"/>
    <ds:schemaRef ds:uri="http://purl.org/dc/elements/1.1/"/>
    <ds:schemaRef ds:uri="745fd72d-7e83-4669-aadd-86863736241e"/>
    <ds:schemaRef ds:uri="5ba878c6-b33b-4b7d-8b1a-66240161f50d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3AE55B-70EF-4123-B8A0-D44B12416D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A25F84-DDEE-43AD-A1D0-8527B354BD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Pole Attachment ADMIN 251</vt:lpstr>
      <vt:lpstr>DEK Deferred Tax Calc - Pole </vt:lpstr>
      <vt:lpstr>'Pole Attachment ADMIN 251'!Print_Area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Pole Attachment Charge Calculation</dc:subject>
  <dc:creator>Patten, Dana</dc:creator>
  <cp:lastModifiedBy>Sunderman, Minna</cp:lastModifiedBy>
  <cp:lastPrinted>2022-11-29T18:54:42Z</cp:lastPrinted>
  <dcterms:created xsi:type="dcterms:W3CDTF">2015-04-21T14:03:14Z</dcterms:created>
  <dcterms:modified xsi:type="dcterms:W3CDTF">2022-11-29T18:54:50Z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