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jects.sp.lgeenergy.int/sites/RegFilings/CN 202200371  Bitiki EDR Application Review/"/>
    </mc:Choice>
  </mc:AlternateContent>
  <xr:revisionPtr revIDLastSave="0" documentId="13_ncr:1_{9B7B7676-8F6C-4DF3-AEDB-93BCF73CFC6C}" xr6:coauthVersionLast="47" xr6:coauthVersionMax="47" xr10:uidLastSave="{00000000-0000-0000-0000-000000000000}"/>
  <bookViews>
    <workbookView xWindow="-108" yWindow="-108" windowWidth="23256" windowHeight="12576" xr2:uid="{79800FD8-7903-4708-96AC-EE9C227C885E}"/>
  </bookViews>
  <sheets>
    <sheet name="Sheet1" sheetId="1" r:id="rId1"/>
    <sheet name="UnitRating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H15" i="1"/>
  <c r="I15" i="1"/>
  <c r="J15" i="1"/>
  <c r="K15" i="1"/>
  <c r="L15" i="1"/>
  <c r="M15" i="1"/>
  <c r="N15" i="1"/>
  <c r="O15" i="1"/>
  <c r="P15" i="1"/>
  <c r="Q15" i="1"/>
  <c r="F15" i="1"/>
  <c r="E66" i="1"/>
  <c r="E67" i="1"/>
  <c r="E68" i="1"/>
  <c r="E69" i="1"/>
  <c r="E70" i="1"/>
  <c r="E71" i="1"/>
  <c r="E72" i="1"/>
  <c r="E73" i="1"/>
  <c r="E65" i="1"/>
  <c r="Q42" i="1"/>
  <c r="O31" i="1" l="1"/>
  <c r="O13" i="1"/>
  <c r="D55" i="1"/>
  <c r="E55" i="1"/>
  <c r="D56" i="1"/>
  <c r="E56" i="1"/>
  <c r="F56" i="1"/>
  <c r="G56" i="1"/>
  <c r="H56" i="1"/>
  <c r="I56" i="1"/>
  <c r="J56" i="1"/>
  <c r="K56" i="1"/>
  <c r="L56" i="1"/>
  <c r="M56" i="1"/>
  <c r="N56" i="1"/>
  <c r="P56" i="1"/>
  <c r="Q56" i="1"/>
  <c r="D49" i="1"/>
  <c r="E49" i="1"/>
  <c r="D50" i="1"/>
  <c r="E50" i="1"/>
  <c r="F50" i="1"/>
  <c r="G50" i="1"/>
  <c r="H50" i="1"/>
  <c r="I50" i="1"/>
  <c r="J50" i="1"/>
  <c r="K50" i="1"/>
  <c r="L50" i="1"/>
  <c r="M50" i="1"/>
  <c r="N50" i="1"/>
  <c r="P50" i="1"/>
  <c r="Q50" i="1"/>
  <c r="C56" i="1"/>
  <c r="C50" i="1"/>
  <c r="C55" i="1"/>
  <c r="C49" i="1"/>
  <c r="D41" i="1" l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C42" i="1"/>
  <c r="C41" i="1"/>
  <c r="P31" i="1"/>
  <c r="Q31" i="1"/>
  <c r="P13" i="1"/>
  <c r="Q13" i="1"/>
  <c r="Q32" i="1" l="1"/>
  <c r="P32" i="1"/>
  <c r="O32" i="1"/>
  <c r="N32" i="1"/>
  <c r="M32" i="1"/>
  <c r="L32" i="1"/>
  <c r="K32" i="1"/>
  <c r="J32" i="1"/>
  <c r="I32" i="1"/>
  <c r="H32" i="1"/>
  <c r="G32" i="1"/>
  <c r="F32" i="1"/>
  <c r="Q30" i="1"/>
  <c r="P30" i="1"/>
  <c r="O30" i="1"/>
  <c r="N30" i="1"/>
  <c r="M30" i="1"/>
  <c r="L30" i="1"/>
  <c r="K30" i="1"/>
  <c r="J30" i="1"/>
  <c r="I30" i="1"/>
  <c r="H30" i="1"/>
  <c r="G30" i="1"/>
  <c r="F30" i="1"/>
  <c r="C27" i="1"/>
  <c r="C34" i="1" s="1"/>
  <c r="P12" i="1" l="1"/>
  <c r="Q12" i="1"/>
  <c r="O12" i="1"/>
  <c r="G14" i="1"/>
  <c r="H14" i="1"/>
  <c r="I14" i="1"/>
  <c r="J14" i="1"/>
  <c r="K14" i="1"/>
  <c r="L14" i="1"/>
  <c r="M14" i="1"/>
  <c r="N14" i="1"/>
  <c r="O14" i="1"/>
  <c r="P14" i="1"/>
  <c r="Q14" i="1"/>
  <c r="F1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C4" i="1"/>
  <c r="J12" i="1"/>
  <c r="K12" i="1"/>
  <c r="L12" i="1"/>
  <c r="M12" i="1"/>
  <c r="N12" i="1"/>
  <c r="I12" i="1"/>
  <c r="D12" i="1"/>
  <c r="E12" i="1"/>
  <c r="F12" i="1"/>
  <c r="G12" i="1"/>
  <c r="H12" i="1"/>
  <c r="C12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C8" i="1"/>
  <c r="C16" i="1" l="1"/>
  <c r="C43" i="2" l="1"/>
  <c r="B43" i="2"/>
  <c r="C42" i="2"/>
  <c r="B42" i="2"/>
  <c r="B54" i="2" s="1"/>
  <c r="C27" i="2"/>
  <c r="C11" i="2"/>
  <c r="C10" i="2"/>
  <c r="C9" i="2"/>
  <c r="C8" i="2"/>
  <c r="C54" i="2" s="1"/>
  <c r="D34" i="1" l="1"/>
  <c r="D36" i="1" s="1"/>
  <c r="D37" i="1" s="1"/>
  <c r="D44" i="1" s="1"/>
  <c r="E34" i="1"/>
  <c r="E36" i="1" s="1"/>
  <c r="E37" i="1" s="1"/>
  <c r="E44" i="1" s="1"/>
  <c r="F34" i="1"/>
  <c r="F36" i="1" s="1"/>
  <c r="F37" i="1" s="1"/>
  <c r="F44" i="1" s="1"/>
  <c r="G34" i="1"/>
  <c r="G36" i="1" s="1"/>
  <c r="G37" i="1" s="1"/>
  <c r="G44" i="1" s="1"/>
  <c r="H34" i="1"/>
  <c r="H36" i="1" s="1"/>
  <c r="H37" i="1" s="1"/>
  <c r="H44" i="1" s="1"/>
  <c r="I34" i="1"/>
  <c r="I36" i="1" s="1"/>
  <c r="I37" i="1" s="1"/>
  <c r="I44" i="1" s="1"/>
  <c r="J34" i="1"/>
  <c r="J36" i="1" s="1"/>
  <c r="J37" i="1" s="1"/>
  <c r="J44" i="1" s="1"/>
  <c r="K34" i="1"/>
  <c r="K36" i="1" s="1"/>
  <c r="K37" i="1" s="1"/>
  <c r="K44" i="1" s="1"/>
  <c r="L34" i="1"/>
  <c r="L36" i="1" s="1"/>
  <c r="L37" i="1" s="1"/>
  <c r="L44" i="1" s="1"/>
  <c r="M34" i="1"/>
  <c r="M36" i="1" s="1"/>
  <c r="M37" i="1" s="1"/>
  <c r="M44" i="1" s="1"/>
  <c r="N34" i="1"/>
  <c r="N36" i="1" s="1"/>
  <c r="N37" i="1" s="1"/>
  <c r="N44" i="1" s="1"/>
  <c r="O34" i="1"/>
  <c r="P34" i="1"/>
  <c r="P36" i="1" s="1"/>
  <c r="P37" i="1" s="1"/>
  <c r="P44" i="1" s="1"/>
  <c r="Q34" i="1"/>
  <c r="Q36" i="1" s="1"/>
  <c r="Q37" i="1" s="1"/>
  <c r="Q44" i="1" s="1"/>
  <c r="C36" i="1"/>
  <c r="C37" i="1" s="1"/>
  <c r="C44" i="1" s="1"/>
  <c r="D16" i="1"/>
  <c r="D18" i="1" s="1"/>
  <c r="D19" i="1" s="1"/>
  <c r="D43" i="1" s="1"/>
  <c r="E16" i="1"/>
  <c r="E18" i="1" s="1"/>
  <c r="E19" i="1" s="1"/>
  <c r="E43" i="1" s="1"/>
  <c r="F16" i="1"/>
  <c r="C18" i="1"/>
  <c r="C19" i="1" s="1"/>
  <c r="C43" i="1" s="1"/>
  <c r="G16" i="1"/>
  <c r="H16" i="1"/>
  <c r="I16" i="1"/>
  <c r="J16" i="1"/>
  <c r="K16" i="1"/>
  <c r="L16" i="1"/>
  <c r="M16" i="1"/>
  <c r="N16" i="1"/>
  <c r="O16" i="1"/>
  <c r="P16" i="1"/>
  <c r="Q16" i="1"/>
  <c r="E15" i="1"/>
  <c r="D15" i="1"/>
  <c r="J18" i="1" l="1"/>
  <c r="J19" i="1" s="1"/>
  <c r="J43" i="1" s="1"/>
  <c r="J55" i="1"/>
  <c r="J49" i="1"/>
  <c r="H18" i="1"/>
  <c r="H19" i="1" s="1"/>
  <c r="H43" i="1" s="1"/>
  <c r="H55" i="1"/>
  <c r="H49" i="1"/>
  <c r="G18" i="1"/>
  <c r="G19" i="1" s="1"/>
  <c r="G43" i="1" s="1"/>
  <c r="G49" i="1"/>
  <c r="G55" i="1"/>
  <c r="I18" i="1"/>
  <c r="I19" i="1" s="1"/>
  <c r="I43" i="1" s="1"/>
  <c r="I55" i="1"/>
  <c r="I49" i="1"/>
  <c r="N18" i="1"/>
  <c r="N19" i="1" s="1"/>
  <c r="N43" i="1" s="1"/>
  <c r="N49" i="1"/>
  <c r="N55" i="1"/>
  <c r="K18" i="1"/>
  <c r="K19" i="1" s="1"/>
  <c r="K43" i="1" s="1"/>
  <c r="K49" i="1"/>
  <c r="K55" i="1"/>
  <c r="Q18" i="1"/>
  <c r="Q19" i="1" s="1"/>
  <c r="Q43" i="1" s="1"/>
  <c r="Q55" i="1"/>
  <c r="Q49" i="1"/>
  <c r="P18" i="1"/>
  <c r="P19" i="1" s="1"/>
  <c r="P43" i="1" s="1"/>
  <c r="P49" i="1"/>
  <c r="P55" i="1"/>
  <c r="M18" i="1"/>
  <c r="M19" i="1" s="1"/>
  <c r="M43" i="1" s="1"/>
  <c r="M55" i="1"/>
  <c r="M49" i="1"/>
  <c r="L18" i="1"/>
  <c r="L19" i="1" s="1"/>
  <c r="L43" i="1" s="1"/>
  <c r="L55" i="1"/>
  <c r="L49" i="1"/>
  <c r="F18" i="1"/>
  <c r="F19" i="1" s="1"/>
  <c r="F43" i="1" s="1"/>
  <c r="F49" i="1"/>
  <c r="F55" i="1"/>
  <c r="O36" i="1"/>
  <c r="O37" i="1" s="1"/>
  <c r="O44" i="1" s="1"/>
  <c r="O50" i="1"/>
  <c r="O56" i="1"/>
  <c r="O18" i="1"/>
  <c r="O19" i="1" s="1"/>
  <c r="O43" i="1" s="1"/>
  <c r="O55" i="1"/>
  <c r="O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tc={453B2031-BCB6-4C13-AFDC-CF07D47F9C59}</author>
  </authors>
  <commentList>
    <comment ref="F15" authorId="0" shapeId="0" xr:uid="{453B2031-BCB6-4C13-AFDC-CF07D47F9C59}">
      <text>
        <t>[Threaded comment]
Your version of Excel allows you to read this threaded comment; however, any edits to it will get removed if the file is opened in a newer version of Excel. Learn more: https://go.microsoft.com/fwlink/?linkid=870924
Comment:
    reduced Ragland to 125 MW</t>
      </text>
    </comment>
  </commentList>
</comments>
</file>

<file path=xl/sharedStrings.xml><?xml version="1.0" encoding="utf-8"?>
<sst xmlns="http://schemas.openxmlformats.org/spreadsheetml/2006/main" count="112" uniqueCount="93">
  <si>
    <t>Gross Peak Load</t>
  </si>
  <si>
    <t>Net Peak Load</t>
  </si>
  <si>
    <t>Small-Frame SCCTs</t>
  </si>
  <si>
    <t>CSR</t>
  </si>
  <si>
    <t>Solar PPAs</t>
  </si>
  <si>
    <t>OVEC</t>
  </si>
  <si>
    <t>Total Supply</t>
  </si>
  <si>
    <t>Reserve Margin (%)</t>
  </si>
  <si>
    <t>Reserve Margin (MW)</t>
  </si>
  <si>
    <t>Summer</t>
  </si>
  <si>
    <t>Winter</t>
  </si>
  <si>
    <t>Mill Creek 1</t>
  </si>
  <si>
    <t>DLC</t>
  </si>
  <si>
    <t>Non-Dispatchable DSM</t>
  </si>
  <si>
    <t>Generation Resources</t>
  </si>
  <si>
    <t>Retirements/Additions</t>
  </si>
  <si>
    <t>Coal</t>
  </si>
  <si>
    <t>Large-Frame SCCTs</t>
  </si>
  <si>
    <t>Brown 3</t>
  </si>
  <si>
    <t>Brown 6</t>
  </si>
  <si>
    <t>Brown 7</t>
  </si>
  <si>
    <t>Dix Dam 1</t>
  </si>
  <si>
    <t>Dix Dam 2</t>
  </si>
  <si>
    <t>Dix Dam 3</t>
  </si>
  <si>
    <t>Ghent 1</t>
  </si>
  <si>
    <t>Ghent 2</t>
  </si>
  <si>
    <t>Ghent 3</t>
  </si>
  <si>
    <t>Ghent 4</t>
  </si>
  <si>
    <t>Haefling 1</t>
  </si>
  <si>
    <t>Haefling 2</t>
  </si>
  <si>
    <t>Mill Creek 2</t>
  </si>
  <si>
    <t>Mill Creek 3</t>
  </si>
  <si>
    <t>Mill Creek 4</t>
  </si>
  <si>
    <t>Ohio Falls 1</t>
  </si>
  <si>
    <t>Ohio Falls 2</t>
  </si>
  <si>
    <t>Ohio Falls 3</t>
  </si>
  <si>
    <t>Ohio Falls 4</t>
  </si>
  <si>
    <t>Ohio Falls 5</t>
  </si>
  <si>
    <t>Ohio Falls 6</t>
  </si>
  <si>
    <t>Ohio Falls 7</t>
  </si>
  <si>
    <t>Ohio Falls 8</t>
  </si>
  <si>
    <t>Paddy's Run 13</t>
  </si>
  <si>
    <t>Paddy's Run 12</t>
  </si>
  <si>
    <t>Zorn 1</t>
  </si>
  <si>
    <t>Unit Ratings as of 6/17/2021</t>
  </si>
  <si>
    <t>from 2022 BP, assumed availability at peak</t>
  </si>
  <si>
    <r>
      <t xml:space="preserve">Winter </t>
    </r>
    <r>
      <rPr>
        <b/>
        <vertAlign val="superscript"/>
        <sz val="11"/>
        <rFont val="Calibri"/>
        <family val="2"/>
        <scheme val="minor"/>
      </rPr>
      <t>2</t>
    </r>
  </si>
  <si>
    <r>
      <t xml:space="preserve">Summer </t>
    </r>
    <r>
      <rPr>
        <b/>
        <vertAlign val="superscript"/>
        <sz val="11"/>
        <rFont val="Calibri"/>
        <family val="2"/>
        <scheme val="minor"/>
      </rPr>
      <t>2</t>
    </r>
  </si>
  <si>
    <r>
      <t xml:space="preserve">Plant Name </t>
    </r>
    <r>
      <rPr>
        <vertAlign val="superscript"/>
        <sz val="11"/>
        <rFont val="Calibri"/>
        <family val="2"/>
        <scheme val="minor"/>
      </rPr>
      <t>4,5</t>
    </r>
  </si>
  <si>
    <r>
      <t xml:space="preserve">Brown 5 </t>
    </r>
    <r>
      <rPr>
        <vertAlign val="superscript"/>
        <sz val="11"/>
        <rFont val="Calibri"/>
        <family val="2"/>
        <scheme val="minor"/>
      </rPr>
      <t>6</t>
    </r>
  </si>
  <si>
    <r>
      <t xml:space="preserve">Brown 8 </t>
    </r>
    <r>
      <rPr>
        <vertAlign val="superscript"/>
        <sz val="11"/>
        <rFont val="Calibri"/>
        <family val="2"/>
        <scheme val="minor"/>
      </rPr>
      <t>6</t>
    </r>
  </si>
  <si>
    <r>
      <t xml:space="preserve">Brown 9 </t>
    </r>
    <r>
      <rPr>
        <vertAlign val="superscript"/>
        <sz val="11"/>
        <rFont val="Calibri"/>
        <family val="2"/>
        <scheme val="minor"/>
      </rPr>
      <t>6</t>
    </r>
  </si>
  <si>
    <r>
      <t xml:space="preserve">Brown 10 </t>
    </r>
    <r>
      <rPr>
        <vertAlign val="superscript"/>
        <sz val="11"/>
        <rFont val="Calibri"/>
        <family val="2"/>
        <scheme val="minor"/>
      </rPr>
      <t>6</t>
    </r>
  </si>
  <si>
    <r>
      <t xml:space="preserve">Brown 11 </t>
    </r>
    <r>
      <rPr>
        <vertAlign val="superscript"/>
        <sz val="11"/>
        <rFont val="Calibri"/>
        <family val="2"/>
        <scheme val="minor"/>
      </rPr>
      <t>6</t>
    </r>
  </si>
  <si>
    <r>
      <t>Brown Solar</t>
    </r>
    <r>
      <rPr>
        <vertAlign val="superscript"/>
        <sz val="11"/>
        <rFont val="Calibri"/>
        <family val="2"/>
        <scheme val="minor"/>
      </rPr>
      <t>11</t>
    </r>
  </si>
  <si>
    <r>
      <t>Archdiocese of Louisville Business Solar</t>
    </r>
    <r>
      <rPr>
        <vertAlign val="superscript"/>
        <sz val="11"/>
        <rFont val="Calibri"/>
        <family val="2"/>
        <scheme val="minor"/>
      </rPr>
      <t>11</t>
    </r>
  </si>
  <si>
    <r>
      <t>Maker's Mark Business Solar</t>
    </r>
    <r>
      <rPr>
        <vertAlign val="superscript"/>
        <sz val="11"/>
        <rFont val="Calibri"/>
        <family val="2"/>
        <scheme val="minor"/>
      </rPr>
      <t>11</t>
    </r>
  </si>
  <si>
    <r>
      <t xml:space="preserve">Cane Run 7 </t>
    </r>
    <r>
      <rPr>
        <vertAlign val="superscript"/>
        <sz val="11"/>
        <rFont val="Calibri"/>
        <family val="2"/>
        <scheme val="minor"/>
      </rPr>
      <t>8</t>
    </r>
  </si>
  <si>
    <r>
      <t>Simpsonville Solar 1</t>
    </r>
    <r>
      <rPr>
        <vertAlign val="superscript"/>
        <sz val="11"/>
        <rFont val="Calibri"/>
        <family val="2"/>
        <scheme val="minor"/>
      </rPr>
      <t>11</t>
    </r>
  </si>
  <si>
    <r>
      <t>Simpsonville Solar 2</t>
    </r>
    <r>
      <rPr>
        <vertAlign val="superscript"/>
        <sz val="11"/>
        <rFont val="Calibri"/>
        <family val="2"/>
        <scheme val="minor"/>
      </rPr>
      <t>11</t>
    </r>
  </si>
  <si>
    <r>
      <t>Simpsonville Solar 3</t>
    </r>
    <r>
      <rPr>
        <vertAlign val="superscript"/>
        <sz val="11"/>
        <rFont val="Calibri"/>
        <family val="2"/>
        <scheme val="minor"/>
      </rPr>
      <t>11</t>
    </r>
  </si>
  <si>
    <r>
      <t>Simpsonville Solar 4</t>
    </r>
    <r>
      <rPr>
        <vertAlign val="superscript"/>
        <sz val="11"/>
        <rFont val="Calibri"/>
        <family val="2"/>
        <scheme val="minor"/>
      </rPr>
      <t>11</t>
    </r>
  </si>
  <si>
    <r>
      <t xml:space="preserve">Trimble County 1 </t>
    </r>
    <r>
      <rPr>
        <vertAlign val="superscript"/>
        <sz val="11"/>
        <rFont val="Calibri"/>
        <family val="2"/>
        <scheme val="minor"/>
      </rPr>
      <t>1</t>
    </r>
  </si>
  <si>
    <r>
      <t>Trimble County 2</t>
    </r>
    <r>
      <rPr>
        <vertAlign val="superscript"/>
        <sz val="11"/>
        <rFont val="Calibri"/>
        <family val="2"/>
        <scheme val="minor"/>
      </rPr>
      <t xml:space="preserve"> 1</t>
    </r>
  </si>
  <si>
    <r>
      <t xml:space="preserve">Trimble County 5 </t>
    </r>
    <r>
      <rPr>
        <vertAlign val="superscript"/>
        <sz val="11"/>
        <rFont val="Calibri"/>
        <family val="2"/>
        <scheme val="minor"/>
      </rPr>
      <t>7</t>
    </r>
  </si>
  <si>
    <r>
      <t>Trimble County 6</t>
    </r>
    <r>
      <rPr>
        <vertAlign val="superscript"/>
        <sz val="11"/>
        <rFont val="Calibri"/>
        <family val="2"/>
        <scheme val="minor"/>
      </rPr>
      <t xml:space="preserve"> 7</t>
    </r>
  </si>
  <si>
    <r>
      <t>Trimble County 7</t>
    </r>
    <r>
      <rPr>
        <vertAlign val="superscript"/>
        <sz val="11"/>
        <rFont val="Calibri"/>
        <family val="2"/>
        <scheme val="minor"/>
      </rPr>
      <t xml:space="preserve"> 7</t>
    </r>
  </si>
  <si>
    <r>
      <t>Trimble County 8</t>
    </r>
    <r>
      <rPr>
        <vertAlign val="superscript"/>
        <sz val="11"/>
        <rFont val="Calibri"/>
        <family val="2"/>
        <scheme val="minor"/>
      </rPr>
      <t xml:space="preserve"> 7</t>
    </r>
  </si>
  <si>
    <r>
      <t>Trimble County 9</t>
    </r>
    <r>
      <rPr>
        <vertAlign val="superscript"/>
        <sz val="11"/>
        <rFont val="Calibri"/>
        <family val="2"/>
        <scheme val="minor"/>
      </rPr>
      <t xml:space="preserve"> 7</t>
    </r>
  </si>
  <si>
    <r>
      <t>Trimble County 10</t>
    </r>
    <r>
      <rPr>
        <vertAlign val="superscript"/>
        <sz val="11"/>
        <rFont val="Calibri"/>
        <family val="2"/>
        <scheme val="minor"/>
      </rPr>
      <t xml:space="preserve"> 7</t>
    </r>
  </si>
  <si>
    <t>Total Resources as of 1/1/2022 (Zorn retired)</t>
  </si>
  <si>
    <t>Net Peak Load Summer</t>
  </si>
  <si>
    <t>Net Peak Load Winter</t>
  </si>
  <si>
    <t>Reserve Margin Summer (%)</t>
  </si>
  <si>
    <t>Reserve Margin Winter (%)</t>
  </si>
  <si>
    <t>Base Load</t>
  </si>
  <si>
    <t>High Load</t>
  </si>
  <si>
    <t>Low Load</t>
  </si>
  <si>
    <t>Scenario</t>
  </si>
  <si>
    <t>Year</t>
  </si>
  <si>
    <t>CO2 Emissions (short tons)</t>
  </si>
  <si>
    <t>2010 Actual</t>
  </si>
  <si>
    <t>--</t>
  </si>
  <si>
    <t>Base Load, Base Fuel Prices</t>
  </si>
  <si>
    <t>Base Load, High Fuel Prices</t>
  </si>
  <si>
    <t>Base Load, Low Fuel Prices</t>
  </si>
  <si>
    <t>High Load, Base Fuel Prices</t>
  </si>
  <si>
    <t>High Load, High Fuel Prices</t>
  </si>
  <si>
    <t>High Load, Low Fuel Prices</t>
  </si>
  <si>
    <t>Low Load, Base Fuel Prices</t>
  </si>
  <si>
    <t>Low Load, High Fuel Prices</t>
  </si>
  <si>
    <t>Low Load, Low Fuel Prices</t>
  </si>
  <si>
    <t>% Change from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</si>
</sst>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 applyBorder="1"/>
    <xf numFmtId="0" fontId="2" fillId="0" borderId="0" xfId="0" quotePrefix="1" applyFont="1" applyBorder="1" applyAlignment="1">
      <alignment horizontal="left"/>
    </xf>
    <xf numFmtId="165" fontId="5" fillId="0" borderId="0" xfId="1" applyNumberFormat="1" applyFont="1" applyFill="1" applyBorder="1"/>
    <xf numFmtId="0" fontId="5" fillId="0" borderId="0" xfId="0" quotePrefix="1" applyFont="1" applyBorder="1" applyAlignment="1">
      <alignment horizontal="left"/>
    </xf>
    <xf numFmtId="0" fontId="5" fillId="0" borderId="0" xfId="0" applyFont="1" applyBorder="1"/>
    <xf numFmtId="4" fontId="5" fillId="0" borderId="0" xfId="1" applyNumberFormat="1" applyFont="1" applyFill="1" applyBorder="1"/>
    <xf numFmtId="0" fontId="0" fillId="0" borderId="0" xfId="0" quotePrefix="1" applyFont="1" applyBorder="1" applyAlignment="1">
      <alignment horizontal="left"/>
    </xf>
    <xf numFmtId="165" fontId="0" fillId="0" borderId="0" xfId="0" applyNumberFormat="1" applyFont="1" applyBorder="1"/>
    <xf numFmtId="0" fontId="6" fillId="0" borderId="0" xfId="0" applyFont="1"/>
    <xf numFmtId="3" fontId="6" fillId="0" borderId="0" xfId="1" applyNumberFormat="1" applyFont="1"/>
    <xf numFmtId="3" fontId="7" fillId="0" borderId="0" xfId="1" applyNumberFormat="1" applyFont="1"/>
    <xf numFmtId="3" fontId="8" fillId="0" borderId="0" xfId="1" applyNumberFormat="1" applyFont="1"/>
    <xf numFmtId="0" fontId="6" fillId="0" borderId="0" xfId="0" applyFont="1" applyAlignment="1">
      <alignment horizontal="left" indent="1"/>
    </xf>
    <xf numFmtId="3" fontId="7" fillId="0" borderId="0" xfId="1" applyNumberFormat="1" applyFont="1" applyFill="1"/>
    <xf numFmtId="164" fontId="6" fillId="0" borderId="0" xfId="2" applyNumberFormat="1" applyFont="1"/>
    <xf numFmtId="0" fontId="6" fillId="0" borderId="1" xfId="0" applyFont="1" applyBorder="1"/>
    <xf numFmtId="3" fontId="6" fillId="0" borderId="0" xfId="0" applyNumberFormat="1" applyFont="1"/>
    <xf numFmtId="164" fontId="6" fillId="0" borderId="0" xfId="0" applyNumberFormat="1" applyFont="1"/>
    <xf numFmtId="3" fontId="7" fillId="0" borderId="0" xfId="0" applyNumberFormat="1" applyFont="1"/>
    <xf numFmtId="37" fontId="6" fillId="0" borderId="0" xfId="1" applyNumberFormat="1" applyFont="1"/>
    <xf numFmtId="9" fontId="6" fillId="0" borderId="0" xfId="2" applyFont="1"/>
    <xf numFmtId="3" fontId="7" fillId="2" borderId="0" xfId="1" applyNumberFormat="1" applyFont="1" applyFill="1"/>
    <xf numFmtId="0" fontId="6" fillId="0" borderId="0" xfId="0" applyFont="1" applyFill="1"/>
    <xf numFmtId="3" fontId="6" fillId="0" borderId="0" xfId="1" applyNumberFormat="1" applyFont="1" applyFill="1"/>
    <xf numFmtId="0" fontId="2" fillId="0" borderId="0" xfId="0" quotePrefix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ike Sebourn" id="{01DAC5C7-E814-4A25-839E-063F62AE36D0}" userId="Mike Sebourn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5" dT="2022-03-15T19:20:45.25" personId="{01DAC5C7-E814-4A25-839E-063F62AE36D0}" id="{453B2031-BCB6-4C13-AFDC-CF07D47F9C59}">
    <text>reduced Ragland to 125 MW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23029-467F-45E0-9B73-716C4D6B3F4D}">
  <dimension ref="B2:S73"/>
  <sheetViews>
    <sheetView tabSelected="1" zoomScale="90" zoomScaleNormal="90" workbookViewId="0">
      <selection activeCell="Q19" sqref="Q19"/>
    </sheetView>
  </sheetViews>
  <sheetFormatPr defaultColWidth="8.77734375" defaultRowHeight="15.6" x14ac:dyDescent="0.3"/>
  <cols>
    <col min="1" max="1" width="9.21875" style="9" bestFit="1" customWidth="1"/>
    <col min="2" max="2" width="24.44140625" style="9" customWidth="1"/>
    <col min="3" max="3" width="9.21875" style="9" bestFit="1" customWidth="1"/>
    <col min="4" max="4" width="10.21875" style="9" bestFit="1" customWidth="1"/>
    <col min="5" max="8" width="9.21875" style="9" bestFit="1" customWidth="1"/>
    <col min="9" max="9" width="10.5546875" style="9" bestFit="1" customWidth="1"/>
    <col min="10" max="17" width="9.21875" style="9" bestFit="1" customWidth="1"/>
    <col min="18" max="19" width="8.77734375" style="9"/>
    <col min="20" max="20" width="9.5546875" style="9" bestFit="1" customWidth="1"/>
    <col min="21" max="21" width="8.77734375" style="9"/>
    <col min="22" max="22" width="15.77734375" style="9" customWidth="1"/>
    <col min="23" max="23" width="11.21875" style="9" bestFit="1" customWidth="1"/>
    <col min="24" max="16384" width="8.77734375" style="9"/>
  </cols>
  <sheetData>
    <row r="2" spans="2:18" x14ac:dyDescent="0.3">
      <c r="C2" s="9" t="s">
        <v>9</v>
      </c>
    </row>
    <row r="3" spans="2:18" x14ac:dyDescent="0.3">
      <c r="C3" s="9">
        <v>2022</v>
      </c>
      <c r="D3" s="9">
        <v>2023</v>
      </c>
      <c r="E3" s="9">
        <v>2024</v>
      </c>
      <c r="F3" s="9">
        <v>2025</v>
      </c>
      <c r="G3" s="9">
        <v>2026</v>
      </c>
      <c r="H3" s="9">
        <v>2027</v>
      </c>
      <c r="I3" s="9">
        <v>2028</v>
      </c>
      <c r="J3" s="9">
        <v>2029</v>
      </c>
      <c r="K3" s="9">
        <v>2030</v>
      </c>
      <c r="L3" s="9">
        <v>2031</v>
      </c>
      <c r="M3" s="9">
        <v>2032</v>
      </c>
      <c r="N3" s="9">
        <v>2033</v>
      </c>
      <c r="O3" s="9">
        <v>2034</v>
      </c>
      <c r="P3" s="9">
        <v>2035</v>
      </c>
      <c r="Q3" s="9">
        <v>2036</v>
      </c>
    </row>
    <row r="4" spans="2:18" x14ac:dyDescent="0.3">
      <c r="B4" s="9" t="s">
        <v>0</v>
      </c>
      <c r="C4" s="10">
        <f>C6-C5</f>
        <v>6522.3989198034551</v>
      </c>
      <c r="D4" s="10">
        <f t="shared" ref="D4:Q4" si="0">D6-D5</f>
        <v>6500.1428910793156</v>
      </c>
      <c r="E4" s="10">
        <f t="shared" si="0"/>
        <v>6484.7462357244649</v>
      </c>
      <c r="F4" s="10">
        <f t="shared" si="0"/>
        <v>6594.2997672335296</v>
      </c>
      <c r="G4" s="10">
        <f t="shared" si="0"/>
        <v>6677.8690758415987</v>
      </c>
      <c r="H4" s="10">
        <f t="shared" si="0"/>
        <v>6669.0603540941675</v>
      </c>
      <c r="I4" s="10">
        <f t="shared" si="0"/>
        <v>6636.6240541173456</v>
      </c>
      <c r="J4" s="10">
        <f t="shared" si="0"/>
        <v>6620.2469722510787</v>
      </c>
      <c r="K4" s="10">
        <f t="shared" si="0"/>
        <v>6605.2339591109203</v>
      </c>
      <c r="L4" s="10">
        <f t="shared" si="0"/>
        <v>6610.5755441425636</v>
      </c>
      <c r="M4" s="10">
        <f t="shared" si="0"/>
        <v>6615.0684383232283</v>
      </c>
      <c r="N4" s="10">
        <f t="shared" si="0"/>
        <v>6592.7984308941031</v>
      </c>
      <c r="O4" s="10">
        <f t="shared" si="0"/>
        <v>6585.2529285739483</v>
      </c>
      <c r="P4" s="10">
        <f t="shared" si="0"/>
        <v>6587.6499076339487</v>
      </c>
      <c r="Q4" s="10">
        <f t="shared" si="0"/>
        <v>6601.7139143442973</v>
      </c>
    </row>
    <row r="5" spans="2:18" x14ac:dyDescent="0.3">
      <c r="B5" s="9" t="s">
        <v>13</v>
      </c>
      <c r="C5" s="11">
        <v>-293.82203303726533</v>
      </c>
      <c r="D5" s="11">
        <v>-299.55403303726536</v>
      </c>
      <c r="E5" s="11">
        <v>-305.28603303726533</v>
      </c>
      <c r="F5" s="11">
        <v>-311.01803303726535</v>
      </c>
      <c r="G5" s="11">
        <v>-311.01803303726535</v>
      </c>
      <c r="H5" s="11">
        <v>-311.01803303726535</v>
      </c>
      <c r="I5" s="11">
        <v>-311.01803303726535</v>
      </c>
      <c r="J5" s="11">
        <v>-311.01803303726535</v>
      </c>
      <c r="K5" s="11">
        <v>-311.01803303726535</v>
      </c>
      <c r="L5" s="11">
        <v>-311.01803303726535</v>
      </c>
      <c r="M5" s="11">
        <v>-311.01803303726535</v>
      </c>
      <c r="N5" s="11">
        <v>-311.01803303726535</v>
      </c>
      <c r="O5" s="11">
        <v>-311.01803303726535</v>
      </c>
      <c r="P5" s="11">
        <v>-311.01803303726535</v>
      </c>
      <c r="Q5" s="11">
        <v>-311.01803303726535</v>
      </c>
    </row>
    <row r="6" spans="2:18" x14ac:dyDescent="0.3">
      <c r="B6" s="23" t="s">
        <v>1</v>
      </c>
      <c r="C6" s="14">
        <v>6228.57688676619</v>
      </c>
      <c r="D6" s="14">
        <v>6200.5888580420506</v>
      </c>
      <c r="E6" s="14">
        <v>6179.4602026871999</v>
      </c>
      <c r="F6" s="14">
        <v>6283.2817341962646</v>
      </c>
      <c r="G6" s="14">
        <v>6366.8510428043337</v>
      </c>
      <c r="H6" s="14">
        <v>6358.0423210569024</v>
      </c>
      <c r="I6" s="14">
        <v>6325.6060210800806</v>
      </c>
      <c r="J6" s="14">
        <v>6309.2289392138136</v>
      </c>
      <c r="K6" s="14">
        <v>6294.2159260736553</v>
      </c>
      <c r="L6" s="14">
        <v>6299.5575111052985</v>
      </c>
      <c r="M6" s="14">
        <v>6304.0504052859633</v>
      </c>
      <c r="N6" s="14">
        <v>6281.7803978568381</v>
      </c>
      <c r="O6" s="14">
        <v>6274.2348955366833</v>
      </c>
      <c r="P6" s="14">
        <v>6276.6318745966837</v>
      </c>
      <c r="Q6" s="14">
        <v>6290.6958813070323</v>
      </c>
      <c r="R6" s="23"/>
    </row>
    <row r="7" spans="2:18" x14ac:dyDescent="0.3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3"/>
    </row>
    <row r="8" spans="2:18" x14ac:dyDescent="0.3">
      <c r="B8" s="9" t="s">
        <v>14</v>
      </c>
      <c r="C8" s="12">
        <f>UnitRatings!$C$54</f>
        <v>7687.7780000000012</v>
      </c>
      <c r="D8" s="12">
        <f>UnitRatings!$C$54</f>
        <v>7687.7780000000012</v>
      </c>
      <c r="E8" s="12">
        <f>UnitRatings!$C$54</f>
        <v>7687.7780000000012</v>
      </c>
      <c r="F8" s="12">
        <f>UnitRatings!$C$54</f>
        <v>7687.7780000000012</v>
      </c>
      <c r="G8" s="12">
        <f>UnitRatings!$C$54</f>
        <v>7687.7780000000012</v>
      </c>
      <c r="H8" s="12">
        <f>UnitRatings!$C$54</f>
        <v>7687.7780000000012</v>
      </c>
      <c r="I8" s="12">
        <f>UnitRatings!$C$54</f>
        <v>7687.7780000000012</v>
      </c>
      <c r="J8" s="12">
        <f>UnitRatings!$C$54</f>
        <v>7687.7780000000012</v>
      </c>
      <c r="K8" s="12">
        <f>UnitRatings!$C$54</f>
        <v>7687.7780000000012</v>
      </c>
      <c r="L8" s="12">
        <f>UnitRatings!$C$54</f>
        <v>7687.7780000000012</v>
      </c>
      <c r="M8" s="12">
        <f>UnitRatings!$C$54</f>
        <v>7687.7780000000012</v>
      </c>
      <c r="N8" s="12">
        <f>UnitRatings!$C$54</f>
        <v>7687.7780000000012</v>
      </c>
      <c r="O8" s="12">
        <f>UnitRatings!$C$54</f>
        <v>7687.7780000000012</v>
      </c>
      <c r="P8" s="12">
        <f>UnitRatings!$C$54</f>
        <v>7687.7780000000012</v>
      </c>
      <c r="Q8" s="12">
        <f>UnitRatings!$C$54</f>
        <v>7687.7780000000012</v>
      </c>
    </row>
    <row r="9" spans="2:18" x14ac:dyDescent="0.3">
      <c r="B9" s="9" t="s">
        <v>3</v>
      </c>
      <c r="C9" s="11">
        <v>127</v>
      </c>
      <c r="D9" s="11">
        <v>127</v>
      </c>
      <c r="E9" s="11">
        <v>127</v>
      </c>
      <c r="F9" s="11">
        <v>127</v>
      </c>
      <c r="G9" s="11">
        <v>127</v>
      </c>
      <c r="H9" s="11">
        <v>127</v>
      </c>
      <c r="I9" s="11">
        <v>127</v>
      </c>
      <c r="J9" s="11">
        <v>127</v>
      </c>
      <c r="K9" s="11">
        <v>127</v>
      </c>
      <c r="L9" s="11">
        <v>127</v>
      </c>
      <c r="M9" s="11">
        <v>127</v>
      </c>
      <c r="N9" s="11">
        <v>127</v>
      </c>
      <c r="O9" s="11">
        <v>127</v>
      </c>
      <c r="P9" s="11">
        <v>127</v>
      </c>
      <c r="Q9" s="11">
        <v>127</v>
      </c>
    </row>
    <row r="10" spans="2:18" x14ac:dyDescent="0.3">
      <c r="B10" s="9" t="s">
        <v>12</v>
      </c>
      <c r="C10" s="11">
        <v>61.454320000000003</v>
      </c>
      <c r="D10" s="11">
        <v>59.607159999999993</v>
      </c>
      <c r="E10" s="11">
        <v>57.833500000000001</v>
      </c>
      <c r="F10" s="11">
        <v>56.162214999999996</v>
      </c>
      <c r="G10" s="11">
        <v>54.576001452974097</v>
      </c>
      <c r="H10" s="11">
        <v>53.097201380325387</v>
      </c>
      <c r="I10" s="11">
        <v>51.692341311309114</v>
      </c>
      <c r="J10" s="11">
        <v>50.357724245743654</v>
      </c>
      <c r="K10" s="11">
        <v>49.089838033456473</v>
      </c>
      <c r="L10" s="11">
        <v>47.885346131783656</v>
      </c>
      <c r="M10" s="11">
        <v>46.741078825194464</v>
      </c>
      <c r="N10" s="11">
        <v>45.654024883934738</v>
      </c>
      <c r="O10" s="11">
        <v>44.621323639738002</v>
      </c>
      <c r="P10" s="11">
        <v>43.640257457751105</v>
      </c>
      <c r="Q10" s="11">
        <v>42.70824458486355</v>
      </c>
    </row>
    <row r="11" spans="2:18" x14ac:dyDescent="0.3">
      <c r="B11" s="9" t="s">
        <v>15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2:18" x14ac:dyDescent="0.3">
      <c r="B12" s="13" t="s">
        <v>16</v>
      </c>
      <c r="C12" s="11">
        <f>-UnitRatings!$C$25</f>
        <v>-300</v>
      </c>
      <c r="D12" s="11">
        <f>-UnitRatings!$C$25</f>
        <v>-300</v>
      </c>
      <c r="E12" s="11">
        <f>-UnitRatings!$C$25</f>
        <v>-300</v>
      </c>
      <c r="F12" s="11">
        <f>-UnitRatings!$C$25</f>
        <v>-300</v>
      </c>
      <c r="G12" s="11">
        <f>-UnitRatings!$C$25</f>
        <v>-300</v>
      </c>
      <c r="H12" s="11">
        <f>-UnitRatings!$C$25</f>
        <v>-300</v>
      </c>
      <c r="I12" s="11">
        <f>-UnitRatings!$C$25-UnitRatings!$C$4-UnitRatings!$C$26</f>
        <v>-1009</v>
      </c>
      <c r="J12" s="11">
        <f>-UnitRatings!$C$25-UnitRatings!$C$4-UnitRatings!$C$26</f>
        <v>-1009</v>
      </c>
      <c r="K12" s="11">
        <f>-UnitRatings!$C$25-UnitRatings!$C$4-UnitRatings!$C$26</f>
        <v>-1009</v>
      </c>
      <c r="L12" s="11">
        <f>-UnitRatings!$C$25-UnitRatings!$C$4-UnitRatings!$C$26</f>
        <v>-1009</v>
      </c>
      <c r="M12" s="11">
        <f>-UnitRatings!$C$25-UnitRatings!$C$4-UnitRatings!$C$26</f>
        <v>-1009</v>
      </c>
      <c r="N12" s="11">
        <f>-UnitRatings!$C$25-UnitRatings!$C$4-UnitRatings!$C$26</f>
        <v>-1009</v>
      </c>
      <c r="O12" s="11">
        <f>-UnitRatings!$C$25-UnitRatings!$C$4-UnitRatings!$C$26-UnitRatings!$C$19-UnitRatings!$C$20</f>
        <v>-1969</v>
      </c>
      <c r="P12" s="11">
        <f>-UnitRatings!$C$25-UnitRatings!$C$4-UnitRatings!$C$26-UnitRatings!$C$19-UnitRatings!$C$20</f>
        <v>-1969</v>
      </c>
      <c r="Q12" s="11">
        <f>-UnitRatings!$C$25-UnitRatings!$C$4-UnitRatings!$C$26-UnitRatings!$C$19-UnitRatings!$C$20</f>
        <v>-1969</v>
      </c>
    </row>
    <row r="13" spans="2:18" x14ac:dyDescent="0.3">
      <c r="B13" s="13" t="s">
        <v>17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4">
        <f>-UnitRatings!$C$9</f>
        <v>-121</v>
      </c>
      <c r="P13" s="14">
        <f>-SUM(UnitRatings!$C$8:$C$10)</f>
        <v>-363</v>
      </c>
      <c r="Q13" s="14">
        <f>-SUM(UnitRatings!$C$8:$C$11)</f>
        <v>-484</v>
      </c>
    </row>
    <row r="14" spans="2:18" x14ac:dyDescent="0.3">
      <c r="B14" s="13" t="s">
        <v>2</v>
      </c>
      <c r="C14" s="11">
        <v>0</v>
      </c>
      <c r="D14" s="11">
        <v>0</v>
      </c>
      <c r="E14" s="11">
        <v>0</v>
      </c>
      <c r="F14" s="11">
        <f>-UnitRatings!$C$23-UnitRatings!$C$24-UnitRatings!$C$50</f>
        <v>-47</v>
      </c>
      <c r="G14" s="11">
        <f>-UnitRatings!$C$23-UnitRatings!$C$24-UnitRatings!$C$50</f>
        <v>-47</v>
      </c>
      <c r="H14" s="11">
        <f>-UnitRatings!$C$23-UnitRatings!$C$24-UnitRatings!$C$50</f>
        <v>-47</v>
      </c>
      <c r="I14" s="11">
        <f>-UnitRatings!$C$23-UnitRatings!$C$24-UnitRatings!$C$50</f>
        <v>-47</v>
      </c>
      <c r="J14" s="11">
        <f>-UnitRatings!$C$23-UnitRatings!$C$24-UnitRatings!$C$50</f>
        <v>-47</v>
      </c>
      <c r="K14" s="11">
        <f>-UnitRatings!$C$23-UnitRatings!$C$24-UnitRatings!$C$50</f>
        <v>-47</v>
      </c>
      <c r="L14" s="11">
        <f>-UnitRatings!$C$23-UnitRatings!$C$24-UnitRatings!$C$50</f>
        <v>-47</v>
      </c>
      <c r="M14" s="11">
        <f>-UnitRatings!$C$23-UnitRatings!$C$24-UnitRatings!$C$50</f>
        <v>-47</v>
      </c>
      <c r="N14" s="11">
        <f>-UnitRatings!$C$23-UnitRatings!$C$24-UnitRatings!$C$50</f>
        <v>-47</v>
      </c>
      <c r="O14" s="11">
        <f>-UnitRatings!$C$23-UnitRatings!$C$24-UnitRatings!$C$50</f>
        <v>-47</v>
      </c>
      <c r="P14" s="11">
        <f>-UnitRatings!$C$23-UnitRatings!$C$24-UnitRatings!$C$50</f>
        <v>-47</v>
      </c>
      <c r="Q14" s="11">
        <f>-UnitRatings!$C$23-UnitRatings!$C$24-UnitRatings!$C$50</f>
        <v>-47</v>
      </c>
    </row>
    <row r="15" spans="2:18" x14ac:dyDescent="0.3">
      <c r="B15" s="13" t="s">
        <v>4</v>
      </c>
      <c r="C15" s="11">
        <v>0</v>
      </c>
      <c r="D15" s="11">
        <f>100*0.786</f>
        <v>78.600000000000009</v>
      </c>
      <c r="E15" s="11">
        <f t="shared" ref="E15" si="1">100*0.786</f>
        <v>78.600000000000009</v>
      </c>
      <c r="F15" s="22">
        <f>225*0.786</f>
        <v>176.85</v>
      </c>
      <c r="G15" s="11">
        <f t="shared" ref="G15:Q15" si="2">225*0.786</f>
        <v>176.85</v>
      </c>
      <c r="H15" s="11">
        <f t="shared" si="2"/>
        <v>176.85</v>
      </c>
      <c r="I15" s="11">
        <f t="shared" si="2"/>
        <v>176.85</v>
      </c>
      <c r="J15" s="11">
        <f t="shared" si="2"/>
        <v>176.85</v>
      </c>
      <c r="K15" s="11">
        <f t="shared" si="2"/>
        <v>176.85</v>
      </c>
      <c r="L15" s="11">
        <f t="shared" si="2"/>
        <v>176.85</v>
      </c>
      <c r="M15" s="11">
        <f t="shared" si="2"/>
        <v>176.85</v>
      </c>
      <c r="N15" s="11">
        <f t="shared" si="2"/>
        <v>176.85</v>
      </c>
      <c r="O15" s="11">
        <f t="shared" si="2"/>
        <v>176.85</v>
      </c>
      <c r="P15" s="11">
        <f t="shared" si="2"/>
        <v>176.85</v>
      </c>
      <c r="Q15" s="11">
        <f t="shared" si="2"/>
        <v>176.85</v>
      </c>
    </row>
    <row r="16" spans="2:18" x14ac:dyDescent="0.3">
      <c r="B16" s="9" t="s">
        <v>6</v>
      </c>
      <c r="C16" s="10">
        <f t="shared" ref="C16:Q16" si="3">SUM(C8:C15)</f>
        <v>7576.232320000001</v>
      </c>
      <c r="D16" s="10">
        <f t="shared" si="3"/>
        <v>7652.9851600000011</v>
      </c>
      <c r="E16" s="10">
        <f t="shared" si="3"/>
        <v>7651.2115000000013</v>
      </c>
      <c r="F16" s="10">
        <f t="shared" si="3"/>
        <v>7700.7902150000018</v>
      </c>
      <c r="G16" s="10">
        <f t="shared" si="3"/>
        <v>7699.2040014529757</v>
      </c>
      <c r="H16" s="10">
        <f t="shared" si="3"/>
        <v>7697.7252013803272</v>
      </c>
      <c r="I16" s="10">
        <f t="shared" si="3"/>
        <v>6987.3203413113106</v>
      </c>
      <c r="J16" s="10">
        <f t="shared" si="3"/>
        <v>6985.9857242457456</v>
      </c>
      <c r="K16" s="10">
        <f t="shared" si="3"/>
        <v>6984.7178380334581</v>
      </c>
      <c r="L16" s="10">
        <f t="shared" si="3"/>
        <v>6983.5133461317855</v>
      </c>
      <c r="M16" s="10">
        <f t="shared" si="3"/>
        <v>6982.3690788251961</v>
      </c>
      <c r="N16" s="10">
        <f t="shared" si="3"/>
        <v>6981.2820248839362</v>
      </c>
      <c r="O16" s="10">
        <f t="shared" si="3"/>
        <v>5899.2493236397395</v>
      </c>
      <c r="P16" s="10">
        <f t="shared" si="3"/>
        <v>5656.268257457753</v>
      </c>
      <c r="Q16" s="10">
        <f t="shared" si="3"/>
        <v>5534.3362445848652</v>
      </c>
    </row>
    <row r="17" spans="2:19" x14ac:dyDescent="0.3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2:19" x14ac:dyDescent="0.3">
      <c r="B18" s="9" t="s">
        <v>8</v>
      </c>
      <c r="C18" s="10">
        <f t="shared" ref="C18:Q18" si="4">C16-C6</f>
        <v>1347.655433233811</v>
      </c>
      <c r="D18" s="10">
        <f t="shared" si="4"/>
        <v>1452.3963019579505</v>
      </c>
      <c r="E18" s="10">
        <f t="shared" si="4"/>
        <v>1471.7512973128014</v>
      </c>
      <c r="F18" s="10">
        <f t="shared" si="4"/>
        <v>1417.5084808037373</v>
      </c>
      <c r="G18" s="10">
        <f t="shared" si="4"/>
        <v>1332.352958648642</v>
      </c>
      <c r="H18" s="10">
        <f t="shared" si="4"/>
        <v>1339.6828803234248</v>
      </c>
      <c r="I18" s="10">
        <f t="shared" si="4"/>
        <v>661.71432023122998</v>
      </c>
      <c r="J18" s="10">
        <f t="shared" si="4"/>
        <v>676.75678503193194</v>
      </c>
      <c r="K18" s="10">
        <f t="shared" si="4"/>
        <v>690.50191195980278</v>
      </c>
      <c r="L18" s="10">
        <f t="shared" si="4"/>
        <v>683.95583502648697</v>
      </c>
      <c r="M18" s="10">
        <f t="shared" si="4"/>
        <v>678.3186735392328</v>
      </c>
      <c r="N18" s="10">
        <f t="shared" si="4"/>
        <v>699.50162702709804</v>
      </c>
      <c r="O18" s="10">
        <f t="shared" si="4"/>
        <v>-374.98557189694384</v>
      </c>
      <c r="P18" s="10">
        <f t="shared" si="4"/>
        <v>-620.36361713893075</v>
      </c>
      <c r="Q18" s="10">
        <f t="shared" si="4"/>
        <v>-756.35963672216712</v>
      </c>
    </row>
    <row r="19" spans="2:19" x14ac:dyDescent="0.3">
      <c r="B19" s="9" t="s">
        <v>7</v>
      </c>
      <c r="C19" s="15">
        <f t="shared" ref="C19:Q19" si="5">C18/C6</f>
        <v>0.21636650839089169</v>
      </c>
      <c r="D19" s="15">
        <f t="shared" si="5"/>
        <v>0.23423522107488534</v>
      </c>
      <c r="E19" s="15">
        <f t="shared" si="5"/>
        <v>0.23816826211985243</v>
      </c>
      <c r="F19" s="15">
        <f t="shared" si="5"/>
        <v>0.2256000193480199</v>
      </c>
      <c r="G19" s="15">
        <f t="shared" si="5"/>
        <v>0.20926403801364823</v>
      </c>
      <c r="H19" s="15">
        <f t="shared" si="5"/>
        <v>0.21070682022461409</v>
      </c>
      <c r="I19" s="15">
        <f t="shared" si="5"/>
        <v>0.10460884190796378</v>
      </c>
      <c r="J19" s="15">
        <f t="shared" si="5"/>
        <v>0.1072645788498304</v>
      </c>
      <c r="K19" s="15">
        <f t="shared" si="5"/>
        <v>0.10970419827820227</v>
      </c>
      <c r="L19" s="15">
        <f t="shared" si="5"/>
        <v>0.1085720439603515</v>
      </c>
      <c r="M19" s="15">
        <f t="shared" si="5"/>
        <v>0.10760045207926332</v>
      </c>
      <c r="N19" s="15">
        <f t="shared" si="5"/>
        <v>0.11135404021219013</v>
      </c>
      <c r="O19" s="15">
        <f t="shared" si="5"/>
        <v>-5.976594407769116E-2</v>
      </c>
      <c r="P19" s="15">
        <f t="shared" si="5"/>
        <v>-9.8837024304343699E-2</v>
      </c>
      <c r="Q19" s="15">
        <f t="shared" si="5"/>
        <v>-0.12023465304843453</v>
      </c>
    </row>
    <row r="20" spans="2:19" x14ac:dyDescent="0.3"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9" x14ac:dyDescent="0.3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3" spans="2:19" x14ac:dyDescent="0.3">
      <c r="C23" s="9" t="s">
        <v>10</v>
      </c>
    </row>
    <row r="24" spans="2:19" x14ac:dyDescent="0.3">
      <c r="C24" s="9">
        <v>2022</v>
      </c>
      <c r="D24" s="9">
        <v>2023</v>
      </c>
      <c r="E24" s="9">
        <v>2024</v>
      </c>
      <c r="F24" s="9">
        <v>2025</v>
      </c>
      <c r="G24" s="9">
        <v>2026</v>
      </c>
      <c r="H24" s="9">
        <v>2027</v>
      </c>
      <c r="I24" s="9">
        <v>2028</v>
      </c>
      <c r="J24" s="9">
        <v>2029</v>
      </c>
      <c r="K24" s="9">
        <v>2030</v>
      </c>
      <c r="L24" s="9">
        <v>2031</v>
      </c>
      <c r="M24" s="9">
        <v>2032</v>
      </c>
      <c r="N24" s="9">
        <v>2033</v>
      </c>
      <c r="O24" s="9">
        <v>2034</v>
      </c>
      <c r="P24" s="9">
        <v>2035</v>
      </c>
      <c r="Q24" s="9">
        <v>2036</v>
      </c>
    </row>
    <row r="25" spans="2:19" x14ac:dyDescent="0.3">
      <c r="B25" s="23" t="s">
        <v>1</v>
      </c>
      <c r="C25" s="14">
        <v>5898.4666040622706</v>
      </c>
      <c r="D25" s="14">
        <v>5873.6516668440299</v>
      </c>
      <c r="E25" s="14">
        <v>5859.3089604141296</v>
      </c>
      <c r="F25" s="14">
        <v>5961.363428871904</v>
      </c>
      <c r="G25" s="14">
        <v>6069.1707146385834</v>
      </c>
      <c r="H25" s="14">
        <v>6062.3765825340479</v>
      </c>
      <c r="I25" s="14">
        <v>6049.5671409420975</v>
      </c>
      <c r="J25" s="14">
        <v>6020.2935198731857</v>
      </c>
      <c r="K25" s="14">
        <v>6008.0057671390268</v>
      </c>
      <c r="L25" s="14">
        <v>5996.695292015309</v>
      </c>
      <c r="M25" s="14">
        <v>6001.2305514092141</v>
      </c>
      <c r="N25" s="14">
        <v>5998.5800608500276</v>
      </c>
      <c r="O25" s="14">
        <v>5978.5756130785348</v>
      </c>
      <c r="P25" s="14">
        <v>5981.9863624994659</v>
      </c>
      <c r="Q25" s="14">
        <v>5995.5206612814472</v>
      </c>
      <c r="R25" s="23"/>
    </row>
    <row r="26" spans="2:19" x14ac:dyDescent="0.3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3"/>
    </row>
    <row r="27" spans="2:19" x14ac:dyDescent="0.3">
      <c r="B27" s="23" t="s">
        <v>14</v>
      </c>
      <c r="C27" s="24">
        <f>UnitRatings!$B$54</f>
        <v>7972.583333333333</v>
      </c>
      <c r="D27" s="24">
        <f>UnitRatings!$B$54</f>
        <v>7972.583333333333</v>
      </c>
      <c r="E27" s="24">
        <f>UnitRatings!$B$54</f>
        <v>7972.583333333333</v>
      </c>
      <c r="F27" s="24">
        <f>UnitRatings!$B$54</f>
        <v>7972.583333333333</v>
      </c>
      <c r="G27" s="24">
        <f>UnitRatings!$B$54</f>
        <v>7972.583333333333</v>
      </c>
      <c r="H27" s="24">
        <f>UnitRatings!$B$54</f>
        <v>7972.583333333333</v>
      </c>
      <c r="I27" s="24">
        <f>UnitRatings!$B$54</f>
        <v>7972.583333333333</v>
      </c>
      <c r="J27" s="24">
        <f>UnitRatings!$B$54</f>
        <v>7972.583333333333</v>
      </c>
      <c r="K27" s="24">
        <f>UnitRatings!$B$54</f>
        <v>7972.583333333333</v>
      </c>
      <c r="L27" s="24">
        <f>UnitRatings!$B$54</f>
        <v>7972.583333333333</v>
      </c>
      <c r="M27" s="24">
        <f>UnitRatings!$B$54</f>
        <v>7972.583333333333</v>
      </c>
      <c r="N27" s="24">
        <f>UnitRatings!$B$54</f>
        <v>7972.583333333333</v>
      </c>
      <c r="O27" s="24">
        <f>UnitRatings!$B$54</f>
        <v>7972.583333333333</v>
      </c>
      <c r="P27" s="24">
        <f>UnitRatings!$B$54</f>
        <v>7972.583333333333</v>
      </c>
      <c r="Q27" s="24">
        <f>UnitRatings!$B$54</f>
        <v>7972.583333333333</v>
      </c>
      <c r="R27" s="23"/>
    </row>
    <row r="28" spans="2:19" x14ac:dyDescent="0.3">
      <c r="B28" s="23" t="s">
        <v>3</v>
      </c>
      <c r="C28" s="14">
        <v>127</v>
      </c>
      <c r="D28" s="14">
        <v>127</v>
      </c>
      <c r="E28" s="14">
        <v>127</v>
      </c>
      <c r="F28" s="14">
        <v>127</v>
      </c>
      <c r="G28" s="14">
        <v>127</v>
      </c>
      <c r="H28" s="14">
        <v>127</v>
      </c>
      <c r="I28" s="14">
        <v>127</v>
      </c>
      <c r="J28" s="14">
        <v>127</v>
      </c>
      <c r="K28" s="14">
        <v>127</v>
      </c>
      <c r="L28" s="14">
        <v>127</v>
      </c>
      <c r="M28" s="14">
        <v>127</v>
      </c>
      <c r="N28" s="14">
        <v>127</v>
      </c>
      <c r="O28" s="14">
        <v>127</v>
      </c>
      <c r="P28" s="14">
        <v>127</v>
      </c>
      <c r="Q28" s="14">
        <v>127</v>
      </c>
      <c r="R28" s="23"/>
    </row>
    <row r="29" spans="2:19" x14ac:dyDescent="0.3">
      <c r="B29" s="9" t="s">
        <v>15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2:19" x14ac:dyDescent="0.3">
      <c r="B30" s="13" t="s">
        <v>16</v>
      </c>
      <c r="C30" s="11">
        <v>0</v>
      </c>
      <c r="D30" s="11">
        <v>0</v>
      </c>
      <c r="E30" s="11">
        <v>0</v>
      </c>
      <c r="F30" s="11">
        <f>-UnitRatings!$B$25</f>
        <v>-300</v>
      </c>
      <c r="G30" s="11">
        <f>-UnitRatings!$B$25</f>
        <v>-300</v>
      </c>
      <c r="H30" s="11">
        <f>-UnitRatings!$B$25</f>
        <v>-300</v>
      </c>
      <c r="I30" s="11">
        <f>-UnitRatings!$B$25-UnitRatings!$B$4-UnitRatings!$B$26</f>
        <v>-1013</v>
      </c>
      <c r="J30" s="11">
        <f>-UnitRatings!$B$25-UnitRatings!$B$4-UnitRatings!$B$26</f>
        <v>-1013</v>
      </c>
      <c r="K30" s="11">
        <f>-UnitRatings!$B$25-UnitRatings!$B$4-UnitRatings!$B$26</f>
        <v>-1013</v>
      </c>
      <c r="L30" s="11">
        <f>-UnitRatings!$B$25-UnitRatings!$B$4-UnitRatings!$B$26</f>
        <v>-1013</v>
      </c>
      <c r="M30" s="11">
        <f>-UnitRatings!$B$25-UnitRatings!$B$4-UnitRatings!$B$26</f>
        <v>-1013</v>
      </c>
      <c r="N30" s="11">
        <f>-UnitRatings!$B$25-UnitRatings!$B$4-UnitRatings!$B$26</f>
        <v>-1013</v>
      </c>
      <c r="O30" s="11">
        <f>-UnitRatings!$B$25-UnitRatings!$B$4-UnitRatings!$B$26-UnitRatings!$B$19-UnitRatings!$B$20</f>
        <v>-1978</v>
      </c>
      <c r="P30" s="11">
        <f>-UnitRatings!$B$25-UnitRatings!$B$4-UnitRatings!$B$26-UnitRatings!$B$19-UnitRatings!$B$20</f>
        <v>-1978</v>
      </c>
      <c r="Q30" s="11">
        <f>-UnitRatings!$B$25-UnitRatings!$B$4-UnitRatings!$B$26-UnitRatings!$B$19-UnitRatings!$B$20</f>
        <v>-1978</v>
      </c>
    </row>
    <row r="31" spans="2:19" x14ac:dyDescent="0.3">
      <c r="B31" s="13" t="s">
        <v>17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4">
        <f>-UnitRatings!$B$9</f>
        <v>-138</v>
      </c>
      <c r="P31" s="14">
        <f>-SUM(UnitRatings!$B$8:$B$10)</f>
        <v>-404</v>
      </c>
      <c r="Q31" s="14">
        <f>-SUM(UnitRatings!$B$8:$B$11)</f>
        <v>-532</v>
      </c>
    </row>
    <row r="32" spans="2:19" x14ac:dyDescent="0.3">
      <c r="B32" s="13" t="s">
        <v>2</v>
      </c>
      <c r="C32" s="11">
        <v>0</v>
      </c>
      <c r="D32" s="11">
        <v>0</v>
      </c>
      <c r="E32" s="11">
        <v>0</v>
      </c>
      <c r="F32" s="11">
        <f>-UnitRatings!$B$23-UnitRatings!$B$24-UnitRatings!$B$50</f>
        <v>-55.333333333333201</v>
      </c>
      <c r="G32" s="11">
        <f>-UnitRatings!$B$23-UnitRatings!$B$24-UnitRatings!$B$50</f>
        <v>-55.333333333333201</v>
      </c>
      <c r="H32" s="11">
        <f>-UnitRatings!$B$23-UnitRatings!$B$24-UnitRatings!$B$50</f>
        <v>-55.333333333333201</v>
      </c>
      <c r="I32" s="11">
        <f>-UnitRatings!$B$23-UnitRatings!$B$24-UnitRatings!$B$50</f>
        <v>-55.333333333333201</v>
      </c>
      <c r="J32" s="11">
        <f>-UnitRatings!$B$23-UnitRatings!$B$24-UnitRatings!$B$50</f>
        <v>-55.333333333333201</v>
      </c>
      <c r="K32" s="11">
        <f>-UnitRatings!$B$23-UnitRatings!$B$24-UnitRatings!$B$50</f>
        <v>-55.333333333333201</v>
      </c>
      <c r="L32" s="11">
        <f>-UnitRatings!$B$23-UnitRatings!$B$24-UnitRatings!$B$50</f>
        <v>-55.333333333333201</v>
      </c>
      <c r="M32" s="11">
        <f>-UnitRatings!$B$23-UnitRatings!$B$24-UnitRatings!$B$50</f>
        <v>-55.333333333333201</v>
      </c>
      <c r="N32" s="11">
        <f>-UnitRatings!$B$23-UnitRatings!$B$24-UnitRatings!$B$50</f>
        <v>-55.333333333333201</v>
      </c>
      <c r="O32" s="11">
        <f>-UnitRatings!$B$23-UnitRatings!$B$24-UnitRatings!$B$50</f>
        <v>-55.333333333333201</v>
      </c>
      <c r="P32" s="11">
        <f>-UnitRatings!$B$23-UnitRatings!$B$24-UnitRatings!$B$50</f>
        <v>-55.333333333333201</v>
      </c>
      <c r="Q32" s="11">
        <f>-UnitRatings!$B$23-UnitRatings!$B$24-UnitRatings!$B$50</f>
        <v>-55.333333333333201</v>
      </c>
    </row>
    <row r="33" spans="2:19" x14ac:dyDescent="0.3">
      <c r="B33" s="13" t="s">
        <v>4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</row>
    <row r="34" spans="2:19" x14ac:dyDescent="0.3">
      <c r="B34" s="9" t="s">
        <v>6</v>
      </c>
      <c r="C34" s="10">
        <f t="shared" ref="C34:Q34" si="6">SUM(C27:C33)</f>
        <v>8099.583333333333</v>
      </c>
      <c r="D34" s="10">
        <f t="shared" si="6"/>
        <v>8099.583333333333</v>
      </c>
      <c r="E34" s="10">
        <f t="shared" si="6"/>
        <v>8099.583333333333</v>
      </c>
      <c r="F34" s="10">
        <f t="shared" si="6"/>
        <v>7744.25</v>
      </c>
      <c r="G34" s="10">
        <f t="shared" si="6"/>
        <v>7744.25</v>
      </c>
      <c r="H34" s="10">
        <f t="shared" si="6"/>
        <v>7744.25</v>
      </c>
      <c r="I34" s="10">
        <f t="shared" si="6"/>
        <v>7031.25</v>
      </c>
      <c r="J34" s="10">
        <f t="shared" si="6"/>
        <v>7031.25</v>
      </c>
      <c r="K34" s="10">
        <f t="shared" si="6"/>
        <v>7031.25</v>
      </c>
      <c r="L34" s="10">
        <f t="shared" si="6"/>
        <v>7031.25</v>
      </c>
      <c r="M34" s="10">
        <f t="shared" si="6"/>
        <v>7031.25</v>
      </c>
      <c r="N34" s="10">
        <f t="shared" si="6"/>
        <v>7031.25</v>
      </c>
      <c r="O34" s="10">
        <f t="shared" si="6"/>
        <v>5928.25</v>
      </c>
      <c r="P34" s="10">
        <f t="shared" si="6"/>
        <v>5662.25</v>
      </c>
      <c r="Q34" s="10">
        <f t="shared" si="6"/>
        <v>5534.25</v>
      </c>
    </row>
    <row r="35" spans="2:19" x14ac:dyDescent="0.3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2:19" x14ac:dyDescent="0.3">
      <c r="B36" s="9" t="s">
        <v>8</v>
      </c>
      <c r="C36" s="17">
        <f t="shared" ref="C36:Q36" si="7">C34-C25</f>
        <v>2201.1167292710625</v>
      </c>
      <c r="D36" s="17">
        <f t="shared" si="7"/>
        <v>2225.9316664893031</v>
      </c>
      <c r="E36" s="17">
        <f t="shared" si="7"/>
        <v>2240.2743729192034</v>
      </c>
      <c r="F36" s="17">
        <f t="shared" si="7"/>
        <v>1782.886571128096</v>
      </c>
      <c r="G36" s="17">
        <f t="shared" si="7"/>
        <v>1675.0792853614166</v>
      </c>
      <c r="H36" s="17">
        <f t="shared" si="7"/>
        <v>1681.8734174659521</v>
      </c>
      <c r="I36" s="17">
        <f t="shared" si="7"/>
        <v>981.68285905790253</v>
      </c>
      <c r="J36" s="17">
        <f t="shared" si="7"/>
        <v>1010.9564801268143</v>
      </c>
      <c r="K36" s="17">
        <f t="shared" si="7"/>
        <v>1023.2442328609732</v>
      </c>
      <c r="L36" s="17">
        <f t="shared" si="7"/>
        <v>1034.554707984691</v>
      </c>
      <c r="M36" s="17">
        <f t="shared" si="7"/>
        <v>1030.0194485907859</v>
      </c>
      <c r="N36" s="17">
        <f t="shared" si="7"/>
        <v>1032.6699391499724</v>
      </c>
      <c r="O36" s="17">
        <f t="shared" si="7"/>
        <v>-50.325613078534843</v>
      </c>
      <c r="P36" s="17">
        <f t="shared" si="7"/>
        <v>-319.73636249946594</v>
      </c>
      <c r="Q36" s="17">
        <f t="shared" si="7"/>
        <v>-461.27066128144725</v>
      </c>
    </row>
    <row r="37" spans="2:19" x14ac:dyDescent="0.3">
      <c r="B37" s="9" t="s">
        <v>7</v>
      </c>
      <c r="C37" s="15">
        <f t="shared" ref="C37:Q37" si="8">C36/C25</f>
        <v>0.37316761745419641</v>
      </c>
      <c r="D37" s="15">
        <f t="shared" si="8"/>
        <v>0.37896896049426743</v>
      </c>
      <c r="E37" s="15">
        <f t="shared" si="8"/>
        <v>0.38234446895609053</v>
      </c>
      <c r="F37" s="15">
        <f t="shared" si="8"/>
        <v>0.29907362508604507</v>
      </c>
      <c r="G37" s="15">
        <f t="shared" si="8"/>
        <v>0.27599805049497061</v>
      </c>
      <c r="H37" s="15">
        <f t="shared" si="8"/>
        <v>0.27742806712329576</v>
      </c>
      <c r="I37" s="15">
        <f t="shared" si="8"/>
        <v>0.16227323975199742</v>
      </c>
      <c r="J37" s="15">
        <f t="shared" si="8"/>
        <v>0.16792478253587037</v>
      </c>
      <c r="K37" s="15">
        <f t="shared" si="8"/>
        <v>0.17031345716371299</v>
      </c>
      <c r="L37" s="15">
        <f t="shared" si="8"/>
        <v>0.17252080647856435</v>
      </c>
      <c r="M37" s="15">
        <f t="shared" si="8"/>
        <v>0.1716347072099931</v>
      </c>
      <c r="N37" s="15">
        <f t="shared" si="8"/>
        <v>0.1721523975131605</v>
      </c>
      <c r="O37" s="15">
        <f t="shared" si="8"/>
        <v>-8.4176593783382436E-3</v>
      </c>
      <c r="P37" s="15">
        <f t="shared" si="8"/>
        <v>-5.3449864831498849E-2</v>
      </c>
      <c r="Q37" s="15">
        <f t="shared" si="8"/>
        <v>-7.6935880524988134E-2</v>
      </c>
    </row>
    <row r="38" spans="2:19" x14ac:dyDescent="0.3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40" spans="2:19" x14ac:dyDescent="0.3">
      <c r="B40" s="9" t="s">
        <v>75</v>
      </c>
    </row>
    <row r="41" spans="2:19" x14ac:dyDescent="0.3">
      <c r="B41" s="9" t="s">
        <v>71</v>
      </c>
      <c r="C41" s="17">
        <f>C6</f>
        <v>6228.57688676619</v>
      </c>
      <c r="D41" s="17">
        <f t="shared" ref="D41:Q41" si="9">D6</f>
        <v>6200.5888580420506</v>
      </c>
      <c r="E41" s="17">
        <f t="shared" si="9"/>
        <v>6179.4602026871999</v>
      </c>
      <c r="F41" s="17">
        <f t="shared" si="9"/>
        <v>6283.2817341962646</v>
      </c>
      <c r="G41" s="17">
        <f t="shared" si="9"/>
        <v>6366.8510428043337</v>
      </c>
      <c r="H41" s="17">
        <f t="shared" si="9"/>
        <v>6358.0423210569024</v>
      </c>
      <c r="I41" s="17">
        <f t="shared" si="9"/>
        <v>6325.6060210800806</v>
      </c>
      <c r="J41" s="17">
        <f t="shared" si="9"/>
        <v>6309.2289392138136</v>
      </c>
      <c r="K41" s="17">
        <f t="shared" si="9"/>
        <v>6294.2159260736553</v>
      </c>
      <c r="L41" s="17">
        <f t="shared" si="9"/>
        <v>6299.5575111052985</v>
      </c>
      <c r="M41" s="17">
        <f t="shared" si="9"/>
        <v>6304.0504052859633</v>
      </c>
      <c r="N41" s="17">
        <f t="shared" si="9"/>
        <v>6281.7803978568381</v>
      </c>
      <c r="O41" s="17">
        <f t="shared" si="9"/>
        <v>6274.2348955366833</v>
      </c>
      <c r="P41" s="17">
        <f t="shared" si="9"/>
        <v>6276.6318745966837</v>
      </c>
      <c r="Q41" s="17">
        <f t="shared" si="9"/>
        <v>6290.6958813070323</v>
      </c>
    </row>
    <row r="42" spans="2:19" x14ac:dyDescent="0.3">
      <c r="B42" s="9" t="s">
        <v>72</v>
      </c>
      <c r="C42" s="17">
        <f>C25</f>
        <v>5898.4666040622706</v>
      </c>
      <c r="D42" s="17">
        <f t="shared" ref="D42:P42" si="10">D25</f>
        <v>5873.6516668440299</v>
      </c>
      <c r="E42" s="17">
        <f t="shared" si="10"/>
        <v>5859.3089604141296</v>
      </c>
      <c r="F42" s="17">
        <f t="shared" si="10"/>
        <v>5961.363428871904</v>
      </c>
      <c r="G42" s="17">
        <f t="shared" si="10"/>
        <v>6069.1707146385834</v>
      </c>
      <c r="H42" s="17">
        <f t="shared" si="10"/>
        <v>6062.3765825340479</v>
      </c>
      <c r="I42" s="17">
        <f t="shared" si="10"/>
        <v>6049.5671409420975</v>
      </c>
      <c r="J42" s="17">
        <f t="shared" si="10"/>
        <v>6020.2935198731857</v>
      </c>
      <c r="K42" s="17">
        <f t="shared" si="10"/>
        <v>6008.0057671390268</v>
      </c>
      <c r="L42" s="17">
        <f t="shared" si="10"/>
        <v>5996.695292015309</v>
      </c>
      <c r="M42" s="17">
        <f t="shared" si="10"/>
        <v>6001.2305514092141</v>
      </c>
      <c r="N42" s="17">
        <f t="shared" si="10"/>
        <v>5998.5800608500276</v>
      </c>
      <c r="O42" s="17">
        <f t="shared" si="10"/>
        <v>5978.5756130785348</v>
      </c>
      <c r="P42" s="17">
        <f t="shared" si="10"/>
        <v>5981.9863624994659</v>
      </c>
      <c r="Q42" s="17">
        <f>Q25</f>
        <v>5995.5206612814472</v>
      </c>
    </row>
    <row r="43" spans="2:19" x14ac:dyDescent="0.3">
      <c r="B43" s="9" t="s">
        <v>73</v>
      </c>
      <c r="C43" s="18">
        <f>C19</f>
        <v>0.21636650839089169</v>
      </c>
      <c r="D43" s="18">
        <f t="shared" ref="D43:Q43" si="11">D19</f>
        <v>0.23423522107488534</v>
      </c>
      <c r="E43" s="18">
        <f t="shared" si="11"/>
        <v>0.23816826211985243</v>
      </c>
      <c r="F43" s="18">
        <f t="shared" si="11"/>
        <v>0.2256000193480199</v>
      </c>
      <c r="G43" s="18">
        <f t="shared" si="11"/>
        <v>0.20926403801364823</v>
      </c>
      <c r="H43" s="18">
        <f t="shared" si="11"/>
        <v>0.21070682022461409</v>
      </c>
      <c r="I43" s="18">
        <f t="shared" si="11"/>
        <v>0.10460884190796378</v>
      </c>
      <c r="J43" s="18">
        <f t="shared" si="11"/>
        <v>0.1072645788498304</v>
      </c>
      <c r="K43" s="18">
        <f t="shared" si="11"/>
        <v>0.10970419827820227</v>
      </c>
      <c r="L43" s="18">
        <f t="shared" si="11"/>
        <v>0.1085720439603515</v>
      </c>
      <c r="M43" s="18">
        <f t="shared" si="11"/>
        <v>0.10760045207926332</v>
      </c>
      <c r="N43" s="18">
        <f t="shared" si="11"/>
        <v>0.11135404021219013</v>
      </c>
      <c r="O43" s="18">
        <f t="shared" si="11"/>
        <v>-5.976594407769116E-2</v>
      </c>
      <c r="P43" s="18">
        <f t="shared" si="11"/>
        <v>-9.8837024304343699E-2</v>
      </c>
      <c r="Q43" s="18">
        <f t="shared" si="11"/>
        <v>-0.12023465304843453</v>
      </c>
    </row>
    <row r="44" spans="2:19" x14ac:dyDescent="0.3">
      <c r="B44" s="9" t="s">
        <v>74</v>
      </c>
      <c r="C44" s="18">
        <f>C37</f>
        <v>0.37316761745419641</v>
      </c>
      <c r="D44" s="18">
        <f t="shared" ref="D44:Q44" si="12">D37</f>
        <v>0.37896896049426743</v>
      </c>
      <c r="E44" s="18">
        <f t="shared" si="12"/>
        <v>0.38234446895609053</v>
      </c>
      <c r="F44" s="18">
        <f t="shared" si="12"/>
        <v>0.29907362508604507</v>
      </c>
      <c r="G44" s="18">
        <f t="shared" si="12"/>
        <v>0.27599805049497061</v>
      </c>
      <c r="H44" s="18">
        <f t="shared" si="12"/>
        <v>0.27742806712329576</v>
      </c>
      <c r="I44" s="18">
        <f t="shared" si="12"/>
        <v>0.16227323975199742</v>
      </c>
      <c r="J44" s="18">
        <f t="shared" si="12"/>
        <v>0.16792478253587037</v>
      </c>
      <c r="K44" s="18">
        <f t="shared" si="12"/>
        <v>0.17031345716371299</v>
      </c>
      <c r="L44" s="18">
        <f t="shared" si="12"/>
        <v>0.17252080647856435</v>
      </c>
      <c r="M44" s="18">
        <f t="shared" si="12"/>
        <v>0.1716347072099931</v>
      </c>
      <c r="N44" s="18">
        <f t="shared" si="12"/>
        <v>0.1721523975131605</v>
      </c>
      <c r="O44" s="18">
        <f t="shared" si="12"/>
        <v>-8.4176593783382436E-3</v>
      </c>
      <c r="P44" s="18">
        <f t="shared" si="12"/>
        <v>-5.3449864831498849E-2</v>
      </c>
      <c r="Q44" s="18">
        <f t="shared" si="12"/>
        <v>-7.6935880524988134E-2</v>
      </c>
    </row>
    <row r="46" spans="2:19" x14ac:dyDescent="0.3">
      <c r="B46" s="9" t="s">
        <v>76</v>
      </c>
    </row>
    <row r="47" spans="2:19" x14ac:dyDescent="0.3">
      <c r="B47" s="9" t="s">
        <v>71</v>
      </c>
      <c r="C47" s="19">
        <v>6229.6224930876406</v>
      </c>
      <c r="D47" s="19">
        <v>6204.3179853180009</v>
      </c>
      <c r="E47" s="19">
        <v>6264.5775231321513</v>
      </c>
      <c r="F47" s="19">
        <v>6248.4346439683559</v>
      </c>
      <c r="G47" s="19">
        <v>6294.4852591225372</v>
      </c>
      <c r="H47" s="19">
        <v>6282.7514247916297</v>
      </c>
      <c r="I47" s="19">
        <v>6270.3939529902982</v>
      </c>
      <c r="J47" s="19">
        <v>6271.4470077534243</v>
      </c>
      <c r="K47" s="19">
        <v>6279.6903069563323</v>
      </c>
      <c r="L47" s="19">
        <v>6290.8170775351637</v>
      </c>
      <c r="M47" s="19">
        <v>6312.1120456664648</v>
      </c>
      <c r="N47" s="19">
        <v>6315.3407467295401</v>
      </c>
      <c r="O47" s="19">
        <v>6330.0827024185146</v>
      </c>
      <c r="P47" s="19">
        <v>6350.1901538288894</v>
      </c>
      <c r="Q47" s="19">
        <v>6379.0909559324018</v>
      </c>
    </row>
    <row r="48" spans="2:19" x14ac:dyDescent="0.3">
      <c r="B48" s="9" t="s">
        <v>72</v>
      </c>
      <c r="C48" s="19">
        <v>5899.1435318477697</v>
      </c>
      <c r="D48" s="19">
        <v>5875.1617494747979</v>
      </c>
      <c r="E48" s="19">
        <v>6030.3861322345065</v>
      </c>
      <c r="F48" s="19">
        <v>6119.8316141703463</v>
      </c>
      <c r="G48" s="19">
        <v>6287.2214940929143</v>
      </c>
      <c r="H48" s="19">
        <v>6395.3721823397918</v>
      </c>
      <c r="I48" s="19">
        <v>6494.3477930997269</v>
      </c>
      <c r="J48" s="19">
        <v>6590.3991635956936</v>
      </c>
      <c r="K48" s="19">
        <v>6769.119569123779</v>
      </c>
      <c r="L48" s="19">
        <v>6854.4767025450237</v>
      </c>
      <c r="M48" s="19">
        <v>6960.9932101246231</v>
      </c>
      <c r="N48" s="19">
        <v>7076.0396797018157</v>
      </c>
      <c r="O48" s="19">
        <v>7210.6782773922969</v>
      </c>
      <c r="P48" s="19">
        <v>7334.1490021955669</v>
      </c>
      <c r="Q48" s="19">
        <v>7647.9443541325854</v>
      </c>
    </row>
    <row r="49" spans="2:17" x14ac:dyDescent="0.3">
      <c r="B49" s="9" t="s">
        <v>73</v>
      </c>
      <c r="C49" s="18">
        <f>(C16-C47)/C47</f>
        <v>0.21616234826533265</v>
      </c>
      <c r="D49" s="18">
        <f t="shared" ref="D49:Q49" si="13">(D16-D47)/D47</f>
        <v>0.23349337962853448</v>
      </c>
      <c r="E49" s="18">
        <f t="shared" si="13"/>
        <v>0.22134517000510567</v>
      </c>
      <c r="F49" s="18">
        <f t="shared" si="13"/>
        <v>0.23243510635637549</v>
      </c>
      <c r="G49" s="18">
        <f t="shared" si="13"/>
        <v>0.22316657907723164</v>
      </c>
      <c r="H49" s="18">
        <f t="shared" si="13"/>
        <v>0.22521562304776777</v>
      </c>
      <c r="I49" s="18">
        <f t="shared" si="13"/>
        <v>0.11433514284682483</v>
      </c>
      <c r="J49" s="18">
        <f t="shared" si="13"/>
        <v>0.11393522349928704</v>
      </c>
      <c r="K49" s="18">
        <f t="shared" si="13"/>
        <v>0.11227106698177949</v>
      </c>
      <c r="L49" s="18">
        <f t="shared" si="13"/>
        <v>0.11011228908090118</v>
      </c>
      <c r="M49" s="18">
        <f t="shared" si="13"/>
        <v>0.10618585796791921</v>
      </c>
      <c r="N49" s="18">
        <f t="shared" si="13"/>
        <v>0.10544819430357105</v>
      </c>
      <c r="O49" s="18">
        <f t="shared" si="13"/>
        <v>-6.8061255916003746E-2</v>
      </c>
      <c r="P49" s="18">
        <f t="shared" si="13"/>
        <v>-0.1092757664827929</v>
      </c>
      <c r="Q49" s="18">
        <f t="shared" si="13"/>
        <v>-0.13242556301253786</v>
      </c>
    </row>
    <row r="50" spans="2:17" x14ac:dyDescent="0.3">
      <c r="B50" s="9" t="s">
        <v>74</v>
      </c>
      <c r="C50" s="18">
        <f>(C34-C48)/C48</f>
        <v>0.37301004622213807</v>
      </c>
      <c r="D50" s="18">
        <f t="shared" ref="D50:Q50" si="14">(D34-D48)/D48</f>
        <v>0.37861452649493171</v>
      </c>
      <c r="E50" s="18">
        <f t="shared" si="14"/>
        <v>0.34312847564408017</v>
      </c>
      <c r="F50" s="18">
        <f t="shared" si="14"/>
        <v>0.26543514401088192</v>
      </c>
      <c r="G50" s="18">
        <f t="shared" si="14"/>
        <v>0.23174442116855909</v>
      </c>
      <c r="H50" s="18">
        <f t="shared" si="14"/>
        <v>0.21091467067155295</v>
      </c>
      <c r="I50" s="18">
        <f t="shared" si="14"/>
        <v>8.2672228837318201E-2</v>
      </c>
      <c r="J50" s="18">
        <f t="shared" si="14"/>
        <v>6.689288849748215E-2</v>
      </c>
      <c r="K50" s="18">
        <f t="shared" si="14"/>
        <v>3.8724449789878976E-2</v>
      </c>
      <c r="L50" s="18">
        <f t="shared" si="14"/>
        <v>2.5789466523292941E-2</v>
      </c>
      <c r="M50" s="18">
        <f t="shared" si="14"/>
        <v>1.0092926074570763E-2</v>
      </c>
      <c r="N50" s="18">
        <f t="shared" si="14"/>
        <v>-6.3297666108767629E-3</v>
      </c>
      <c r="O50" s="18">
        <f t="shared" si="14"/>
        <v>-0.17785126836307558</v>
      </c>
      <c r="P50" s="18">
        <f t="shared" si="14"/>
        <v>-0.227960872037787</v>
      </c>
      <c r="Q50" s="18">
        <f t="shared" si="14"/>
        <v>-0.276374180598012</v>
      </c>
    </row>
    <row r="52" spans="2:17" x14ac:dyDescent="0.3">
      <c r="B52" s="9" t="s">
        <v>77</v>
      </c>
    </row>
    <row r="53" spans="2:17" x14ac:dyDescent="0.3">
      <c r="B53" s="9" t="s">
        <v>71</v>
      </c>
      <c r="C53" s="19">
        <v>6175.2855189608217</v>
      </c>
      <c r="D53" s="19">
        <v>6133.9199227000008</v>
      </c>
      <c r="E53" s="19">
        <v>6023.9335746783718</v>
      </c>
      <c r="F53" s="19">
        <v>5975.4049567145867</v>
      </c>
      <c r="G53" s="19">
        <v>5849.1882307028773</v>
      </c>
      <c r="H53" s="19">
        <v>5800.2128496275946</v>
      </c>
      <c r="I53" s="19">
        <v>5730.8094427119577</v>
      </c>
      <c r="J53" s="19">
        <v>5601.9846808939528</v>
      </c>
      <c r="K53" s="19">
        <v>5564.4654789207489</v>
      </c>
      <c r="L53" s="19">
        <v>5444.9188675546229</v>
      </c>
      <c r="M53" s="19">
        <v>5448.4836462374351</v>
      </c>
      <c r="N53" s="19">
        <v>5361.972114094976</v>
      </c>
      <c r="O53" s="19">
        <v>5363.5988260963913</v>
      </c>
      <c r="P53" s="19">
        <v>5360.5542212498076</v>
      </c>
      <c r="Q53" s="19">
        <v>5321.2661255820258</v>
      </c>
    </row>
    <row r="54" spans="2:17" x14ac:dyDescent="0.3">
      <c r="B54" s="9" t="s">
        <v>72</v>
      </c>
      <c r="C54" s="19">
        <v>5838.9830039984763</v>
      </c>
      <c r="D54" s="19">
        <v>5803.9624198092015</v>
      </c>
      <c r="E54" s="19">
        <v>5692.5638783005852</v>
      </c>
      <c r="F54" s="19">
        <v>5655.8489642188888</v>
      </c>
      <c r="G54" s="19">
        <v>5535.2607015261528</v>
      </c>
      <c r="H54" s="19">
        <v>5501.9860043557474</v>
      </c>
      <c r="I54" s="19">
        <v>5471.9751089289712</v>
      </c>
      <c r="J54" s="19">
        <v>5443.8618313584711</v>
      </c>
      <c r="K54" s="19">
        <v>5429.8109944354728</v>
      </c>
      <c r="L54" s="19">
        <v>5394.7515576297101</v>
      </c>
      <c r="M54" s="19">
        <v>5395.2929988964588</v>
      </c>
      <c r="N54" s="19">
        <v>5366.6765609683307</v>
      </c>
      <c r="O54" s="19">
        <v>5324.9310378904265</v>
      </c>
      <c r="P54" s="19">
        <v>5336.5192992427692</v>
      </c>
      <c r="Q54" s="19">
        <v>5363.9449825402062</v>
      </c>
    </row>
    <row r="55" spans="2:17" x14ac:dyDescent="0.3">
      <c r="B55" s="9" t="s">
        <v>73</v>
      </c>
      <c r="C55" s="18">
        <f>(C16-C53)/C53</f>
        <v>0.22686348618823554</v>
      </c>
      <c r="D55" s="18">
        <f t="shared" ref="D55:Q55" si="15">(D16-D53)/D53</f>
        <v>0.24764999485538525</v>
      </c>
      <c r="E55" s="18">
        <f t="shared" si="15"/>
        <v>0.27013543644669302</v>
      </c>
      <c r="F55" s="18">
        <f t="shared" si="15"/>
        <v>0.28874783730709208</v>
      </c>
      <c r="G55" s="18">
        <f t="shared" si="15"/>
        <v>0.31628590118526384</v>
      </c>
      <c r="H55" s="18">
        <f t="shared" si="15"/>
        <v>0.32714529637900502</v>
      </c>
      <c r="I55" s="18">
        <f t="shared" si="15"/>
        <v>0.21925539684403492</v>
      </c>
      <c r="J55" s="18">
        <f t="shared" si="15"/>
        <v>0.2470554851876062</v>
      </c>
      <c r="K55" s="18">
        <f t="shared" si="15"/>
        <v>0.25523608053511959</v>
      </c>
      <c r="L55" s="18">
        <f t="shared" si="15"/>
        <v>0.28257436263107505</v>
      </c>
      <c r="M55" s="18">
        <f t="shared" si="15"/>
        <v>0.28152519713388841</v>
      </c>
      <c r="N55" s="18">
        <f t="shared" si="15"/>
        <v>0.30199894298821367</v>
      </c>
      <c r="O55" s="18">
        <f t="shared" si="15"/>
        <v>9.9867740841682734E-2</v>
      </c>
      <c r="P55" s="18">
        <f t="shared" si="15"/>
        <v>5.516482512865991E-2</v>
      </c>
      <c r="Q55" s="18">
        <f t="shared" si="15"/>
        <v>4.0041244691466055E-2</v>
      </c>
    </row>
    <row r="56" spans="2:17" x14ac:dyDescent="0.3">
      <c r="B56" s="9" t="s">
        <v>74</v>
      </c>
      <c r="C56" s="18">
        <f>(C34-C54)/C54</f>
        <v>0.38715651814482427</v>
      </c>
      <c r="D56" s="18">
        <f t="shared" ref="D56:Q56" si="16">(D34-D54)/D54</f>
        <v>0.39552649508705767</v>
      </c>
      <c r="E56" s="18">
        <f t="shared" si="16"/>
        <v>0.4228357391311911</v>
      </c>
      <c r="F56" s="18">
        <f t="shared" si="16"/>
        <v>0.3692462526833995</v>
      </c>
      <c r="G56" s="18">
        <f t="shared" si="16"/>
        <v>0.39907592751047777</v>
      </c>
      <c r="H56" s="18">
        <f t="shared" si="16"/>
        <v>0.40753720454198239</v>
      </c>
      <c r="I56" s="18">
        <f t="shared" si="16"/>
        <v>0.28495650291366648</v>
      </c>
      <c r="J56" s="18">
        <f t="shared" si="16"/>
        <v>0.29159229565630052</v>
      </c>
      <c r="K56" s="18">
        <f t="shared" si="16"/>
        <v>0.29493457639790754</v>
      </c>
      <c r="L56" s="18">
        <f t="shared" si="16"/>
        <v>0.30335010331584528</v>
      </c>
      <c r="M56" s="18">
        <f t="shared" si="16"/>
        <v>0.30321930642842865</v>
      </c>
      <c r="N56" s="18">
        <f t="shared" si="16"/>
        <v>0.31016839195006818</v>
      </c>
      <c r="O56" s="18">
        <f t="shared" si="16"/>
        <v>0.11330080292431165</v>
      </c>
      <c r="P56" s="18">
        <f t="shared" si="16"/>
        <v>6.1038044180492461E-2</v>
      </c>
      <c r="Q56" s="18">
        <f t="shared" si="16"/>
        <v>3.1749956051775607E-2</v>
      </c>
    </row>
    <row r="62" spans="2:17" x14ac:dyDescent="0.3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2:17" x14ac:dyDescent="0.3">
      <c r="B63" s="9" t="s">
        <v>78</v>
      </c>
      <c r="C63" s="17" t="s">
        <v>79</v>
      </c>
      <c r="D63" s="17" t="s">
        <v>80</v>
      </c>
      <c r="E63" s="17" t="s">
        <v>92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2:17" x14ac:dyDescent="0.3">
      <c r="B64" s="9" t="s">
        <v>81</v>
      </c>
      <c r="C64" s="9">
        <v>2010</v>
      </c>
      <c r="D64" s="20">
        <v>35843</v>
      </c>
      <c r="E64" s="9" t="s">
        <v>82</v>
      </c>
      <c r="H64" s="17"/>
      <c r="I64" s="17"/>
      <c r="J64" s="17"/>
      <c r="K64" s="17"/>
    </row>
    <row r="65" spans="2:11" x14ac:dyDescent="0.3">
      <c r="B65" s="9" t="s">
        <v>83</v>
      </c>
      <c r="C65" s="9">
        <v>2035</v>
      </c>
      <c r="D65" s="20">
        <v>21505.142917042431</v>
      </c>
      <c r="E65" s="21">
        <f>-($D$64-D65)/$D$64</f>
        <v>-0.4000183322533708</v>
      </c>
      <c r="H65" s="17"/>
      <c r="I65" s="17"/>
      <c r="J65" s="17"/>
      <c r="K65" s="17"/>
    </row>
    <row r="66" spans="2:11" x14ac:dyDescent="0.3">
      <c r="B66" s="9" t="s">
        <v>84</v>
      </c>
      <c r="C66" s="9">
        <v>2035</v>
      </c>
      <c r="D66" s="20">
        <v>19691.553130522145</v>
      </c>
      <c r="E66" s="21">
        <f t="shared" ref="E66:E73" si="17">-($D$64-D66)/$D$64</f>
        <v>-0.45061649051356906</v>
      </c>
      <c r="H66" s="17"/>
      <c r="I66" s="17"/>
      <c r="J66" s="17"/>
      <c r="K66" s="17"/>
    </row>
    <row r="67" spans="2:11" x14ac:dyDescent="0.3">
      <c r="B67" s="9" t="s">
        <v>85</v>
      </c>
      <c r="C67" s="9">
        <v>2035</v>
      </c>
      <c r="D67" s="20">
        <v>25100.440153254556</v>
      </c>
      <c r="E67" s="21">
        <f t="shared" si="17"/>
        <v>-0.29971151540734436</v>
      </c>
      <c r="H67" s="17"/>
      <c r="I67" s="17"/>
      <c r="J67" s="17"/>
      <c r="K67" s="17"/>
    </row>
    <row r="68" spans="2:11" x14ac:dyDescent="0.3">
      <c r="B68" s="9" t="s">
        <v>86</v>
      </c>
      <c r="C68" s="9">
        <v>2035</v>
      </c>
      <c r="D68" s="20">
        <v>22830.934167041614</v>
      </c>
      <c r="E68" s="21">
        <f t="shared" si="17"/>
        <v>-0.36302948505868332</v>
      </c>
      <c r="H68" s="17"/>
      <c r="I68" s="17"/>
      <c r="J68" s="17"/>
      <c r="K68" s="17"/>
    </row>
    <row r="69" spans="2:11" x14ac:dyDescent="0.3">
      <c r="B69" s="9" t="s">
        <v>87</v>
      </c>
      <c r="C69" s="9">
        <v>2035</v>
      </c>
      <c r="D69" s="20">
        <v>20635.770984485745</v>
      </c>
      <c r="E69" s="21">
        <f t="shared" si="17"/>
        <v>-0.42427333134822015</v>
      </c>
      <c r="H69" s="17"/>
      <c r="I69" s="17"/>
      <c r="J69" s="17"/>
      <c r="K69" s="17"/>
    </row>
    <row r="70" spans="2:11" x14ac:dyDescent="0.3">
      <c r="B70" s="9" t="s">
        <v>88</v>
      </c>
      <c r="C70" s="9">
        <v>2035</v>
      </c>
      <c r="D70" s="20">
        <v>28078.727034659154</v>
      </c>
      <c r="E70" s="21">
        <f t="shared" si="17"/>
        <v>-0.21661894833972731</v>
      </c>
      <c r="H70" s="17"/>
      <c r="I70" s="17"/>
      <c r="J70" s="17"/>
      <c r="K70" s="17"/>
    </row>
    <row r="71" spans="2:11" x14ac:dyDescent="0.3">
      <c r="B71" s="9" t="s">
        <v>89</v>
      </c>
      <c r="C71" s="9">
        <v>2035</v>
      </c>
      <c r="D71" s="20">
        <v>20618.863060181349</v>
      </c>
      <c r="E71" s="21">
        <f t="shared" si="17"/>
        <v>-0.42474505314339345</v>
      </c>
      <c r="H71" s="17"/>
      <c r="I71" s="17"/>
      <c r="J71" s="17"/>
      <c r="K71" s="17"/>
    </row>
    <row r="72" spans="2:11" x14ac:dyDescent="0.3">
      <c r="B72" s="9" t="s">
        <v>90</v>
      </c>
      <c r="C72" s="9">
        <v>2035</v>
      </c>
      <c r="D72" s="20">
        <v>19155.436417584639</v>
      </c>
      <c r="E72" s="21">
        <f t="shared" si="17"/>
        <v>-0.46557385214450137</v>
      </c>
      <c r="H72" s="17"/>
      <c r="I72" s="17"/>
      <c r="J72" s="17"/>
      <c r="K72" s="17"/>
    </row>
    <row r="73" spans="2:11" x14ac:dyDescent="0.3">
      <c r="B73" s="9" t="s">
        <v>91</v>
      </c>
      <c r="C73" s="9">
        <v>2035</v>
      </c>
      <c r="D73" s="20">
        <v>22992.089563871708</v>
      </c>
      <c r="E73" s="21">
        <f t="shared" si="17"/>
        <v>-0.35853333806121951</v>
      </c>
      <c r="H73" s="17"/>
      <c r="I73" s="17"/>
      <c r="J73" s="17"/>
      <c r="K73" s="17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16B10-BB89-4D3A-B0D2-32E006D03E27}">
  <dimension ref="A1:D54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8.77734375" defaultRowHeight="14.4" x14ac:dyDescent="0.3"/>
  <cols>
    <col min="1" max="1" width="42.77734375" style="1" customWidth="1"/>
    <col min="2" max="2" width="9.21875" style="1" bestFit="1" customWidth="1"/>
    <col min="3" max="3" width="11.21875" style="1" bestFit="1" customWidth="1"/>
    <col min="4" max="16384" width="8.77734375" style="1"/>
  </cols>
  <sheetData>
    <row r="1" spans="1:3" x14ac:dyDescent="0.3">
      <c r="B1" s="1" t="s">
        <v>44</v>
      </c>
    </row>
    <row r="2" spans="1:3" x14ac:dyDescent="0.3">
      <c r="B2" s="25" t="s">
        <v>46</v>
      </c>
      <c r="C2" s="25" t="s">
        <v>47</v>
      </c>
    </row>
    <row r="3" spans="1:3" ht="16.2" x14ac:dyDescent="0.3">
      <c r="A3" s="2" t="s">
        <v>48</v>
      </c>
      <c r="B3" s="25"/>
      <c r="C3" s="25"/>
    </row>
    <row r="4" spans="1:3" x14ac:dyDescent="0.3">
      <c r="A4" s="1" t="s">
        <v>18</v>
      </c>
      <c r="B4" s="3">
        <v>416</v>
      </c>
      <c r="C4" s="3">
        <v>412</v>
      </c>
    </row>
    <row r="5" spans="1:3" ht="16.2" x14ac:dyDescent="0.3">
      <c r="A5" s="4" t="s">
        <v>49</v>
      </c>
      <c r="B5" s="3">
        <v>130</v>
      </c>
      <c r="C5" s="3">
        <v>130</v>
      </c>
    </row>
    <row r="6" spans="1:3" x14ac:dyDescent="0.3">
      <c r="A6" s="4" t="s">
        <v>19</v>
      </c>
      <c r="B6" s="3">
        <v>171</v>
      </c>
      <c r="C6" s="3">
        <v>146</v>
      </c>
    </row>
    <row r="7" spans="1:3" x14ac:dyDescent="0.3">
      <c r="A7" s="5" t="s">
        <v>20</v>
      </c>
      <c r="B7" s="3">
        <v>171</v>
      </c>
      <c r="C7" s="3">
        <v>146</v>
      </c>
    </row>
    <row r="8" spans="1:3" ht="16.2" x14ac:dyDescent="0.3">
      <c r="A8" s="4" t="s">
        <v>50</v>
      </c>
      <c r="B8" s="3">
        <v>128</v>
      </c>
      <c r="C8" s="3">
        <f>102+19</f>
        <v>121</v>
      </c>
    </row>
    <row r="9" spans="1:3" ht="16.2" x14ac:dyDescent="0.3">
      <c r="A9" s="4" t="s">
        <v>51</v>
      </c>
      <c r="B9" s="3">
        <v>138</v>
      </c>
      <c r="C9" s="3">
        <f>102+19</f>
        <v>121</v>
      </c>
    </row>
    <row r="10" spans="1:3" ht="16.2" x14ac:dyDescent="0.3">
      <c r="A10" s="4" t="s">
        <v>52</v>
      </c>
      <c r="B10" s="3">
        <v>138</v>
      </c>
      <c r="C10" s="3">
        <f>102+19</f>
        <v>121</v>
      </c>
    </row>
    <row r="11" spans="1:3" ht="16.2" x14ac:dyDescent="0.3">
      <c r="A11" s="4" t="s">
        <v>53</v>
      </c>
      <c r="B11" s="3">
        <v>128</v>
      </c>
      <c r="C11" s="3">
        <f>102+19</f>
        <v>121</v>
      </c>
    </row>
    <row r="12" spans="1:3" ht="16.2" x14ac:dyDescent="0.3">
      <c r="A12" s="5" t="s">
        <v>54</v>
      </c>
      <c r="B12" s="3">
        <v>0</v>
      </c>
      <c r="C12" s="3">
        <v>8</v>
      </c>
    </row>
    <row r="13" spans="1:3" ht="16.2" x14ac:dyDescent="0.3">
      <c r="A13" s="5" t="s">
        <v>55</v>
      </c>
      <c r="B13" s="3">
        <v>0</v>
      </c>
      <c r="C13" s="6">
        <v>2.4E-2</v>
      </c>
    </row>
    <row r="14" spans="1:3" ht="16.2" x14ac:dyDescent="0.3">
      <c r="A14" s="5" t="s">
        <v>56</v>
      </c>
      <c r="B14" s="3">
        <v>0</v>
      </c>
      <c r="C14" s="6">
        <v>0.16</v>
      </c>
    </row>
    <row r="15" spans="1:3" ht="16.2" x14ac:dyDescent="0.3">
      <c r="A15" s="5" t="s">
        <v>57</v>
      </c>
      <c r="B15" s="3">
        <v>683</v>
      </c>
      <c r="C15" s="3">
        <v>662</v>
      </c>
    </row>
    <row r="16" spans="1:3" x14ac:dyDescent="0.3">
      <c r="A16" s="1" t="s">
        <v>21</v>
      </c>
      <c r="B16" s="3">
        <v>10.5</v>
      </c>
      <c r="C16" s="3">
        <v>10.5</v>
      </c>
    </row>
    <row r="17" spans="1:3" x14ac:dyDescent="0.3">
      <c r="A17" s="1" t="s">
        <v>22</v>
      </c>
      <c r="B17" s="3">
        <v>10.5</v>
      </c>
      <c r="C17" s="3">
        <v>10.5</v>
      </c>
    </row>
    <row r="18" spans="1:3" x14ac:dyDescent="0.3">
      <c r="A18" s="1" t="s">
        <v>23</v>
      </c>
      <c r="B18" s="3">
        <v>10.5</v>
      </c>
      <c r="C18" s="3">
        <v>10.5</v>
      </c>
    </row>
    <row r="19" spans="1:3" x14ac:dyDescent="0.3">
      <c r="A19" s="1" t="s">
        <v>24</v>
      </c>
      <c r="B19" s="3">
        <v>479</v>
      </c>
      <c r="C19" s="3">
        <v>475</v>
      </c>
    </row>
    <row r="20" spans="1:3" x14ac:dyDescent="0.3">
      <c r="A20" s="1" t="s">
        <v>25</v>
      </c>
      <c r="B20" s="3">
        <v>486</v>
      </c>
      <c r="C20" s="3">
        <v>485</v>
      </c>
    </row>
    <row r="21" spans="1:3" x14ac:dyDescent="0.3">
      <c r="A21" s="1" t="s">
        <v>26</v>
      </c>
      <c r="B21" s="3">
        <v>476</v>
      </c>
      <c r="C21" s="3">
        <v>481</v>
      </c>
    </row>
    <row r="22" spans="1:3" x14ac:dyDescent="0.3">
      <c r="A22" s="1" t="s">
        <v>27</v>
      </c>
      <c r="B22" s="3">
        <v>478</v>
      </c>
      <c r="C22" s="3">
        <v>478</v>
      </c>
    </row>
    <row r="23" spans="1:3" x14ac:dyDescent="0.3">
      <c r="A23" s="1" t="s">
        <v>28</v>
      </c>
      <c r="B23" s="3">
        <v>13.6666666666666</v>
      </c>
      <c r="C23" s="3">
        <v>12</v>
      </c>
    </row>
    <row r="24" spans="1:3" x14ac:dyDescent="0.3">
      <c r="A24" s="1" t="s">
        <v>29</v>
      </c>
      <c r="B24" s="3">
        <v>13.6666666666666</v>
      </c>
      <c r="C24" s="3">
        <v>12</v>
      </c>
    </row>
    <row r="25" spans="1:3" x14ac:dyDescent="0.3">
      <c r="A25" s="1" t="s">
        <v>11</v>
      </c>
      <c r="B25" s="3">
        <v>300</v>
      </c>
      <c r="C25" s="3">
        <v>300</v>
      </c>
    </row>
    <row r="26" spans="1:3" x14ac:dyDescent="0.3">
      <c r="A26" s="1" t="s">
        <v>30</v>
      </c>
      <c r="B26" s="3">
        <v>297</v>
      </c>
      <c r="C26" s="3">
        <v>297</v>
      </c>
    </row>
    <row r="27" spans="1:3" x14ac:dyDescent="0.3">
      <c r="A27" s="1" t="s">
        <v>31</v>
      </c>
      <c r="B27" s="3">
        <v>394</v>
      </c>
      <c r="C27" s="3">
        <f>394-3</f>
        <v>391</v>
      </c>
    </row>
    <row r="28" spans="1:3" x14ac:dyDescent="0.3">
      <c r="A28" s="7" t="s">
        <v>32</v>
      </c>
      <c r="B28" s="3">
        <v>486</v>
      </c>
      <c r="C28" s="3">
        <v>477</v>
      </c>
    </row>
    <row r="29" spans="1:3" x14ac:dyDescent="0.3">
      <c r="A29" s="5" t="s">
        <v>33</v>
      </c>
      <c r="B29" s="3">
        <v>5</v>
      </c>
      <c r="C29" s="3">
        <v>8</v>
      </c>
    </row>
    <row r="30" spans="1:3" x14ac:dyDescent="0.3">
      <c r="A30" s="5" t="s">
        <v>34</v>
      </c>
      <c r="B30" s="3">
        <v>5</v>
      </c>
      <c r="C30" s="3">
        <v>8</v>
      </c>
    </row>
    <row r="31" spans="1:3" x14ac:dyDescent="0.3">
      <c r="A31" s="5" t="s">
        <v>35</v>
      </c>
      <c r="B31" s="3">
        <v>5</v>
      </c>
      <c r="C31" s="3">
        <v>8</v>
      </c>
    </row>
    <row r="32" spans="1:3" x14ac:dyDescent="0.3">
      <c r="A32" s="5" t="s">
        <v>36</v>
      </c>
      <c r="B32" s="3">
        <v>5</v>
      </c>
      <c r="C32" s="3">
        <v>8</v>
      </c>
    </row>
    <row r="33" spans="1:3" x14ac:dyDescent="0.3">
      <c r="A33" s="5" t="s">
        <v>37</v>
      </c>
      <c r="B33" s="3">
        <v>5</v>
      </c>
      <c r="C33" s="3">
        <v>8</v>
      </c>
    </row>
    <row r="34" spans="1:3" x14ac:dyDescent="0.3">
      <c r="A34" s="5" t="s">
        <v>38</v>
      </c>
      <c r="B34" s="3">
        <v>5</v>
      </c>
      <c r="C34" s="3">
        <v>8</v>
      </c>
    </row>
    <row r="35" spans="1:3" x14ac:dyDescent="0.3">
      <c r="A35" s="5" t="s">
        <v>39</v>
      </c>
      <c r="B35" s="3">
        <v>5</v>
      </c>
      <c r="C35" s="3">
        <v>8</v>
      </c>
    </row>
    <row r="36" spans="1:3" x14ac:dyDescent="0.3">
      <c r="A36" s="5" t="s">
        <v>40</v>
      </c>
      <c r="B36" s="3">
        <v>5</v>
      </c>
      <c r="C36" s="3">
        <v>8</v>
      </c>
    </row>
    <row r="37" spans="1:3" x14ac:dyDescent="0.3">
      <c r="A37" s="5" t="s">
        <v>41</v>
      </c>
      <c r="B37" s="3">
        <v>175</v>
      </c>
      <c r="C37" s="3">
        <v>147</v>
      </c>
    </row>
    <row r="38" spans="1:3" ht="16.2" x14ac:dyDescent="0.3">
      <c r="A38" s="5" t="s">
        <v>58</v>
      </c>
      <c r="B38" s="3">
        <v>0</v>
      </c>
      <c r="C38" s="3">
        <v>0.33600000000000002</v>
      </c>
    </row>
    <row r="39" spans="1:3" ht="16.2" x14ac:dyDescent="0.3">
      <c r="A39" s="5" t="s">
        <v>59</v>
      </c>
      <c r="B39" s="3">
        <v>0</v>
      </c>
      <c r="C39" s="3">
        <v>0.33600000000000002</v>
      </c>
    </row>
    <row r="40" spans="1:3" ht="16.2" x14ac:dyDescent="0.3">
      <c r="A40" s="5" t="s">
        <v>60</v>
      </c>
      <c r="B40" s="3">
        <v>0</v>
      </c>
      <c r="C40" s="3">
        <v>0.33600000000000002</v>
      </c>
    </row>
    <row r="41" spans="1:3" ht="16.2" x14ac:dyDescent="0.3">
      <c r="A41" s="5" t="s">
        <v>61</v>
      </c>
      <c r="B41" s="3">
        <v>0</v>
      </c>
      <c r="C41" s="3">
        <v>0.33600000000000002</v>
      </c>
    </row>
    <row r="42" spans="1:3" ht="16.2" x14ac:dyDescent="0.3">
      <c r="A42" s="5" t="s">
        <v>62</v>
      </c>
      <c r="B42" s="3">
        <f>493*0.75</f>
        <v>369.75</v>
      </c>
      <c r="C42" s="3">
        <f>493*0.75</f>
        <v>369.75</v>
      </c>
    </row>
    <row r="43" spans="1:3" ht="16.2" x14ac:dyDescent="0.3">
      <c r="A43" s="4" t="s">
        <v>63</v>
      </c>
      <c r="B43" s="3">
        <f>760*0.75</f>
        <v>570</v>
      </c>
      <c r="C43" s="3">
        <f>732*0.75</f>
        <v>549</v>
      </c>
    </row>
    <row r="44" spans="1:3" ht="16.2" x14ac:dyDescent="0.3">
      <c r="A44" s="4" t="s">
        <v>64</v>
      </c>
      <c r="B44" s="3">
        <v>179</v>
      </c>
      <c r="C44" s="3">
        <v>159</v>
      </c>
    </row>
    <row r="45" spans="1:3" ht="16.2" x14ac:dyDescent="0.3">
      <c r="A45" s="4" t="s">
        <v>65</v>
      </c>
      <c r="B45" s="3">
        <v>179</v>
      </c>
      <c r="C45" s="3">
        <v>159</v>
      </c>
    </row>
    <row r="46" spans="1:3" ht="16.2" x14ac:dyDescent="0.3">
      <c r="A46" s="4" t="s">
        <v>66</v>
      </c>
      <c r="B46" s="3">
        <v>179</v>
      </c>
      <c r="C46" s="3">
        <v>159</v>
      </c>
    </row>
    <row r="47" spans="1:3" ht="16.2" x14ac:dyDescent="0.3">
      <c r="A47" s="4" t="s">
        <v>67</v>
      </c>
      <c r="B47" s="3">
        <v>179</v>
      </c>
      <c r="C47" s="3">
        <v>159</v>
      </c>
    </row>
    <row r="48" spans="1:3" ht="16.2" x14ac:dyDescent="0.3">
      <c r="A48" s="4" t="s">
        <v>68</v>
      </c>
      <c r="B48" s="3">
        <v>179</v>
      </c>
      <c r="C48" s="3">
        <v>159</v>
      </c>
    </row>
    <row r="49" spans="1:4" ht="16.2" x14ac:dyDescent="0.3">
      <c r="A49" s="4" t="s">
        <v>69</v>
      </c>
      <c r="B49" s="3">
        <v>179</v>
      </c>
      <c r="C49" s="3">
        <v>159</v>
      </c>
    </row>
    <row r="50" spans="1:4" x14ac:dyDescent="0.3">
      <c r="A50" s="7" t="s">
        <v>42</v>
      </c>
      <c r="B50" s="3">
        <v>28</v>
      </c>
      <c r="C50" s="3">
        <v>23</v>
      </c>
    </row>
    <row r="51" spans="1:4" x14ac:dyDescent="0.3">
      <c r="A51" s="7" t="s">
        <v>43</v>
      </c>
      <c r="B51" s="3">
        <v>16</v>
      </c>
      <c r="C51" s="3">
        <v>14</v>
      </c>
    </row>
    <row r="52" spans="1:4" x14ac:dyDescent="0.3">
      <c r="A52" s="7" t="s">
        <v>5</v>
      </c>
      <c r="B52" s="3">
        <v>158</v>
      </c>
      <c r="C52" s="3">
        <v>152</v>
      </c>
      <c r="D52" s="1" t="s">
        <v>45</v>
      </c>
    </row>
    <row r="54" spans="1:4" x14ac:dyDescent="0.3">
      <c r="A54" s="1" t="s">
        <v>70</v>
      </c>
      <c r="B54" s="8">
        <f>SUM(B4:B52)-B51</f>
        <v>7972.583333333333</v>
      </c>
      <c r="C54" s="8">
        <f>SUM(C4:C52)-C51</f>
        <v>7687.7780000000012</v>
      </c>
    </row>
  </sheetData>
  <mergeCells count="2">
    <mergeCell ref="B2:B3"/>
    <mergeCell ref="C2:C3"/>
  </mergeCells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2022</Year>
    <Review_x0020_Case_x0020_Doc_x0020_Types xmlns="65bfb563-8fe2-4d34-a09f-38a217d8feea">First Round Data Requests</Review_x0020_Case_x0020_Doc_x0020_Types>
    <Case_x0020__x0023_ xmlns="f789fa03-9022-4931-acb2-79f11ac92edf" xsi:nil="true"/>
    <Data_x0020_Request_x0020_Party xmlns="f789fa03-9022-4931-acb2-79f11ac92edf" xsi:nil="true"/>
    <Status_x0020__x0028_Internal_x0020_Use_x0020_Only_x0029_ xmlns="2ad705b9-adad-42ba-803b-2580de5ca47a"/>
    <Company xmlns="65bfb563-8fe2-4d34-a09f-38a217d8feea">
      <Value>KU</Value>
    </Compan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CEBE2AC83CBF4DBDD768E1B572F6C5" ma:contentTypeVersion="22" ma:contentTypeDescription="Create a new document." ma:contentTypeScope="" ma:versionID="4bffbf025570108a8d028dbe3291b700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c6fedcf7c2c0918743fe259a7913fb6d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2" ma:format="Dropdown" ma:internalName="Year">
      <xsd:simpleType>
        <xsd:restriction base="dms:Choice">
          <xsd:enumeration value="2022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Testimony, Orders, Motions, Notices, and Briefs"/>
          <xsd:enumeration value="First Round Data Requests"/>
          <xsd:enumeration value="Second Round Data Reques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Bevington, John"/>
          <xsd:enumeration value="Conroy, Robert"/>
          <xsd:enumeration value="Hornung, Mike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50E9E4-13E1-4570-AD6D-2ECB85624C0E}">
  <ds:schemaRefs>
    <ds:schemaRef ds:uri="http://schemas.microsoft.com/office/2006/metadata/properties"/>
    <ds:schemaRef ds:uri="65bfb563-8fe2-4d34-a09f-38a217d8feea"/>
    <ds:schemaRef ds:uri="http://purl.org/dc/elements/1.1/"/>
    <ds:schemaRef ds:uri="f789fa03-9022-4931-acb2-79f11ac92edf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2ad705b9-adad-42ba-803b-2580de5ca47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9C67001-8890-4B62-8C5A-30CD642EF6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8FB496-F3D2-41DC-BF08-FC9C53D39C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f789fa03-9022-4931-acb2-79f11ac92edf"/>
    <ds:schemaRef ds:uri="2ad705b9-adad-42ba-803b-2580de5c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UnitRatings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Adam McKinney</dc:creator>
  <cp:lastModifiedBy>Hurst, Brian</cp:lastModifiedBy>
  <dcterms:created xsi:type="dcterms:W3CDTF">2021-09-14T15:19:32Z</dcterms:created>
  <dcterms:modified xsi:type="dcterms:W3CDTF">2022-12-01T19:26:42Z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2021-10-11T13:43:59Z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3f48f28d-20c9-4446-b29f-10c5d3b8cdc0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0x010100E5CEBE2AC83CBF4DBDD768E1B572F6C5</vt:lpwstr>
  </property>
</Properties>
</file>