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uncan.crosby\Desktop\"/>
    </mc:Choice>
  </mc:AlternateContent>
  <xr:revisionPtr revIDLastSave="0" documentId="8_{9011A15A-ADB0-4038-927D-A62F41AFDBC1}" xr6:coauthVersionLast="47" xr6:coauthVersionMax="47" xr10:uidLastSave="{00000000-0000-0000-0000-000000000000}"/>
  <bookViews>
    <workbookView xWindow="-28920" yWindow="-210" windowWidth="29040" windowHeight="15840" activeTab="1" xr2:uid="{00000000-000D-0000-FFFF-FFFF00000000}"/>
  </bookViews>
  <sheets>
    <sheet name="Summary" sheetId="18" r:id="rId1"/>
    <sheet name="Prod Economic Carrying Charge" sheetId="8" r:id="rId2"/>
    <sheet name="Prod PVRR" sheetId="7" r:id="rId3"/>
    <sheet name="Combined WACOC-Tax Table" sheetId="20" r:id="rId4"/>
    <sheet name="LGE WACOC-Tax Table" sheetId="6" r:id="rId5"/>
    <sheet name="KU WACOC-Tax Table" sheetId="19" r:id="rId6"/>
    <sheet name="WACOC" sheetId="22" r:id="rId7"/>
  </sheets>
  <definedNames>
    <definedName name="_xlnm.Print_Area" localSheetId="5">'KU WACOC-Tax Table'!$A$1:$G$53</definedName>
    <definedName name="_xlnm.Print_Area" localSheetId="4">'LGE WACOC-Tax Table'!$A$1:$G$53</definedName>
    <definedName name="_xlnm.Print_Area" localSheetId="1">'Prod Economic Carrying Charge'!$A$1:$F$48</definedName>
    <definedName name="_xlnm.Print_Area" localSheetId="2">'Prod PVRR'!$A$1:$X$70</definedName>
    <definedName name="_xlnm.Print_Area" localSheetId="0">Summary!$A$1:$I$49</definedName>
    <definedName name="_xlnm.Print_Area" localSheetId="6">WACOC!$A$1:$D$39</definedName>
    <definedName name="_xlnm.Print_Titles" localSheetId="2">'Prod PVRR'!$A:$A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7" l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N30" i="7"/>
  <c r="N31" i="7" s="1"/>
  <c r="N32" i="7" s="1"/>
  <c r="N33" i="7" s="1"/>
  <c r="N34" i="7" s="1"/>
  <c r="N35" i="7" s="1"/>
  <c r="N36" i="7" s="1"/>
  <c r="N37" i="7" s="1"/>
  <c r="N38" i="7" s="1"/>
  <c r="N39" i="7" s="1"/>
  <c r="N40" i="7" s="1"/>
  <c r="N41" i="7" s="1"/>
  <c r="N42" i="7" s="1"/>
  <c r="N43" i="7" s="1"/>
  <c r="N44" i="7" s="1"/>
  <c r="N45" i="7" s="1"/>
  <c r="N46" i="7" s="1"/>
  <c r="N47" i="7" s="1"/>
  <c r="N48" i="7" s="1"/>
  <c r="N49" i="7" s="1"/>
  <c r="N50" i="7" s="1"/>
  <c r="N51" i="7" s="1"/>
  <c r="N52" i="7" s="1"/>
  <c r="N53" i="7" s="1"/>
  <c r="N54" i="7" s="1"/>
  <c r="N55" i="7" s="1"/>
  <c r="N56" i="7" s="1"/>
  <c r="N57" i="7" s="1"/>
  <c r="N58" i="7" s="1"/>
  <c r="N59" i="7" s="1"/>
  <c r="N60" i="7" s="1"/>
  <c r="N61" i="7" s="1"/>
  <c r="N62" i="7" s="1"/>
  <c r="N63" i="7" s="1"/>
  <c r="N64" i="7" s="1"/>
  <c r="N65" i="7" s="1"/>
  <c r="N66" i="7" s="1"/>
  <c r="N67" i="7" s="1"/>
  <c r="N68" i="7" s="1"/>
  <c r="D28" i="8"/>
  <c r="E12" i="7"/>
  <c r="B37" i="22" l="1"/>
  <c r="B36" i="22"/>
  <c r="C22" i="22"/>
  <c r="C21" i="22"/>
  <c r="C20" i="22"/>
  <c r="B22" i="22"/>
  <c r="B21" i="22"/>
  <c r="B20" i="22"/>
  <c r="C12" i="22"/>
  <c r="B12" i="22"/>
  <c r="C11" i="22"/>
  <c r="B11" i="22"/>
  <c r="C10" i="22"/>
  <c r="B10" i="22"/>
  <c r="E11" i="6"/>
  <c r="E11" i="19" l="1"/>
  <c r="F13" i="18" l="1"/>
  <c r="F32" i="22" l="1"/>
  <c r="F31" i="22"/>
  <c r="F30" i="22"/>
  <c r="H23" i="22"/>
  <c r="F23" i="22"/>
  <c r="D21" i="22" s="1"/>
  <c r="G22" i="22"/>
  <c r="G21" i="22"/>
  <c r="G20" i="22"/>
  <c r="H13" i="22"/>
  <c r="F13" i="22"/>
  <c r="G12" i="22"/>
  <c r="D12" i="22"/>
  <c r="G11" i="22"/>
  <c r="D11" i="22"/>
  <c r="G10" i="22"/>
  <c r="D10" i="22"/>
  <c r="B38" i="22" l="1"/>
  <c r="E10" i="20" s="1"/>
  <c r="E11" i="20" s="1"/>
  <c r="H30" i="22"/>
  <c r="C30" i="22" s="1"/>
  <c r="C10" i="20" s="1"/>
  <c r="D20" i="22"/>
  <c r="H32" i="22"/>
  <c r="C32" i="22" s="1"/>
  <c r="C12" i="20" s="1"/>
  <c r="H31" i="22"/>
  <c r="C31" i="22" s="1"/>
  <c r="C11" i="20" s="1"/>
  <c r="D22" i="22"/>
  <c r="F33" i="22"/>
  <c r="G31" i="22" s="1"/>
  <c r="D13" i="22"/>
  <c r="G13" i="22" s="1"/>
  <c r="I30" i="22" l="1"/>
  <c r="I31" i="22"/>
  <c r="J31" i="22" s="1"/>
  <c r="I32" i="22"/>
  <c r="B31" i="22"/>
  <c r="D23" i="22"/>
  <c r="G23" i="22" s="1"/>
  <c r="G30" i="22"/>
  <c r="J30" i="22" s="1"/>
  <c r="B32" i="22"/>
  <c r="B30" i="22"/>
  <c r="G32" i="22"/>
  <c r="D31" i="22" l="1"/>
  <c r="B11" i="20"/>
  <c r="D30" i="22"/>
  <c r="B10" i="20"/>
  <c r="D32" i="22"/>
  <c r="B12" i="20"/>
  <c r="J32" i="22"/>
  <c r="J33" i="22" s="1"/>
  <c r="B33" i="22"/>
  <c r="G33" i="22"/>
  <c r="D33" i="22" l="1"/>
  <c r="E11" i="7"/>
  <c r="D11" i="20" l="1"/>
  <c r="F11" i="20" s="1"/>
  <c r="D10" i="20"/>
  <c r="F10" i="20" s="1"/>
  <c r="D12" i="20"/>
  <c r="F12" i="20" s="1"/>
  <c r="D16" i="8" l="1"/>
  <c r="D20" i="8"/>
  <c r="D13" i="20" l="1"/>
  <c r="F13" i="20" l="1"/>
  <c r="Q68" i="7" l="1"/>
  <c r="Q64" i="7"/>
  <c r="Q60" i="7"/>
  <c r="Q56" i="7"/>
  <c r="Q52" i="7"/>
  <c r="Q48" i="7"/>
  <c r="Q44" i="7"/>
  <c r="Q40" i="7"/>
  <c r="Q36" i="7"/>
  <c r="Q32" i="7"/>
  <c r="Q28" i="7"/>
  <c r="Q67" i="7"/>
  <c r="Q63" i="7"/>
  <c r="Q59" i="7"/>
  <c r="Q55" i="7"/>
  <c r="Q51" i="7"/>
  <c r="Q47" i="7"/>
  <c r="Q43" i="7"/>
  <c r="Q39" i="7"/>
  <c r="Q35" i="7"/>
  <c r="Q31" i="7"/>
  <c r="Q61" i="7"/>
  <c r="Q53" i="7"/>
  <c r="Q45" i="7"/>
  <c r="Q37" i="7"/>
  <c r="Q29" i="7"/>
  <c r="Q49" i="7"/>
  <c r="Q33" i="7"/>
  <c r="D10" i="8"/>
  <c r="D26" i="8" s="1"/>
  <c r="Q62" i="7"/>
  <c r="Q54" i="7"/>
  <c r="Q46" i="7"/>
  <c r="Q38" i="7"/>
  <c r="Q30" i="7"/>
  <c r="Q66" i="7"/>
  <c r="Q58" i="7"/>
  <c r="Q50" i="7"/>
  <c r="Q42" i="7"/>
  <c r="Q34" i="7"/>
  <c r="Q65" i="7"/>
  <c r="Q57" i="7"/>
  <c r="Q41" i="7"/>
  <c r="D12" i="19"/>
  <c r="F12" i="19" s="1"/>
  <c r="D11" i="19"/>
  <c r="F11" i="19" s="1"/>
  <c r="D10" i="19"/>
  <c r="F10" i="19" s="1"/>
  <c r="F13" i="19" l="1"/>
  <c r="D13" i="19"/>
  <c r="W9" i="7" l="1"/>
  <c r="W10" i="7"/>
  <c r="W11" i="7"/>
  <c r="W8" i="7"/>
  <c r="S2" i="7"/>
  <c r="S3" i="7"/>
  <c r="S1" i="7"/>
  <c r="W12" i="7"/>
  <c r="D10" i="6"/>
  <c r="F10" i="6" s="1"/>
  <c r="E13" i="7"/>
  <c r="W13" i="7" s="1"/>
  <c r="I3" i="7"/>
  <c r="I2" i="7"/>
  <c r="I1" i="7"/>
  <c r="L10" i="7"/>
  <c r="L8" i="7"/>
  <c r="L11" i="7"/>
  <c r="L9" i="7"/>
  <c r="D11" i="6"/>
  <c r="F11" i="6" s="1"/>
  <c r="D12" i="6"/>
  <c r="F12" i="6" s="1"/>
  <c r="B28" i="7"/>
  <c r="L13" i="7" l="1"/>
  <c r="E33" i="7"/>
  <c r="E37" i="7"/>
  <c r="E41" i="7"/>
  <c r="E45" i="7"/>
  <c r="E49" i="7"/>
  <c r="E53" i="7"/>
  <c r="E57" i="7"/>
  <c r="E61" i="7"/>
  <c r="E65" i="7"/>
  <c r="E29" i="7"/>
  <c r="F29" i="7" s="1"/>
  <c r="E32" i="7"/>
  <c r="E36" i="7"/>
  <c r="E40" i="7"/>
  <c r="E44" i="7"/>
  <c r="E48" i="7"/>
  <c r="E52" i="7"/>
  <c r="E56" i="7"/>
  <c r="E60" i="7"/>
  <c r="E64" i="7"/>
  <c r="E68" i="7"/>
  <c r="E31" i="7"/>
  <c r="E35" i="7"/>
  <c r="E39" i="7"/>
  <c r="E43" i="7"/>
  <c r="E47" i="7"/>
  <c r="E51" i="7"/>
  <c r="E55" i="7"/>
  <c r="E59" i="7"/>
  <c r="E63" i="7"/>
  <c r="E67" i="7"/>
  <c r="E30" i="7"/>
  <c r="E34" i="7"/>
  <c r="E38" i="7"/>
  <c r="E42" i="7"/>
  <c r="E46" i="7"/>
  <c r="E50" i="7"/>
  <c r="E54" i="7"/>
  <c r="E58" i="7"/>
  <c r="E62" i="7"/>
  <c r="E66" i="7"/>
  <c r="C29" i="7"/>
  <c r="L12" i="7"/>
  <c r="F13" i="6"/>
  <c r="D13" i="6"/>
  <c r="G29" i="7" l="1"/>
  <c r="H29" i="7" s="1"/>
  <c r="F30" i="7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D29" i="7"/>
  <c r="R28" i="7"/>
  <c r="S28" i="7" s="1"/>
  <c r="I29" i="7" l="1"/>
  <c r="L29" i="7"/>
  <c r="C30" i="7"/>
  <c r="J29" i="7" l="1"/>
  <c r="K29" i="7"/>
  <c r="M29" i="7" s="1"/>
  <c r="D30" i="7"/>
  <c r="G30" i="7"/>
  <c r="H30" i="7" s="1"/>
  <c r="P29" i="7" l="1"/>
  <c r="L30" i="7"/>
  <c r="I30" i="7"/>
  <c r="C31" i="7"/>
  <c r="J30" i="7" l="1"/>
  <c r="K30" i="7"/>
  <c r="M30" i="7"/>
  <c r="G31" i="7"/>
  <c r="H31" i="7" s="1"/>
  <c r="D31" i="7"/>
  <c r="R29" i="7"/>
  <c r="S29" i="7" s="1"/>
  <c r="T29" i="7"/>
  <c r="P30" i="7" l="1"/>
  <c r="I31" i="7"/>
  <c r="L31" i="7"/>
  <c r="C32" i="7"/>
  <c r="J31" i="7" l="1"/>
  <c r="K31" i="7"/>
  <c r="M31" i="7"/>
  <c r="T30" i="7"/>
  <c r="R30" i="7"/>
  <c r="S30" i="7" s="1"/>
  <c r="G32" i="7"/>
  <c r="H32" i="7" s="1"/>
  <c r="D32" i="7"/>
  <c r="P31" i="7" l="1"/>
  <c r="T31" i="7" s="1"/>
  <c r="C33" i="7"/>
  <c r="L32" i="7"/>
  <c r="I32" i="7"/>
  <c r="J32" i="7" l="1"/>
  <c r="K32" i="7"/>
  <c r="G33" i="7"/>
  <c r="H33" i="7" s="1"/>
  <c r="D33" i="7"/>
  <c r="L33" i="7" s="1"/>
  <c r="M32" i="7"/>
  <c r="R31" i="7"/>
  <c r="S31" i="7" s="1"/>
  <c r="P32" i="7" l="1"/>
  <c r="C34" i="7"/>
  <c r="I33" i="7"/>
  <c r="K33" i="7" l="1"/>
  <c r="M33" i="7" s="1"/>
  <c r="J33" i="7"/>
  <c r="G34" i="7"/>
  <c r="H34" i="7" s="1"/>
  <c r="D34" i="7"/>
  <c r="C35" i="7" s="1"/>
  <c r="R32" i="7"/>
  <c r="S32" i="7" s="1"/>
  <c r="T32" i="7"/>
  <c r="G35" i="7" l="1"/>
  <c r="H35" i="7" s="1"/>
  <c r="P33" i="7"/>
  <c r="T33" i="7" s="1"/>
  <c r="I34" i="7"/>
  <c r="L34" i="7"/>
  <c r="D35" i="7"/>
  <c r="I35" i="7" s="1"/>
  <c r="J35" i="7" l="1"/>
  <c r="K35" i="7"/>
  <c r="J34" i="7"/>
  <c r="K34" i="7"/>
  <c r="R33" i="7"/>
  <c r="S33" i="7" s="1"/>
  <c r="L35" i="7"/>
  <c r="C36" i="7"/>
  <c r="M35" i="7"/>
  <c r="P34" i="7" l="1"/>
  <c r="M34" i="7"/>
  <c r="P35" i="7"/>
  <c r="T35" i="7" s="1"/>
  <c r="G36" i="7"/>
  <c r="H36" i="7" s="1"/>
  <c r="D36" i="7"/>
  <c r="L36" i="7" s="1"/>
  <c r="R34" i="7"/>
  <c r="S34" i="7" s="1"/>
  <c r="T34" i="7"/>
  <c r="I36" i="7" l="1"/>
  <c r="C37" i="7"/>
  <c r="R35" i="7"/>
  <c r="S35" i="7" s="1"/>
  <c r="J36" i="7" l="1"/>
  <c r="K36" i="7"/>
  <c r="G37" i="7"/>
  <c r="H37" i="7" s="1"/>
  <c r="D37" i="7"/>
  <c r="L37" i="7" s="1"/>
  <c r="M36" i="7"/>
  <c r="P36" i="7" l="1"/>
  <c r="T36" i="7" s="1"/>
  <c r="I37" i="7"/>
  <c r="C38" i="7"/>
  <c r="K37" i="7" l="1"/>
  <c r="M37" i="7" s="1"/>
  <c r="J37" i="7"/>
  <c r="D38" i="7"/>
  <c r="R36" i="7"/>
  <c r="S36" i="7" s="1"/>
  <c r="G38" i="7"/>
  <c r="H38" i="7" s="1"/>
  <c r="I38" i="7" s="1"/>
  <c r="L38" i="7"/>
  <c r="C39" i="7"/>
  <c r="J38" i="7" l="1"/>
  <c r="K38" i="7"/>
  <c r="G39" i="7"/>
  <c r="P37" i="7"/>
  <c r="H39" i="7"/>
  <c r="T37" i="7"/>
  <c r="M38" i="7"/>
  <c r="P38" i="7" s="1"/>
  <c r="D39" i="7"/>
  <c r="R37" i="7" l="1"/>
  <c r="S37" i="7" s="1"/>
  <c r="I39" i="7"/>
  <c r="C40" i="7"/>
  <c r="L39" i="7"/>
  <c r="J39" i="7" l="1"/>
  <c r="K39" i="7"/>
  <c r="M39" i="7"/>
  <c r="G40" i="7"/>
  <c r="H40" i="7" s="1"/>
  <c r="T38" i="7"/>
  <c r="R38" i="7"/>
  <c r="S38" i="7" s="1"/>
  <c r="D40" i="7"/>
  <c r="P39" i="7" l="1"/>
  <c r="L40" i="7"/>
  <c r="C41" i="7"/>
  <c r="I40" i="7"/>
  <c r="J40" i="7" l="1"/>
  <c r="K40" i="7"/>
  <c r="D41" i="7"/>
  <c r="M40" i="7"/>
  <c r="T39" i="7"/>
  <c r="R39" i="7"/>
  <c r="S39" i="7" s="1"/>
  <c r="L41" i="7"/>
  <c r="C42" i="7"/>
  <c r="G41" i="7"/>
  <c r="H41" i="7" s="1"/>
  <c r="I41" i="7" l="1"/>
  <c r="D42" i="7"/>
  <c r="P40" i="7"/>
  <c r="R40" i="7"/>
  <c r="S40" i="7" s="1"/>
  <c r="L42" i="7"/>
  <c r="C43" i="7"/>
  <c r="G42" i="7"/>
  <c r="H42" i="7" s="1"/>
  <c r="I42" i="7" l="1"/>
  <c r="K41" i="7"/>
  <c r="M41" i="7" s="1"/>
  <c r="J41" i="7"/>
  <c r="P41" i="7" s="1"/>
  <c r="G43" i="7"/>
  <c r="H43" i="7" s="1"/>
  <c r="T41" i="7"/>
  <c r="T40" i="7"/>
  <c r="D43" i="7"/>
  <c r="L43" i="7" s="1"/>
  <c r="J42" i="7" l="1"/>
  <c r="K42" i="7"/>
  <c r="M42" i="7" s="1"/>
  <c r="P42" i="7"/>
  <c r="R42" i="7" s="1"/>
  <c r="C44" i="7"/>
  <c r="R41" i="7"/>
  <c r="S41" i="7" s="1"/>
  <c r="I43" i="7"/>
  <c r="J43" i="7" l="1"/>
  <c r="K43" i="7"/>
  <c r="D44" i="7"/>
  <c r="L44" i="7"/>
  <c r="C45" i="7"/>
  <c r="G44" i="7"/>
  <c r="H44" i="7" s="1"/>
  <c r="I44" i="7" s="1"/>
  <c r="M43" i="7"/>
  <c r="S42" i="7"/>
  <c r="T42" i="7"/>
  <c r="J44" i="7" l="1"/>
  <c r="K44" i="7"/>
  <c r="M44" i="7" s="1"/>
  <c r="P44" i="7" s="1"/>
  <c r="P43" i="7"/>
  <c r="T43" i="7" s="1"/>
  <c r="D45" i="7"/>
  <c r="L45" i="7" s="1"/>
  <c r="G45" i="7"/>
  <c r="H45" i="7" s="1"/>
  <c r="I45" i="7" s="1"/>
  <c r="C46" i="7"/>
  <c r="K45" i="7" l="1"/>
  <c r="J45" i="7"/>
  <c r="G46" i="7"/>
  <c r="D46" i="7"/>
  <c r="L46" i="7" s="1"/>
  <c r="H46" i="7"/>
  <c r="R43" i="7"/>
  <c r="S43" i="7" s="1"/>
  <c r="M45" i="7"/>
  <c r="R44" i="7"/>
  <c r="T44" i="7"/>
  <c r="P45" i="7" l="1"/>
  <c r="I46" i="7"/>
  <c r="C47" i="7"/>
  <c r="S44" i="7"/>
  <c r="K46" i="7" l="1"/>
  <c r="M46" i="7" s="1"/>
  <c r="J46" i="7"/>
  <c r="D47" i="7"/>
  <c r="L47" i="7" s="1"/>
  <c r="G47" i="7"/>
  <c r="H47" i="7" s="1"/>
  <c r="R45" i="7"/>
  <c r="S45" i="7" s="1"/>
  <c r="T45" i="7"/>
  <c r="C48" i="7" l="1"/>
  <c r="I47" i="7"/>
  <c r="D48" i="7"/>
  <c r="C49" i="7" s="1"/>
  <c r="P46" i="7"/>
  <c r="R46" i="7" s="1"/>
  <c r="S46" i="7" s="1"/>
  <c r="L48" i="7"/>
  <c r="G48" i="7"/>
  <c r="H48" i="7" s="1"/>
  <c r="T46" i="7" l="1"/>
  <c r="J47" i="7"/>
  <c r="K47" i="7"/>
  <c r="M47" i="7" s="1"/>
  <c r="I48" i="7"/>
  <c r="P47" i="7"/>
  <c r="G49" i="7"/>
  <c r="H49" i="7" s="1"/>
  <c r="D49" i="7"/>
  <c r="J48" i="7" l="1"/>
  <c r="K48" i="7"/>
  <c r="M48" i="7" s="1"/>
  <c r="P48" i="7"/>
  <c r="R47" i="7"/>
  <c r="S47" i="7" s="1"/>
  <c r="T47" i="7"/>
  <c r="I49" i="7"/>
  <c r="L49" i="7"/>
  <c r="C50" i="7"/>
  <c r="J49" i="7" l="1"/>
  <c r="K49" i="7"/>
  <c r="G50" i="7"/>
  <c r="H50" i="7" s="1"/>
  <c r="M49" i="7"/>
  <c r="R48" i="7"/>
  <c r="S48" i="7" s="1"/>
  <c r="T48" i="7"/>
  <c r="D50" i="7"/>
  <c r="P49" i="7" l="1"/>
  <c r="T49" i="7" s="1"/>
  <c r="I50" i="7"/>
  <c r="L50" i="7"/>
  <c r="C51" i="7"/>
  <c r="J50" i="7" l="1"/>
  <c r="K50" i="7"/>
  <c r="M50" i="7"/>
  <c r="R49" i="7"/>
  <c r="S49" i="7" s="1"/>
  <c r="G51" i="7"/>
  <c r="H51" i="7" s="1"/>
  <c r="D51" i="7"/>
  <c r="P50" i="7" l="1"/>
  <c r="R50" i="7" s="1"/>
  <c r="S50" i="7" s="1"/>
  <c r="I51" i="7"/>
  <c r="C52" i="7"/>
  <c r="L51" i="7"/>
  <c r="J51" i="7" l="1"/>
  <c r="K51" i="7"/>
  <c r="M51" i="7"/>
  <c r="T50" i="7"/>
  <c r="G52" i="7"/>
  <c r="H52" i="7" s="1"/>
  <c r="D52" i="7"/>
  <c r="P51" i="7" l="1"/>
  <c r="R51" i="7" s="1"/>
  <c r="S51" i="7" s="1"/>
  <c r="I52" i="7"/>
  <c r="C53" i="7"/>
  <c r="L52" i="7"/>
  <c r="J52" i="7" l="1"/>
  <c r="K52" i="7"/>
  <c r="T51" i="7"/>
  <c r="M52" i="7"/>
  <c r="D53" i="7"/>
  <c r="G53" i="7"/>
  <c r="H53" i="7" s="1"/>
  <c r="P52" i="7" l="1"/>
  <c r="C54" i="7"/>
  <c r="L53" i="7"/>
  <c r="I53" i="7"/>
  <c r="K53" i="7" l="1"/>
  <c r="J53" i="7"/>
  <c r="G54" i="7"/>
  <c r="H54" i="7" s="1"/>
  <c r="M53" i="7"/>
  <c r="P53" i="7" s="1"/>
  <c r="R52" i="7"/>
  <c r="S52" i="7" s="1"/>
  <c r="T52" i="7"/>
  <c r="D54" i="7"/>
  <c r="R53" i="7" l="1"/>
  <c r="S53" i="7" s="1"/>
  <c r="L54" i="7"/>
  <c r="C55" i="7"/>
  <c r="I54" i="7"/>
  <c r="J54" i="7" l="1"/>
  <c r="K54" i="7"/>
  <c r="M54" i="7" s="1"/>
  <c r="D55" i="7"/>
  <c r="T53" i="7"/>
  <c r="C56" i="7"/>
  <c r="L55" i="7"/>
  <c r="G55" i="7"/>
  <c r="H55" i="7" s="1"/>
  <c r="P54" i="7" l="1"/>
  <c r="I55" i="7"/>
  <c r="G56" i="7"/>
  <c r="H56" i="7" s="1"/>
  <c r="D56" i="7"/>
  <c r="J55" i="7" l="1"/>
  <c r="K55" i="7"/>
  <c r="M55" i="7" s="1"/>
  <c r="P55" i="7"/>
  <c r="C57" i="7"/>
  <c r="I56" i="7"/>
  <c r="L56" i="7"/>
  <c r="T54" i="7"/>
  <c r="R54" i="7"/>
  <c r="S54" i="7" s="1"/>
  <c r="J56" i="7" l="1"/>
  <c r="K56" i="7"/>
  <c r="G57" i="7"/>
  <c r="H57" i="7" s="1"/>
  <c r="M56" i="7"/>
  <c r="T55" i="7"/>
  <c r="R55" i="7"/>
  <c r="S55" i="7" s="1"/>
  <c r="D57" i="7"/>
  <c r="P56" i="7" l="1"/>
  <c r="L57" i="7"/>
  <c r="C58" i="7"/>
  <c r="I57" i="7"/>
  <c r="K57" i="7" l="1"/>
  <c r="J57" i="7"/>
  <c r="M57" i="7"/>
  <c r="P57" i="7"/>
  <c r="G58" i="7"/>
  <c r="H58" i="7" s="1"/>
  <c r="R56" i="7"/>
  <c r="S56" i="7" s="1"/>
  <c r="T56" i="7"/>
  <c r="D58" i="7"/>
  <c r="C59" i="7" l="1"/>
  <c r="L58" i="7"/>
  <c r="I58" i="7"/>
  <c r="J58" i="7" l="1"/>
  <c r="K58" i="7"/>
  <c r="D59" i="7"/>
  <c r="M58" i="7"/>
  <c r="I59" i="7"/>
  <c r="L59" i="7"/>
  <c r="C60" i="7"/>
  <c r="T57" i="7"/>
  <c r="R57" i="7"/>
  <c r="S57" i="7" s="1"/>
  <c r="G59" i="7"/>
  <c r="H59" i="7" s="1"/>
  <c r="J59" i="7" l="1"/>
  <c r="K59" i="7"/>
  <c r="P58" i="7"/>
  <c r="R58" i="7" s="1"/>
  <c r="S58" i="7" s="1"/>
  <c r="M59" i="7"/>
  <c r="G60" i="7"/>
  <c r="H60" i="7" s="1"/>
  <c r="D60" i="7"/>
  <c r="P59" i="7" l="1"/>
  <c r="T58" i="7"/>
  <c r="C61" i="7"/>
  <c r="I60" i="7"/>
  <c r="L60" i="7"/>
  <c r="J60" i="7" l="1"/>
  <c r="K60" i="7"/>
  <c r="D61" i="7"/>
  <c r="C62" i="7" s="1"/>
  <c r="M60" i="7"/>
  <c r="P60" i="7"/>
  <c r="R59" i="7"/>
  <c r="S59" i="7" s="1"/>
  <c r="T59" i="7"/>
  <c r="G61" i="7"/>
  <c r="H61" i="7" s="1"/>
  <c r="I61" i="7" l="1"/>
  <c r="L61" i="7"/>
  <c r="R60" i="7"/>
  <c r="S60" i="7" s="1"/>
  <c r="G62" i="7"/>
  <c r="H62" i="7" s="1"/>
  <c r="D62" i="7"/>
  <c r="J61" i="7" l="1"/>
  <c r="K61" i="7"/>
  <c r="M61" i="7" s="1"/>
  <c r="T60" i="7"/>
  <c r="C63" i="7"/>
  <c r="I62" i="7"/>
  <c r="L62" i="7"/>
  <c r="J62" i="7" l="1"/>
  <c r="K62" i="7"/>
  <c r="P61" i="7"/>
  <c r="R61" i="7" s="1"/>
  <c r="S61" i="7" s="1"/>
  <c r="G63" i="7"/>
  <c r="H63" i="7" s="1"/>
  <c r="D63" i="7"/>
  <c r="C64" i="7" s="1"/>
  <c r="M62" i="7"/>
  <c r="P62" i="7" s="1"/>
  <c r="T61" i="7"/>
  <c r="G64" i="7" l="1"/>
  <c r="H64" i="7" s="1"/>
  <c r="L63" i="7"/>
  <c r="I63" i="7"/>
  <c r="D64" i="7"/>
  <c r="I64" i="7" s="1"/>
  <c r="J64" i="7" l="1"/>
  <c r="K64" i="7"/>
  <c r="J63" i="7"/>
  <c r="K63" i="7"/>
  <c r="M63" i="7" s="1"/>
  <c r="M64" i="7"/>
  <c r="C65" i="7"/>
  <c r="L64" i="7"/>
  <c r="T62" i="7"/>
  <c r="R62" i="7"/>
  <c r="S62" i="7" s="1"/>
  <c r="G65" i="7" l="1"/>
  <c r="H65" i="7" s="1"/>
  <c r="P64" i="7"/>
  <c r="T64" i="7" s="1"/>
  <c r="P63" i="7"/>
  <c r="R63" i="7" s="1"/>
  <c r="S63" i="7" s="1"/>
  <c r="D65" i="7"/>
  <c r="L65" i="7" s="1"/>
  <c r="T63" i="7" l="1"/>
  <c r="C66" i="7"/>
  <c r="I65" i="7"/>
  <c r="R64" i="7"/>
  <c r="S64" i="7" s="1"/>
  <c r="J65" i="7" l="1"/>
  <c r="K65" i="7"/>
  <c r="G66" i="7"/>
  <c r="H66" i="7" s="1"/>
  <c r="M65" i="7"/>
  <c r="D66" i="7"/>
  <c r="I66" i="7" s="1"/>
  <c r="J66" i="7" l="1"/>
  <c r="K66" i="7"/>
  <c r="P65" i="7"/>
  <c r="R65" i="7"/>
  <c r="S65" i="7" s="1"/>
  <c r="C67" i="7"/>
  <c r="M66" i="7"/>
  <c r="L66" i="7"/>
  <c r="P66" i="7" l="1"/>
  <c r="G67" i="7"/>
  <c r="H67" i="7" s="1"/>
  <c r="T65" i="7"/>
  <c r="D67" i="7"/>
  <c r="I67" i="7" s="1"/>
  <c r="J67" i="7" l="1"/>
  <c r="K67" i="7"/>
  <c r="M67" i="7" s="1"/>
  <c r="C68" i="7"/>
  <c r="L67" i="7"/>
  <c r="R66" i="7"/>
  <c r="S66" i="7" s="1"/>
  <c r="T66" i="7"/>
  <c r="G68" i="7" l="1"/>
  <c r="H68" i="7" s="1"/>
  <c r="P67" i="7"/>
  <c r="R67" i="7"/>
  <c r="S67" i="7" s="1"/>
  <c r="D68" i="7"/>
  <c r="L68" i="7" s="1"/>
  <c r="T67" i="7" l="1"/>
  <c r="I68" i="7"/>
  <c r="J68" i="7" l="1"/>
  <c r="K68" i="7"/>
  <c r="M68" i="7"/>
  <c r="P68" i="7" l="1"/>
  <c r="T68" i="7"/>
  <c r="R68" i="7" l="1"/>
  <c r="S68" i="7" s="1"/>
  <c r="R70" i="7" l="1"/>
  <c r="E16" i="7" l="1"/>
  <c r="D22" i="8" s="1"/>
  <c r="D31" i="8" s="1"/>
  <c r="E17" i="7"/>
  <c r="W17" i="7" s="1"/>
  <c r="W16" i="7" l="1"/>
  <c r="L16" i="7"/>
  <c r="D34" i="8"/>
  <c r="D40" i="8" s="1"/>
  <c r="D11" i="18" s="1"/>
  <c r="D37" i="8"/>
  <c r="L17" i="7"/>
  <c r="L18" i="7" s="1"/>
  <c r="E18" i="7"/>
  <c r="W18" i="7" s="1"/>
  <c r="F11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W</author>
  </authors>
  <commentList>
    <comment ref="D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Companies in their 2021 Integrated Resource Plan filed in Kentucky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WACC based on Companies' 2020 Kentucky Rate Case Settlement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Based on Companies' Integrated Resource Plan for when next generating facility will need to be constructed. </t>
        </r>
      </text>
    </comment>
    <comment ref="D2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Average coincidence factor for both Companies.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W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Overnight Capital Cost cost per kW of new NGCC installed in 2028 based on 2020 NREL ATB data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<sst xmlns="http://schemas.openxmlformats.org/spreadsheetml/2006/main" count="209" uniqueCount="120">
  <si>
    <t>Cumulative</t>
  </si>
  <si>
    <t>Year</t>
  </si>
  <si>
    <t>Present</t>
  </si>
  <si>
    <t>Annual</t>
  </si>
  <si>
    <t>Tax Depreciation Table (MACRS)</t>
  </si>
  <si>
    <t>Common Equity</t>
  </si>
  <si>
    <t>Rate</t>
  </si>
  <si>
    <t>Tax Rate</t>
  </si>
  <si>
    <t>COC</t>
  </si>
  <si>
    <t>Percent</t>
  </si>
  <si>
    <t>Adjusted</t>
  </si>
  <si>
    <t>Weighted</t>
  </si>
  <si>
    <t>Capital Structure:</t>
  </si>
  <si>
    <t>Requirement</t>
  </si>
  <si>
    <t>Factor</t>
  </si>
  <si>
    <t>Taxes</t>
  </si>
  <si>
    <t>Equity</t>
  </si>
  <si>
    <t>Interest</t>
  </si>
  <si>
    <t>Rate Base</t>
  </si>
  <si>
    <t>Income Tax</t>
  </si>
  <si>
    <t>Plant</t>
  </si>
  <si>
    <t>Depreciation</t>
  </si>
  <si>
    <t>Investment</t>
  </si>
  <si>
    <t>Charge</t>
  </si>
  <si>
    <t>Revenue</t>
  </si>
  <si>
    <t>Income</t>
  </si>
  <si>
    <t xml:space="preserve">Deferred </t>
  </si>
  <si>
    <t>Residual</t>
  </si>
  <si>
    <t>Tax</t>
  </si>
  <si>
    <t>Book</t>
  </si>
  <si>
    <t>Carrying</t>
  </si>
  <si>
    <t>Value</t>
  </si>
  <si>
    <t>Accumulated</t>
  </si>
  <si>
    <t xml:space="preserve">   Levelized Carrying Charge Rate</t>
  </si>
  <si>
    <t xml:space="preserve">   Levelized Revenue Requirement</t>
  </si>
  <si>
    <t xml:space="preserve">   Present Value Revenue Requirement</t>
  </si>
  <si>
    <t>Results:</t>
  </si>
  <si>
    <t xml:space="preserve">   Levelized Revenue Requirement Years</t>
  </si>
  <si>
    <t xml:space="preserve">   Property Tax Rate</t>
  </si>
  <si>
    <t xml:space="preserve">   Composite Tax Rate</t>
  </si>
  <si>
    <t xml:space="preserve">   Tax Life</t>
  </si>
  <si>
    <t xml:space="preserve">   Book Life</t>
  </si>
  <si>
    <t xml:space="preserve">   Investment</t>
  </si>
  <si>
    <t>Assumptions:</t>
  </si>
  <si>
    <t>Present Value Revenue Requirement Analysis</t>
  </si>
  <si>
    <t>Net</t>
  </si>
  <si>
    <t>Property</t>
  </si>
  <si>
    <t>Rev</t>
  </si>
  <si>
    <t>Louisville Gas &amp; Electric and Kentucky Utilities</t>
  </si>
  <si>
    <t>PVRR</t>
  </si>
  <si>
    <t>Weighted Cost of Capital ( r )</t>
  </si>
  <si>
    <t>Inflation Rate ( g )</t>
  </si>
  <si>
    <t>Assumptions</t>
  </si>
  <si>
    <t>Values</t>
  </si>
  <si>
    <t>Economic Carrying Charge Rate (ECRR)</t>
  </si>
  <si>
    <t>Current Year</t>
  </si>
  <si>
    <t>m</t>
  </si>
  <si>
    <t>Year Scheduled to be Installed</t>
  </si>
  <si>
    <t>a</t>
  </si>
  <si>
    <t>Service Life (L)</t>
  </si>
  <si>
    <t>Net Present Value Revenue Requirement</t>
  </si>
  <si>
    <t>Weighted Cost of Capital and MACRS</t>
  </si>
  <si>
    <t>Year Installed After Load Addition</t>
  </si>
  <si>
    <t xml:space="preserve">Annual Value (CP) = </t>
  </si>
  <si>
    <t>Coincidence Factor</t>
  </si>
  <si>
    <t xml:space="preserve">Annual Value (NCP) = </t>
  </si>
  <si>
    <t xml:space="preserve">Monthly Value (CP) = </t>
  </si>
  <si>
    <t xml:space="preserve">Monthly Value (NCP) = </t>
  </si>
  <si>
    <t>Louisville Gas &amp; Electric</t>
  </si>
  <si>
    <t>Kentucky Utilities</t>
  </si>
  <si>
    <t>LG&amp;E</t>
  </si>
  <si>
    <t>KU</t>
  </si>
  <si>
    <t>LG&amp;E/KU Marginal Cost of Service per kW of added NCP Demand</t>
  </si>
  <si>
    <t>Production Demand (per kW of added NCP Demand)</t>
  </si>
  <si>
    <t>Transmission (per kW of added NCP Demand)</t>
  </si>
  <si>
    <t>Production Energy (per kWh of added Energy)</t>
  </si>
  <si>
    <t>Kentucky Utilities Company and Louisville Gas and Electric Company</t>
  </si>
  <si>
    <t>Summary of Marginal Cost of Service</t>
  </si>
  <si>
    <t>Louisville Gas and Electric and Kentucky Utilities</t>
  </si>
  <si>
    <t>Notes:</t>
  </si>
  <si>
    <t>The marginal Production Demand costs are the changes in capacity costs associated with serving changes in the demand</t>
  </si>
  <si>
    <t>Marginal cost is broadly defined as the change in total cost with respect to a small change in output.</t>
  </si>
  <si>
    <t>The marginal Production Demand cost is the monthly value of the Economic Carrying Charge Rate (ECCR) applied to the</t>
  </si>
  <si>
    <t xml:space="preserve">Because the LG&amp;E and KU generating units are jointly operated and dispatched to meet the combined demands of the joint </t>
  </si>
  <si>
    <t>systems, a single value is provided for the marginal production demand cost on a joint Company basis. For evaluating an</t>
  </si>
  <si>
    <t>economic development offer, it would be necessary to adjust the NCP marginal value to reflect the applicable loss-factor for a</t>
  </si>
  <si>
    <t xml:space="preserve">prospective customer which could take service at a transmission, primary or secondary voltage. </t>
  </si>
  <si>
    <t>Short Term Debt</t>
  </si>
  <si>
    <t>Long Term Debt</t>
  </si>
  <si>
    <t>("output") on the electric system. Based on the Companies' most recent Integrated Resource Plan filed at the Kentucky Public Service</t>
  </si>
  <si>
    <t>Kentucky Utilities Company and Louisvillle Gas &amp; Electric Company</t>
  </si>
  <si>
    <t>Weighted Cost of Capital</t>
  </si>
  <si>
    <t>Kentucky Utilities Company</t>
  </si>
  <si>
    <t>Cost of</t>
  </si>
  <si>
    <t>Component of Capital</t>
  </si>
  <si>
    <t>Capital</t>
  </si>
  <si>
    <t>Long-Term Debt</t>
  </si>
  <si>
    <t>Louisville Gas &amp; Electric Company</t>
  </si>
  <si>
    <t>Total Company Average</t>
  </si>
  <si>
    <t>Income Tax Rates</t>
  </si>
  <si>
    <t>Weighted Total</t>
  </si>
  <si>
    <t>Short-Term Debt</t>
  </si>
  <si>
    <t>New CCGT Addition</t>
  </si>
  <si>
    <t>Commission in 2021, the Companies' are not projecting needing additional capacity until 2028 with the retirement of Mill Creek 2.</t>
  </si>
  <si>
    <t>The Companies are not projecting to need additional capacity prior to 2028 based on their load forecasts. Therefore, the analysis</t>
  </si>
  <si>
    <t>shows the cost of moving that nearest forecasted need of 2028, up one year to 2027  due to a change of load on the system.</t>
  </si>
  <si>
    <t xml:space="preserve">present value revenue requirement (PVRR) of a new Combined Cycle Plant built in 2028 based on the NREL ATB worksheet </t>
  </si>
  <si>
    <t>which estimates the installed cost of new generation technologies. The computation of the PVRR for a new combined cycle</t>
  </si>
  <si>
    <r>
      <t xml:space="preserve">Combustion Turbine is shown on the tab labeled </t>
    </r>
    <r>
      <rPr>
        <b/>
        <sz val="10"/>
        <rFont val="Arial"/>
        <family val="2"/>
      </rPr>
      <t xml:space="preserve">"Prod PVRR" </t>
    </r>
    <r>
      <rPr>
        <sz val="10"/>
        <rFont val="Arial"/>
        <family val="2"/>
      </rPr>
      <t>which is then used as an input into the ECCR for Production</t>
    </r>
  </si>
  <si>
    <r>
      <rPr>
        <sz val="10"/>
        <rFont val="Arial"/>
        <family val="2"/>
      </rPr>
      <t xml:space="preserve">Demand shown on tab labeled </t>
    </r>
    <r>
      <rPr>
        <b/>
        <sz val="10"/>
        <rFont val="Arial"/>
        <family val="2"/>
      </rPr>
      <t>"Prod Economic Carrying Charge".</t>
    </r>
    <r>
      <rPr>
        <sz val="10"/>
        <rFont val="Arial"/>
        <family val="2"/>
      </rPr>
      <t xml:space="preserve"> The tab which calculates the ECCR takes the PVRR</t>
    </r>
  </si>
  <si>
    <t xml:space="preserve">and calculates a Coincident Peak (CP) rate per additional kW based on accelerating the construction of the next needed </t>
  </si>
  <si>
    <t>generating plant from 2028 to 2027. This CP rate is then multipled by an average coincidence factor for both Companies'</t>
  </si>
  <si>
    <t>Industrial customer classes based on their 2020 retail rate case filings to determine what the cost per kW is on a Non-Coincident</t>
  </si>
  <si>
    <t xml:space="preserve">Peak (NCP) basis. The rationale behind thisis that the Economic Development Rate determined by the Company will be charged </t>
  </si>
  <si>
    <t>on an NCP basis for demand.</t>
  </si>
  <si>
    <t>Economic Carrying Charge of CCGT Addition</t>
  </si>
  <si>
    <t>Fixed</t>
  </si>
  <si>
    <t>O&amp;M</t>
  </si>
  <si>
    <t>Firm Gas</t>
  </si>
  <si>
    <t>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</si>
</sst>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0.000%"/>
    <numFmt numFmtId="168" formatCode="&quot;$&quot;#,##0\ ;\(&quot;$&quot;#,##0\)"/>
    <numFmt numFmtId="169" formatCode="_([$€-2]* #,##0.00_);_([$€-2]* \(#,##0.00\);_([$€-2]* &quot;-&quot;??_)"/>
    <numFmt numFmtId="170" formatCode="_(* #,##0.000000_);_(* \(#,##0.000000\);_(* &quot;-&quot;??_);_(@_)"/>
    <numFmt numFmtId="171" formatCode="0.0000%"/>
    <numFmt numFmtId="172" formatCode="0.00000"/>
    <numFmt numFmtId="173" formatCode="_(&quot;$&quot;* #,##0.00000_);_(&quot;$&quot;* \(#,##0.00000\);_(&quot;$&quot;* &quot;-&quot;??_);_(@_)"/>
    <numFmt numFmtId="174" formatCode="_(&quot;$&quot;* #,##0.0000_);_(&quot;$&quot;* \(#,##0.0000\);_(&quot;$&quot;* &quot;-&quot;??_);_(@_)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sz val="8"/>
      <name val="Arial"/>
      <family val="2"/>
    </font>
    <font>
      <sz val="6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0" fontId="7" fillId="3" borderId="0">
      <alignment horizontal="left"/>
    </xf>
    <xf numFmtId="0" fontId="8" fillId="3" borderId="0">
      <alignment horizontal="right"/>
    </xf>
    <xf numFmtId="0" fontId="9" fillId="4" borderId="0">
      <alignment horizontal="center"/>
    </xf>
    <xf numFmtId="0" fontId="8" fillId="3" borderId="0">
      <alignment horizontal="right"/>
    </xf>
    <xf numFmtId="0" fontId="10" fillId="4" borderId="0">
      <alignment horizontal="left"/>
    </xf>
    <xf numFmtId="43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4" fillId="5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5" fillId="0" borderId="0" applyProtection="0"/>
    <xf numFmtId="0" fontId="11" fillId="0" borderId="0" applyProtection="0"/>
    <xf numFmtId="0" fontId="6" fillId="0" borderId="0" applyProtection="0"/>
    <xf numFmtId="0" fontId="12" fillId="0" borderId="0" applyProtection="0"/>
    <xf numFmtId="0" fontId="4" fillId="0" borderId="0" applyProtection="0"/>
    <xf numFmtId="0" fontId="5" fillId="0" borderId="0" applyProtection="0"/>
    <xf numFmtId="0" fontId="13" fillId="0" borderId="0" applyProtection="0"/>
    <xf numFmtId="2" fontId="4" fillId="0" borderId="0" applyFont="0" applyFill="0" applyBorder="0" applyAlignment="0" applyProtection="0"/>
    <xf numFmtId="0" fontId="7" fillId="3" borderId="0">
      <alignment horizontal="left"/>
    </xf>
    <xf numFmtId="0" fontId="14" fillId="4" borderId="0">
      <alignment horizontal="left"/>
    </xf>
    <xf numFmtId="0" fontId="4" fillId="0" borderId="0"/>
    <xf numFmtId="4" fontId="15" fillId="7" borderId="0">
      <alignment horizontal="right"/>
    </xf>
    <xf numFmtId="0" fontId="16" fillId="7" borderId="0">
      <alignment horizontal="center" vertical="center"/>
    </xf>
    <xf numFmtId="0" fontId="14" fillId="7" borderId="1"/>
    <xf numFmtId="0" fontId="16" fillId="7" borderId="0" applyBorder="0">
      <alignment horizontal="centerContinuous"/>
    </xf>
    <xf numFmtId="0" fontId="17" fillId="7" borderId="0" applyBorder="0">
      <alignment horizontal="centerContinuous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6" borderId="0">
      <alignment horizontal="center"/>
    </xf>
    <xf numFmtId="49" fontId="18" fillId="4" borderId="0">
      <alignment horizontal="center"/>
    </xf>
    <xf numFmtId="0" fontId="8" fillId="3" borderId="0">
      <alignment horizontal="center"/>
    </xf>
    <xf numFmtId="0" fontId="8" fillId="3" borderId="0">
      <alignment horizontal="centerContinuous"/>
    </xf>
    <xf numFmtId="0" fontId="19" fillId="4" borderId="0">
      <alignment horizontal="left"/>
    </xf>
    <xf numFmtId="49" fontId="19" fillId="4" borderId="0">
      <alignment horizontal="center"/>
    </xf>
    <xf numFmtId="0" fontId="7" fillId="3" borderId="0">
      <alignment horizontal="left"/>
    </xf>
    <xf numFmtId="49" fontId="19" fillId="4" borderId="0">
      <alignment horizontal="left"/>
    </xf>
    <xf numFmtId="0" fontId="7" fillId="3" borderId="0">
      <alignment horizontal="centerContinuous"/>
    </xf>
    <xf numFmtId="0" fontId="7" fillId="3" borderId="0">
      <alignment horizontal="right"/>
    </xf>
    <xf numFmtId="49" fontId="14" fillId="4" borderId="0">
      <alignment horizontal="left"/>
    </xf>
    <xf numFmtId="0" fontId="8" fillId="3" borderId="0">
      <alignment horizontal="right"/>
    </xf>
    <xf numFmtId="0" fontId="19" fillId="2" borderId="0">
      <alignment horizontal="center"/>
    </xf>
    <xf numFmtId="0" fontId="20" fillId="2" borderId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4" borderId="0">
      <alignment horizontal="center"/>
    </xf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43" fontId="0" fillId="0" borderId="0" xfId="0" applyNumberFormat="1"/>
    <xf numFmtId="0" fontId="3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167" fontId="0" fillId="0" borderId="0" xfId="37" applyNumberFormat="1" applyFont="1"/>
    <xf numFmtId="10" fontId="0" fillId="0" borderId="0" xfId="37" applyNumberFormat="1" applyFont="1"/>
    <xf numFmtId="10" fontId="0" fillId="0" borderId="2" xfId="0" applyNumberFormat="1" applyBorder="1"/>
    <xf numFmtId="10" fontId="0" fillId="0" borderId="2" xfId="37" applyNumberFormat="1" applyFont="1" applyBorder="1"/>
    <xf numFmtId="166" fontId="0" fillId="0" borderId="0" xfId="9" applyNumberFormat="1" applyFont="1"/>
    <xf numFmtId="165" fontId="0" fillId="0" borderId="0" xfId="14" applyNumberFormat="1" applyFo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165" fontId="0" fillId="0" borderId="0" xfId="0" applyNumberFormat="1"/>
    <xf numFmtId="165" fontId="0" fillId="0" borderId="0" xfId="14" applyNumberFormat="1" applyFont="1" applyAlignment="1"/>
    <xf numFmtId="6" fontId="0" fillId="0" borderId="0" xfId="0" applyNumberFormat="1"/>
    <xf numFmtId="166" fontId="0" fillId="0" borderId="0" xfId="9" applyNumberFormat="1" applyFont="1" applyAlignment="1"/>
    <xf numFmtId="44" fontId="0" fillId="0" borderId="0" xfId="14" applyFont="1"/>
    <xf numFmtId="43" fontId="0" fillId="0" borderId="0" xfId="9" applyFont="1"/>
    <xf numFmtId="0" fontId="0" fillId="0" borderId="0" xfId="0" quotePrefix="1"/>
    <xf numFmtId="171" fontId="0" fillId="0" borderId="0" xfId="37" applyNumberFormat="1" applyFont="1"/>
    <xf numFmtId="0" fontId="2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70" fontId="0" fillId="0" borderId="0" xfId="6" applyNumberFormat="1" applyFont="1"/>
    <xf numFmtId="165" fontId="0" fillId="0" borderId="0" xfId="13" applyNumberFormat="1" applyFont="1"/>
    <xf numFmtId="0" fontId="3" fillId="0" borderId="0" xfId="0" applyFont="1" applyAlignment="1">
      <alignment horizontal="left"/>
    </xf>
    <xf numFmtId="0" fontId="0" fillId="0" borderId="0" xfId="0" applyAlignment="1">
      <alignment vertical="center"/>
    </xf>
    <xf numFmtId="2" fontId="0" fillId="0" borderId="0" xfId="0" applyNumberFormat="1"/>
    <xf numFmtId="172" fontId="0" fillId="0" borderId="0" xfId="0" applyNumberFormat="1"/>
    <xf numFmtId="44" fontId="5" fillId="0" borderId="0" xfId="13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4" fontId="5" fillId="0" borderId="0" xfId="13" applyFont="1" applyBorder="1" applyAlignment="1">
      <alignment horizontal="center" vertical="center"/>
    </xf>
    <xf numFmtId="171" fontId="0" fillId="0" borderId="0" xfId="37" applyNumberFormat="1" applyFont="1" applyFill="1"/>
    <xf numFmtId="10" fontId="0" fillId="0" borderId="0" xfId="37" applyNumberFormat="1" applyFont="1" applyFill="1"/>
    <xf numFmtId="0" fontId="5" fillId="0" borderId="0" xfId="0" applyFont="1" applyAlignment="1">
      <alignment horizontal="left"/>
    </xf>
    <xf numFmtId="10" fontId="0" fillId="0" borderId="2" xfId="37" applyNumberFormat="1" applyFont="1" applyFill="1" applyBorder="1"/>
    <xf numFmtId="10" fontId="0" fillId="0" borderId="0" xfId="36" applyNumberFormat="1" applyFont="1" applyFill="1"/>
    <xf numFmtId="0" fontId="2" fillId="0" borderId="0" xfId="0" applyFont="1"/>
    <xf numFmtId="0" fontId="1" fillId="0" borderId="0" xfId="61"/>
    <xf numFmtId="0" fontId="28" fillId="0" borderId="0" xfId="61" applyFont="1" applyAlignment="1">
      <alignment horizontal="center"/>
    </xf>
    <xf numFmtId="0" fontId="5" fillId="0" borderId="0" xfId="61" applyFont="1"/>
    <xf numFmtId="0" fontId="5" fillId="0" borderId="0" xfId="61" applyFont="1" applyAlignment="1">
      <alignment horizontal="right"/>
    </xf>
    <xf numFmtId="0" fontId="5" fillId="0" borderId="21" xfId="61" applyFont="1" applyBorder="1" applyAlignment="1">
      <alignment horizontal="left"/>
    </xf>
    <xf numFmtId="0" fontId="5" fillId="0" borderId="21" xfId="61" applyFont="1" applyBorder="1" applyAlignment="1">
      <alignment horizontal="right"/>
    </xf>
    <xf numFmtId="10" fontId="0" fillId="0" borderId="0" xfId="62" applyNumberFormat="1" applyFont="1" applyFill="1"/>
    <xf numFmtId="43" fontId="1" fillId="0" borderId="0" xfId="61" applyNumberFormat="1"/>
    <xf numFmtId="10" fontId="0" fillId="0" borderId="21" xfId="62" applyNumberFormat="1" applyFont="1" applyFill="1" applyBorder="1"/>
    <xf numFmtId="166" fontId="1" fillId="0" borderId="0" xfId="61" applyNumberFormat="1"/>
    <xf numFmtId="10" fontId="1" fillId="0" borderId="0" xfId="61" applyNumberFormat="1"/>
    <xf numFmtId="10" fontId="0" fillId="0" borderId="0" xfId="64" applyNumberFormat="1" applyFont="1"/>
    <xf numFmtId="10" fontId="0" fillId="0" borderId="0" xfId="64" applyNumberFormat="1" applyFont="1" applyFill="1"/>
    <xf numFmtId="10" fontId="0" fillId="0" borderId="21" xfId="64" applyNumberFormat="1" applyFont="1" applyFill="1" applyBorder="1"/>
    <xf numFmtId="2" fontId="1" fillId="0" borderId="0" xfId="61" applyNumberFormat="1"/>
    <xf numFmtId="10" fontId="0" fillId="0" borderId="0" xfId="36" applyNumberFormat="1" applyFont="1"/>
    <xf numFmtId="43" fontId="0" fillId="0" borderId="0" xfId="6" applyFont="1" applyFill="1"/>
    <xf numFmtId="166" fontId="0" fillId="0" borderId="0" xfId="63" applyNumberFormat="1" applyFont="1" applyFill="1"/>
    <xf numFmtId="174" fontId="0" fillId="0" borderId="0" xfId="0" applyNumberFormat="1"/>
    <xf numFmtId="44" fontId="0" fillId="0" borderId="10" xfId="13" applyFont="1" applyFill="1" applyBorder="1" applyAlignment="1">
      <alignment horizontal="center" vertical="center"/>
    </xf>
    <xf numFmtId="44" fontId="0" fillId="0" borderId="11" xfId="13" applyFont="1" applyFill="1" applyBorder="1" applyAlignment="1">
      <alignment horizontal="center" vertical="center"/>
    </xf>
    <xf numFmtId="44" fontId="0" fillId="0" borderId="12" xfId="13" applyFont="1" applyFill="1" applyBorder="1" applyAlignment="1">
      <alignment horizontal="center" vertical="center"/>
    </xf>
    <xf numFmtId="44" fontId="0" fillId="0" borderId="13" xfId="13" applyFont="1" applyFill="1" applyBorder="1" applyAlignment="1">
      <alignment horizontal="center" vertical="center"/>
    </xf>
    <xf numFmtId="44" fontId="0" fillId="0" borderId="17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4" fontId="0" fillId="0" borderId="3" xfId="13" applyFont="1" applyFill="1" applyBorder="1" applyAlignment="1">
      <alignment horizontal="center" vertical="center"/>
    </xf>
    <xf numFmtId="44" fontId="0" fillId="0" borderId="22" xfId="13" applyFont="1" applyFill="1" applyBorder="1" applyAlignment="1">
      <alignment horizontal="center" vertical="center"/>
    </xf>
    <xf numFmtId="44" fontId="0" fillId="0" borderId="16" xfId="13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3" fontId="0" fillId="0" borderId="10" xfId="13" applyNumberFormat="1" applyFont="1" applyFill="1" applyBorder="1" applyAlignment="1">
      <alignment horizontal="center" vertical="center"/>
    </xf>
    <xf numFmtId="173" fontId="0" fillId="0" borderId="14" xfId="13" applyNumberFormat="1" applyFont="1" applyFill="1" applyBorder="1" applyAlignment="1">
      <alignment horizontal="center" vertical="center"/>
    </xf>
    <xf numFmtId="173" fontId="0" fillId="0" borderId="12" xfId="13" applyNumberFormat="1" applyFont="1" applyFill="1" applyBorder="1" applyAlignment="1">
      <alignment horizontal="center" vertical="center"/>
    </xf>
    <xf numFmtId="173" fontId="0" fillId="0" borderId="15" xfId="13" applyNumberFormat="1" applyFont="1" applyFill="1" applyBorder="1" applyAlignment="1">
      <alignment horizontal="center" vertical="center"/>
    </xf>
    <xf numFmtId="173" fontId="0" fillId="0" borderId="3" xfId="13" applyNumberFormat="1" applyFont="1" applyFill="1" applyBorder="1" applyAlignment="1">
      <alignment horizontal="center" vertical="center"/>
    </xf>
    <xf numFmtId="173" fontId="0" fillId="0" borderId="22" xfId="13" applyNumberFormat="1" applyFont="1" applyFill="1" applyBorder="1" applyAlignment="1">
      <alignment horizontal="center" vertical="center"/>
    </xf>
    <xf numFmtId="173" fontId="0" fillId="0" borderId="16" xfId="13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0" fontId="3" fillId="0" borderId="17" xfId="36" applyNumberFormat="1" applyFont="1" applyFill="1" applyBorder="1" applyAlignment="1">
      <alignment horizontal="center" vertical="center"/>
    </xf>
    <xf numFmtId="10" fontId="3" fillId="0" borderId="19" xfId="36" applyNumberFormat="1" applyFont="1" applyFill="1" applyBorder="1" applyAlignment="1">
      <alignment horizontal="center" vertical="center"/>
    </xf>
    <xf numFmtId="10" fontId="3" fillId="0" borderId="20" xfId="36" applyNumberFormat="1" applyFont="1" applyFill="1" applyBorder="1" applyAlignment="1">
      <alignment horizontal="center" vertical="center"/>
    </xf>
    <xf numFmtId="10" fontId="3" fillId="0" borderId="9" xfId="36" applyNumberFormat="1" applyFont="1" applyFill="1" applyBorder="1" applyAlignment="1">
      <alignment horizontal="center" vertical="center"/>
    </xf>
    <xf numFmtId="44" fontId="5" fillId="0" borderId="17" xfId="13" applyFont="1" applyBorder="1" applyAlignment="1">
      <alignment horizontal="center" vertical="center"/>
    </xf>
    <xf numFmtId="44" fontId="5" fillId="0" borderId="19" xfId="13" applyFont="1" applyBorder="1" applyAlignment="1">
      <alignment horizontal="center" vertical="center"/>
    </xf>
    <xf numFmtId="44" fontId="5" fillId="0" borderId="20" xfId="13" applyFont="1" applyBorder="1" applyAlignment="1">
      <alignment horizontal="center" vertical="center"/>
    </xf>
    <xf numFmtId="44" fontId="5" fillId="0" borderId="9" xfId="13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0" fontId="3" fillId="0" borderId="7" xfId="36" applyNumberFormat="1" applyFont="1" applyFill="1" applyBorder="1" applyAlignment="1">
      <alignment horizontal="center" vertical="center"/>
    </xf>
    <xf numFmtId="10" fontId="3" fillId="0" borderId="8" xfId="36" applyNumberFormat="1" applyFon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0" fontId="0" fillId="0" borderId="17" xfId="0" applyNumberFormat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7" fillId="0" borderId="0" xfId="61" applyFont="1" applyAlignment="1">
      <alignment horizontal="center"/>
    </xf>
    <xf numFmtId="0" fontId="28" fillId="0" borderId="0" xfId="61" applyFont="1" applyAlignment="1">
      <alignment horizontal="center"/>
    </xf>
    <xf numFmtId="0" fontId="5" fillId="0" borderId="23" xfId="61" applyFont="1" applyBorder="1" applyAlignment="1">
      <alignment horizontal="center"/>
    </xf>
    <xf numFmtId="0" fontId="5" fillId="0" borderId="24" xfId="61" applyFont="1" applyBorder="1" applyAlignment="1">
      <alignment horizontal="center"/>
    </xf>
    <xf numFmtId="0" fontId="5" fillId="0" borderId="25" xfId="61" applyFont="1" applyBorder="1" applyAlignment="1">
      <alignment horizontal="center"/>
    </xf>
  </cellXfs>
  <cellStyles count="65">
    <cellStyle name="ColumnAttributeAbovePrompt" xfId="1" xr:uid="{00000000-0005-0000-0000-000000000000}"/>
    <cellStyle name="ColumnAttributePrompt" xfId="2" xr:uid="{00000000-0005-0000-0000-000001000000}"/>
    <cellStyle name="ColumnAttributeValue" xfId="3" xr:uid="{00000000-0005-0000-0000-000002000000}"/>
    <cellStyle name="ColumnHeadingPrompt" xfId="4" xr:uid="{00000000-0005-0000-0000-000003000000}"/>
    <cellStyle name="ColumnHeadingValue" xfId="5" xr:uid="{00000000-0005-0000-0000-000004000000}"/>
    <cellStyle name="Comma" xfId="6" builtinId="3"/>
    <cellStyle name="Comma [0] 2 2" xfId="7" xr:uid="{00000000-0005-0000-0000-000006000000}"/>
    <cellStyle name="Comma [0] 2 3" xfId="8" xr:uid="{00000000-0005-0000-0000-000007000000}"/>
    <cellStyle name="Comma 2" xfId="9" xr:uid="{00000000-0005-0000-0000-000008000000}"/>
    <cellStyle name="Comma 2 2" xfId="10" xr:uid="{00000000-0005-0000-0000-000009000000}"/>
    <cellStyle name="Comma 2 3" xfId="11" xr:uid="{00000000-0005-0000-0000-00000A000000}"/>
    <cellStyle name="Comma 3" xfId="63" xr:uid="{ECF4B134-D6BC-4536-BF94-53D048EB701E}"/>
    <cellStyle name="Comma0" xfId="12" xr:uid="{00000000-0005-0000-0000-00000B000000}"/>
    <cellStyle name="Currency" xfId="13" builtinId="4"/>
    <cellStyle name="Currency 2" xfId="14" xr:uid="{00000000-0005-0000-0000-00000D000000}"/>
    <cellStyle name="Currency 2 2" xfId="15" xr:uid="{00000000-0005-0000-0000-00000E000000}"/>
    <cellStyle name="Currency 2 3" xfId="16" xr:uid="{00000000-0005-0000-0000-00000F000000}"/>
    <cellStyle name="Currency0" xfId="17" xr:uid="{00000000-0005-0000-0000-000010000000}"/>
    <cellStyle name="Date" xfId="18" xr:uid="{00000000-0005-0000-0000-000011000000}"/>
    <cellStyle name="Euro" xfId="19" xr:uid="{00000000-0005-0000-0000-000012000000}"/>
    <cellStyle name="F2" xfId="20" xr:uid="{00000000-0005-0000-0000-000013000000}"/>
    <cellStyle name="F3" xfId="21" xr:uid="{00000000-0005-0000-0000-000014000000}"/>
    <cellStyle name="F4" xfId="22" xr:uid="{00000000-0005-0000-0000-000015000000}"/>
    <cellStyle name="F5" xfId="23" xr:uid="{00000000-0005-0000-0000-000016000000}"/>
    <cellStyle name="F6" xfId="24" xr:uid="{00000000-0005-0000-0000-000017000000}"/>
    <cellStyle name="F7" xfId="25" xr:uid="{00000000-0005-0000-0000-000018000000}"/>
    <cellStyle name="F8" xfId="26" xr:uid="{00000000-0005-0000-0000-000019000000}"/>
    <cellStyle name="Fixed" xfId="27" xr:uid="{00000000-0005-0000-0000-00001A000000}"/>
    <cellStyle name="LineItemPrompt" xfId="28" xr:uid="{00000000-0005-0000-0000-00001B000000}"/>
    <cellStyle name="LineItemValue" xfId="29" xr:uid="{00000000-0005-0000-0000-00001C000000}"/>
    <cellStyle name="Normal" xfId="0" builtinId="0"/>
    <cellStyle name="Normal 2" xfId="30" xr:uid="{00000000-0005-0000-0000-00001E000000}"/>
    <cellStyle name="Normal 3" xfId="61" xr:uid="{2BE8F0CF-8F40-4D85-8EAE-306374B77DB6}"/>
    <cellStyle name="Output Amounts" xfId="31" xr:uid="{00000000-0005-0000-0000-00001F000000}"/>
    <cellStyle name="Output Column Headings" xfId="32" xr:uid="{00000000-0005-0000-0000-000020000000}"/>
    <cellStyle name="Output Line Items" xfId="33" xr:uid="{00000000-0005-0000-0000-000021000000}"/>
    <cellStyle name="Output Report Heading" xfId="34" xr:uid="{00000000-0005-0000-0000-000022000000}"/>
    <cellStyle name="Output Report Title" xfId="35" xr:uid="{00000000-0005-0000-0000-000023000000}"/>
    <cellStyle name="Percent" xfId="36" builtinId="5"/>
    <cellStyle name="Percent 2" xfId="37" xr:uid="{00000000-0005-0000-0000-000025000000}"/>
    <cellStyle name="Percent 2 2" xfId="38" xr:uid="{00000000-0005-0000-0000-000026000000}"/>
    <cellStyle name="Percent 2 3" xfId="39" xr:uid="{00000000-0005-0000-0000-000027000000}"/>
    <cellStyle name="Percent 2 4" xfId="62" xr:uid="{BF1D1DFE-3594-4944-B9ED-1A615FA091E4}"/>
    <cellStyle name="Percent 3" xfId="64" xr:uid="{29E4832F-E91B-4851-8A64-BCC680ACA3C3}"/>
    <cellStyle name="ReportTitlePrompt" xfId="40" xr:uid="{00000000-0005-0000-0000-000028000000}"/>
    <cellStyle name="ReportTitleValue" xfId="41" xr:uid="{00000000-0005-0000-0000-000029000000}"/>
    <cellStyle name="RowAcctAbovePrompt" xfId="42" xr:uid="{00000000-0005-0000-0000-00002A000000}"/>
    <cellStyle name="RowAcctSOBAbovePrompt" xfId="43" xr:uid="{00000000-0005-0000-0000-00002B000000}"/>
    <cellStyle name="RowAcctSOBValue" xfId="44" xr:uid="{00000000-0005-0000-0000-00002C000000}"/>
    <cellStyle name="RowAcctValue" xfId="45" xr:uid="{00000000-0005-0000-0000-00002D000000}"/>
    <cellStyle name="RowAttrAbovePrompt" xfId="46" xr:uid="{00000000-0005-0000-0000-00002E000000}"/>
    <cellStyle name="RowAttrValue" xfId="47" xr:uid="{00000000-0005-0000-0000-00002F000000}"/>
    <cellStyle name="RowColSetAbovePrompt" xfId="48" xr:uid="{00000000-0005-0000-0000-000030000000}"/>
    <cellStyle name="RowColSetLeftPrompt" xfId="49" xr:uid="{00000000-0005-0000-0000-000031000000}"/>
    <cellStyle name="RowColSetValue" xfId="50" xr:uid="{00000000-0005-0000-0000-000032000000}"/>
    <cellStyle name="RowLeftPrompt" xfId="51" xr:uid="{00000000-0005-0000-0000-000033000000}"/>
    <cellStyle name="SampleUsingFormatMask" xfId="52" xr:uid="{00000000-0005-0000-0000-000034000000}"/>
    <cellStyle name="SampleWithNoFormatMask" xfId="53" xr:uid="{00000000-0005-0000-0000-000035000000}"/>
    <cellStyle name="STYL5 - Style5" xfId="54" xr:uid="{00000000-0005-0000-0000-000036000000}"/>
    <cellStyle name="STYL6 - Style6" xfId="55" xr:uid="{00000000-0005-0000-0000-000037000000}"/>
    <cellStyle name="STYLE1 - Style1" xfId="56" xr:uid="{00000000-0005-0000-0000-000038000000}"/>
    <cellStyle name="STYLE2 - Style2" xfId="57" xr:uid="{00000000-0005-0000-0000-000039000000}"/>
    <cellStyle name="STYLE3 - Style3" xfId="58" xr:uid="{00000000-0005-0000-0000-00003A000000}"/>
    <cellStyle name="STYLE4 - Style4" xfId="59" xr:uid="{00000000-0005-0000-0000-00003B000000}"/>
    <cellStyle name="UploadThisRowValue" xfId="60" xr:uid="{00000000-0005-0000-0000-00003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41</xdr:row>
      <xdr:rowOff>76200</xdr:rowOff>
    </xdr:from>
    <xdr:to>
      <xdr:col>4</xdr:col>
      <xdr:colOff>466725</xdr:colOff>
      <xdr:row>46</xdr:row>
      <xdr:rowOff>76200</xdr:rowOff>
    </xdr:to>
    <xdr:pic>
      <xdr:nvPicPr>
        <xdr:cNvPr id="1044" name="Picture 4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43025" y="6848475"/>
          <a:ext cx="32861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workbookViewId="0">
      <selection activeCell="F15" sqref="F15:G16"/>
    </sheetView>
  </sheetViews>
  <sheetFormatPr defaultRowHeight="12.75" x14ac:dyDescent="0.2"/>
  <cols>
    <col min="2" max="3" width="26.28515625" customWidth="1"/>
  </cols>
  <sheetData>
    <row r="1" spans="1:10" ht="15.75" x14ac:dyDescent="0.25">
      <c r="A1" s="70" t="s">
        <v>76</v>
      </c>
      <c r="B1" s="70"/>
      <c r="C1" s="70"/>
      <c r="D1" s="70"/>
      <c r="E1" s="70"/>
      <c r="F1" s="70"/>
      <c r="G1" s="70"/>
      <c r="H1" s="70"/>
      <c r="I1" s="70"/>
    </row>
    <row r="2" spans="1:10" ht="14.25" x14ac:dyDescent="0.2">
      <c r="A2" s="71" t="s">
        <v>77</v>
      </c>
      <c r="B2" s="71"/>
      <c r="C2" s="71"/>
      <c r="D2" s="71"/>
      <c r="E2" s="71"/>
      <c r="F2" s="71"/>
      <c r="G2" s="71"/>
      <c r="H2" s="71"/>
      <c r="I2" s="71"/>
    </row>
    <row r="5" spans="1:10" ht="13.5" thickBot="1" x14ac:dyDescent="0.25"/>
    <row r="6" spans="1:10" x14ac:dyDescent="0.2">
      <c r="D6" s="91" t="s">
        <v>72</v>
      </c>
      <c r="E6" s="92"/>
      <c r="F6" s="92"/>
      <c r="G6" s="93"/>
    </row>
    <row r="7" spans="1:10" ht="12.75" customHeight="1" x14ac:dyDescent="0.2">
      <c r="C7" s="28"/>
      <c r="D7" s="94"/>
      <c r="E7" s="95"/>
      <c r="F7" s="95"/>
      <c r="G7" s="96"/>
      <c r="H7" s="28"/>
      <c r="I7" s="28"/>
    </row>
    <row r="8" spans="1:10" ht="13.5" thickBot="1" x14ac:dyDescent="0.25">
      <c r="B8" s="28"/>
      <c r="C8" s="28"/>
      <c r="D8" s="97"/>
      <c r="E8" s="98"/>
      <c r="F8" s="98"/>
      <c r="G8" s="99"/>
      <c r="H8" s="28"/>
      <c r="I8" s="28"/>
    </row>
    <row r="9" spans="1:10" x14ac:dyDescent="0.2">
      <c r="D9" s="76" t="s">
        <v>70</v>
      </c>
      <c r="E9" s="77"/>
      <c r="F9" s="79" t="s">
        <v>71</v>
      </c>
      <c r="G9" s="64"/>
    </row>
    <row r="10" spans="1:10" ht="13.5" thickBot="1" x14ac:dyDescent="0.25">
      <c r="D10" s="78"/>
      <c r="E10" s="77"/>
      <c r="F10" s="65"/>
      <c r="G10" s="66"/>
    </row>
    <row r="11" spans="1:10" x14ac:dyDescent="0.2">
      <c r="B11" s="72" t="s">
        <v>73</v>
      </c>
      <c r="C11" s="73"/>
      <c r="D11" s="63">
        <f>'Prod Economic Carrying Charge'!D40</f>
        <v>4.9752957163838465</v>
      </c>
      <c r="E11" s="100"/>
      <c r="F11" s="63">
        <f>D11</f>
        <v>4.9752957163838465</v>
      </c>
      <c r="G11" s="64"/>
    </row>
    <row r="12" spans="1:10" ht="13.5" thickBot="1" x14ac:dyDescent="0.25">
      <c r="B12" s="74"/>
      <c r="C12" s="75"/>
      <c r="D12" s="65"/>
      <c r="E12" s="101"/>
      <c r="F12" s="65"/>
      <c r="G12" s="66"/>
      <c r="J12" s="58"/>
    </row>
    <row r="13" spans="1:10" x14ac:dyDescent="0.2">
      <c r="B13" s="72" t="s">
        <v>75</v>
      </c>
      <c r="C13" s="73"/>
      <c r="D13" s="84">
        <v>3.4470000000000001E-2</v>
      </c>
      <c r="E13" s="85"/>
      <c r="F13" s="88">
        <f>D13</f>
        <v>3.4470000000000001E-2</v>
      </c>
      <c r="G13" s="89"/>
    </row>
    <row r="14" spans="1:10" ht="13.5" thickBot="1" x14ac:dyDescent="0.25">
      <c r="B14" s="82"/>
      <c r="C14" s="83"/>
      <c r="D14" s="86"/>
      <c r="E14" s="87"/>
      <c r="F14" s="86"/>
      <c r="G14" s="90"/>
    </row>
    <row r="15" spans="1:10" x14ac:dyDescent="0.2">
      <c r="B15" s="80" t="s">
        <v>74</v>
      </c>
      <c r="C15" s="81"/>
      <c r="D15" s="59">
        <v>0.06</v>
      </c>
      <c r="E15" s="60"/>
      <c r="F15" s="67">
        <v>0.01</v>
      </c>
      <c r="G15" s="68"/>
    </row>
    <row r="16" spans="1:10" ht="13.5" thickBot="1" x14ac:dyDescent="0.25">
      <c r="B16" s="82"/>
      <c r="C16" s="83"/>
      <c r="D16" s="61"/>
      <c r="E16" s="62"/>
      <c r="F16" s="61"/>
      <c r="G16" s="69"/>
      <c r="J16" s="58"/>
    </row>
    <row r="18" spans="2:3" x14ac:dyDescent="0.2">
      <c r="B18" s="36" t="s">
        <v>79</v>
      </c>
      <c r="C18" s="2"/>
    </row>
    <row r="19" spans="2:3" x14ac:dyDescent="0.2">
      <c r="B19" s="2" t="s">
        <v>81</v>
      </c>
      <c r="C19" s="2"/>
    </row>
    <row r="20" spans="2:3" x14ac:dyDescent="0.2">
      <c r="C20" s="2"/>
    </row>
    <row r="21" spans="2:3" x14ac:dyDescent="0.2">
      <c r="B21" s="2" t="s">
        <v>80</v>
      </c>
      <c r="C21" s="2"/>
    </row>
    <row r="22" spans="2:3" x14ac:dyDescent="0.2">
      <c r="B22" s="39" t="s">
        <v>89</v>
      </c>
      <c r="C22" s="2"/>
    </row>
    <row r="23" spans="2:3" x14ac:dyDescent="0.2">
      <c r="B23" s="39" t="s">
        <v>103</v>
      </c>
    </row>
    <row r="24" spans="2:3" x14ac:dyDescent="0.2">
      <c r="B24" s="39" t="s">
        <v>104</v>
      </c>
    </row>
    <row r="25" spans="2:3" x14ac:dyDescent="0.2">
      <c r="B25" s="39" t="s">
        <v>105</v>
      </c>
    </row>
    <row r="27" spans="2:3" x14ac:dyDescent="0.2">
      <c r="B27" s="2" t="s">
        <v>82</v>
      </c>
    </row>
    <row r="28" spans="2:3" x14ac:dyDescent="0.2">
      <c r="B28" s="39" t="s">
        <v>106</v>
      </c>
    </row>
    <row r="29" spans="2:3" x14ac:dyDescent="0.2">
      <c r="B29" s="39" t="s">
        <v>107</v>
      </c>
    </row>
    <row r="30" spans="2:3" x14ac:dyDescent="0.2">
      <c r="B30" s="39" t="s">
        <v>108</v>
      </c>
    </row>
    <row r="31" spans="2:3" x14ac:dyDescent="0.2">
      <c r="B31" s="13" t="s">
        <v>109</v>
      </c>
    </row>
    <row r="32" spans="2:3" x14ac:dyDescent="0.2">
      <c r="B32" s="39" t="s">
        <v>110</v>
      </c>
    </row>
    <row r="33" spans="2:2" x14ac:dyDescent="0.2">
      <c r="B33" s="39" t="s">
        <v>111</v>
      </c>
    </row>
    <row r="34" spans="2:2" x14ac:dyDescent="0.2">
      <c r="B34" s="39" t="s">
        <v>112</v>
      </c>
    </row>
    <row r="35" spans="2:2" x14ac:dyDescent="0.2">
      <c r="B35" s="39" t="s">
        <v>113</v>
      </c>
    </row>
    <row r="36" spans="2:2" x14ac:dyDescent="0.2">
      <c r="B36" s="39" t="s">
        <v>114</v>
      </c>
    </row>
    <row r="38" spans="2:2" x14ac:dyDescent="0.2">
      <c r="B38" s="2" t="s">
        <v>83</v>
      </c>
    </row>
    <row r="39" spans="2:2" x14ac:dyDescent="0.2">
      <c r="B39" s="2" t="s">
        <v>84</v>
      </c>
    </row>
    <row r="40" spans="2:2" x14ac:dyDescent="0.2">
      <c r="B40" s="2" t="s">
        <v>85</v>
      </c>
    </row>
    <row r="41" spans="2:2" x14ac:dyDescent="0.2">
      <c r="B41" s="2" t="s">
        <v>86</v>
      </c>
    </row>
  </sheetData>
  <mergeCells count="14">
    <mergeCell ref="D15:E16"/>
    <mergeCell ref="F11:G12"/>
    <mergeCell ref="F15:G16"/>
    <mergeCell ref="A1:I1"/>
    <mergeCell ref="A2:I2"/>
    <mergeCell ref="B11:C12"/>
    <mergeCell ref="D9:E10"/>
    <mergeCell ref="F9:G10"/>
    <mergeCell ref="B15:C16"/>
    <mergeCell ref="B13:C14"/>
    <mergeCell ref="D13:E14"/>
    <mergeCell ref="F13:G14"/>
    <mergeCell ref="D6:G8"/>
    <mergeCell ref="D11:E1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M41"/>
  <sheetViews>
    <sheetView tabSelected="1" zoomScaleNormal="100" workbookViewId="0">
      <selection activeCell="D22" sqref="D22:E23"/>
    </sheetView>
  </sheetViews>
  <sheetFormatPr defaultRowHeight="12.75" x14ac:dyDescent="0.2"/>
  <cols>
    <col min="1" max="1" width="10.85546875" customWidth="1"/>
    <col min="2" max="3" width="17.85546875" customWidth="1"/>
    <col min="4" max="5" width="15.85546875" customWidth="1"/>
    <col min="6" max="6" width="10.140625" customWidth="1"/>
    <col min="7" max="7" width="14.28515625" customWidth="1"/>
    <col min="9" max="9" width="9.5703125" bestFit="1" customWidth="1"/>
  </cols>
  <sheetData>
    <row r="1" spans="2:13" ht="13.5" thickBot="1" x14ac:dyDescent="0.25"/>
    <row r="2" spans="2:13" x14ac:dyDescent="0.2">
      <c r="B2" s="102" t="s">
        <v>48</v>
      </c>
      <c r="C2" s="103"/>
      <c r="D2" s="103"/>
      <c r="E2" s="104"/>
    </row>
    <row r="3" spans="2:13" ht="13.5" thickBot="1" x14ac:dyDescent="0.25">
      <c r="B3" s="105" t="s">
        <v>115</v>
      </c>
      <c r="C3" s="106"/>
      <c r="D3" s="106"/>
      <c r="E3" s="107"/>
    </row>
    <row r="4" spans="2:13" x14ac:dyDescent="0.2">
      <c r="B4" s="2"/>
    </row>
    <row r="5" spans="2:13" ht="13.5" thickBot="1" x14ac:dyDescent="0.25"/>
    <row r="6" spans="2:13" x14ac:dyDescent="0.2">
      <c r="B6" s="117" t="s">
        <v>52</v>
      </c>
      <c r="C6" s="118"/>
      <c r="D6" s="117" t="s">
        <v>53</v>
      </c>
      <c r="E6" s="118"/>
    </row>
    <row r="7" spans="2:13" ht="13.5" thickBot="1" x14ac:dyDescent="0.25">
      <c r="B7" s="119"/>
      <c r="C7" s="120"/>
      <c r="D7" s="119"/>
      <c r="E7" s="120"/>
      <c r="M7" s="30"/>
    </row>
    <row r="8" spans="2:13" x14ac:dyDescent="0.2">
      <c r="B8" s="121" t="s">
        <v>51</v>
      </c>
      <c r="C8" s="100"/>
      <c r="D8" s="126">
        <v>2.5000000000000001E-2</v>
      </c>
      <c r="E8" s="64"/>
      <c r="M8" s="29"/>
    </row>
    <row r="9" spans="2:13" x14ac:dyDescent="0.2">
      <c r="B9" s="78"/>
      <c r="C9" s="77"/>
      <c r="D9" s="78"/>
      <c r="E9" s="116"/>
    </row>
    <row r="10" spans="2:13" x14ac:dyDescent="0.2">
      <c r="B10" s="78" t="s">
        <v>50</v>
      </c>
      <c r="C10" s="77"/>
      <c r="D10" s="127">
        <f>'Combined WACOC-Tax Table'!F13</f>
        <v>6.4103247966497967E-2</v>
      </c>
      <c r="E10" s="116"/>
      <c r="M10" s="2"/>
    </row>
    <row r="11" spans="2:13" x14ac:dyDescent="0.2">
      <c r="B11" s="78"/>
      <c r="C11" s="77"/>
      <c r="D11" s="78"/>
      <c r="E11" s="116"/>
      <c r="K11" s="28"/>
    </row>
    <row r="12" spans="2:13" x14ac:dyDescent="0.2">
      <c r="B12" s="76" t="s">
        <v>57</v>
      </c>
      <c r="C12" s="77"/>
      <c r="D12" s="78">
        <v>2028</v>
      </c>
      <c r="E12" s="116"/>
      <c r="K12" s="28"/>
    </row>
    <row r="13" spans="2:13" x14ac:dyDescent="0.2">
      <c r="B13" s="78"/>
      <c r="C13" s="77"/>
      <c r="D13" s="78"/>
      <c r="E13" s="116"/>
      <c r="K13" s="28"/>
    </row>
    <row r="14" spans="2:13" x14ac:dyDescent="0.2">
      <c r="B14" s="76" t="s">
        <v>62</v>
      </c>
      <c r="C14" s="77"/>
      <c r="D14" s="78">
        <v>2027</v>
      </c>
      <c r="E14" s="116"/>
      <c r="K14" s="28"/>
    </row>
    <row r="15" spans="2:13" x14ac:dyDescent="0.2">
      <c r="B15" s="78"/>
      <c r="C15" s="77"/>
      <c r="D15" s="78"/>
      <c r="E15" s="116"/>
    </row>
    <row r="16" spans="2:13" x14ac:dyDescent="0.2">
      <c r="B16" s="76" t="s">
        <v>58</v>
      </c>
      <c r="C16" s="77"/>
      <c r="D16" s="78">
        <f>D12-D14</f>
        <v>1</v>
      </c>
      <c r="E16" s="116"/>
      <c r="G16" s="32"/>
      <c r="H16" s="32"/>
      <c r="I16" s="33"/>
      <c r="J16" s="33"/>
    </row>
    <row r="17" spans="2:10" x14ac:dyDescent="0.2">
      <c r="B17" s="78"/>
      <c r="C17" s="77"/>
      <c r="D17" s="78"/>
      <c r="E17" s="116"/>
      <c r="G17" s="32"/>
      <c r="H17" s="32"/>
      <c r="I17" s="33"/>
      <c r="J17" s="33"/>
    </row>
    <row r="18" spans="2:10" x14ac:dyDescent="0.2">
      <c r="B18" s="76" t="s">
        <v>55</v>
      </c>
      <c r="C18" s="77"/>
      <c r="D18" s="78">
        <v>2022</v>
      </c>
      <c r="E18" s="116"/>
      <c r="G18" s="32"/>
      <c r="H18" s="32"/>
      <c r="I18" s="33"/>
      <c r="J18" s="33"/>
    </row>
    <row r="19" spans="2:10" x14ac:dyDescent="0.2">
      <c r="B19" s="78"/>
      <c r="C19" s="77"/>
      <c r="D19" s="78"/>
      <c r="E19" s="116"/>
      <c r="G19" s="32"/>
      <c r="H19" s="32"/>
      <c r="I19" s="33"/>
      <c r="J19" s="33"/>
    </row>
    <row r="20" spans="2:10" x14ac:dyDescent="0.2">
      <c r="B20" s="76" t="s">
        <v>56</v>
      </c>
      <c r="C20" s="77"/>
      <c r="D20" s="78">
        <f>D14-D18</f>
        <v>5</v>
      </c>
      <c r="E20" s="116"/>
      <c r="G20" s="32"/>
      <c r="H20" s="32"/>
      <c r="I20" s="33"/>
      <c r="J20" s="33"/>
    </row>
    <row r="21" spans="2:10" x14ac:dyDescent="0.2">
      <c r="B21" s="78"/>
      <c r="C21" s="77"/>
      <c r="D21" s="78"/>
      <c r="E21" s="116"/>
      <c r="G21" s="32"/>
      <c r="H21" s="32"/>
      <c r="I21" s="33"/>
      <c r="J21" s="33"/>
    </row>
    <row r="22" spans="2:10" x14ac:dyDescent="0.2">
      <c r="B22" s="78" t="s">
        <v>49</v>
      </c>
      <c r="C22" s="77"/>
      <c r="D22" s="124">
        <f>'Prod PVRR'!E16</f>
        <v>2523.6811569342217</v>
      </c>
      <c r="E22" s="125"/>
    </row>
    <row r="23" spans="2:10" x14ac:dyDescent="0.2">
      <c r="B23" s="78"/>
      <c r="C23" s="77"/>
      <c r="D23" s="124"/>
      <c r="E23" s="125"/>
      <c r="I23" s="31"/>
      <c r="J23" s="31"/>
    </row>
    <row r="24" spans="2:10" x14ac:dyDescent="0.2">
      <c r="B24" s="76" t="s">
        <v>59</v>
      </c>
      <c r="C24" s="77"/>
      <c r="D24" s="78">
        <v>40</v>
      </c>
      <c r="E24" s="116"/>
      <c r="I24" s="31"/>
      <c r="J24" s="31"/>
    </row>
    <row r="25" spans="2:10" x14ac:dyDescent="0.2">
      <c r="B25" s="78"/>
      <c r="C25" s="77"/>
      <c r="D25" s="78"/>
      <c r="E25" s="116"/>
    </row>
    <row r="26" spans="2:10" x14ac:dyDescent="0.2">
      <c r="B26" s="76" t="s">
        <v>54</v>
      </c>
      <c r="C26" s="77"/>
      <c r="D26" s="122">
        <f>((1+$D$8)^($D$20))/((1+$D$10)^($D$20))*(1-((1+$D$8)/(1+$D$10)))*1/(1-(((1+$D$8)^$D$24)/((1+$D$10)^$D$24)))</f>
        <v>3.9253832142009781E-2</v>
      </c>
      <c r="E26" s="123"/>
    </row>
    <row r="27" spans="2:10" ht="13.5" thickBot="1" x14ac:dyDescent="0.25">
      <c r="B27" s="78"/>
      <c r="C27" s="77"/>
      <c r="D27" s="122"/>
      <c r="E27" s="123"/>
    </row>
    <row r="28" spans="2:10" x14ac:dyDescent="0.2">
      <c r="B28" s="79" t="s">
        <v>64</v>
      </c>
      <c r="C28" s="100"/>
      <c r="D28" s="108">
        <f>(0.59271062507547+0.612640547283599)/2</f>
        <v>0.60267558617953454</v>
      </c>
      <c r="E28" s="109"/>
    </row>
    <row r="29" spans="2:10" ht="13.5" thickBot="1" x14ac:dyDescent="0.25">
      <c r="B29" s="65"/>
      <c r="C29" s="101"/>
      <c r="D29" s="110"/>
      <c r="E29" s="111"/>
    </row>
    <row r="30" spans="2:10" ht="13.5" thickBot="1" x14ac:dyDescent="0.25"/>
    <row r="31" spans="2:10" x14ac:dyDescent="0.2">
      <c r="B31" s="79" t="s">
        <v>63</v>
      </c>
      <c r="C31" s="64"/>
      <c r="D31" s="112">
        <f>((1+$D$8)^($D$14-$D$18))/((1+$D$10)^($D$14-$D$18))*$D$22*(1-((1+$D$8)/(1+$D$10)))*1/(1-(((1+$D$8)^$D$24)/((1+$D$10)^$D$24)))</f>
        <v>99.064156514248978</v>
      </c>
      <c r="E31" s="113"/>
    </row>
    <row r="32" spans="2:10" ht="13.5" thickBot="1" x14ac:dyDescent="0.25">
      <c r="B32" s="65"/>
      <c r="C32" s="66"/>
      <c r="D32" s="114"/>
      <c r="E32" s="115"/>
    </row>
    <row r="33" spans="2:5" ht="13.5" thickBot="1" x14ac:dyDescent="0.25">
      <c r="B33" s="32"/>
      <c r="C33" s="32"/>
      <c r="D33" s="33"/>
      <c r="E33" s="33"/>
    </row>
    <row r="34" spans="2:5" x14ac:dyDescent="0.2">
      <c r="B34" s="79" t="s">
        <v>65</v>
      </c>
      <c r="C34" s="64"/>
      <c r="D34" s="112">
        <f>D31*D28</f>
        <v>59.703548596606161</v>
      </c>
      <c r="E34" s="113"/>
    </row>
    <row r="35" spans="2:5" ht="13.5" thickBot="1" x14ac:dyDescent="0.25">
      <c r="B35" s="65"/>
      <c r="C35" s="66"/>
      <c r="D35" s="114"/>
      <c r="E35" s="115"/>
    </row>
    <row r="36" spans="2:5" ht="13.5" thickBot="1" x14ac:dyDescent="0.25"/>
    <row r="37" spans="2:5" x14ac:dyDescent="0.2">
      <c r="B37" s="79" t="s">
        <v>66</v>
      </c>
      <c r="C37" s="64"/>
      <c r="D37" s="112">
        <f>D31/12</f>
        <v>8.2553463761874148</v>
      </c>
      <c r="E37" s="113"/>
    </row>
    <row r="38" spans="2:5" ht="13.5" thickBot="1" x14ac:dyDescent="0.25">
      <c r="B38" s="65"/>
      <c r="C38" s="66"/>
      <c r="D38" s="114"/>
      <c r="E38" s="115"/>
    </row>
    <row r="39" spans="2:5" ht="13.5" thickBot="1" x14ac:dyDescent="0.25"/>
    <row r="40" spans="2:5" x14ac:dyDescent="0.2">
      <c r="B40" s="79" t="s">
        <v>67</v>
      </c>
      <c r="C40" s="64"/>
      <c r="D40" s="112">
        <f>D34/12</f>
        <v>4.9752957163838465</v>
      </c>
      <c r="E40" s="113"/>
    </row>
    <row r="41" spans="2:5" ht="13.5" thickBot="1" x14ac:dyDescent="0.25">
      <c r="B41" s="65"/>
      <c r="C41" s="66"/>
      <c r="D41" s="114"/>
      <c r="E41" s="115"/>
    </row>
  </sheetData>
  <mergeCells count="34">
    <mergeCell ref="D22:E23"/>
    <mergeCell ref="B14:C15"/>
    <mergeCell ref="B16:C17"/>
    <mergeCell ref="D16:E17"/>
    <mergeCell ref="D6:E7"/>
    <mergeCell ref="D8:E9"/>
    <mergeCell ref="D10:E11"/>
    <mergeCell ref="D14:E15"/>
    <mergeCell ref="B40:C41"/>
    <mergeCell ref="D40:E41"/>
    <mergeCell ref="B37:C38"/>
    <mergeCell ref="D37:E38"/>
    <mergeCell ref="D24:E25"/>
    <mergeCell ref="D26:E27"/>
    <mergeCell ref="D31:E32"/>
    <mergeCell ref="B24:C25"/>
    <mergeCell ref="B31:C32"/>
    <mergeCell ref="B26:C27"/>
    <mergeCell ref="B2:E2"/>
    <mergeCell ref="B3:E3"/>
    <mergeCell ref="B28:C29"/>
    <mergeCell ref="D28:E29"/>
    <mergeCell ref="B34:C35"/>
    <mergeCell ref="D34:E35"/>
    <mergeCell ref="B18:C19"/>
    <mergeCell ref="D18:E19"/>
    <mergeCell ref="B12:C13"/>
    <mergeCell ref="D12:E13"/>
    <mergeCell ref="B22:C23"/>
    <mergeCell ref="B20:C21"/>
    <mergeCell ref="B6:C7"/>
    <mergeCell ref="D20:E21"/>
    <mergeCell ref="B8:C9"/>
    <mergeCell ref="B10:C11"/>
  </mergeCells>
  <pageMargins left="0.7" right="0.7" top="0.75" bottom="0.75" header="0.3" footer="0.3"/>
  <pageSetup orientation="portrait" r:id="rId1"/>
  <headerFooter>
    <oddFooter>&amp;RAttachment B 
Page 1 of 5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85"/>
  <sheetViews>
    <sheetView zoomScaleNormal="100" workbookViewId="0">
      <selection activeCell="O28" sqref="O28"/>
    </sheetView>
  </sheetViews>
  <sheetFormatPr defaultRowHeight="12.75" x14ac:dyDescent="0.2"/>
  <cols>
    <col min="1" max="1" width="9.28515625" bestFit="1" customWidth="1"/>
    <col min="2" max="2" width="14.140625" customWidth="1"/>
    <col min="3" max="3" width="13.5703125" customWidth="1"/>
    <col min="4" max="4" width="14.42578125" bestFit="1" customWidth="1"/>
    <col min="5" max="5" width="16.28515625" customWidth="1"/>
    <col min="6" max="6" width="14.42578125" bestFit="1" customWidth="1"/>
    <col min="7" max="7" width="12.85546875" customWidth="1"/>
    <col min="8" max="8" width="14" customWidth="1"/>
    <col min="9" max="9" width="13.140625" customWidth="1"/>
    <col min="10" max="10" width="12.85546875" customWidth="1"/>
    <col min="11" max="11" width="12.140625" customWidth="1"/>
    <col min="12" max="12" width="13.85546875" bestFit="1" customWidth="1"/>
    <col min="13" max="13" width="14.140625" bestFit="1" customWidth="1"/>
    <col min="14" max="15" width="14.140625" customWidth="1"/>
    <col min="16" max="16" width="14.28515625" customWidth="1"/>
    <col min="17" max="17" width="12" customWidth="1"/>
    <col min="18" max="18" width="16.28515625" bestFit="1" customWidth="1"/>
    <col min="19" max="19" width="15" customWidth="1"/>
    <col min="20" max="20" width="9.28515625" bestFit="1" customWidth="1"/>
    <col min="23" max="23" width="10.42578125" bestFit="1" customWidth="1"/>
  </cols>
  <sheetData>
    <row r="1" spans="2:23" ht="15" x14ac:dyDescent="0.2">
      <c r="B1" s="13" t="s">
        <v>48</v>
      </c>
      <c r="H1" s="22"/>
      <c r="I1" s="13" t="str">
        <f>B1</f>
        <v>Louisville Gas &amp; Electric and Kentucky Utilities</v>
      </c>
      <c r="R1" s="22"/>
      <c r="S1" s="13" t="str">
        <f>B1</f>
        <v>Louisville Gas &amp; Electric and Kentucky Utilities</v>
      </c>
    </row>
    <row r="2" spans="2:23" x14ac:dyDescent="0.2">
      <c r="B2" s="2" t="s">
        <v>44</v>
      </c>
      <c r="H2" s="4"/>
      <c r="I2" s="2" t="str">
        <f>B2</f>
        <v>Present Value Revenue Requirement Analysis</v>
      </c>
      <c r="R2" s="4"/>
      <c r="S2" s="2" t="str">
        <f>B2</f>
        <v>Present Value Revenue Requirement Analysis</v>
      </c>
    </row>
    <row r="3" spans="2:23" x14ac:dyDescent="0.2">
      <c r="B3" s="39" t="s">
        <v>102</v>
      </c>
      <c r="H3" s="23"/>
      <c r="I3" s="2" t="str">
        <f>B3</f>
        <v>New CCGT Addition</v>
      </c>
      <c r="R3" s="23"/>
      <c r="S3" s="2" t="str">
        <f>B3</f>
        <v>New CCGT Addition</v>
      </c>
    </row>
    <row r="4" spans="2:23" x14ac:dyDescent="0.2">
      <c r="B4" s="13"/>
      <c r="H4" s="23"/>
      <c r="I4" s="13"/>
      <c r="R4" s="23"/>
    </row>
    <row r="7" spans="2:23" x14ac:dyDescent="0.2">
      <c r="B7" s="13" t="s">
        <v>43</v>
      </c>
      <c r="I7" s="13" t="s">
        <v>43</v>
      </c>
      <c r="S7" s="13" t="s">
        <v>43</v>
      </c>
    </row>
    <row r="8" spans="2:23" x14ac:dyDescent="0.2">
      <c r="B8" s="20" t="s">
        <v>42</v>
      </c>
      <c r="E8" s="56">
        <v>1255</v>
      </c>
      <c r="I8" s="20" t="s">
        <v>42</v>
      </c>
      <c r="L8" s="10">
        <f t="shared" ref="L8:L13" si="0">E8</f>
        <v>1255</v>
      </c>
      <c r="P8" s="10"/>
      <c r="S8" s="20" t="s">
        <v>42</v>
      </c>
      <c r="W8" s="10">
        <f t="shared" ref="W8:W13" si="1">E8</f>
        <v>1255</v>
      </c>
    </row>
    <row r="9" spans="2:23" x14ac:dyDescent="0.2">
      <c r="B9" s="20" t="s">
        <v>41</v>
      </c>
      <c r="E9">
        <v>40</v>
      </c>
      <c r="I9" s="20" t="s">
        <v>41</v>
      </c>
      <c r="L9">
        <f t="shared" si="0"/>
        <v>40</v>
      </c>
      <c r="S9" s="20" t="s">
        <v>41</v>
      </c>
      <c r="W9">
        <f t="shared" si="1"/>
        <v>40</v>
      </c>
    </row>
    <row r="10" spans="2:23" x14ac:dyDescent="0.2">
      <c r="B10" s="20" t="s">
        <v>40</v>
      </c>
      <c r="E10">
        <v>20</v>
      </c>
      <c r="I10" s="20" t="s">
        <v>40</v>
      </c>
      <c r="L10">
        <f t="shared" si="0"/>
        <v>20</v>
      </c>
      <c r="S10" s="20" t="s">
        <v>40</v>
      </c>
      <c r="W10">
        <f t="shared" si="1"/>
        <v>20</v>
      </c>
    </row>
    <row r="11" spans="2:23" x14ac:dyDescent="0.2">
      <c r="B11" s="20" t="s">
        <v>39</v>
      </c>
      <c r="E11" s="34">
        <f>'Combined WACOC-Tax Table'!E10</f>
        <v>0.2484053540891209</v>
      </c>
      <c r="I11" s="20" t="s">
        <v>39</v>
      </c>
      <c r="L11" s="21">
        <f t="shared" si="0"/>
        <v>0.2484053540891209</v>
      </c>
      <c r="P11" s="21"/>
      <c r="S11" s="20" t="s">
        <v>39</v>
      </c>
      <c r="W11" s="21">
        <f t="shared" si="1"/>
        <v>0.2484053540891209</v>
      </c>
    </row>
    <row r="12" spans="2:23" x14ac:dyDescent="0.2">
      <c r="B12" s="20" t="s">
        <v>38</v>
      </c>
      <c r="E12" s="35">
        <f>(40428756+43476370)/(10746349463+641585730)</f>
        <v>7.3678963374831348E-3</v>
      </c>
      <c r="I12" s="20" t="s">
        <v>38</v>
      </c>
      <c r="L12" s="6">
        <f t="shared" si="0"/>
        <v>7.3678963374831348E-3</v>
      </c>
      <c r="P12" s="6"/>
      <c r="S12" s="20" t="s">
        <v>38</v>
      </c>
      <c r="W12" s="6">
        <f t="shared" si="1"/>
        <v>7.3678963374831348E-3</v>
      </c>
    </row>
    <row r="13" spans="2:23" x14ac:dyDescent="0.2">
      <c r="B13" s="20" t="s">
        <v>37</v>
      </c>
      <c r="E13">
        <f>E9</f>
        <v>40</v>
      </c>
      <c r="I13" s="20" t="s">
        <v>37</v>
      </c>
      <c r="L13">
        <f t="shared" si="0"/>
        <v>40</v>
      </c>
      <c r="S13" s="20" t="s">
        <v>37</v>
      </c>
      <c r="W13">
        <f t="shared" si="1"/>
        <v>40</v>
      </c>
    </row>
    <row r="15" spans="2:23" x14ac:dyDescent="0.2">
      <c r="B15" s="13" t="s">
        <v>36</v>
      </c>
      <c r="I15" s="13" t="s">
        <v>36</v>
      </c>
      <c r="S15" s="13" t="s">
        <v>36</v>
      </c>
    </row>
    <row r="16" spans="2:23" x14ac:dyDescent="0.2">
      <c r="B16" s="20" t="s">
        <v>35</v>
      </c>
      <c r="E16" s="14">
        <f>R70</f>
        <v>2523.6811569342217</v>
      </c>
      <c r="I16" s="20" t="s">
        <v>35</v>
      </c>
      <c r="L16" s="14">
        <f>E16</f>
        <v>2523.6811569342217</v>
      </c>
      <c r="P16" s="14"/>
      <c r="S16" s="20" t="s">
        <v>35</v>
      </c>
      <c r="W16" s="14">
        <f>E16</f>
        <v>2523.6811569342217</v>
      </c>
    </row>
    <row r="17" spans="1:23" x14ac:dyDescent="0.2">
      <c r="B17" s="20" t="s">
        <v>34</v>
      </c>
      <c r="E17" s="14">
        <f>PMT('Combined WACOC-Tax Table'!D13,E13,R70)*-1</f>
        <v>186.47501201931797</v>
      </c>
      <c r="I17" s="20" t="s">
        <v>34</v>
      </c>
      <c r="L17" s="14">
        <f>E17</f>
        <v>186.47501201931797</v>
      </c>
      <c r="P17" s="16"/>
      <c r="S17" s="20" t="s">
        <v>34</v>
      </c>
      <c r="W17" s="14">
        <f>E17</f>
        <v>186.47501201931797</v>
      </c>
    </row>
    <row r="18" spans="1:23" x14ac:dyDescent="0.2">
      <c r="B18" s="20" t="s">
        <v>33</v>
      </c>
      <c r="E18" s="6">
        <f>E17/E8</f>
        <v>0.14858566694766373</v>
      </c>
      <c r="I18" s="20" t="s">
        <v>33</v>
      </c>
      <c r="L18" s="6">
        <f>L17/L8</f>
        <v>0.14858566694766373</v>
      </c>
      <c r="P18" s="6"/>
      <c r="S18" s="20" t="s">
        <v>33</v>
      </c>
      <c r="W18" s="6">
        <f>E18</f>
        <v>0.14858566694766373</v>
      </c>
    </row>
    <row r="19" spans="1:23" x14ac:dyDescent="0.2">
      <c r="B19" s="20"/>
      <c r="E19" s="19"/>
      <c r="I19" s="20"/>
      <c r="P19" s="19"/>
    </row>
    <row r="20" spans="1:23" x14ac:dyDescent="0.2">
      <c r="C20" s="19"/>
    </row>
    <row r="21" spans="1:23" x14ac:dyDescent="0.2">
      <c r="C21" s="19"/>
    </row>
    <row r="22" spans="1:23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2"/>
      <c r="R22" s="4"/>
      <c r="S22" s="12" t="s">
        <v>0</v>
      </c>
      <c r="T22" s="4"/>
    </row>
    <row r="23" spans="1:23" x14ac:dyDescent="0.2">
      <c r="A23" s="4"/>
      <c r="B23" s="4"/>
      <c r="C23" s="4"/>
      <c r="D23" s="4"/>
      <c r="E23" s="4"/>
      <c r="F23" s="4"/>
      <c r="G23" s="4"/>
      <c r="H23" s="4"/>
      <c r="I23" s="12"/>
      <c r="J23" s="4"/>
      <c r="K23" s="4"/>
      <c r="L23" s="4"/>
      <c r="M23" s="12"/>
      <c r="N23" s="12"/>
      <c r="O23" s="12"/>
      <c r="P23" s="12"/>
      <c r="Q23" s="12" t="s">
        <v>2</v>
      </c>
      <c r="R23" s="12" t="s">
        <v>2</v>
      </c>
      <c r="S23" s="12" t="s">
        <v>2</v>
      </c>
      <c r="T23" s="12" t="s">
        <v>3</v>
      </c>
    </row>
    <row r="24" spans="1:23" x14ac:dyDescent="0.2">
      <c r="A24" s="4"/>
      <c r="B24" s="4"/>
      <c r="C24" s="4"/>
      <c r="D24" s="4"/>
      <c r="E24" s="4"/>
      <c r="F24" s="4"/>
      <c r="G24" s="4"/>
      <c r="H24" s="12" t="s">
        <v>32</v>
      </c>
      <c r="I24" s="12"/>
      <c r="J24" s="4"/>
      <c r="K24" s="4"/>
      <c r="L24" s="4"/>
      <c r="M24" s="12"/>
      <c r="N24" s="12"/>
      <c r="O24" s="12"/>
      <c r="P24" s="12" t="s">
        <v>3</v>
      </c>
      <c r="Q24" s="12" t="s">
        <v>31</v>
      </c>
      <c r="R24" s="12" t="s">
        <v>31</v>
      </c>
      <c r="S24" s="12" t="s">
        <v>31</v>
      </c>
      <c r="T24" s="12" t="s">
        <v>30</v>
      </c>
    </row>
    <row r="25" spans="1:23" x14ac:dyDescent="0.2">
      <c r="A25" s="4"/>
      <c r="B25" s="12"/>
      <c r="C25" s="12" t="s">
        <v>29</v>
      </c>
      <c r="D25" s="12" t="s">
        <v>45</v>
      </c>
      <c r="E25" s="12" t="s">
        <v>28</v>
      </c>
      <c r="F25" s="12" t="s">
        <v>27</v>
      </c>
      <c r="G25" s="12" t="s">
        <v>26</v>
      </c>
      <c r="H25" s="12" t="s">
        <v>26</v>
      </c>
      <c r="I25" s="12"/>
      <c r="J25" s="12"/>
      <c r="K25" s="12"/>
      <c r="L25" s="12" t="s">
        <v>46</v>
      </c>
      <c r="M25" s="12" t="s">
        <v>25</v>
      </c>
      <c r="N25" s="12" t="s">
        <v>116</v>
      </c>
      <c r="O25" s="12" t="s">
        <v>118</v>
      </c>
      <c r="P25" s="12" t="s">
        <v>47</v>
      </c>
      <c r="Q25" s="12" t="s">
        <v>17</v>
      </c>
      <c r="R25" s="12" t="s">
        <v>24</v>
      </c>
      <c r="S25" s="12" t="s">
        <v>24</v>
      </c>
      <c r="T25" s="12" t="s">
        <v>23</v>
      </c>
    </row>
    <row r="26" spans="1:23" x14ac:dyDescent="0.2">
      <c r="A26" s="12" t="s">
        <v>1</v>
      </c>
      <c r="B26" s="12" t="s">
        <v>22</v>
      </c>
      <c r="C26" s="12" t="s">
        <v>21</v>
      </c>
      <c r="D26" s="12" t="s">
        <v>20</v>
      </c>
      <c r="E26" s="12" t="s">
        <v>21</v>
      </c>
      <c r="F26" s="12" t="s">
        <v>20</v>
      </c>
      <c r="G26" s="12" t="s">
        <v>19</v>
      </c>
      <c r="H26" s="12" t="s">
        <v>19</v>
      </c>
      <c r="I26" s="12" t="s">
        <v>18</v>
      </c>
      <c r="J26" s="12" t="s">
        <v>17</v>
      </c>
      <c r="K26" s="12" t="s">
        <v>16</v>
      </c>
      <c r="L26" s="12" t="s">
        <v>15</v>
      </c>
      <c r="M26" s="12" t="s">
        <v>15</v>
      </c>
      <c r="N26" s="12" t="s">
        <v>117</v>
      </c>
      <c r="O26" s="12" t="s">
        <v>119</v>
      </c>
      <c r="P26" s="12" t="s">
        <v>13</v>
      </c>
      <c r="Q26" s="12" t="s">
        <v>14</v>
      </c>
      <c r="R26" s="12" t="s">
        <v>13</v>
      </c>
      <c r="S26" s="12" t="s">
        <v>13</v>
      </c>
      <c r="T26" s="12" t="s">
        <v>6</v>
      </c>
    </row>
    <row r="28" spans="1:23" x14ac:dyDescent="0.2">
      <c r="A28">
        <v>0</v>
      </c>
      <c r="B28" s="10">
        <f>E8</f>
        <v>1255</v>
      </c>
      <c r="C28" s="18"/>
      <c r="D28" s="18"/>
      <c r="E28" s="18"/>
      <c r="F28" s="18"/>
      <c r="G28" s="18"/>
      <c r="H28" s="18"/>
      <c r="I28" s="14"/>
      <c r="J28" s="1"/>
      <c r="K28" s="10"/>
      <c r="L28" s="14"/>
      <c r="M28" s="9"/>
      <c r="N28" s="9"/>
      <c r="O28" s="9"/>
      <c r="P28" s="10"/>
      <c r="Q28" s="25">
        <f>1/(1+'Combined WACOC-Tax Table'!$F$13)^A28</f>
        <v>1</v>
      </c>
      <c r="R28" s="15">
        <f t="shared" ref="R28:R68" si="2">P28*Q28</f>
        <v>0</v>
      </c>
      <c r="S28" s="14">
        <f>R28</f>
        <v>0</v>
      </c>
    </row>
    <row r="29" spans="1:23" x14ac:dyDescent="0.2">
      <c r="A29">
        <v>1</v>
      </c>
      <c r="C29" s="26">
        <f>(1/$E$9)*$B$28</f>
        <v>31.375</v>
      </c>
      <c r="D29" s="26">
        <f>$B$28-C29</f>
        <v>1223.625</v>
      </c>
      <c r="E29" s="26">
        <f>HLOOKUP($E$10,'Combined WACOC-Tax Table'!$B$17:$E$58,A29+1)*$B$28</f>
        <v>47.0625</v>
      </c>
      <c r="F29" s="26">
        <f>B28-E29</f>
        <v>1207.9375</v>
      </c>
      <c r="G29" s="26">
        <f t="shared" ref="G29:G68" si="3">(E29-C29)*$E$11</f>
        <v>3.8968589922730841</v>
      </c>
      <c r="H29" s="26">
        <f>G29</f>
        <v>3.8968589922730841</v>
      </c>
      <c r="I29" s="26">
        <f>D29-H29</f>
        <v>1219.7281410077269</v>
      </c>
      <c r="J29" s="26">
        <f>'Combined WACOC-Tax Table'!$D$10*I29</f>
        <v>8.5434295633697255E-2</v>
      </c>
      <c r="K29" s="26">
        <f>I29*('Combined WACOC-Tax Table'!$D$11+'Combined WACOC-Tax Table'!$D$12)</f>
        <v>83.724712356359817</v>
      </c>
      <c r="L29" s="26">
        <f t="shared" ref="L29:L68" si="4">$E$12*D29</f>
        <v>9.0155421559528008</v>
      </c>
      <c r="M29" s="26">
        <f t="shared" ref="M29:M68" si="5">($E$11/(1-$E$11))*K29</f>
        <v>27.671387671590008</v>
      </c>
      <c r="N29" s="26">
        <v>49</v>
      </c>
      <c r="O29" s="26">
        <v>0</v>
      </c>
      <c r="P29" s="26">
        <f>C29+J29+K29+L29+M29+N29+O29</f>
        <v>200.8720764795363</v>
      </c>
      <c r="Q29" s="25">
        <f>1/(1+'Combined WACOC-Tax Table'!$F$13)^A29</f>
        <v>0.93975843219255328</v>
      </c>
      <c r="R29" s="17">
        <f t="shared" si="2"/>
        <v>188.77122766367168</v>
      </c>
      <c r="S29" s="9">
        <f t="shared" ref="S29:S68" si="6">S28+R29</f>
        <v>188.77122766367168</v>
      </c>
      <c r="T29" s="6">
        <f t="shared" ref="T29:T68" si="7">P29/$B$28</f>
        <v>0.16005743145779786</v>
      </c>
      <c r="U29" s="16"/>
    </row>
    <row r="30" spans="1:23" x14ac:dyDescent="0.2">
      <c r="A30">
        <v>2</v>
      </c>
      <c r="C30" s="9">
        <f t="shared" ref="C30:C68" si="8">IF(D29&lt;=0.001,0,(1/$E$9)*$B$28)</f>
        <v>31.375</v>
      </c>
      <c r="D30" s="9">
        <f t="shared" ref="D30:D68" si="9">D29-C30</f>
        <v>1192.25</v>
      </c>
      <c r="E30" s="9">
        <f>HLOOKUP($E$10,'Combined WACOC-Tax Table'!$B$17:$E$58,A30+1)*$B$28</f>
        <v>90.59845</v>
      </c>
      <c r="F30" s="9">
        <f t="shared" ref="F30:F68" si="10">F29-E30</f>
        <v>1117.33905</v>
      </c>
      <c r="G30" s="9">
        <f t="shared" si="3"/>
        <v>14.711422067629346</v>
      </c>
      <c r="H30" s="9">
        <f t="shared" ref="H30:H68" si="11">H29+G30</f>
        <v>18.608281059902431</v>
      </c>
      <c r="I30" s="9">
        <f t="shared" ref="I30:I58" si="12">D30-H30</f>
        <v>1173.6417189400975</v>
      </c>
      <c r="J30" s="9">
        <f>'Combined WACOC-Tax Table'!$D$10*I30</f>
        <v>8.2206231218972678E-2</v>
      </c>
      <c r="K30" s="9">
        <f>I30*('Combined WACOC-Tax Table'!$D$11+'Combined WACOC-Tax Table'!$D$12)</f>
        <v>80.561243136113603</v>
      </c>
      <c r="L30" s="9">
        <f t="shared" si="4"/>
        <v>8.7843744083642683</v>
      </c>
      <c r="M30" s="9">
        <f t="shared" si="5"/>
        <v>26.625847105168152</v>
      </c>
      <c r="N30" s="9">
        <f>N29*(1+'Prod Economic Carrying Charge'!$D$8)</f>
        <v>50.224999999999994</v>
      </c>
      <c r="O30" s="9">
        <f>O29*(1+'Prod Economic Carrying Charge'!$D$8)</f>
        <v>0</v>
      </c>
      <c r="P30" s="26">
        <f t="shared" ref="P30:P68" si="13">C30+J30+K30+L30+M30+N30+O30</f>
        <v>197.65367088086501</v>
      </c>
      <c r="Q30" s="25">
        <f>1/(1+'Combined WACOC-Tax Table'!$F$13)^A30</f>
        <v>0.88314591087700589</v>
      </c>
      <c r="R30" s="17">
        <f t="shared" si="2"/>
        <v>174.55703120826547</v>
      </c>
      <c r="S30" s="9">
        <f t="shared" si="6"/>
        <v>363.32825887193712</v>
      </c>
      <c r="T30" s="6">
        <f t="shared" si="7"/>
        <v>0.15749296484531075</v>
      </c>
      <c r="U30" s="16"/>
    </row>
    <row r="31" spans="1:23" x14ac:dyDescent="0.2">
      <c r="A31">
        <v>3</v>
      </c>
      <c r="C31" s="9">
        <f t="shared" si="8"/>
        <v>31.375</v>
      </c>
      <c r="D31" s="9">
        <f t="shared" si="9"/>
        <v>1160.875</v>
      </c>
      <c r="E31" s="9">
        <f>HLOOKUP($E$10,'Combined WACOC-Tax Table'!$B$17:$E$58,A31+1)*$B$28</f>
        <v>83.79634999999999</v>
      </c>
      <c r="F31" s="9">
        <f t="shared" si="10"/>
        <v>1033.5427</v>
      </c>
      <c r="G31" s="9">
        <f t="shared" si="3"/>
        <v>13.021744008579736</v>
      </c>
      <c r="H31" s="9">
        <f t="shared" si="11"/>
        <v>31.630025068482169</v>
      </c>
      <c r="I31" s="9">
        <f t="shared" si="12"/>
        <v>1129.2449749315178</v>
      </c>
      <c r="J31" s="9">
        <f>'Combined WACOC-Tax Table'!$D$10*I31</f>
        <v>7.9096518140065741E-2</v>
      </c>
      <c r="K31" s="9">
        <f>I31*('Combined WACOC-Tax Table'!$D$11+'Combined WACOC-Tax Table'!$D$12)</f>
        <v>77.513756981857767</v>
      </c>
      <c r="L31" s="9">
        <f t="shared" si="4"/>
        <v>8.553206660775734</v>
      </c>
      <c r="M31" s="9">
        <f t="shared" si="5"/>
        <v>25.618639454943114</v>
      </c>
      <c r="N31" s="9">
        <f>N30*(1+'Prod Economic Carrying Charge'!$D$8)</f>
        <v>51.480624999999989</v>
      </c>
      <c r="O31" s="9">
        <f>O30*(1+'Prod Economic Carrying Charge'!$D$8)</f>
        <v>0</v>
      </c>
      <c r="P31" s="26">
        <f t="shared" si="13"/>
        <v>194.62032461571664</v>
      </c>
      <c r="Q31" s="25">
        <f>1/(1+'Combined WACOC-Tax Table'!$F$13)^A31</f>
        <v>0.82994381660303951</v>
      </c>
      <c r="R31" s="17">
        <f t="shared" si="2"/>
        <v>161.52393500009035</v>
      </c>
      <c r="S31" s="9">
        <f t="shared" si="6"/>
        <v>524.85219387202744</v>
      </c>
      <c r="T31" s="6">
        <f t="shared" si="7"/>
        <v>0.15507595586909692</v>
      </c>
      <c r="U31" s="16"/>
    </row>
    <row r="32" spans="1:23" x14ac:dyDescent="0.2">
      <c r="A32">
        <v>4</v>
      </c>
      <c r="C32" s="9">
        <f t="shared" si="8"/>
        <v>31.375</v>
      </c>
      <c r="D32" s="9">
        <f t="shared" si="9"/>
        <v>1129.5</v>
      </c>
      <c r="E32" s="9">
        <f>HLOOKUP($E$10,'Combined WACOC-Tax Table'!$B$17:$E$58,A32+1)*$B$28</f>
        <v>77.521349999999998</v>
      </c>
      <c r="F32" s="9">
        <f t="shared" si="10"/>
        <v>956.02134999999998</v>
      </c>
      <c r="G32" s="9">
        <f t="shared" si="3"/>
        <v>11.463000411670503</v>
      </c>
      <c r="H32" s="9">
        <f t="shared" si="11"/>
        <v>43.093025480152676</v>
      </c>
      <c r="I32" s="9">
        <f t="shared" si="12"/>
        <v>1086.4069745198474</v>
      </c>
      <c r="J32" s="9">
        <f>'Combined WACOC-Tax Table'!$D$10*I32</f>
        <v>7.609598526025256E-2</v>
      </c>
      <c r="K32" s="9">
        <f>I32*('Combined WACOC-Tax Table'!$D$11+'Combined WACOC-Tax Table'!$D$12)</f>
        <v>74.573266275932482</v>
      </c>
      <c r="L32" s="9">
        <f t="shared" si="4"/>
        <v>8.3220389131872015</v>
      </c>
      <c r="M32" s="9">
        <f t="shared" si="5"/>
        <v>24.646794273534319</v>
      </c>
      <c r="N32" s="9">
        <f>N31*(1+'Prod Economic Carrying Charge'!$D$8)</f>
        <v>52.767640624999984</v>
      </c>
      <c r="O32" s="9">
        <f>O31*(1+'Prod Economic Carrying Charge'!$D$8)</f>
        <v>0</v>
      </c>
      <c r="P32" s="26">
        <f t="shared" si="13"/>
        <v>191.76083607291423</v>
      </c>
      <c r="Q32" s="25">
        <f>1/(1+'Combined WACOC-Tax Table'!$F$13)^A32</f>
        <v>0.7799466998987763</v>
      </c>
      <c r="R32" s="17">
        <f t="shared" si="2"/>
        <v>149.56323126489968</v>
      </c>
      <c r="S32" s="9">
        <f t="shared" si="6"/>
        <v>674.41542513692707</v>
      </c>
      <c r="T32" s="6">
        <f t="shared" si="7"/>
        <v>0.15279747894256113</v>
      </c>
      <c r="U32" s="16"/>
    </row>
    <row r="33" spans="1:21" x14ac:dyDescent="0.2">
      <c r="A33">
        <v>5</v>
      </c>
      <c r="C33" s="9">
        <f t="shared" si="8"/>
        <v>31.375</v>
      </c>
      <c r="D33" s="9">
        <f t="shared" si="9"/>
        <v>1098.125</v>
      </c>
      <c r="E33" s="9">
        <f>HLOOKUP($E$10,'Combined WACOC-Tax Table'!$B$17:$E$58,A33+1)*$B$28</f>
        <v>71.698149999999998</v>
      </c>
      <c r="F33" s="9">
        <f t="shared" si="10"/>
        <v>884.32320000000004</v>
      </c>
      <c r="G33" s="9">
        <f t="shared" si="3"/>
        <v>10.016486353738735</v>
      </c>
      <c r="H33" s="9">
        <f t="shared" si="11"/>
        <v>53.109511833891411</v>
      </c>
      <c r="I33" s="9">
        <f t="shared" si="12"/>
        <v>1045.0154881661085</v>
      </c>
      <c r="J33" s="9">
        <f>'Combined WACOC-Tax Table'!$D$10*I33</f>
        <v>7.3196771605198357E-2</v>
      </c>
      <c r="K33" s="9">
        <f>I33*('Combined WACOC-Tax Table'!$D$11+'Combined WACOC-Tax Table'!$D$12)</f>
        <v>71.732067346057974</v>
      </c>
      <c r="L33" s="9">
        <f t="shared" si="4"/>
        <v>8.0908711655986671</v>
      </c>
      <c r="M33" s="9">
        <f t="shared" si="5"/>
        <v>23.707765463186998</v>
      </c>
      <c r="N33" s="9">
        <f>N32*(1+'Prod Economic Carrying Charge'!$D$8)</f>
        <v>54.086831640624979</v>
      </c>
      <c r="O33" s="9">
        <f>O32*(1+'Prod Economic Carrying Charge'!$D$8)</f>
        <v>0</v>
      </c>
      <c r="P33" s="26">
        <f t="shared" si="13"/>
        <v>189.06573238707381</v>
      </c>
      <c r="Q33" s="25">
        <f>1/(1+'Combined WACOC-Tax Table'!$F$13)^A33</f>
        <v>0.73296148789062987</v>
      </c>
      <c r="R33" s="17">
        <f t="shared" si="2"/>
        <v>138.57790051956127</v>
      </c>
      <c r="S33" s="9">
        <f t="shared" si="6"/>
        <v>812.99332565648831</v>
      </c>
      <c r="T33" s="6">
        <f t="shared" si="7"/>
        <v>0.15064998596579587</v>
      </c>
      <c r="U33" s="16"/>
    </row>
    <row r="34" spans="1:21" x14ac:dyDescent="0.2">
      <c r="A34">
        <v>6</v>
      </c>
      <c r="C34" s="9">
        <f t="shared" si="8"/>
        <v>31.375</v>
      </c>
      <c r="D34" s="9">
        <f t="shared" si="9"/>
        <v>1066.75</v>
      </c>
      <c r="E34" s="9">
        <f>HLOOKUP($E$10,'Combined WACOC-Tax Table'!$B$17:$E$58,A34+1)*$B$28</f>
        <v>66.326750000000004</v>
      </c>
      <c r="F34" s="9">
        <f t="shared" si="10"/>
        <v>817.9964500000001</v>
      </c>
      <c r="G34" s="9">
        <f t="shared" si="3"/>
        <v>8.6822018347844327</v>
      </c>
      <c r="H34" s="9">
        <f t="shared" si="11"/>
        <v>61.79171366867584</v>
      </c>
      <c r="I34" s="9">
        <f t="shared" si="12"/>
        <v>1004.9582863313242</v>
      </c>
      <c r="J34" s="9">
        <f>'Combined WACOC-Tax Table'!$D$10*I34</f>
        <v>7.0391016200568438E-2</v>
      </c>
      <c r="K34" s="9">
        <f>I34*('Combined WACOC-Tax Table'!$D$11+'Combined WACOC-Tax Table'!$D$12)</f>
        <v>68.982456519954454</v>
      </c>
      <c r="L34" s="9">
        <f t="shared" si="4"/>
        <v>7.8597034180101337</v>
      </c>
      <c r="M34" s="9">
        <f t="shared" si="5"/>
        <v>22.799006926146387</v>
      </c>
      <c r="N34" s="9">
        <f>N33*(1+'Prod Economic Carrying Charge'!$D$8)</f>
        <v>55.439002431640596</v>
      </c>
      <c r="O34" s="9">
        <f>O33*(1+'Prod Economic Carrying Charge'!$D$8)</f>
        <v>0</v>
      </c>
      <c r="P34" s="26">
        <f t="shared" si="13"/>
        <v>186.52556031195212</v>
      </c>
      <c r="Q34" s="25">
        <f>1/(1+'Combined WACOC-Tax Table'!$F$13)^A34</f>
        <v>0.68880673871761955</v>
      </c>
      <c r="R34" s="17">
        <f t="shared" si="2"/>
        <v>128.48006288595238</v>
      </c>
      <c r="S34" s="9">
        <f t="shared" si="6"/>
        <v>941.47338854244072</v>
      </c>
      <c r="T34" s="6">
        <f t="shared" si="7"/>
        <v>0.14862594447167499</v>
      </c>
      <c r="U34" s="16"/>
    </row>
    <row r="35" spans="1:21" x14ac:dyDescent="0.2">
      <c r="A35">
        <v>7</v>
      </c>
      <c r="C35" s="9">
        <f t="shared" si="8"/>
        <v>31.375</v>
      </c>
      <c r="D35" s="9">
        <f t="shared" si="9"/>
        <v>1035.375</v>
      </c>
      <c r="E35" s="9">
        <f>HLOOKUP($E$10,'Combined WACOC-Tax Table'!$B$17:$E$58,A35+1)*$B$28</f>
        <v>61.3444</v>
      </c>
      <c r="F35" s="9">
        <f t="shared" si="10"/>
        <v>756.65205000000014</v>
      </c>
      <c r="G35" s="9">
        <f t="shared" si="3"/>
        <v>7.4445594188384998</v>
      </c>
      <c r="H35" s="9">
        <f t="shared" si="11"/>
        <v>69.236273087514334</v>
      </c>
      <c r="I35" s="9">
        <f t="shared" si="12"/>
        <v>966.13872691248571</v>
      </c>
      <c r="J35" s="9">
        <f>'Combined WACOC-Tax Table'!$D$10*I35</f>
        <v>6.7671949874018936E-2</v>
      </c>
      <c r="K35" s="9">
        <f>I35*('Combined WACOC-Tax Table'!$D$11+'Combined WACOC-Tax Table'!$D$12)</f>
        <v>66.317800079825417</v>
      </c>
      <c r="L35" s="9">
        <f t="shared" si="4"/>
        <v>7.6285356704216003</v>
      </c>
      <c r="M35" s="9">
        <f t="shared" si="5"/>
        <v>21.91832618934588</v>
      </c>
      <c r="N35" s="9">
        <f>N34*(1+'Prod Economic Carrying Charge'!$D$8)</f>
        <v>56.824977492431607</v>
      </c>
      <c r="O35" s="9">
        <f>O34*(1+'Prod Economic Carrying Charge'!$D$8)</f>
        <v>0</v>
      </c>
      <c r="P35" s="26">
        <f t="shared" si="13"/>
        <v>184.13231138189852</v>
      </c>
      <c r="Q35" s="25">
        <f>1/(1+'Combined WACOC-Tax Table'!$F$13)^A35</f>
        <v>0.64731194086093591</v>
      </c>
      <c r="R35" s="17">
        <f t="shared" si="2"/>
        <v>119.19104385582693</v>
      </c>
      <c r="S35" s="9">
        <f t="shared" si="6"/>
        <v>1060.6644323982678</v>
      </c>
      <c r="T35" s="6">
        <f t="shared" si="7"/>
        <v>0.14671897321266814</v>
      </c>
      <c r="U35" s="16"/>
    </row>
    <row r="36" spans="1:21" x14ac:dyDescent="0.2">
      <c r="A36">
        <v>8</v>
      </c>
      <c r="C36" s="9">
        <f t="shared" si="8"/>
        <v>31.375</v>
      </c>
      <c r="D36" s="9">
        <f t="shared" si="9"/>
        <v>1004</v>
      </c>
      <c r="E36" s="9">
        <f>HLOOKUP($E$10,'Combined WACOC-Tax Table'!$B$17:$E$58,A36+1)*$B$28</f>
        <v>56.751100000000001</v>
      </c>
      <c r="F36" s="9">
        <f t="shared" si="10"/>
        <v>699.90095000000019</v>
      </c>
      <c r="G36" s="9">
        <f t="shared" si="3"/>
        <v>6.3035591059009413</v>
      </c>
      <c r="H36" s="9">
        <f t="shared" si="11"/>
        <v>75.539832193415279</v>
      </c>
      <c r="I36" s="9">
        <f t="shared" si="12"/>
        <v>928.46016780658476</v>
      </c>
      <c r="J36" s="9">
        <f>'Combined WACOC-Tax Table'!$D$10*I36</f>
        <v>6.503280345320607E-2</v>
      </c>
      <c r="K36" s="9">
        <f>I36*('Combined WACOC-Tax Table'!$D$11+'Combined WACOC-Tax Table'!$D$12)</f>
        <v>63.731464307874347</v>
      </c>
      <c r="L36" s="9">
        <f t="shared" si="4"/>
        <v>7.3973679228330678</v>
      </c>
      <c r="M36" s="9">
        <f t="shared" si="5"/>
        <v>21.06353077971886</v>
      </c>
      <c r="N36" s="9">
        <f>N35*(1+'Prod Economic Carrying Charge'!$D$8)</f>
        <v>58.245601929742392</v>
      </c>
      <c r="O36" s="9">
        <f>O35*(1+'Prod Economic Carrying Charge'!$D$8)</f>
        <v>0</v>
      </c>
      <c r="P36" s="26">
        <f t="shared" si="13"/>
        <v>181.87799774362188</v>
      </c>
      <c r="Q36" s="25">
        <f>1/(1+'Combined WACOC-Tax Table'!$F$13)^A36</f>
        <v>0.6083168546829919</v>
      </c>
      <c r="R36" s="17">
        <f t="shared" si="2"/>
        <v>110.63945152344036</v>
      </c>
      <c r="S36" s="9">
        <f t="shared" si="6"/>
        <v>1171.3038839217081</v>
      </c>
      <c r="T36" s="6">
        <f t="shared" si="7"/>
        <v>0.14492270736543575</v>
      </c>
      <c r="U36" s="16"/>
    </row>
    <row r="37" spans="1:21" x14ac:dyDescent="0.2">
      <c r="A37">
        <v>9</v>
      </c>
      <c r="C37" s="9">
        <f t="shared" si="8"/>
        <v>31.375</v>
      </c>
      <c r="D37" s="9">
        <f t="shared" si="9"/>
        <v>972.625</v>
      </c>
      <c r="E37" s="9">
        <f>HLOOKUP($E$10,'Combined WACOC-Tax Table'!$B$17:$E$58,A37+1)*$B$28</f>
        <v>55.998100000000001</v>
      </c>
      <c r="F37" s="9">
        <f t="shared" si="10"/>
        <v>643.90285000000017</v>
      </c>
      <c r="G37" s="9">
        <f t="shared" si="3"/>
        <v>6.1165098742718333</v>
      </c>
      <c r="H37" s="9">
        <f t="shared" si="11"/>
        <v>81.656342067687106</v>
      </c>
      <c r="I37" s="9">
        <f t="shared" si="12"/>
        <v>890.96865793231291</v>
      </c>
      <c r="J37" s="9">
        <f>'Combined WACOC-Tax Table'!$D$10*I37</f>
        <v>6.240675865628445E-2</v>
      </c>
      <c r="K37" s="9">
        <f>I37*('Combined WACOC-Tax Table'!$D$11+'Combined WACOC-Tax Table'!$D$12)</f>
        <v>61.157967989722948</v>
      </c>
      <c r="L37" s="9">
        <f t="shared" si="4"/>
        <v>7.1662001752445343</v>
      </c>
      <c r="M37" s="9">
        <f t="shared" si="5"/>
        <v>20.21297886634979</v>
      </c>
      <c r="N37" s="9">
        <f>N36*(1+'Prod Economic Carrying Charge'!$D$8)</f>
        <v>59.701741977985947</v>
      </c>
      <c r="O37" s="9">
        <f>O36*(1+'Prod Economic Carrying Charge'!$D$8)</f>
        <v>0</v>
      </c>
      <c r="P37" s="26">
        <f t="shared" si="13"/>
        <v>179.67629576795952</v>
      </c>
      <c r="Q37" s="25">
        <f>1/(1+'Combined WACOC-Tax Table'!$F$13)^A37</f>
        <v>0.57167089363319368</v>
      </c>
      <c r="R37" s="17">
        <f t="shared" si="2"/>
        <v>102.71570856637143</v>
      </c>
      <c r="S37" s="9">
        <f t="shared" si="6"/>
        <v>1274.0195924880795</v>
      </c>
      <c r="T37" s="6">
        <f t="shared" si="7"/>
        <v>0.14316836316172074</v>
      </c>
      <c r="U37" s="16"/>
    </row>
    <row r="38" spans="1:21" x14ac:dyDescent="0.2">
      <c r="A38">
        <v>10</v>
      </c>
      <c r="C38" s="9">
        <f t="shared" si="8"/>
        <v>31.375</v>
      </c>
      <c r="D38" s="9">
        <f t="shared" si="9"/>
        <v>941.25</v>
      </c>
      <c r="E38" s="9">
        <f>HLOOKUP($E$10,'Combined WACOC-Tax Table'!$B$17:$E$58,A38+1)*$B$28</f>
        <v>55.985549999999996</v>
      </c>
      <c r="F38" s="9">
        <f t="shared" si="10"/>
        <v>587.91730000000018</v>
      </c>
      <c r="G38" s="9">
        <f t="shared" si="3"/>
        <v>6.1133923870780134</v>
      </c>
      <c r="H38" s="9">
        <f t="shared" si="11"/>
        <v>87.769734454765114</v>
      </c>
      <c r="I38" s="9">
        <f t="shared" si="12"/>
        <v>853.48026554523494</v>
      </c>
      <c r="J38" s="9">
        <f>'Combined WACOC-Tax Table'!$D$10*I38</f>
        <v>5.9780932219761024E-2</v>
      </c>
      <c r="K38" s="9">
        <f>I38*('Combined WACOC-Tax Table'!$D$11+'Combined WACOC-Tax Table'!$D$12)</f>
        <v>58.584685662468218</v>
      </c>
      <c r="L38" s="9">
        <f t="shared" si="4"/>
        <v>6.9350324276560009</v>
      </c>
      <c r="M38" s="9">
        <f t="shared" si="5"/>
        <v>19.362497677918352</v>
      </c>
      <c r="N38" s="9">
        <f>N37*(1+'Prod Economic Carrying Charge'!$D$8)</f>
        <v>61.194285527435589</v>
      </c>
      <c r="O38" s="9">
        <f>O37*(1+'Prod Economic Carrying Charge'!$D$8)</f>
        <v>0</v>
      </c>
      <c r="P38" s="26">
        <f t="shared" si="13"/>
        <v>177.51128222769793</v>
      </c>
      <c r="Q38" s="25">
        <f>1/(1+'Combined WACOC-Tax Table'!$F$13)^A38</f>
        <v>0.53723254273084609</v>
      </c>
      <c r="R38" s="17">
        <f t="shared" si="2"/>
        <v>95.364837514599003</v>
      </c>
      <c r="S38" s="9">
        <f t="shared" si="6"/>
        <v>1369.3844300026785</v>
      </c>
      <c r="T38" s="6">
        <f t="shared" si="7"/>
        <v>0.14144325277107406</v>
      </c>
      <c r="U38" s="16"/>
    </row>
    <row r="39" spans="1:21" x14ac:dyDescent="0.2">
      <c r="A39">
        <v>11</v>
      </c>
      <c r="C39" s="9">
        <f t="shared" si="8"/>
        <v>31.375</v>
      </c>
      <c r="D39" s="9">
        <f t="shared" si="9"/>
        <v>909.875</v>
      </c>
      <c r="E39" s="9">
        <f>HLOOKUP($E$10,'Combined WACOC-Tax Table'!$B$17:$E$58,A39+1)*$B$28</f>
        <v>55.998100000000001</v>
      </c>
      <c r="F39" s="9">
        <f t="shared" si="10"/>
        <v>531.91920000000016</v>
      </c>
      <c r="G39" s="9">
        <f t="shared" si="3"/>
        <v>6.1165098742718333</v>
      </c>
      <c r="H39" s="9">
        <f t="shared" si="11"/>
        <v>93.886244329036941</v>
      </c>
      <c r="I39" s="9">
        <f t="shared" si="12"/>
        <v>815.98875567096309</v>
      </c>
      <c r="J39" s="9">
        <f>'Combined WACOC-Tax Table'!$D$10*I39</f>
        <v>5.7154887422839404E-2</v>
      </c>
      <c r="K39" s="9">
        <f>I39*('Combined WACOC-Tax Table'!$D$11+'Combined WACOC-Tax Table'!$D$12)</f>
        <v>56.011189344316819</v>
      </c>
      <c r="L39" s="9">
        <f t="shared" si="4"/>
        <v>6.7038646800674675</v>
      </c>
      <c r="M39" s="9">
        <f t="shared" si="5"/>
        <v>18.511945764549282</v>
      </c>
      <c r="N39" s="9">
        <f>N38*(1+'Prod Economic Carrying Charge'!$D$8)</f>
        <v>62.724142665621471</v>
      </c>
      <c r="O39" s="9">
        <f>O38*(1+'Prod Economic Carrying Charge'!$D$8)</f>
        <v>0</v>
      </c>
      <c r="P39" s="26">
        <f t="shared" si="13"/>
        <v>175.38329734197788</v>
      </c>
      <c r="Q39" s="25">
        <f>1/(1+'Combined WACOC-Tax Table'!$F$13)^A39</f>
        <v>0.5048688120795588</v>
      </c>
      <c r="R39" s="17">
        <f t="shared" si="2"/>
        <v>88.54555698764041</v>
      </c>
      <c r="S39" s="9">
        <f t="shared" si="6"/>
        <v>1457.9299869903189</v>
      </c>
      <c r="T39" s="6">
        <f t="shared" si="7"/>
        <v>0.13974764728444453</v>
      </c>
      <c r="U39" s="16"/>
    </row>
    <row r="40" spans="1:21" x14ac:dyDescent="0.2">
      <c r="A40">
        <v>12</v>
      </c>
      <c r="C40" s="9">
        <f t="shared" si="8"/>
        <v>31.375</v>
      </c>
      <c r="D40" s="9">
        <f t="shared" si="9"/>
        <v>878.5</v>
      </c>
      <c r="E40" s="9">
        <f>HLOOKUP($E$10,'Combined WACOC-Tax Table'!$B$17:$E$58,A40+1)*$B$28</f>
        <v>55.985549999999996</v>
      </c>
      <c r="F40" s="9">
        <f t="shared" si="10"/>
        <v>475.93365000000017</v>
      </c>
      <c r="G40" s="9">
        <f t="shared" si="3"/>
        <v>6.1133923870780134</v>
      </c>
      <c r="H40" s="9">
        <f t="shared" si="11"/>
        <v>99.999636716114949</v>
      </c>
      <c r="I40" s="9">
        <f t="shared" si="12"/>
        <v>778.50036328388501</v>
      </c>
      <c r="J40" s="9">
        <f>'Combined WACOC-Tax Table'!$D$10*I40</f>
        <v>5.4529060986315964E-2</v>
      </c>
      <c r="K40" s="9">
        <f>I40*('Combined WACOC-Tax Table'!$D$11+'Combined WACOC-Tax Table'!$D$12)</f>
        <v>53.437907017062074</v>
      </c>
      <c r="L40" s="9">
        <f t="shared" si="4"/>
        <v>6.4726969324789341</v>
      </c>
      <c r="M40" s="9">
        <f t="shared" si="5"/>
        <v>17.661464576117844</v>
      </c>
      <c r="N40" s="9">
        <f>N39*(1+'Prod Economic Carrying Charge'!$D$8)</f>
        <v>64.292246232262002</v>
      </c>
      <c r="O40" s="9">
        <f>O39*(1+'Prod Economic Carrying Charge'!$D$8)</f>
        <v>0</v>
      </c>
      <c r="P40" s="26">
        <f t="shared" si="13"/>
        <v>173.29384381890719</v>
      </c>
      <c r="Q40" s="25">
        <f>1/(1+'Combined WACOC-Tax Table'!$F$13)^A40</f>
        <v>0.47445472330280297</v>
      </c>
      <c r="R40" s="17">
        <f t="shared" si="2"/>
        <v>82.220082719178762</v>
      </c>
      <c r="S40" s="9">
        <f t="shared" si="6"/>
        <v>1540.1500697094975</v>
      </c>
      <c r="T40" s="6">
        <f t="shared" si="7"/>
        <v>0.13808274407881052</v>
      </c>
      <c r="U40" s="16"/>
    </row>
    <row r="41" spans="1:21" x14ac:dyDescent="0.2">
      <c r="A41">
        <v>13</v>
      </c>
      <c r="C41" s="9">
        <f t="shared" si="8"/>
        <v>31.375</v>
      </c>
      <c r="D41" s="9">
        <f t="shared" si="9"/>
        <v>847.125</v>
      </c>
      <c r="E41" s="9">
        <f>HLOOKUP($E$10,'Combined WACOC-Tax Table'!$B$17:$E$58,A41+1)*$B$28</f>
        <v>55.998100000000001</v>
      </c>
      <c r="F41" s="9">
        <f t="shared" si="10"/>
        <v>419.93555000000015</v>
      </c>
      <c r="G41" s="9">
        <f t="shared" si="3"/>
        <v>6.1165098742718333</v>
      </c>
      <c r="H41" s="9">
        <f t="shared" si="11"/>
        <v>106.11614659038678</v>
      </c>
      <c r="I41" s="9">
        <f t="shared" si="12"/>
        <v>741.00885340961327</v>
      </c>
      <c r="J41" s="9">
        <f>'Combined WACOC-Tax Table'!$D$10*I41</f>
        <v>5.1903016189394351E-2</v>
      </c>
      <c r="K41" s="9">
        <f>I41*('Combined WACOC-Tax Table'!$D$11+'Combined WACOC-Tax Table'!$D$12)</f>
        <v>50.864410698910689</v>
      </c>
      <c r="L41" s="9">
        <f t="shared" si="4"/>
        <v>6.2415291848904006</v>
      </c>
      <c r="M41" s="9">
        <f t="shared" si="5"/>
        <v>16.810912662748777</v>
      </c>
      <c r="N41" s="9">
        <f>N40*(1+'Prod Economic Carrying Charge'!$D$8)</f>
        <v>65.899552388068543</v>
      </c>
      <c r="O41" s="9">
        <f>O40*(1+'Prod Economic Carrying Charge'!$D$8)</f>
        <v>0</v>
      </c>
      <c r="P41" s="26">
        <f t="shared" si="13"/>
        <v>171.2433079508078</v>
      </c>
      <c r="Q41" s="25">
        <f>1/(1+'Combined WACOC-Tax Table'!$F$13)^A41</f>
        <v>0.44587282691739377</v>
      </c>
      <c r="R41" s="17">
        <f t="shared" si="2"/>
        <v>76.352737806712483</v>
      </c>
      <c r="S41" s="9">
        <f t="shared" si="6"/>
        <v>1616.5028075162099</v>
      </c>
      <c r="T41" s="6">
        <f t="shared" si="7"/>
        <v>0.13644885095681897</v>
      </c>
      <c r="U41" s="16"/>
    </row>
    <row r="42" spans="1:21" x14ac:dyDescent="0.2">
      <c r="A42">
        <v>14</v>
      </c>
      <c r="C42" s="9">
        <f t="shared" si="8"/>
        <v>31.375</v>
      </c>
      <c r="D42" s="9">
        <f t="shared" si="9"/>
        <v>815.75</v>
      </c>
      <c r="E42" s="9">
        <f>HLOOKUP($E$10,'Combined WACOC-Tax Table'!$B$17:$E$58,A42+1)*$B$28</f>
        <v>55.985549999999996</v>
      </c>
      <c r="F42" s="9">
        <f t="shared" si="10"/>
        <v>363.95000000000016</v>
      </c>
      <c r="G42" s="9">
        <f t="shared" si="3"/>
        <v>6.1133923870780134</v>
      </c>
      <c r="H42" s="9">
        <f t="shared" si="11"/>
        <v>112.22953897746478</v>
      </c>
      <c r="I42" s="9">
        <f t="shared" si="12"/>
        <v>703.52046102253519</v>
      </c>
      <c r="J42" s="9">
        <f>'Combined WACOC-Tax Table'!$D$10*I42</f>
        <v>4.9277189752870917E-2</v>
      </c>
      <c r="K42" s="9">
        <f>I42*('Combined WACOC-Tax Table'!$D$11+'Combined WACOC-Tax Table'!$D$12)</f>
        <v>48.291128371655944</v>
      </c>
      <c r="L42" s="9">
        <f t="shared" si="4"/>
        <v>6.0103614373018672</v>
      </c>
      <c r="M42" s="9">
        <f t="shared" si="5"/>
        <v>15.960431474317335</v>
      </c>
      <c r="N42" s="9">
        <f>N41*(1+'Prod Economic Carrying Charge'!$D$8)</f>
        <v>67.547041197770255</v>
      </c>
      <c r="O42" s="9">
        <f>O41*(1+'Prod Economic Carrying Charge'!$D$8)</f>
        <v>0</v>
      </c>
      <c r="P42" s="26">
        <f t="shared" si="13"/>
        <v>169.23323967079827</v>
      </c>
      <c r="Q42" s="25">
        <f>1/(1+'Combined WACOC-Tax Table'!$F$13)^A42</f>
        <v>0.4190127487811518</v>
      </c>
      <c r="R42" s="17">
        <f t="shared" si="2"/>
        <v>70.910884939600649</v>
      </c>
      <c r="S42" s="9">
        <f t="shared" si="6"/>
        <v>1687.4136924558106</v>
      </c>
      <c r="T42" s="6">
        <f t="shared" si="7"/>
        <v>0.13484720292493885</v>
      </c>
      <c r="U42" s="16"/>
    </row>
    <row r="43" spans="1:21" x14ac:dyDescent="0.2">
      <c r="A43">
        <v>15</v>
      </c>
      <c r="C43" s="9">
        <f t="shared" si="8"/>
        <v>31.375</v>
      </c>
      <c r="D43" s="9">
        <f t="shared" si="9"/>
        <v>784.375</v>
      </c>
      <c r="E43" s="9">
        <f>HLOOKUP($E$10,'Combined WACOC-Tax Table'!$B$17:$E$58,A43+1)*$B$28</f>
        <v>55.998100000000001</v>
      </c>
      <c r="F43" s="9">
        <f t="shared" si="10"/>
        <v>307.95190000000014</v>
      </c>
      <c r="G43" s="9">
        <f t="shared" si="3"/>
        <v>6.1165098742718333</v>
      </c>
      <c r="H43" s="9">
        <f t="shared" si="11"/>
        <v>118.34604885173661</v>
      </c>
      <c r="I43" s="9">
        <f t="shared" si="12"/>
        <v>666.02895114826333</v>
      </c>
      <c r="J43" s="9">
        <f>'Combined WACOC-Tax Table'!$D$10*I43</f>
        <v>4.6651144955949297E-2</v>
      </c>
      <c r="K43" s="9">
        <f>I43*('Combined WACOC-Tax Table'!$D$11+'Combined WACOC-Tax Table'!$D$12)</f>
        <v>45.717632053504545</v>
      </c>
      <c r="L43" s="9">
        <f t="shared" si="4"/>
        <v>5.7791936897133338</v>
      </c>
      <c r="M43" s="9">
        <f t="shared" si="5"/>
        <v>15.109879560948265</v>
      </c>
      <c r="N43" s="9">
        <f>N42*(1+'Prod Economic Carrying Charge'!$D$8)</f>
        <v>69.235717227714503</v>
      </c>
      <c r="O43" s="9">
        <f>O42*(1+'Prod Economic Carrying Charge'!$D$8)</f>
        <v>0</v>
      </c>
      <c r="P43" s="26">
        <f t="shared" si="13"/>
        <v>167.2640736768366</v>
      </c>
      <c r="Q43" s="25">
        <f>1/(1+'Combined WACOC-Tax Table'!$F$13)^A43</f>
        <v>0.39377076386326737</v>
      </c>
      <c r="R43" s="17">
        <f t="shared" si="2"/>
        <v>65.863702058609775</v>
      </c>
      <c r="S43" s="9">
        <f t="shared" si="6"/>
        <v>1753.2773945144204</v>
      </c>
      <c r="T43" s="6">
        <f t="shared" si="7"/>
        <v>0.1332781463560451</v>
      </c>
      <c r="U43" s="16"/>
    </row>
    <row r="44" spans="1:21" x14ac:dyDescent="0.2">
      <c r="A44">
        <v>16</v>
      </c>
      <c r="C44" s="9">
        <f t="shared" si="8"/>
        <v>31.375</v>
      </c>
      <c r="D44" s="9">
        <f t="shared" si="9"/>
        <v>753</v>
      </c>
      <c r="E44" s="9">
        <f>HLOOKUP($E$10,'Combined WACOC-Tax Table'!$B$17:$E$58,A44+1)*$B$28</f>
        <v>55.985549999999996</v>
      </c>
      <c r="F44" s="9">
        <f t="shared" si="10"/>
        <v>251.96635000000015</v>
      </c>
      <c r="G44" s="9">
        <f t="shared" si="3"/>
        <v>6.1133923870780134</v>
      </c>
      <c r="H44" s="9">
        <f t="shared" si="11"/>
        <v>124.45944123881462</v>
      </c>
      <c r="I44" s="9">
        <f t="shared" si="12"/>
        <v>628.54055876118537</v>
      </c>
      <c r="J44" s="9">
        <f>'Combined WACOC-Tax Table'!$D$10*I44</f>
        <v>4.4025318519425871E-2</v>
      </c>
      <c r="K44" s="9">
        <f>I44*('Combined WACOC-Tax Table'!$D$11+'Combined WACOC-Tax Table'!$D$12)</f>
        <v>43.144349726249814</v>
      </c>
      <c r="L44" s="9">
        <f t="shared" si="4"/>
        <v>5.5480259421248004</v>
      </c>
      <c r="M44" s="9">
        <f t="shared" si="5"/>
        <v>14.259398372516829</v>
      </c>
      <c r="N44" s="9">
        <f>N43*(1+'Prod Economic Carrying Charge'!$D$8)</f>
        <v>70.966610158407363</v>
      </c>
      <c r="O44" s="9">
        <f>O43*(1+'Prod Economic Carrying Charge'!$D$8)</f>
        <v>0</v>
      </c>
      <c r="P44" s="26">
        <f t="shared" si="13"/>
        <v>165.33740951781823</v>
      </c>
      <c r="Q44" s="25">
        <f>1/(1+'Combined WACOC-Tax Table'!$F$13)^A44</f>
        <v>0.37004939569140827</v>
      </c>
      <c r="R44" s="17">
        <f t="shared" si="2"/>
        <v>61.183008477251526</v>
      </c>
      <c r="S44" s="9">
        <f t="shared" si="6"/>
        <v>1814.460402991672</v>
      </c>
      <c r="T44" s="6">
        <f t="shared" si="7"/>
        <v>0.13174295579109022</v>
      </c>
      <c r="U44" s="16"/>
    </row>
    <row r="45" spans="1:21" x14ac:dyDescent="0.2">
      <c r="A45">
        <v>17</v>
      </c>
      <c r="C45" s="9">
        <f t="shared" si="8"/>
        <v>31.375</v>
      </c>
      <c r="D45" s="9">
        <f t="shared" si="9"/>
        <v>721.625</v>
      </c>
      <c r="E45" s="9">
        <f>HLOOKUP($E$10,'Combined WACOC-Tax Table'!$B$17:$E$58,A45+1)*$B$28</f>
        <v>55.998100000000001</v>
      </c>
      <c r="F45" s="9">
        <f t="shared" si="10"/>
        <v>195.96825000000015</v>
      </c>
      <c r="G45" s="9">
        <f t="shared" si="3"/>
        <v>6.1165098742718333</v>
      </c>
      <c r="H45" s="9">
        <f t="shared" si="11"/>
        <v>130.57595111308646</v>
      </c>
      <c r="I45" s="9">
        <f t="shared" si="12"/>
        <v>591.04904888691351</v>
      </c>
      <c r="J45" s="9">
        <f>'Combined WACOC-Tax Table'!$D$10*I45</f>
        <v>4.1399273722504251E-2</v>
      </c>
      <c r="K45" s="9">
        <f>I45*('Combined WACOC-Tax Table'!$D$11+'Combined WACOC-Tax Table'!$D$12)</f>
        <v>40.570853408098415</v>
      </c>
      <c r="L45" s="9">
        <f t="shared" si="4"/>
        <v>5.316858194536267</v>
      </c>
      <c r="M45" s="9">
        <f t="shared" si="5"/>
        <v>13.408846459147759</v>
      </c>
      <c r="N45" s="9">
        <f>N44*(1+'Prod Economic Carrying Charge'!$D$8)</f>
        <v>72.74077541236754</v>
      </c>
      <c r="O45" s="9">
        <f>O44*(1+'Prod Economic Carrying Charge'!$D$8)</f>
        <v>0</v>
      </c>
      <c r="P45" s="26">
        <f t="shared" si="13"/>
        <v>163.45373274787249</v>
      </c>
      <c r="Q45" s="25">
        <f>1/(1+'Combined WACOC-Tax Table'!$F$13)^A45</f>
        <v>0.34775703992875967</v>
      </c>
      <c r="R45" s="17">
        <f t="shared" si="2"/>
        <v>56.842186265706708</v>
      </c>
      <c r="S45" s="9">
        <f t="shared" si="6"/>
        <v>1871.3025892573787</v>
      </c>
      <c r="T45" s="6">
        <f t="shared" si="7"/>
        <v>0.13024201812579481</v>
      </c>
      <c r="U45" s="16"/>
    </row>
    <row r="46" spans="1:21" x14ac:dyDescent="0.2">
      <c r="A46">
        <v>18</v>
      </c>
      <c r="C46" s="9">
        <f t="shared" si="8"/>
        <v>31.375</v>
      </c>
      <c r="D46" s="9">
        <f t="shared" si="9"/>
        <v>690.25</v>
      </c>
      <c r="E46" s="9">
        <f>HLOOKUP($E$10,'Combined WACOC-Tax Table'!$B$17:$E$58,A46+1)*$B$28</f>
        <v>55.985549999999996</v>
      </c>
      <c r="F46" s="9">
        <f t="shared" si="10"/>
        <v>139.98270000000016</v>
      </c>
      <c r="G46" s="9">
        <f t="shared" si="3"/>
        <v>6.1133923870780134</v>
      </c>
      <c r="H46" s="9">
        <f t="shared" si="11"/>
        <v>136.68934350016448</v>
      </c>
      <c r="I46" s="9">
        <f t="shared" si="12"/>
        <v>553.56065649983555</v>
      </c>
      <c r="J46" s="9">
        <f>'Combined WACOC-Tax Table'!$D$10*I46</f>
        <v>3.8773447285980825E-2</v>
      </c>
      <c r="K46" s="9">
        <f>I46*('Combined WACOC-Tax Table'!$D$11+'Combined WACOC-Tax Table'!$D$12)</f>
        <v>37.997571080843684</v>
      </c>
      <c r="L46" s="9">
        <f t="shared" si="4"/>
        <v>5.0856904469477335</v>
      </c>
      <c r="M46" s="9">
        <f t="shared" si="5"/>
        <v>12.558365270716324</v>
      </c>
      <c r="N46" s="9">
        <f>N45*(1+'Prod Economic Carrying Charge'!$D$8)</f>
        <v>74.559294797676728</v>
      </c>
      <c r="O46" s="9">
        <f>O45*(1+'Prod Economic Carrying Charge'!$D$8)</f>
        <v>0</v>
      </c>
      <c r="P46" s="26">
        <f t="shared" si="13"/>
        <v>161.61469504347045</v>
      </c>
      <c r="Q46" s="25">
        <f>1/(1+'Combined WACOC-Tax Table'!$F$13)^A46</f>
        <v>0.32680761062737429</v>
      </c>
      <c r="R46" s="17">
        <f t="shared" si="2"/>
        <v>52.816912329428327</v>
      </c>
      <c r="S46" s="9">
        <f t="shared" si="6"/>
        <v>1924.119501586807</v>
      </c>
      <c r="T46" s="6">
        <f t="shared" si="7"/>
        <v>0.12877664943702824</v>
      </c>
      <c r="U46" s="16"/>
    </row>
    <row r="47" spans="1:21" x14ac:dyDescent="0.2">
      <c r="A47">
        <v>19</v>
      </c>
      <c r="C47" s="9">
        <f t="shared" si="8"/>
        <v>31.375</v>
      </c>
      <c r="D47" s="9">
        <f t="shared" si="9"/>
        <v>658.875</v>
      </c>
      <c r="E47" s="9">
        <f>HLOOKUP($E$10,'Combined WACOC-Tax Table'!$B$17:$E$58,A47+1)*$B$28</f>
        <v>55.998100000000001</v>
      </c>
      <c r="F47" s="9">
        <f t="shared" si="10"/>
        <v>83.984600000000171</v>
      </c>
      <c r="G47" s="9">
        <f t="shared" si="3"/>
        <v>6.1165098742718333</v>
      </c>
      <c r="H47" s="9">
        <f t="shared" si="11"/>
        <v>142.80585337443631</v>
      </c>
      <c r="I47" s="9">
        <f t="shared" si="12"/>
        <v>516.06914662556369</v>
      </c>
      <c r="J47" s="9">
        <f>'Combined WACOC-Tax Table'!$D$10*I47</f>
        <v>3.6147402489059205E-2</v>
      </c>
      <c r="K47" s="9">
        <f>I47*('Combined WACOC-Tax Table'!$D$11+'Combined WACOC-Tax Table'!$D$12)</f>
        <v>35.424074762692285</v>
      </c>
      <c r="L47" s="9">
        <f t="shared" si="4"/>
        <v>4.8545226993592001</v>
      </c>
      <c r="M47" s="9">
        <f t="shared" si="5"/>
        <v>11.707813357347254</v>
      </c>
      <c r="N47" s="9">
        <f>N46*(1+'Prod Economic Carrying Charge'!$D$8)</f>
        <v>76.423277167618636</v>
      </c>
      <c r="O47" s="9">
        <f>O46*(1+'Prod Economic Carrying Charge'!$D$8)</f>
        <v>0</v>
      </c>
      <c r="P47" s="26">
        <f t="shared" si="13"/>
        <v>159.82083538950644</v>
      </c>
      <c r="Q47" s="25">
        <f>1/(1+'Combined WACOC-Tax Table'!$F$13)^A47</f>
        <v>0.30712020779177573</v>
      </c>
      <c r="R47" s="17">
        <f t="shared" si="2"/>
        <v>49.084208174280406</v>
      </c>
      <c r="S47" s="9">
        <f t="shared" si="6"/>
        <v>1973.2037097610873</v>
      </c>
      <c r="T47" s="6">
        <f t="shared" si="7"/>
        <v>0.12734727919482586</v>
      </c>
      <c r="U47" s="16"/>
    </row>
    <row r="48" spans="1:21" x14ac:dyDescent="0.2">
      <c r="A48">
        <v>20</v>
      </c>
      <c r="C48" s="9">
        <f t="shared" si="8"/>
        <v>31.375</v>
      </c>
      <c r="D48" s="9">
        <f t="shared" si="9"/>
        <v>627.5</v>
      </c>
      <c r="E48" s="9">
        <f>HLOOKUP($E$10,'Combined WACOC-Tax Table'!$B$17:$E$58,A48+1)*$B$28</f>
        <v>55.985549999999996</v>
      </c>
      <c r="F48" s="9">
        <f t="shared" si="10"/>
        <v>27.999050000000175</v>
      </c>
      <c r="G48" s="9">
        <f t="shared" si="3"/>
        <v>6.1133923870780134</v>
      </c>
      <c r="H48" s="9">
        <f t="shared" si="11"/>
        <v>148.91924576151433</v>
      </c>
      <c r="I48" s="9">
        <f t="shared" si="12"/>
        <v>478.58075423848567</v>
      </c>
      <c r="J48" s="9">
        <f>'Combined WACOC-Tax Table'!$D$10*I48</f>
        <v>3.3521576052535772E-2</v>
      </c>
      <c r="K48" s="9">
        <f>I48*('Combined WACOC-Tax Table'!$D$11+'Combined WACOC-Tax Table'!$D$12)</f>
        <v>32.850792435437548</v>
      </c>
      <c r="L48" s="9">
        <f t="shared" si="4"/>
        <v>4.6233549517706667</v>
      </c>
      <c r="M48" s="9">
        <f t="shared" si="5"/>
        <v>10.857332168915814</v>
      </c>
      <c r="N48" s="9">
        <f>N47*(1+'Prod Economic Carrying Charge'!$D$8)</f>
        <v>78.333859096809093</v>
      </c>
      <c r="O48" s="9">
        <f>O47*(1+'Prod Economic Carrying Charge'!$D$8)</f>
        <v>0</v>
      </c>
      <c r="P48" s="26">
        <f t="shared" si="13"/>
        <v>158.07386022898567</v>
      </c>
      <c r="Q48" s="25">
        <f>1/(1+'Combined WACOC-Tax Table'!$F$13)^A48</f>
        <v>0.28861880496905035</v>
      </c>
      <c r="R48" s="17">
        <f t="shared" si="2"/>
        <v>45.62308863613454</v>
      </c>
      <c r="S48" s="9">
        <f t="shared" si="6"/>
        <v>2018.8267983972219</v>
      </c>
      <c r="T48" s="6">
        <f t="shared" si="7"/>
        <v>0.12595526711472962</v>
      </c>
      <c r="U48" s="16"/>
    </row>
    <row r="49" spans="1:21" x14ac:dyDescent="0.2">
      <c r="A49">
        <v>21</v>
      </c>
      <c r="C49" s="9">
        <f t="shared" si="8"/>
        <v>31.375</v>
      </c>
      <c r="D49" s="9">
        <f t="shared" si="9"/>
        <v>596.125</v>
      </c>
      <c r="E49" s="9">
        <f>HLOOKUP($E$10,'Combined WACOC-Tax Table'!$B$17:$E$58,A49+1)*$B$28</f>
        <v>27.99905</v>
      </c>
      <c r="F49" s="9">
        <f t="shared" si="10"/>
        <v>1.7408297026122455E-13</v>
      </c>
      <c r="G49" s="9">
        <f t="shared" si="3"/>
        <v>-0.83860405513716763</v>
      </c>
      <c r="H49" s="9">
        <f t="shared" si="11"/>
        <v>148.08064170637718</v>
      </c>
      <c r="I49" s="9">
        <f t="shared" si="12"/>
        <v>448.04435829362285</v>
      </c>
      <c r="J49" s="9">
        <f>'Combined WACOC-Tax Table'!$D$10*I49</f>
        <v>3.1382693303970477E-2</v>
      </c>
      <c r="K49" s="9">
        <f>I49*('Combined WACOC-Tax Table'!$D$11+'Combined WACOC-Tax Table'!$D$12)</f>
        <v>30.754709807737189</v>
      </c>
      <c r="L49" s="9">
        <f t="shared" si="4"/>
        <v>4.3921872041821342</v>
      </c>
      <c r="M49" s="9">
        <f t="shared" si="5"/>
        <v>10.164567591404838</v>
      </c>
      <c r="N49" s="9">
        <f>N48*(1+'Prod Economic Carrying Charge'!$D$8)</f>
        <v>80.292205574229314</v>
      </c>
      <c r="O49" s="9">
        <f>O48*(1+'Prod Economic Carrying Charge'!$D$8)</f>
        <v>0</v>
      </c>
      <c r="P49" s="26">
        <f t="shared" si="13"/>
        <v>157.01005287085744</v>
      </c>
      <c r="Q49" s="25">
        <f>1/(1+'Combined WACOC-Tax Table'!$F$13)^A49</f>
        <v>0.27123195565900304</v>
      </c>
      <c r="R49" s="17">
        <f t="shared" si="2"/>
        <v>42.586143698286129</v>
      </c>
      <c r="S49" s="9">
        <f t="shared" si="6"/>
        <v>2061.4129420955078</v>
      </c>
      <c r="T49" s="6">
        <f t="shared" si="7"/>
        <v>0.12510761184928879</v>
      </c>
      <c r="U49" s="16"/>
    </row>
    <row r="50" spans="1:21" x14ac:dyDescent="0.2">
      <c r="A50">
        <v>22</v>
      </c>
      <c r="C50" s="9">
        <f t="shared" si="8"/>
        <v>31.375</v>
      </c>
      <c r="D50" s="9">
        <f t="shared" si="9"/>
        <v>564.75</v>
      </c>
      <c r="E50" s="9">
        <f>HLOOKUP($E$10,'Combined WACOC-Tax Table'!$B$17:$E$58,A50+1)*$B$28</f>
        <v>0</v>
      </c>
      <c r="F50" s="9">
        <f t="shared" si="10"/>
        <v>1.7408297026122455E-13</v>
      </c>
      <c r="G50" s="9">
        <f>(E50-C50)*$E$11</f>
        <v>-7.7937179845461682</v>
      </c>
      <c r="H50" s="9">
        <f t="shared" si="11"/>
        <v>140.28692372183102</v>
      </c>
      <c r="I50" s="9">
        <f t="shared" si="12"/>
        <v>424.46307627816896</v>
      </c>
      <c r="J50" s="9">
        <f>'Combined WACOC-Tax Table'!$D$10*I50</f>
        <v>2.97309726037615E-2</v>
      </c>
      <c r="K50" s="9">
        <f>I50*('Combined WACOC-Tax Table'!$D$11+'Combined WACOC-Tax Table'!$D$12)</f>
        <v>29.136040870487861</v>
      </c>
      <c r="L50" s="9">
        <f t="shared" si="4"/>
        <v>4.1610194565936007</v>
      </c>
      <c r="M50" s="9">
        <f t="shared" si="5"/>
        <v>9.6295903497519504</v>
      </c>
      <c r="N50" s="9">
        <f>N49*(1+'Prod Economic Carrying Charge'!$D$8)</f>
        <v>82.299510713585036</v>
      </c>
      <c r="O50" s="9">
        <f>O49*(1+'Prod Economic Carrying Charge'!$D$8)</f>
        <v>0</v>
      </c>
      <c r="P50" s="26">
        <f t="shared" si="13"/>
        <v>156.63089236302221</v>
      </c>
      <c r="Q50" s="25">
        <f>1/(1+'Combined WACOC-Tax Table'!$F$13)^A50</f>
        <v>0.25489251741062485</v>
      </c>
      <c r="R50" s="17">
        <f t="shared" si="2"/>
        <v>39.924042458683346</v>
      </c>
      <c r="S50" s="9">
        <f t="shared" si="6"/>
        <v>2101.3369845541911</v>
      </c>
      <c r="T50" s="6">
        <f t="shared" si="7"/>
        <v>0.12480549192272686</v>
      </c>
      <c r="U50" s="16"/>
    </row>
    <row r="51" spans="1:21" x14ac:dyDescent="0.2">
      <c r="A51">
        <v>23</v>
      </c>
      <c r="C51" s="9">
        <f t="shared" si="8"/>
        <v>31.375</v>
      </c>
      <c r="D51" s="9">
        <f t="shared" si="9"/>
        <v>533.375</v>
      </c>
      <c r="E51" s="9">
        <f>HLOOKUP($E$10,'Combined WACOC-Tax Table'!$B$17:$E$58,A51+1)*$B$28</f>
        <v>0</v>
      </c>
      <c r="F51" s="9">
        <f t="shared" si="10"/>
        <v>1.7408297026122455E-13</v>
      </c>
      <c r="G51" s="9">
        <f t="shared" si="3"/>
        <v>-7.7937179845461682</v>
      </c>
      <c r="H51" s="9">
        <f t="shared" si="11"/>
        <v>132.49320573728485</v>
      </c>
      <c r="I51" s="9">
        <f t="shared" si="12"/>
        <v>400.88179426271518</v>
      </c>
      <c r="J51" s="9">
        <f>'Combined WACOC-Tax Table'!$D$10*I51</f>
        <v>2.8079251903552531E-2</v>
      </c>
      <c r="K51" s="9">
        <f>I51*('Combined WACOC-Tax Table'!$D$11+'Combined WACOC-Tax Table'!$D$12)</f>
        <v>27.51737193323854</v>
      </c>
      <c r="L51" s="9">
        <f t="shared" si="4"/>
        <v>3.9298517090050669</v>
      </c>
      <c r="M51" s="9">
        <f t="shared" si="5"/>
        <v>9.0946131080990664</v>
      </c>
      <c r="N51" s="9">
        <f>N50*(1+'Prod Economic Carrying Charge'!$D$8)</f>
        <v>84.356998481424654</v>
      </c>
      <c r="O51" s="9">
        <f>O50*(1+'Prod Economic Carrying Charge'!$D$8)</f>
        <v>0</v>
      </c>
      <c r="P51" s="26">
        <f t="shared" si="13"/>
        <v>156.30191448367088</v>
      </c>
      <c r="Q51" s="25">
        <f>1/(1+'Combined WACOC-Tax Table'!$F$13)^A51</f>
        <v>0.23953739253942194</v>
      </c>
      <c r="R51" s="17">
        <f t="shared" si="2"/>
        <v>37.440153044338231</v>
      </c>
      <c r="S51" s="9">
        <f t="shared" si="6"/>
        <v>2138.7771375985294</v>
      </c>
      <c r="T51" s="6">
        <f t="shared" si="7"/>
        <v>0.12454335815431943</v>
      </c>
      <c r="U51" s="16"/>
    </row>
    <row r="52" spans="1:21" x14ac:dyDescent="0.2">
      <c r="A52">
        <v>24</v>
      </c>
      <c r="C52" s="9">
        <f t="shared" si="8"/>
        <v>31.375</v>
      </c>
      <c r="D52" s="9">
        <f t="shared" si="9"/>
        <v>502</v>
      </c>
      <c r="E52" s="9">
        <f>HLOOKUP($E$10,'Combined WACOC-Tax Table'!$B$17:$E$58,A52+1)*$B$28</f>
        <v>0</v>
      </c>
      <c r="F52" s="9">
        <f t="shared" si="10"/>
        <v>1.7408297026122455E-13</v>
      </c>
      <c r="G52" s="9">
        <f t="shared" si="3"/>
        <v>-7.7937179845461682</v>
      </c>
      <c r="H52" s="9">
        <f t="shared" si="11"/>
        <v>124.69948775273869</v>
      </c>
      <c r="I52" s="9">
        <f t="shared" si="12"/>
        <v>377.30051224726128</v>
      </c>
      <c r="J52" s="9">
        <f>'Combined WACOC-Tax Table'!$D$10*I52</f>
        <v>2.6427531203343554E-2</v>
      </c>
      <c r="K52" s="9">
        <f>I52*('Combined WACOC-Tax Table'!$D$11+'Combined WACOC-Tax Table'!$D$12)</f>
        <v>25.898702995989208</v>
      </c>
      <c r="L52" s="9">
        <f t="shared" si="4"/>
        <v>3.6986839614165339</v>
      </c>
      <c r="M52" s="9">
        <f t="shared" si="5"/>
        <v>8.5596358664461771</v>
      </c>
      <c r="N52" s="9">
        <f>N51*(1+'Prod Economic Carrying Charge'!$D$8)</f>
        <v>86.465923443460269</v>
      </c>
      <c r="O52" s="9">
        <f>O51*(1+'Prod Economic Carrying Charge'!$D$8)</f>
        <v>0</v>
      </c>
      <c r="P52" s="26">
        <f t="shared" si="13"/>
        <v>156.02437379851551</v>
      </c>
      <c r="Q52" s="25">
        <f>1/(1+'Combined WACOC-Tax Table'!$F$13)^A52</f>
        <v>0.22510728446433936</v>
      </c>
      <c r="R52" s="17">
        <f t="shared" si="2"/>
        <v>35.122223096032847</v>
      </c>
      <c r="S52" s="9">
        <f t="shared" si="6"/>
        <v>2173.8993606945623</v>
      </c>
      <c r="T52" s="6">
        <f t="shared" si="7"/>
        <v>0.12432221019802032</v>
      </c>
      <c r="U52" s="16"/>
    </row>
    <row r="53" spans="1:21" x14ac:dyDescent="0.2">
      <c r="A53">
        <v>25</v>
      </c>
      <c r="C53" s="9">
        <f t="shared" si="8"/>
        <v>31.375</v>
      </c>
      <c r="D53" s="9">
        <f t="shared" si="9"/>
        <v>470.625</v>
      </c>
      <c r="E53" s="9">
        <f>HLOOKUP($E$10,'Combined WACOC-Tax Table'!$B$17:$E$58,A53+1)*$B$28</f>
        <v>0</v>
      </c>
      <c r="F53" s="9">
        <f t="shared" si="10"/>
        <v>1.7408297026122455E-13</v>
      </c>
      <c r="G53" s="9">
        <f t="shared" si="3"/>
        <v>-7.7937179845461682</v>
      </c>
      <c r="H53" s="9">
        <f t="shared" si="11"/>
        <v>116.90576976819253</v>
      </c>
      <c r="I53" s="9">
        <f t="shared" si="12"/>
        <v>353.7192302318075</v>
      </c>
      <c r="J53" s="9">
        <f>'Combined WACOC-Tax Table'!$D$10*I53</f>
        <v>2.4775810503134585E-2</v>
      </c>
      <c r="K53" s="9">
        <f>I53*('Combined WACOC-Tax Table'!$D$11+'Combined WACOC-Tax Table'!$D$12)</f>
        <v>24.280034058739886</v>
      </c>
      <c r="L53" s="9">
        <f t="shared" si="4"/>
        <v>3.4675162138280005</v>
      </c>
      <c r="M53" s="9">
        <f t="shared" si="5"/>
        <v>8.0246586247932932</v>
      </c>
      <c r="N53" s="9">
        <f>N52*(1+'Prod Economic Carrying Charge'!$D$8)</f>
        <v>88.627571529546771</v>
      </c>
      <c r="O53" s="9">
        <f>O52*(1+'Prod Economic Carrying Charge'!$D$8)</f>
        <v>0</v>
      </c>
      <c r="P53" s="26">
        <f t="shared" si="13"/>
        <v>155.79955623741108</v>
      </c>
      <c r="Q53" s="25">
        <f>1/(1+'Combined WACOC-Tax Table'!$F$13)^A53</f>
        <v>0.21154646872333066</v>
      </c>
      <c r="R53" s="17">
        <f t="shared" si="2"/>
        <v>32.958845950686282</v>
      </c>
      <c r="S53" s="9">
        <f t="shared" si="6"/>
        <v>2206.8582066452486</v>
      </c>
      <c r="T53" s="6">
        <f t="shared" si="7"/>
        <v>0.12414307269913234</v>
      </c>
      <c r="U53" s="16"/>
    </row>
    <row r="54" spans="1:21" x14ac:dyDescent="0.2">
      <c r="A54">
        <v>26</v>
      </c>
      <c r="C54" s="9">
        <f t="shared" si="8"/>
        <v>31.375</v>
      </c>
      <c r="D54" s="9">
        <f t="shared" si="9"/>
        <v>439.25</v>
      </c>
      <c r="E54" s="9">
        <f>HLOOKUP($E$10,'Combined WACOC-Tax Table'!$B$17:$E$58,A54+1)*$B$28</f>
        <v>0</v>
      </c>
      <c r="F54" s="9">
        <f t="shared" si="10"/>
        <v>1.7408297026122455E-13</v>
      </c>
      <c r="G54" s="9">
        <f t="shared" si="3"/>
        <v>-7.7937179845461682</v>
      </c>
      <c r="H54" s="9">
        <f t="shared" si="11"/>
        <v>109.11205178364636</v>
      </c>
      <c r="I54" s="9">
        <f t="shared" si="12"/>
        <v>330.13794821635361</v>
      </c>
      <c r="J54" s="9">
        <f>'Combined WACOC-Tax Table'!$D$10*I54</f>
        <v>2.3124089802925608E-2</v>
      </c>
      <c r="K54" s="9">
        <f>I54*('Combined WACOC-Tax Table'!$D$11+'Combined WACOC-Tax Table'!$D$12)</f>
        <v>22.661365121490554</v>
      </c>
      <c r="L54" s="9">
        <f t="shared" si="4"/>
        <v>3.236348466239467</v>
      </c>
      <c r="M54" s="9">
        <f t="shared" si="5"/>
        <v>7.4896813831404048</v>
      </c>
      <c r="N54" s="9">
        <f>N53*(1+'Prod Economic Carrying Charge'!$D$8)</f>
        <v>90.843260817785435</v>
      </c>
      <c r="O54" s="9">
        <f>O53*(1+'Prod Economic Carrying Charge'!$D$8)</f>
        <v>0</v>
      </c>
      <c r="P54" s="26">
        <f t="shared" si="13"/>
        <v>155.62877987845877</v>
      </c>
      <c r="Q54" s="25">
        <f>1/(1+'Combined WACOC-Tax Table'!$F$13)^A54</f>
        <v>0.19880257778330826</v>
      </c>
      <c r="R54" s="17">
        <f t="shared" si="2"/>
        <v>30.939402617108659</v>
      </c>
      <c r="S54" s="9">
        <f t="shared" si="6"/>
        <v>2237.7976092623571</v>
      </c>
      <c r="T54" s="6">
        <f t="shared" si="7"/>
        <v>0.12400699591909066</v>
      </c>
      <c r="U54" s="16"/>
    </row>
    <row r="55" spans="1:21" x14ac:dyDescent="0.2">
      <c r="A55">
        <v>27</v>
      </c>
      <c r="C55" s="9">
        <f t="shared" si="8"/>
        <v>31.375</v>
      </c>
      <c r="D55" s="9">
        <f t="shared" si="9"/>
        <v>407.875</v>
      </c>
      <c r="E55" s="9">
        <f>HLOOKUP($E$10,'Combined WACOC-Tax Table'!$B$17:$E$58,A55+1)*$B$28</f>
        <v>0</v>
      </c>
      <c r="F55" s="9">
        <f t="shared" si="10"/>
        <v>1.7408297026122455E-13</v>
      </c>
      <c r="G55" s="9">
        <f t="shared" si="3"/>
        <v>-7.7937179845461682</v>
      </c>
      <c r="H55" s="9">
        <f t="shared" si="11"/>
        <v>101.3183337991002</v>
      </c>
      <c r="I55" s="9">
        <f t="shared" si="12"/>
        <v>306.55666620089983</v>
      </c>
      <c r="J55" s="9">
        <f>'Combined WACOC-Tax Table'!$D$10*I55</f>
        <v>2.1472369102716642E-2</v>
      </c>
      <c r="K55" s="9">
        <f>I55*('Combined WACOC-Tax Table'!$D$11+'Combined WACOC-Tax Table'!$D$12)</f>
        <v>21.042696184241233</v>
      </c>
      <c r="L55" s="9">
        <f t="shared" si="4"/>
        <v>3.0051807186509336</v>
      </c>
      <c r="M55" s="9">
        <f t="shared" si="5"/>
        <v>6.9547041414875199</v>
      </c>
      <c r="N55" s="9">
        <f>N54*(1+'Prod Economic Carrying Charge'!$D$8)</f>
        <v>93.11434233823006</v>
      </c>
      <c r="O55" s="9">
        <f>O54*(1+'Prod Economic Carrying Charge'!$D$8)</f>
        <v>0</v>
      </c>
      <c r="P55" s="26">
        <f t="shared" si="13"/>
        <v>155.51339575171247</v>
      </c>
      <c r="Q55" s="25">
        <f>1/(1+'Combined WACOC-Tax Table'!$F$13)^A55</f>
        <v>0.1868263988134799</v>
      </c>
      <c r="R55" s="17">
        <f t="shared" si="2"/>
        <v>29.054007695547963</v>
      </c>
      <c r="S55" s="9">
        <f t="shared" si="6"/>
        <v>2266.8516169579052</v>
      </c>
      <c r="T55" s="6">
        <f t="shared" si="7"/>
        <v>0.1239150563758665</v>
      </c>
      <c r="U55" s="16"/>
    </row>
    <row r="56" spans="1:21" x14ac:dyDescent="0.2">
      <c r="A56">
        <v>28</v>
      </c>
      <c r="C56" s="9">
        <f t="shared" si="8"/>
        <v>31.375</v>
      </c>
      <c r="D56" s="9">
        <f t="shared" si="9"/>
        <v>376.5</v>
      </c>
      <c r="E56" s="9">
        <f>HLOOKUP($E$10,'Combined WACOC-Tax Table'!$B$17:$E$58,A56+1)*$B$28</f>
        <v>0</v>
      </c>
      <c r="F56" s="9">
        <f t="shared" si="10"/>
        <v>1.7408297026122455E-13</v>
      </c>
      <c r="G56" s="9">
        <f t="shared" si="3"/>
        <v>-7.7937179845461682</v>
      </c>
      <c r="H56" s="9">
        <f t="shared" si="11"/>
        <v>93.524615814554039</v>
      </c>
      <c r="I56" s="9">
        <f t="shared" si="12"/>
        <v>282.97538418544593</v>
      </c>
      <c r="J56" s="9">
        <f>'Combined WACOC-Tax Table'!$D$10*I56</f>
        <v>1.9820648402507662E-2</v>
      </c>
      <c r="K56" s="9">
        <f>I56*('Combined WACOC-Tax Table'!$D$11+'Combined WACOC-Tax Table'!$D$12)</f>
        <v>19.424027246991905</v>
      </c>
      <c r="L56" s="9">
        <f t="shared" si="4"/>
        <v>2.7740129710624002</v>
      </c>
      <c r="M56" s="9">
        <f t="shared" si="5"/>
        <v>6.4197268998346333</v>
      </c>
      <c r="N56" s="9">
        <f>N55*(1+'Prod Economic Carrying Charge'!$D$8)</f>
        <v>95.442200896685804</v>
      </c>
      <c r="O56" s="9">
        <f>O55*(1+'Prod Economic Carrying Charge'!$D$8)</f>
        <v>0</v>
      </c>
      <c r="P56" s="26">
        <f t="shared" si="13"/>
        <v>155.45478866297725</v>
      </c>
      <c r="Q56" s="25">
        <f>1/(1+'Combined WACOC-Tax Table'!$F$13)^A56</f>
        <v>0.17557168364113657</v>
      </c>
      <c r="R56" s="17">
        <f t="shared" si="2"/>
        <v>27.293458975635986</v>
      </c>
      <c r="S56" s="9">
        <f t="shared" si="6"/>
        <v>2294.1450759335412</v>
      </c>
      <c r="T56" s="6">
        <f t="shared" si="7"/>
        <v>0.12386835750038028</v>
      </c>
      <c r="U56" s="16"/>
    </row>
    <row r="57" spans="1:21" x14ac:dyDescent="0.2">
      <c r="A57">
        <v>29</v>
      </c>
      <c r="C57" s="9">
        <f t="shared" si="8"/>
        <v>31.375</v>
      </c>
      <c r="D57" s="9">
        <f t="shared" si="9"/>
        <v>345.125</v>
      </c>
      <c r="E57" s="9">
        <f>HLOOKUP($E$10,'Combined WACOC-Tax Table'!$B$17:$E$58,A57+1)*$B$28</f>
        <v>0</v>
      </c>
      <c r="F57" s="9">
        <f t="shared" si="10"/>
        <v>1.7408297026122455E-13</v>
      </c>
      <c r="G57" s="9">
        <f t="shared" si="3"/>
        <v>-7.7937179845461682</v>
      </c>
      <c r="H57" s="9">
        <f t="shared" si="11"/>
        <v>85.730897830007876</v>
      </c>
      <c r="I57" s="9">
        <f t="shared" si="12"/>
        <v>259.39410216999215</v>
      </c>
      <c r="J57" s="9">
        <f>'Combined WACOC-Tax Table'!$D$10*I57</f>
        <v>1.8168927702298696E-2</v>
      </c>
      <c r="K57" s="9">
        <f>I57*('Combined WACOC-Tax Table'!$D$11+'Combined WACOC-Tax Table'!$D$12)</f>
        <v>17.805358309742584</v>
      </c>
      <c r="L57" s="9">
        <f t="shared" si="4"/>
        <v>2.5428452234738668</v>
      </c>
      <c r="M57" s="9">
        <f t="shared" si="5"/>
        <v>5.8847496581817484</v>
      </c>
      <c r="N57" s="9">
        <f>N56*(1+'Prod Economic Carrying Charge'!$D$8)</f>
        <v>97.828255919102943</v>
      </c>
      <c r="O57" s="9">
        <f>O56*(1+'Prod Economic Carrying Charge'!$D$8)</f>
        <v>0</v>
      </c>
      <c r="P57" s="26">
        <f t="shared" si="13"/>
        <v>155.45437803820343</v>
      </c>
      <c r="Q57" s="25">
        <f>1/(1+'Combined WACOC-Tax Table'!$F$13)^A57</f>
        <v>0.16499497015600145</v>
      </c>
      <c r="R57" s="17">
        <f t="shared" si="2"/>
        <v>25.649190465033143</v>
      </c>
      <c r="S57" s="9">
        <f t="shared" si="6"/>
        <v>2319.7942663985741</v>
      </c>
      <c r="T57" s="6">
        <f t="shared" si="7"/>
        <v>0.12386803030932544</v>
      </c>
      <c r="U57" s="16"/>
    </row>
    <row r="58" spans="1:21" x14ac:dyDescent="0.2">
      <c r="A58">
        <v>30</v>
      </c>
      <c r="C58" s="9">
        <f t="shared" si="8"/>
        <v>31.375</v>
      </c>
      <c r="D58" s="9">
        <f t="shared" si="9"/>
        <v>313.75</v>
      </c>
      <c r="E58" s="9">
        <f>HLOOKUP($E$10,'Combined WACOC-Tax Table'!$B$17:$E$58,A58+1)*$B$28</f>
        <v>0</v>
      </c>
      <c r="F58" s="9">
        <f t="shared" si="10"/>
        <v>1.7408297026122455E-13</v>
      </c>
      <c r="G58" s="9">
        <f t="shared" si="3"/>
        <v>-7.7937179845461682</v>
      </c>
      <c r="H58" s="9">
        <f t="shared" si="11"/>
        <v>77.937179845461714</v>
      </c>
      <c r="I58" s="9">
        <f t="shared" si="12"/>
        <v>235.81282015453829</v>
      </c>
      <c r="J58" s="9">
        <f>'Combined WACOC-Tax Table'!$D$10*I58</f>
        <v>1.651720700208972E-2</v>
      </c>
      <c r="K58" s="9">
        <f>I58*('Combined WACOC-Tax Table'!$D$11+'Combined WACOC-Tax Table'!$D$12)</f>
        <v>16.186689372493255</v>
      </c>
      <c r="L58" s="9">
        <f t="shared" si="4"/>
        <v>2.3116774758853333</v>
      </c>
      <c r="M58" s="9">
        <f t="shared" si="5"/>
        <v>5.3497724165288609</v>
      </c>
      <c r="N58" s="9">
        <f>N57*(1+'Prod Economic Carrying Charge'!$D$8)</f>
        <v>100.2739623170805</v>
      </c>
      <c r="O58" s="9">
        <f>O57*(1+'Prod Economic Carrying Charge'!$D$8)</f>
        <v>0</v>
      </c>
      <c r="P58" s="26">
        <f t="shared" si="13"/>
        <v>155.51361878899004</v>
      </c>
      <c r="Q58" s="25">
        <f>1/(1+'Combined WACOC-Tax Table'!$F$13)^A58</f>
        <v>0.15505541447346108</v>
      </c>
      <c r="R58" s="17">
        <f t="shared" si="2"/>
        <v>24.113228617594675</v>
      </c>
      <c r="S58" s="9">
        <f t="shared" si="6"/>
        <v>2343.9074950161689</v>
      </c>
      <c r="T58" s="6">
        <f t="shared" si="7"/>
        <v>0.12391523409481278</v>
      </c>
      <c r="U58" s="16"/>
    </row>
    <row r="59" spans="1:21" x14ac:dyDescent="0.2">
      <c r="A59">
        <v>31</v>
      </c>
      <c r="C59" s="9">
        <f t="shared" si="8"/>
        <v>31.375</v>
      </c>
      <c r="D59" s="9">
        <f t="shared" si="9"/>
        <v>282.375</v>
      </c>
      <c r="E59" s="9">
        <f>HLOOKUP($E$10,'Combined WACOC-Tax Table'!$B$17:$E$58,A59+1)*$B$28</f>
        <v>0</v>
      </c>
      <c r="F59" s="9">
        <f t="shared" si="10"/>
        <v>1.7408297026122455E-13</v>
      </c>
      <c r="G59" s="9">
        <f t="shared" si="3"/>
        <v>-7.7937179845461682</v>
      </c>
      <c r="H59" s="9">
        <f t="shared" si="11"/>
        <v>70.143461860915551</v>
      </c>
      <c r="I59" s="9">
        <f t="shared" ref="I59:I68" si="14">D59</f>
        <v>282.375</v>
      </c>
      <c r="J59" s="9">
        <f>'Combined WACOC-Tax Table'!$D$10*I59</f>
        <v>1.9778595261099607E-2</v>
      </c>
      <c r="K59" s="9">
        <f>I59*('Combined WACOC-Tax Table'!$D$11+'Combined WACOC-Tax Table'!$D$12)</f>
        <v>19.382815610119906</v>
      </c>
      <c r="L59" s="9">
        <f t="shared" si="4"/>
        <v>2.0805097282968004</v>
      </c>
      <c r="M59" s="9">
        <f t="shared" si="5"/>
        <v>6.4061062716070669</v>
      </c>
      <c r="N59" s="9">
        <f>N58*(1+'Prod Economic Carrying Charge'!$D$8)</f>
        <v>102.7808113750075</v>
      </c>
      <c r="O59" s="9">
        <f>O58*(1+'Prod Economic Carrying Charge'!$D$8)</f>
        <v>0</v>
      </c>
      <c r="P59" s="26">
        <f t="shared" si="13"/>
        <v>162.04502158029237</v>
      </c>
      <c r="Q59" s="25">
        <f>1/(1+'Combined WACOC-Tax Table'!$F$13)^A59</f>
        <v>0.14571463320854633</v>
      </c>
      <c r="R59" s="17">
        <f t="shared" si="2"/>
        <v>23.612330882843278</v>
      </c>
      <c r="S59" s="9">
        <f t="shared" si="6"/>
        <v>2367.5198258990122</v>
      </c>
      <c r="T59" s="6">
        <f t="shared" si="7"/>
        <v>0.12911953910780269</v>
      </c>
      <c r="U59" s="16"/>
    </row>
    <row r="60" spans="1:21" x14ac:dyDescent="0.2">
      <c r="A60">
        <v>32</v>
      </c>
      <c r="C60" s="9">
        <f t="shared" si="8"/>
        <v>31.375</v>
      </c>
      <c r="D60" s="9">
        <f t="shared" si="9"/>
        <v>251</v>
      </c>
      <c r="E60" s="9">
        <f>HLOOKUP($E$10,'Combined WACOC-Tax Table'!$B$17:$E$58,A60+1)*$B$28</f>
        <v>0</v>
      </c>
      <c r="F60" s="9">
        <f t="shared" si="10"/>
        <v>1.7408297026122455E-13</v>
      </c>
      <c r="G60" s="9">
        <f t="shared" si="3"/>
        <v>-7.7937179845461682</v>
      </c>
      <c r="H60" s="9">
        <f t="shared" si="11"/>
        <v>62.349743876369381</v>
      </c>
      <c r="I60" s="9">
        <f t="shared" si="14"/>
        <v>251</v>
      </c>
      <c r="J60" s="9">
        <f>'Combined WACOC-Tax Table'!$D$10*I60</f>
        <v>1.7580973565421872E-2</v>
      </c>
      <c r="K60" s="9">
        <f>I60*('Combined WACOC-Tax Table'!$D$11+'Combined WACOC-Tax Table'!$D$12)</f>
        <v>17.229169431217695</v>
      </c>
      <c r="L60" s="9">
        <f t="shared" si="4"/>
        <v>1.8493419807082669</v>
      </c>
      <c r="M60" s="9">
        <f t="shared" si="5"/>
        <v>5.6943166858729493</v>
      </c>
      <c r="N60" s="9">
        <f>N59*(1+'Prod Economic Carrying Charge'!$D$8)</f>
        <v>105.35033165938268</v>
      </c>
      <c r="O60" s="9">
        <f>O59*(1+'Prod Economic Carrying Charge'!$D$8)</f>
        <v>0</v>
      </c>
      <c r="P60" s="26">
        <f t="shared" si="13"/>
        <v>161.51574073074701</v>
      </c>
      <c r="Q60" s="25">
        <f>1/(1+'Combined WACOC-Tax Table'!$F$13)^A60</f>
        <v>0.13693655525157644</v>
      </c>
      <c r="R60" s="17">
        <f t="shared" si="2"/>
        <v>22.117409154575235</v>
      </c>
      <c r="S60" s="9">
        <f t="shared" si="6"/>
        <v>2389.6372350535876</v>
      </c>
      <c r="T60" s="6">
        <f t="shared" si="7"/>
        <v>0.12869780137908129</v>
      </c>
      <c r="U60" s="16"/>
    </row>
    <row r="61" spans="1:21" x14ac:dyDescent="0.2">
      <c r="A61">
        <v>33</v>
      </c>
      <c r="C61" s="9">
        <f t="shared" si="8"/>
        <v>31.375</v>
      </c>
      <c r="D61" s="9">
        <f t="shared" si="9"/>
        <v>219.625</v>
      </c>
      <c r="E61" s="9">
        <f>HLOOKUP($E$10,'Combined WACOC-Tax Table'!$B$17:$E$58,A61+1)*$B$28</f>
        <v>0</v>
      </c>
      <c r="F61" s="9">
        <f t="shared" si="10"/>
        <v>1.7408297026122455E-13</v>
      </c>
      <c r="G61" s="9">
        <f t="shared" si="3"/>
        <v>-7.7937179845461682</v>
      </c>
      <c r="H61" s="9">
        <f t="shared" si="11"/>
        <v>54.556025891823211</v>
      </c>
      <c r="I61" s="9">
        <f t="shared" si="14"/>
        <v>219.625</v>
      </c>
      <c r="J61" s="9">
        <f>'Combined WACOC-Tax Table'!$D$10*I61</f>
        <v>1.538335186974414E-2</v>
      </c>
      <c r="K61" s="9">
        <f>I61*('Combined WACOC-Tax Table'!$D$11+'Combined WACOC-Tax Table'!$D$12)</f>
        <v>15.075523252315483</v>
      </c>
      <c r="L61" s="9">
        <f t="shared" si="4"/>
        <v>1.6181742331197335</v>
      </c>
      <c r="M61" s="9">
        <f t="shared" si="5"/>
        <v>4.9825271001388298</v>
      </c>
      <c r="N61" s="9">
        <f>N60*(1+'Prod Economic Carrying Charge'!$D$8)</f>
        <v>107.98408995086723</v>
      </c>
      <c r="O61" s="9">
        <f>O60*(1+'Prod Economic Carrying Charge'!$D$8)</f>
        <v>0</v>
      </c>
      <c r="P61" s="26">
        <f t="shared" si="13"/>
        <v>161.05069788831102</v>
      </c>
      <c r="Q61" s="25">
        <f>1/(1+'Combined WACOC-Tax Table'!$F$13)^A61</f>
        <v>0.12868728247307043</v>
      </c>
      <c r="R61" s="17">
        <f t="shared" si="2"/>
        <v>20.725176651638208</v>
      </c>
      <c r="S61" s="9">
        <f t="shared" si="6"/>
        <v>2410.3624117052259</v>
      </c>
      <c r="T61" s="6">
        <f t="shared" si="7"/>
        <v>0.12832724931339523</v>
      </c>
      <c r="U61" s="16"/>
    </row>
    <row r="62" spans="1:21" x14ac:dyDescent="0.2">
      <c r="A62">
        <v>34</v>
      </c>
      <c r="C62" s="9">
        <f t="shared" si="8"/>
        <v>31.375</v>
      </c>
      <c r="D62" s="9">
        <f t="shared" si="9"/>
        <v>188.25</v>
      </c>
      <c r="E62" s="9">
        <f>HLOOKUP($E$10,'Combined WACOC-Tax Table'!$B$17:$E$58,A62+1)*$B$28</f>
        <v>0</v>
      </c>
      <c r="F62" s="9">
        <f t="shared" si="10"/>
        <v>1.7408297026122455E-13</v>
      </c>
      <c r="G62" s="9">
        <f t="shared" si="3"/>
        <v>-7.7937179845461682</v>
      </c>
      <c r="H62" s="9">
        <f t="shared" si="11"/>
        <v>46.762307907277041</v>
      </c>
      <c r="I62" s="9">
        <f t="shared" si="14"/>
        <v>188.25</v>
      </c>
      <c r="J62" s="9">
        <f>'Combined WACOC-Tax Table'!$D$10*I62</f>
        <v>1.3185730174066405E-2</v>
      </c>
      <c r="K62" s="9">
        <f>I62*('Combined WACOC-Tax Table'!$D$11+'Combined WACOC-Tax Table'!$D$12)</f>
        <v>12.92187707341327</v>
      </c>
      <c r="L62" s="9">
        <f t="shared" si="4"/>
        <v>1.3870064855312001</v>
      </c>
      <c r="M62" s="9">
        <f t="shared" si="5"/>
        <v>4.2707375144047113</v>
      </c>
      <c r="N62" s="9">
        <f>N61*(1+'Prod Economic Carrying Charge'!$D$8)</f>
        <v>110.6836921996389</v>
      </c>
      <c r="O62" s="9">
        <f>O61*(1+'Prod Economic Carrying Charge'!$D$8)</f>
        <v>0</v>
      </c>
      <c r="P62" s="26">
        <f t="shared" si="13"/>
        <v>160.65149900316214</v>
      </c>
      <c r="Q62" s="25">
        <f>1/(1+'Combined WACOC-Tax Table'!$F$13)^A62</f>
        <v>0.12093495882001291</v>
      </c>
      <c r="R62" s="17">
        <f t="shared" si="2"/>
        <v>19.428382416320758</v>
      </c>
      <c r="S62" s="9">
        <f t="shared" si="6"/>
        <v>2429.7907941215467</v>
      </c>
      <c r="T62" s="6">
        <f t="shared" si="7"/>
        <v>0.12800916255232042</v>
      </c>
      <c r="U62" s="16"/>
    </row>
    <row r="63" spans="1:21" x14ac:dyDescent="0.2">
      <c r="A63">
        <v>35</v>
      </c>
      <c r="C63" s="9">
        <f t="shared" si="8"/>
        <v>31.375</v>
      </c>
      <c r="D63" s="9">
        <f t="shared" si="9"/>
        <v>156.875</v>
      </c>
      <c r="E63" s="9">
        <f>HLOOKUP($E$10,'Combined WACOC-Tax Table'!$B$17:$E$58,A63+1)*$B$28</f>
        <v>0</v>
      </c>
      <c r="F63" s="9">
        <f t="shared" si="10"/>
        <v>1.7408297026122455E-13</v>
      </c>
      <c r="G63" s="9">
        <f t="shared" si="3"/>
        <v>-7.7937179845461682</v>
      </c>
      <c r="H63" s="9">
        <f t="shared" si="11"/>
        <v>38.968589922730871</v>
      </c>
      <c r="I63" s="9">
        <f t="shared" si="14"/>
        <v>156.875</v>
      </c>
      <c r="J63" s="9">
        <f>'Combined WACOC-Tax Table'!$D$10*I63</f>
        <v>1.0988108478388671E-2</v>
      </c>
      <c r="K63" s="9">
        <f>I63*('Combined WACOC-Tax Table'!$D$11+'Combined WACOC-Tax Table'!$D$12)</f>
        <v>10.768230894511058</v>
      </c>
      <c r="L63" s="9">
        <f t="shared" si="4"/>
        <v>1.1558387379426667</v>
      </c>
      <c r="M63" s="9">
        <f t="shared" si="5"/>
        <v>3.5589479286705927</v>
      </c>
      <c r="N63" s="9">
        <f>N62*(1+'Prod Economic Carrying Charge'!$D$8)</f>
        <v>113.45078450462987</v>
      </c>
      <c r="O63" s="9">
        <f>O62*(1+'Prod Economic Carrying Charge'!$D$8)</f>
        <v>0</v>
      </c>
      <c r="P63" s="26">
        <f t="shared" si="13"/>
        <v>160.31979017423257</v>
      </c>
      <c r="Q63" s="25">
        <f>1/(1+'Combined WACOC-Tax Table'!$F$13)^A63</f>
        <v>0.11364964729796634</v>
      </c>
      <c r="R63" s="17">
        <f t="shared" si="2"/>
        <v>18.220287608185501</v>
      </c>
      <c r="S63" s="9">
        <f t="shared" si="6"/>
        <v>2448.0110817297323</v>
      </c>
      <c r="T63" s="6">
        <f t="shared" si="7"/>
        <v>0.12774485272847216</v>
      </c>
      <c r="U63" s="16"/>
    </row>
    <row r="64" spans="1:21" x14ac:dyDescent="0.2">
      <c r="A64">
        <v>36</v>
      </c>
      <c r="C64" s="9">
        <f t="shared" si="8"/>
        <v>31.375</v>
      </c>
      <c r="D64" s="9">
        <f t="shared" si="9"/>
        <v>125.5</v>
      </c>
      <c r="E64" s="9">
        <f>HLOOKUP($E$10,'Combined WACOC-Tax Table'!$B$17:$E$58,A64+1)*$B$28</f>
        <v>0</v>
      </c>
      <c r="F64" s="9">
        <f t="shared" si="10"/>
        <v>1.7408297026122455E-13</v>
      </c>
      <c r="G64" s="9">
        <f t="shared" si="3"/>
        <v>-7.7937179845461682</v>
      </c>
      <c r="H64" s="9">
        <f t="shared" si="11"/>
        <v>31.174871938184701</v>
      </c>
      <c r="I64" s="9">
        <f t="shared" si="14"/>
        <v>125.5</v>
      </c>
      <c r="J64" s="9">
        <f>'Combined WACOC-Tax Table'!$D$10*I64</f>
        <v>8.7904867827109361E-3</v>
      </c>
      <c r="K64" s="9">
        <f>I64*('Combined WACOC-Tax Table'!$D$11+'Combined WACOC-Tax Table'!$D$12)</f>
        <v>8.6145847156088475</v>
      </c>
      <c r="L64" s="9">
        <f t="shared" si="4"/>
        <v>0.92467099035413347</v>
      </c>
      <c r="M64" s="9">
        <f t="shared" si="5"/>
        <v>2.8471583429364746</v>
      </c>
      <c r="N64" s="9">
        <f>N63*(1+'Prod Economic Carrying Charge'!$D$8)</f>
        <v>116.2870541172456</v>
      </c>
      <c r="O64" s="9">
        <f>O63*(1+'Prod Economic Carrying Charge'!$D$8)</f>
        <v>0</v>
      </c>
      <c r="P64" s="26">
        <f t="shared" si="13"/>
        <v>160.05725865292777</v>
      </c>
      <c r="Q64" s="25">
        <f>1/(1+'Combined WACOC-Tax Table'!$F$13)^A64</f>
        <v>0.10680321436397348</v>
      </c>
      <c r="R64" s="17">
        <f t="shared" si="2"/>
        <v>17.094629706418594</v>
      </c>
      <c r="S64" s="9">
        <f t="shared" si="6"/>
        <v>2465.1057114361511</v>
      </c>
      <c r="T64" s="6">
        <f t="shared" si="7"/>
        <v>0.1275356642652811</v>
      </c>
      <c r="U64" s="3"/>
    </row>
    <row r="65" spans="1:21" x14ac:dyDescent="0.2">
      <c r="A65">
        <v>37</v>
      </c>
      <c r="C65" s="9">
        <f t="shared" si="8"/>
        <v>31.375</v>
      </c>
      <c r="D65" s="9">
        <f t="shared" si="9"/>
        <v>94.125</v>
      </c>
      <c r="E65" s="9">
        <f>HLOOKUP($E$10,'Combined WACOC-Tax Table'!$B$17:$E$58,A65+1)*$B$28</f>
        <v>0</v>
      </c>
      <c r="F65" s="9">
        <f t="shared" si="10"/>
        <v>1.7408297026122455E-13</v>
      </c>
      <c r="G65" s="9">
        <f t="shared" si="3"/>
        <v>-7.7937179845461682</v>
      </c>
      <c r="H65" s="9">
        <f t="shared" si="11"/>
        <v>23.381153953638531</v>
      </c>
      <c r="I65" s="9">
        <f t="shared" si="14"/>
        <v>94.125</v>
      </c>
      <c r="J65" s="9">
        <f>'Combined WACOC-Tax Table'!$D$10*I65</f>
        <v>6.5928650870332025E-3</v>
      </c>
      <c r="K65" s="9">
        <f>I65*('Combined WACOC-Tax Table'!$D$11+'Combined WACOC-Tax Table'!$D$12)</f>
        <v>6.4609385367066352</v>
      </c>
      <c r="L65" s="9">
        <f t="shared" si="4"/>
        <v>0.69350324276560005</v>
      </c>
      <c r="M65" s="9">
        <f t="shared" si="5"/>
        <v>2.1353687572023556</v>
      </c>
      <c r="N65" s="9">
        <f>N64*(1+'Prod Economic Carrying Charge'!$D$8)</f>
        <v>119.19423047017673</v>
      </c>
      <c r="O65" s="9">
        <f>O64*(1+'Prod Economic Carrying Charge'!$D$8)</f>
        <v>0</v>
      </c>
      <c r="P65" s="26">
        <f t="shared" si="13"/>
        <v>159.86563387193837</v>
      </c>
      <c r="Q65" s="25">
        <f>1/(1+'Combined WACOC-Tax Table'!$F$13)^A65</f>
        <v>0.10036922128381291</v>
      </c>
      <c r="R65" s="17">
        <f t="shared" si="2"/>
        <v>16.0455891817696</v>
      </c>
      <c r="S65" s="9">
        <f t="shared" si="6"/>
        <v>2481.1513006179207</v>
      </c>
      <c r="T65" s="6">
        <f t="shared" si="7"/>
        <v>0.12738297519676364</v>
      </c>
      <c r="U65" s="3"/>
    </row>
    <row r="66" spans="1:21" x14ac:dyDescent="0.2">
      <c r="A66">
        <v>38</v>
      </c>
      <c r="C66" s="9">
        <f t="shared" si="8"/>
        <v>31.375</v>
      </c>
      <c r="D66" s="9">
        <f t="shared" si="9"/>
        <v>62.75</v>
      </c>
      <c r="E66" s="9">
        <f>HLOOKUP($E$10,'Combined WACOC-Tax Table'!$B$17:$E$58,A66+1)*$B$28</f>
        <v>0</v>
      </c>
      <c r="F66" s="9">
        <f t="shared" si="10"/>
        <v>1.7408297026122455E-13</v>
      </c>
      <c r="G66" s="9">
        <f t="shared" si="3"/>
        <v>-7.7937179845461682</v>
      </c>
      <c r="H66" s="9">
        <f t="shared" si="11"/>
        <v>15.587435969092363</v>
      </c>
      <c r="I66" s="9">
        <f t="shared" si="14"/>
        <v>62.75</v>
      </c>
      <c r="J66" s="9">
        <f>'Combined WACOC-Tax Table'!$D$10*I66</f>
        <v>4.3952433913554681E-3</v>
      </c>
      <c r="K66" s="9">
        <f>I66*('Combined WACOC-Tax Table'!$D$11+'Combined WACOC-Tax Table'!$D$12)</f>
        <v>4.3072923578044238</v>
      </c>
      <c r="L66" s="9">
        <f t="shared" si="4"/>
        <v>0.46233549517706674</v>
      </c>
      <c r="M66" s="9">
        <f t="shared" si="5"/>
        <v>1.4235791714682373</v>
      </c>
      <c r="N66" s="9">
        <f>N65*(1+'Prod Economic Carrying Charge'!$D$8)</f>
        <v>122.17408623193114</v>
      </c>
      <c r="O66" s="9">
        <f>O65*(1+'Prod Economic Carrying Charge'!$D$8)</f>
        <v>0</v>
      </c>
      <c r="P66" s="26">
        <f t="shared" si="13"/>
        <v>159.74668849977223</v>
      </c>
      <c r="Q66" s="25">
        <f>1/(1+'Combined WACOC-Tax Table'!$F$13)^A66</f>
        <v>9.4322822034063489E-2</v>
      </c>
      <c r="R66" s="17">
        <f t="shared" si="2"/>
        <v>15.067758469894994</v>
      </c>
      <c r="S66" s="9">
        <f t="shared" si="6"/>
        <v>2496.2190590878158</v>
      </c>
      <c r="T66" s="6">
        <f t="shared" si="7"/>
        <v>0.12728819800778665</v>
      </c>
      <c r="U66" s="3"/>
    </row>
    <row r="67" spans="1:21" x14ac:dyDescent="0.2">
      <c r="A67">
        <v>39</v>
      </c>
      <c r="C67" s="9">
        <f t="shared" si="8"/>
        <v>31.375</v>
      </c>
      <c r="D67" s="9">
        <f t="shared" si="9"/>
        <v>31.375</v>
      </c>
      <c r="E67" s="9">
        <f>HLOOKUP($E$10,'Combined WACOC-Tax Table'!$B$17:$E$58,A67+1)*$B$28</f>
        <v>0</v>
      </c>
      <c r="F67" s="9">
        <f t="shared" si="10"/>
        <v>1.7408297026122455E-13</v>
      </c>
      <c r="G67" s="9">
        <f t="shared" si="3"/>
        <v>-7.7937179845461682</v>
      </c>
      <c r="H67" s="9">
        <f t="shared" si="11"/>
        <v>7.7937179845461948</v>
      </c>
      <c r="I67" s="9">
        <f t="shared" si="14"/>
        <v>31.375</v>
      </c>
      <c r="J67" s="9">
        <f>'Combined WACOC-Tax Table'!$D$10*I67</f>
        <v>2.197621695677734E-3</v>
      </c>
      <c r="K67" s="9">
        <f>I67*('Combined WACOC-Tax Table'!$D$11+'Combined WACOC-Tax Table'!$D$12)</f>
        <v>2.1536461789022119</v>
      </c>
      <c r="L67" s="9">
        <f t="shared" si="4"/>
        <v>0.23116774758853337</v>
      </c>
      <c r="M67" s="9">
        <f t="shared" si="5"/>
        <v>0.71178958573411866</v>
      </c>
      <c r="N67" s="9">
        <f>N66*(1+'Prod Economic Carrying Charge'!$D$8)</f>
        <v>125.22843838772941</v>
      </c>
      <c r="O67" s="9">
        <f>O66*(1+'Prod Economic Carrying Charge'!$D$8)</f>
        <v>0</v>
      </c>
      <c r="P67" s="26">
        <f t="shared" si="13"/>
        <v>159.70223952164997</v>
      </c>
      <c r="Q67" s="25">
        <f>1/(1+'Combined WACOC-Tax Table'!$F$13)^A67</f>
        <v>8.8640667354708741E-2</v>
      </c>
      <c r="R67" s="17">
        <f t="shared" si="2"/>
        <v>14.156113089240595</v>
      </c>
      <c r="S67" s="9">
        <f t="shared" si="6"/>
        <v>2510.3751721770564</v>
      </c>
      <c r="T67" s="6">
        <f t="shared" si="7"/>
        <v>0.12725278049533861</v>
      </c>
      <c r="U67" s="3"/>
    </row>
    <row r="68" spans="1:21" x14ac:dyDescent="0.2">
      <c r="A68">
        <v>40</v>
      </c>
      <c r="C68" s="9">
        <f t="shared" si="8"/>
        <v>31.375</v>
      </c>
      <c r="D68" s="9">
        <f t="shared" si="9"/>
        <v>0</v>
      </c>
      <c r="E68" s="9">
        <f>HLOOKUP($E$10,'Combined WACOC-Tax Table'!$B$17:$E$58,A68+1)*$B$28</f>
        <v>0</v>
      </c>
      <c r="F68" s="9">
        <f t="shared" si="10"/>
        <v>1.7408297026122455E-13</v>
      </c>
      <c r="G68" s="9">
        <f t="shared" si="3"/>
        <v>-7.7937179845461682</v>
      </c>
      <c r="H68" s="9">
        <f t="shared" si="11"/>
        <v>2.6645352591003757E-14</v>
      </c>
      <c r="I68" s="9">
        <f t="shared" si="14"/>
        <v>0</v>
      </c>
      <c r="J68" s="9">
        <f>'Combined WACOC-Tax Table'!$D$10*I68</f>
        <v>0</v>
      </c>
      <c r="K68" s="9">
        <f>I68*('Combined WACOC-Tax Table'!$D$11+'Combined WACOC-Tax Table'!$D$12)</f>
        <v>0</v>
      </c>
      <c r="L68" s="9">
        <f t="shared" si="4"/>
        <v>0</v>
      </c>
      <c r="M68" s="9">
        <f t="shared" si="5"/>
        <v>0</v>
      </c>
      <c r="N68" s="9">
        <f>N67*(1+'Prod Economic Carrying Charge'!$D$8)</f>
        <v>128.35914934742263</v>
      </c>
      <c r="O68" s="9">
        <f>O67*(1+'Prod Economic Carrying Charge'!$D$8)</f>
        <v>0</v>
      </c>
      <c r="P68" s="26">
        <f t="shared" si="13"/>
        <v>159.73414934742263</v>
      </c>
      <c r="Q68" s="25">
        <f>1/(1+'Combined WACOC-Tax Table'!$F$13)^A68</f>
        <v>8.3300814581762722E-2</v>
      </c>
      <c r="R68" s="17">
        <f t="shared" si="2"/>
        <v>13.305984757165247</v>
      </c>
      <c r="S68" s="9">
        <f t="shared" si="6"/>
        <v>2523.6811569342217</v>
      </c>
      <c r="T68" s="6">
        <f t="shared" si="7"/>
        <v>0.12727820665133277</v>
      </c>
      <c r="U68" s="3"/>
    </row>
    <row r="70" spans="1:21" x14ac:dyDescent="0.2">
      <c r="I70" s="27" t="s">
        <v>60</v>
      </c>
      <c r="P70" s="14"/>
      <c r="R70" s="14">
        <f>SUM(R29:R69)</f>
        <v>2523.6811569342217</v>
      </c>
      <c r="S70" s="14"/>
    </row>
    <row r="85" spans="9:18" x14ac:dyDescent="0.2">
      <c r="I85" s="27"/>
      <c r="R85" s="14"/>
    </row>
  </sheetData>
  <pageMargins left="0.75" right="0.75" top="0.66" bottom="0.89" header="0.5" footer="0.39"/>
  <pageSetup scale="76" orientation="portrait" verticalDpi="1200" r:id="rId1"/>
  <headerFooter scaleWithDoc="0" alignWithMargins="0">
    <oddFooter>&amp;RAttachment B
Page &amp;P of 5</oddFooter>
    <evenFooter xml:space="preserve">&amp;R&amp;12
</evenFooter>
    <firstFooter>&amp;R&amp;12Attachment 1
Page &amp;P of &amp;N</firstFooter>
  </headerFooter>
  <colBreaks count="2" manualBreakCount="2">
    <brk id="8" max="1048575" man="1"/>
    <brk id="18" max="69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G54"/>
  <sheetViews>
    <sheetView zoomScaleNormal="100" zoomScaleSheetLayoutView="100" workbookViewId="0">
      <selection activeCell="D13" sqref="D13"/>
    </sheetView>
  </sheetViews>
  <sheetFormatPr defaultRowHeight="12.75" x14ac:dyDescent="0.2"/>
  <cols>
    <col min="1" max="1" width="18.5703125" customWidth="1"/>
    <col min="2" max="2" width="13.140625" customWidth="1"/>
    <col min="4" max="4" width="9.7109375" bestFit="1" customWidth="1"/>
    <col min="5" max="5" width="12.5703125" customWidth="1"/>
    <col min="6" max="6" width="10.28515625" customWidth="1"/>
  </cols>
  <sheetData>
    <row r="1" spans="1:7" ht="15" x14ac:dyDescent="0.2">
      <c r="A1" s="13" t="s">
        <v>78</v>
      </c>
      <c r="G1" s="22"/>
    </row>
    <row r="2" spans="1:7" x14ac:dyDescent="0.2">
      <c r="A2" s="2" t="s">
        <v>61</v>
      </c>
      <c r="G2" s="4"/>
    </row>
    <row r="3" spans="1:7" x14ac:dyDescent="0.2">
      <c r="A3" s="2"/>
      <c r="G3" s="23"/>
    </row>
    <row r="4" spans="1:7" x14ac:dyDescent="0.2">
      <c r="F4" s="23"/>
    </row>
    <row r="7" spans="1:7" x14ac:dyDescent="0.2">
      <c r="A7" s="13" t="s">
        <v>12</v>
      </c>
    </row>
    <row r="8" spans="1:7" x14ac:dyDescent="0.2">
      <c r="B8" s="13"/>
      <c r="C8" s="13"/>
      <c r="D8" s="12" t="s">
        <v>11</v>
      </c>
      <c r="F8" s="12" t="s">
        <v>10</v>
      </c>
    </row>
    <row r="9" spans="1:7" x14ac:dyDescent="0.2">
      <c r="B9" s="11" t="s">
        <v>9</v>
      </c>
      <c r="C9" s="11" t="s">
        <v>6</v>
      </c>
      <c r="D9" s="11" t="s">
        <v>8</v>
      </c>
      <c r="E9" s="11" t="s">
        <v>7</v>
      </c>
      <c r="F9" s="11" t="s">
        <v>6</v>
      </c>
    </row>
    <row r="10" spans="1:7" x14ac:dyDescent="0.2">
      <c r="A10" t="s">
        <v>87</v>
      </c>
      <c r="B10" s="35">
        <f>WACOC!B30</f>
        <v>1.5226895518293673E-2</v>
      </c>
      <c r="C10" s="35">
        <f>WACOC!C30</f>
        <v>4.5999999999999999E-3</v>
      </c>
      <c r="D10" s="38">
        <f>B10*C10</f>
        <v>7.0043719384150889E-5</v>
      </c>
      <c r="E10" s="38">
        <f>WACOC!B38</f>
        <v>0.2484053540891209</v>
      </c>
      <c r="F10" s="35">
        <f>D10*(1-E10)</f>
        <v>5.2644484468811869E-5</v>
      </c>
    </row>
    <row r="11" spans="1:7" x14ac:dyDescent="0.2">
      <c r="A11" t="s">
        <v>88</v>
      </c>
      <c r="B11" s="35">
        <f>WACOC!B31</f>
        <v>0.45259077231625627</v>
      </c>
      <c r="C11" s="35">
        <f>WACOC!C31</f>
        <v>4.0840259262312675E-2</v>
      </c>
      <c r="D11" s="35">
        <f>B11*C11</f>
        <v>1.8483924481126231E-2</v>
      </c>
      <c r="E11" s="38">
        <f>E10</f>
        <v>0.2484053540891209</v>
      </c>
      <c r="F11" s="35">
        <f>D11*(1-E11)</f>
        <v>1.3892418675435499E-2</v>
      </c>
    </row>
    <row r="12" spans="1:7" x14ac:dyDescent="0.2">
      <c r="A12" t="s">
        <v>5</v>
      </c>
      <c r="B12" s="37">
        <f>WACOC!B32</f>
        <v>0.53218233216545008</v>
      </c>
      <c r="C12" s="37">
        <f>WACOC!C32</f>
        <v>9.4249999999999987E-2</v>
      </c>
      <c r="D12" s="37">
        <f>B12*C12</f>
        <v>5.0158184806593661E-2</v>
      </c>
      <c r="E12" s="38"/>
      <c r="F12" s="37">
        <f>D12/(1-E12)</f>
        <v>5.0158184806593661E-2</v>
      </c>
    </row>
    <row r="13" spans="1:7" x14ac:dyDescent="0.2">
      <c r="D13" s="3">
        <f>SUM(D10:D12)</f>
        <v>6.8712153007104038E-2</v>
      </c>
      <c r="F13" s="3">
        <f>SUM(F10:F12)</f>
        <v>6.4103247966497967E-2</v>
      </c>
    </row>
    <row r="15" spans="1:7" x14ac:dyDescent="0.2">
      <c r="B15" s="128" t="s">
        <v>4</v>
      </c>
      <c r="C15" s="128"/>
      <c r="D15" s="128"/>
      <c r="E15" s="128"/>
    </row>
    <row r="17" spans="1:6" x14ac:dyDescent="0.2">
      <c r="B17">
        <v>5</v>
      </c>
      <c r="D17">
        <v>15</v>
      </c>
      <c r="E17">
        <v>20</v>
      </c>
    </row>
    <row r="18" spans="1:6" x14ac:dyDescent="0.2">
      <c r="A18">
        <v>1</v>
      </c>
      <c r="B18" s="5">
        <v>0.2</v>
      </c>
      <c r="C18" s="5">
        <v>0.1</v>
      </c>
      <c r="D18" s="5">
        <v>0.05</v>
      </c>
      <c r="E18" s="5">
        <v>3.7499999999999999E-2</v>
      </c>
      <c r="F18" s="6"/>
    </row>
    <row r="19" spans="1:6" x14ac:dyDescent="0.2">
      <c r="A19">
        <v>2</v>
      </c>
      <c r="B19" s="5">
        <v>0.32</v>
      </c>
      <c r="C19" s="5">
        <v>0.18</v>
      </c>
      <c r="D19" s="5">
        <v>9.5000000000000001E-2</v>
      </c>
      <c r="E19" s="5">
        <v>7.2190000000000004E-2</v>
      </c>
      <c r="F19" s="6"/>
    </row>
    <row r="20" spans="1:6" x14ac:dyDescent="0.2">
      <c r="A20">
        <v>3</v>
      </c>
      <c r="B20" s="5">
        <v>0.192</v>
      </c>
      <c r="C20" s="5">
        <v>0.14399999999999999</v>
      </c>
      <c r="D20" s="5">
        <v>8.5500000000000007E-2</v>
      </c>
      <c r="E20" s="5">
        <v>6.6769999999999996E-2</v>
      </c>
      <c r="F20" s="6"/>
    </row>
    <row r="21" spans="1:6" x14ac:dyDescent="0.2">
      <c r="A21">
        <v>4</v>
      </c>
      <c r="B21" s="5">
        <v>0.1152</v>
      </c>
      <c r="C21" s="5">
        <v>0.1152</v>
      </c>
      <c r="D21" s="5">
        <v>7.6999999999999999E-2</v>
      </c>
      <c r="E21" s="5">
        <v>6.1769999999999999E-2</v>
      </c>
      <c r="F21" s="6"/>
    </row>
    <row r="22" spans="1:6" x14ac:dyDescent="0.2">
      <c r="A22">
        <v>5</v>
      </c>
      <c r="B22" s="5">
        <v>0.1152</v>
      </c>
      <c r="C22" s="5">
        <v>9.2200000000000004E-2</v>
      </c>
      <c r="D22" s="5">
        <v>6.93E-2</v>
      </c>
      <c r="E22" s="5">
        <v>5.713E-2</v>
      </c>
      <c r="F22" s="6"/>
    </row>
    <row r="23" spans="1:6" x14ac:dyDescent="0.2">
      <c r="A23">
        <v>6</v>
      </c>
      <c r="B23" s="5">
        <v>0</v>
      </c>
      <c r="C23" s="5">
        <v>7.3700000000000002E-2</v>
      </c>
      <c r="D23" s="5">
        <v>6.2300000000000001E-2</v>
      </c>
      <c r="E23" s="5">
        <v>5.2850000000000001E-2</v>
      </c>
      <c r="F23" s="6"/>
    </row>
    <row r="24" spans="1:6" x14ac:dyDescent="0.2">
      <c r="A24">
        <v>7</v>
      </c>
      <c r="B24" s="5">
        <v>0</v>
      </c>
      <c r="C24" s="5">
        <v>6.5500000000000003E-2</v>
      </c>
      <c r="D24" s="5">
        <v>5.8999999999999997E-2</v>
      </c>
      <c r="E24" s="5">
        <v>4.888E-2</v>
      </c>
      <c r="F24" s="6"/>
    </row>
    <row r="25" spans="1:6" x14ac:dyDescent="0.2">
      <c r="A25">
        <v>8</v>
      </c>
      <c r="B25" s="5">
        <v>0</v>
      </c>
      <c r="C25" s="5">
        <v>6.5500000000000003E-2</v>
      </c>
      <c r="D25" s="5">
        <v>5.8999999999999997E-2</v>
      </c>
      <c r="E25" s="5">
        <v>4.5220000000000003E-2</v>
      </c>
      <c r="F25" s="6"/>
    </row>
    <row r="26" spans="1:6" x14ac:dyDescent="0.2">
      <c r="A26">
        <v>9</v>
      </c>
      <c r="B26" s="5">
        <v>0</v>
      </c>
      <c r="C26" s="5">
        <v>6.5600000000000006E-2</v>
      </c>
      <c r="D26" s="5">
        <v>5.91E-2</v>
      </c>
      <c r="E26" s="5">
        <v>4.462E-2</v>
      </c>
      <c r="F26" s="6"/>
    </row>
    <row r="27" spans="1:6" x14ac:dyDescent="0.2">
      <c r="A27">
        <v>10</v>
      </c>
      <c r="B27" s="5">
        <v>0</v>
      </c>
      <c r="C27" s="5">
        <v>6.5500000000000003E-2</v>
      </c>
      <c r="D27" s="5">
        <v>5.8999999999999997E-2</v>
      </c>
      <c r="E27" s="5">
        <v>4.4609999999999997E-2</v>
      </c>
      <c r="F27" s="6"/>
    </row>
    <row r="28" spans="1:6" x14ac:dyDescent="0.2">
      <c r="A28">
        <v>11</v>
      </c>
      <c r="B28" s="5">
        <v>0</v>
      </c>
      <c r="C28" s="5">
        <v>0</v>
      </c>
      <c r="D28" s="5">
        <v>5.91E-2</v>
      </c>
      <c r="E28" s="5">
        <v>4.462E-2</v>
      </c>
      <c r="F28" s="6"/>
    </row>
    <row r="29" spans="1:6" x14ac:dyDescent="0.2">
      <c r="A29">
        <v>12</v>
      </c>
      <c r="B29" s="5">
        <v>0</v>
      </c>
      <c r="C29" s="5">
        <v>0</v>
      </c>
      <c r="D29" s="5">
        <v>5.8999999999999997E-2</v>
      </c>
      <c r="E29" s="5">
        <v>4.4609999999999997E-2</v>
      </c>
      <c r="F29" s="6"/>
    </row>
    <row r="30" spans="1:6" x14ac:dyDescent="0.2">
      <c r="A30">
        <v>13</v>
      </c>
      <c r="B30" s="5">
        <v>0</v>
      </c>
      <c r="C30" s="5">
        <v>0</v>
      </c>
      <c r="D30" s="5">
        <v>5.91E-2</v>
      </c>
      <c r="E30" s="5">
        <v>4.462E-2</v>
      </c>
      <c r="F30" s="6"/>
    </row>
    <row r="31" spans="1:6" x14ac:dyDescent="0.2">
      <c r="A31">
        <v>14</v>
      </c>
      <c r="B31" s="5">
        <v>0</v>
      </c>
      <c r="C31" s="5">
        <v>0</v>
      </c>
      <c r="D31" s="5">
        <v>5.8999999999999997E-2</v>
      </c>
      <c r="E31" s="5">
        <v>4.4609999999999997E-2</v>
      </c>
      <c r="F31" s="6"/>
    </row>
    <row r="32" spans="1:6" x14ac:dyDescent="0.2">
      <c r="A32">
        <v>15</v>
      </c>
      <c r="B32" s="5">
        <v>0</v>
      </c>
      <c r="C32" s="5">
        <v>0</v>
      </c>
      <c r="D32" s="5">
        <v>5.91E-2</v>
      </c>
      <c r="E32" s="5">
        <v>4.462E-2</v>
      </c>
      <c r="F32" s="6"/>
    </row>
    <row r="33" spans="1:6" x14ac:dyDescent="0.2">
      <c r="A33">
        <v>16</v>
      </c>
      <c r="B33" s="5">
        <v>0</v>
      </c>
      <c r="C33" s="5">
        <v>0</v>
      </c>
      <c r="D33" s="5">
        <v>2.9499999999999998E-2</v>
      </c>
      <c r="E33" s="5">
        <v>4.4609999999999997E-2</v>
      </c>
      <c r="F33" s="6"/>
    </row>
    <row r="34" spans="1:6" x14ac:dyDescent="0.2">
      <c r="A34">
        <v>17</v>
      </c>
      <c r="B34" s="5">
        <v>0</v>
      </c>
      <c r="C34" s="5">
        <v>0</v>
      </c>
      <c r="D34" s="5">
        <v>0</v>
      </c>
      <c r="E34" s="5">
        <v>4.462E-2</v>
      </c>
      <c r="F34" s="6"/>
    </row>
    <row r="35" spans="1:6" x14ac:dyDescent="0.2">
      <c r="A35">
        <v>18</v>
      </c>
      <c r="B35" s="5">
        <v>0</v>
      </c>
      <c r="C35" s="5">
        <v>0</v>
      </c>
      <c r="D35" s="5">
        <v>0</v>
      </c>
      <c r="E35" s="5">
        <v>4.4609999999999997E-2</v>
      </c>
      <c r="F35" s="6"/>
    </row>
    <row r="36" spans="1:6" x14ac:dyDescent="0.2">
      <c r="A36">
        <v>19</v>
      </c>
      <c r="B36" s="5">
        <v>0</v>
      </c>
      <c r="C36" s="5">
        <v>0</v>
      </c>
      <c r="D36" s="5">
        <v>0</v>
      </c>
      <c r="E36" s="5">
        <v>4.462E-2</v>
      </c>
      <c r="F36" s="6"/>
    </row>
    <row r="37" spans="1:6" x14ac:dyDescent="0.2">
      <c r="A37">
        <v>20</v>
      </c>
      <c r="B37" s="5">
        <v>0</v>
      </c>
      <c r="C37" s="5">
        <v>0</v>
      </c>
      <c r="D37" s="5">
        <v>0</v>
      </c>
      <c r="E37" s="5">
        <v>4.4609999999999997E-2</v>
      </c>
      <c r="F37" s="6"/>
    </row>
    <row r="38" spans="1:6" x14ac:dyDescent="0.2">
      <c r="A38">
        <v>21</v>
      </c>
      <c r="B38" s="5">
        <v>0</v>
      </c>
      <c r="C38" s="5">
        <v>0</v>
      </c>
      <c r="D38" s="5">
        <v>0</v>
      </c>
      <c r="E38" s="5">
        <v>2.231E-2</v>
      </c>
      <c r="F38" s="6"/>
    </row>
    <row r="39" spans="1:6" x14ac:dyDescent="0.2">
      <c r="A39">
        <v>22</v>
      </c>
      <c r="B39" s="5">
        <v>0</v>
      </c>
      <c r="C39" s="5">
        <v>0</v>
      </c>
      <c r="D39" s="5">
        <v>0</v>
      </c>
      <c r="E39" s="5">
        <v>0</v>
      </c>
    </row>
    <row r="40" spans="1:6" x14ac:dyDescent="0.2">
      <c r="A40">
        <v>23</v>
      </c>
      <c r="B40" s="5">
        <v>0</v>
      </c>
      <c r="C40" s="5">
        <v>0</v>
      </c>
      <c r="D40" s="5">
        <v>0</v>
      </c>
      <c r="E40" s="5">
        <v>0</v>
      </c>
    </row>
    <row r="41" spans="1:6" x14ac:dyDescent="0.2">
      <c r="A41">
        <v>24</v>
      </c>
      <c r="B41" s="5">
        <v>0</v>
      </c>
      <c r="C41" s="5">
        <v>0</v>
      </c>
      <c r="D41" s="5">
        <v>0</v>
      </c>
      <c r="E41" s="5">
        <v>0</v>
      </c>
    </row>
    <row r="42" spans="1:6" x14ac:dyDescent="0.2">
      <c r="A42">
        <v>25</v>
      </c>
      <c r="B42" s="5">
        <v>0</v>
      </c>
      <c r="C42" s="5">
        <v>0</v>
      </c>
      <c r="D42" s="5">
        <v>0</v>
      </c>
      <c r="E42" s="5">
        <v>0</v>
      </c>
    </row>
    <row r="43" spans="1:6" x14ac:dyDescent="0.2">
      <c r="A43">
        <v>26</v>
      </c>
      <c r="B43" s="5">
        <v>0</v>
      </c>
      <c r="C43" s="5">
        <v>0</v>
      </c>
      <c r="D43" s="5">
        <v>0</v>
      </c>
      <c r="E43" s="5">
        <v>0</v>
      </c>
    </row>
    <row r="44" spans="1:6" x14ac:dyDescent="0.2">
      <c r="A44">
        <v>27</v>
      </c>
      <c r="B44" s="5">
        <v>0</v>
      </c>
      <c r="C44" s="5">
        <v>0</v>
      </c>
      <c r="D44" s="5">
        <v>0</v>
      </c>
      <c r="E44" s="5">
        <v>0</v>
      </c>
    </row>
    <row r="45" spans="1:6" x14ac:dyDescent="0.2">
      <c r="A45">
        <v>28</v>
      </c>
      <c r="B45" s="5">
        <v>0</v>
      </c>
      <c r="C45" s="5">
        <v>0</v>
      </c>
      <c r="D45" s="5">
        <v>0</v>
      </c>
      <c r="E45" s="5">
        <v>0</v>
      </c>
    </row>
    <row r="46" spans="1:6" x14ac:dyDescent="0.2">
      <c r="A46">
        <v>29</v>
      </c>
      <c r="B46" s="5">
        <v>0</v>
      </c>
      <c r="C46" s="5">
        <v>0</v>
      </c>
      <c r="D46" s="5">
        <v>0</v>
      </c>
      <c r="E46" s="5">
        <v>0</v>
      </c>
    </row>
    <row r="47" spans="1:6" x14ac:dyDescent="0.2">
      <c r="A47">
        <v>30</v>
      </c>
      <c r="B47" s="5">
        <v>0</v>
      </c>
      <c r="C47" s="5">
        <v>0</v>
      </c>
      <c r="D47" s="5">
        <v>0</v>
      </c>
      <c r="E47" s="5">
        <v>0</v>
      </c>
    </row>
    <row r="48" spans="1:6" x14ac:dyDescent="0.2">
      <c r="B48" s="5"/>
      <c r="C48" s="5"/>
      <c r="D48" s="5"/>
      <c r="E48" s="5"/>
    </row>
    <row r="49" spans="2:7" x14ac:dyDescent="0.2">
      <c r="B49" s="5"/>
      <c r="C49" s="5"/>
      <c r="D49" s="5"/>
      <c r="E49" s="5"/>
    </row>
    <row r="53" spans="2:7" x14ac:dyDescent="0.2">
      <c r="G53" s="24"/>
    </row>
    <row r="54" spans="2:7" x14ac:dyDescent="0.2">
      <c r="G54" s="24"/>
    </row>
  </sheetData>
  <mergeCells count="1">
    <mergeCell ref="B15:E15"/>
  </mergeCells>
  <pageMargins left="0.7" right="0.7" top="0.75" bottom="0.75" header="0.3" footer="0.3"/>
  <pageSetup orientation="portrait" r:id="rId1"/>
  <headerFooter>
    <oddFooter>&amp;RAttachment B
Page 5 of 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G54"/>
  <sheetViews>
    <sheetView zoomScaleNormal="100" zoomScaleSheetLayoutView="100" workbookViewId="0"/>
  </sheetViews>
  <sheetFormatPr defaultRowHeight="12.75" x14ac:dyDescent="0.2"/>
  <cols>
    <col min="1" max="1" width="18.5703125" customWidth="1"/>
    <col min="2" max="2" width="13.140625" customWidth="1"/>
    <col min="5" max="5" width="12.5703125" customWidth="1"/>
    <col min="6" max="6" width="10.28515625" customWidth="1"/>
  </cols>
  <sheetData>
    <row r="1" spans="1:7" ht="15" x14ac:dyDescent="0.2">
      <c r="A1" s="13" t="s">
        <v>68</v>
      </c>
      <c r="G1" s="22"/>
    </row>
    <row r="2" spans="1:7" x14ac:dyDescent="0.2">
      <c r="A2" s="2" t="s">
        <v>61</v>
      </c>
      <c r="G2" s="4"/>
    </row>
    <row r="3" spans="1:7" x14ac:dyDescent="0.2">
      <c r="A3" s="2"/>
      <c r="G3" s="23"/>
    </row>
    <row r="4" spans="1:7" x14ac:dyDescent="0.2">
      <c r="F4" s="23"/>
    </row>
    <row r="7" spans="1:7" x14ac:dyDescent="0.2">
      <c r="A7" s="13" t="s">
        <v>12</v>
      </c>
    </row>
    <row r="8" spans="1:7" x14ac:dyDescent="0.2">
      <c r="B8" s="13"/>
      <c r="C8" s="13"/>
      <c r="D8" s="12" t="s">
        <v>11</v>
      </c>
      <c r="F8" s="12" t="s">
        <v>10</v>
      </c>
    </row>
    <row r="9" spans="1:7" x14ac:dyDescent="0.2">
      <c r="B9" s="11" t="s">
        <v>9</v>
      </c>
      <c r="C9" s="11" t="s">
        <v>6</v>
      </c>
      <c r="D9" s="11" t="s">
        <v>8</v>
      </c>
      <c r="E9" s="11" t="s">
        <v>7</v>
      </c>
      <c r="F9" s="11" t="s">
        <v>6</v>
      </c>
    </row>
    <row r="10" spans="1:7" x14ac:dyDescent="0.2">
      <c r="A10" t="s">
        <v>87</v>
      </c>
      <c r="B10" s="6">
        <v>1.26E-2</v>
      </c>
      <c r="C10" s="6">
        <v>4.5999999999999999E-3</v>
      </c>
      <c r="D10" s="6">
        <f>C10*B10</f>
        <v>5.7960000000000001E-5</v>
      </c>
      <c r="E10" s="3">
        <v>0.24849452</v>
      </c>
      <c r="F10" s="6">
        <f>D10*(1-E10)</f>
        <v>4.3557257620800001E-5</v>
      </c>
    </row>
    <row r="11" spans="1:7" x14ac:dyDescent="0.2">
      <c r="A11" t="s">
        <v>88</v>
      </c>
      <c r="B11" s="6">
        <v>0.45550000000000002</v>
      </c>
      <c r="C11" s="6">
        <v>0.04</v>
      </c>
      <c r="D11" s="6">
        <f>B11*C11</f>
        <v>1.822E-2</v>
      </c>
      <c r="E11" s="3">
        <f>E10</f>
        <v>0.24849452</v>
      </c>
      <c r="F11" s="6">
        <f>D11*(1-E11)</f>
        <v>1.36924298456E-2</v>
      </c>
    </row>
    <row r="12" spans="1:7" x14ac:dyDescent="0.2">
      <c r="A12" t="s">
        <v>5</v>
      </c>
      <c r="B12" s="8">
        <v>0.53190000000000004</v>
      </c>
      <c r="C12" s="8">
        <v>9.425E-2</v>
      </c>
      <c r="D12" s="8">
        <f>B12*C12</f>
        <v>5.0131575000000005E-2</v>
      </c>
      <c r="E12" s="3"/>
      <c r="F12" s="7">
        <f>D12/(1-E12)</f>
        <v>5.0131575000000005E-2</v>
      </c>
    </row>
    <row r="13" spans="1:7" x14ac:dyDescent="0.2">
      <c r="D13" s="3">
        <f>SUM(D10:D12)</f>
        <v>6.8409535000000007E-2</v>
      </c>
      <c r="F13" s="3">
        <f>SUM(F10:F12)</f>
        <v>6.386756210322081E-2</v>
      </c>
    </row>
    <row r="15" spans="1:7" x14ac:dyDescent="0.2">
      <c r="B15" s="128" t="s">
        <v>4</v>
      </c>
      <c r="C15" s="128"/>
      <c r="D15" s="128"/>
      <c r="E15" s="128"/>
    </row>
    <row r="17" spans="1:6" x14ac:dyDescent="0.2">
      <c r="B17">
        <v>5</v>
      </c>
      <c r="D17">
        <v>15</v>
      </c>
      <c r="E17">
        <v>20</v>
      </c>
    </row>
    <row r="18" spans="1:6" x14ac:dyDescent="0.2">
      <c r="A18">
        <v>1</v>
      </c>
      <c r="B18" s="5">
        <v>0.2</v>
      </c>
      <c r="C18" s="5">
        <v>0.1</v>
      </c>
      <c r="D18" s="5">
        <v>0.05</v>
      </c>
      <c r="E18" s="5">
        <v>3.7499999999999999E-2</v>
      </c>
      <c r="F18" s="6"/>
    </row>
    <row r="19" spans="1:6" x14ac:dyDescent="0.2">
      <c r="A19">
        <v>2</v>
      </c>
      <c r="B19" s="5">
        <v>0.32</v>
      </c>
      <c r="C19" s="5">
        <v>0.18</v>
      </c>
      <c r="D19" s="5">
        <v>9.5000000000000001E-2</v>
      </c>
      <c r="E19" s="5">
        <v>7.2190000000000004E-2</v>
      </c>
      <c r="F19" s="6"/>
    </row>
    <row r="20" spans="1:6" x14ac:dyDescent="0.2">
      <c r="A20">
        <v>3</v>
      </c>
      <c r="B20" s="5">
        <v>0.192</v>
      </c>
      <c r="C20" s="5">
        <v>0.14399999999999999</v>
      </c>
      <c r="D20" s="5">
        <v>8.5500000000000007E-2</v>
      </c>
      <c r="E20" s="5">
        <v>6.6769999999999996E-2</v>
      </c>
      <c r="F20" s="6"/>
    </row>
    <row r="21" spans="1:6" x14ac:dyDescent="0.2">
      <c r="A21">
        <v>4</v>
      </c>
      <c r="B21" s="5">
        <v>0.1152</v>
      </c>
      <c r="C21" s="5">
        <v>0.1152</v>
      </c>
      <c r="D21" s="5">
        <v>7.6999999999999999E-2</v>
      </c>
      <c r="E21" s="5">
        <v>6.1769999999999999E-2</v>
      </c>
      <c r="F21" s="6"/>
    </row>
    <row r="22" spans="1:6" x14ac:dyDescent="0.2">
      <c r="A22">
        <v>5</v>
      </c>
      <c r="B22" s="5">
        <v>0.1152</v>
      </c>
      <c r="C22" s="5">
        <v>9.2200000000000004E-2</v>
      </c>
      <c r="D22" s="5">
        <v>6.93E-2</v>
      </c>
      <c r="E22" s="5">
        <v>5.713E-2</v>
      </c>
      <c r="F22" s="6"/>
    </row>
    <row r="23" spans="1:6" x14ac:dyDescent="0.2">
      <c r="A23">
        <v>6</v>
      </c>
      <c r="B23" s="5">
        <v>0</v>
      </c>
      <c r="C23" s="5">
        <v>7.3700000000000002E-2</v>
      </c>
      <c r="D23" s="5">
        <v>6.2300000000000001E-2</v>
      </c>
      <c r="E23" s="5">
        <v>5.2850000000000001E-2</v>
      </c>
      <c r="F23" s="6"/>
    </row>
    <row r="24" spans="1:6" x14ac:dyDescent="0.2">
      <c r="A24">
        <v>7</v>
      </c>
      <c r="B24" s="5">
        <v>0</v>
      </c>
      <c r="C24" s="5">
        <v>6.5500000000000003E-2</v>
      </c>
      <c r="D24" s="5">
        <v>5.8999999999999997E-2</v>
      </c>
      <c r="E24" s="5">
        <v>4.888E-2</v>
      </c>
      <c r="F24" s="6"/>
    </row>
    <row r="25" spans="1:6" x14ac:dyDescent="0.2">
      <c r="A25">
        <v>8</v>
      </c>
      <c r="B25" s="5">
        <v>0</v>
      </c>
      <c r="C25" s="5">
        <v>6.5500000000000003E-2</v>
      </c>
      <c r="D25" s="5">
        <v>5.8999999999999997E-2</v>
      </c>
      <c r="E25" s="5">
        <v>4.5220000000000003E-2</v>
      </c>
      <c r="F25" s="6"/>
    </row>
    <row r="26" spans="1:6" x14ac:dyDescent="0.2">
      <c r="A26">
        <v>9</v>
      </c>
      <c r="B26" s="5">
        <v>0</v>
      </c>
      <c r="C26" s="5">
        <v>6.5600000000000006E-2</v>
      </c>
      <c r="D26" s="5">
        <v>5.91E-2</v>
      </c>
      <c r="E26" s="5">
        <v>4.462E-2</v>
      </c>
      <c r="F26" s="6"/>
    </row>
    <row r="27" spans="1:6" x14ac:dyDescent="0.2">
      <c r="A27">
        <v>10</v>
      </c>
      <c r="B27" s="5">
        <v>0</v>
      </c>
      <c r="C27" s="5">
        <v>6.5500000000000003E-2</v>
      </c>
      <c r="D27" s="5">
        <v>5.8999999999999997E-2</v>
      </c>
      <c r="E27" s="5">
        <v>4.4609999999999997E-2</v>
      </c>
      <c r="F27" s="6"/>
    </row>
    <row r="28" spans="1:6" x14ac:dyDescent="0.2">
      <c r="A28">
        <v>11</v>
      </c>
      <c r="B28" s="5">
        <v>0</v>
      </c>
      <c r="C28" s="5">
        <v>0</v>
      </c>
      <c r="D28" s="5">
        <v>5.91E-2</v>
      </c>
      <c r="E28" s="5">
        <v>4.462E-2</v>
      </c>
      <c r="F28" s="6"/>
    </row>
    <row r="29" spans="1:6" x14ac:dyDescent="0.2">
      <c r="A29">
        <v>12</v>
      </c>
      <c r="B29" s="5">
        <v>0</v>
      </c>
      <c r="C29" s="5">
        <v>0</v>
      </c>
      <c r="D29" s="5">
        <v>5.8999999999999997E-2</v>
      </c>
      <c r="E29" s="5">
        <v>4.4609999999999997E-2</v>
      </c>
      <c r="F29" s="6"/>
    </row>
    <row r="30" spans="1:6" x14ac:dyDescent="0.2">
      <c r="A30">
        <v>13</v>
      </c>
      <c r="B30" s="5">
        <v>0</v>
      </c>
      <c r="C30" s="5">
        <v>0</v>
      </c>
      <c r="D30" s="5">
        <v>5.91E-2</v>
      </c>
      <c r="E30" s="5">
        <v>4.462E-2</v>
      </c>
      <c r="F30" s="6"/>
    </row>
    <row r="31" spans="1:6" x14ac:dyDescent="0.2">
      <c r="A31">
        <v>14</v>
      </c>
      <c r="B31" s="5">
        <v>0</v>
      </c>
      <c r="C31" s="5">
        <v>0</v>
      </c>
      <c r="D31" s="5">
        <v>5.8999999999999997E-2</v>
      </c>
      <c r="E31" s="5">
        <v>4.4609999999999997E-2</v>
      </c>
      <c r="F31" s="6"/>
    </row>
    <row r="32" spans="1:6" x14ac:dyDescent="0.2">
      <c r="A32">
        <v>15</v>
      </c>
      <c r="B32" s="5">
        <v>0</v>
      </c>
      <c r="C32" s="5">
        <v>0</v>
      </c>
      <c r="D32" s="5">
        <v>5.91E-2</v>
      </c>
      <c r="E32" s="5">
        <v>4.462E-2</v>
      </c>
      <c r="F32" s="6"/>
    </row>
    <row r="33" spans="1:6" x14ac:dyDescent="0.2">
      <c r="A33">
        <v>16</v>
      </c>
      <c r="B33" s="5">
        <v>0</v>
      </c>
      <c r="C33" s="5">
        <v>0</v>
      </c>
      <c r="D33" s="5">
        <v>2.9499999999999998E-2</v>
      </c>
      <c r="E33" s="5">
        <v>4.4609999999999997E-2</v>
      </c>
      <c r="F33" s="6"/>
    </row>
    <row r="34" spans="1:6" x14ac:dyDescent="0.2">
      <c r="A34">
        <v>17</v>
      </c>
      <c r="B34" s="5">
        <v>0</v>
      </c>
      <c r="C34" s="5">
        <v>0</v>
      </c>
      <c r="D34" s="5">
        <v>0</v>
      </c>
      <c r="E34" s="5">
        <v>4.462E-2</v>
      </c>
      <c r="F34" s="6"/>
    </row>
    <row r="35" spans="1:6" x14ac:dyDescent="0.2">
      <c r="A35">
        <v>18</v>
      </c>
      <c r="B35" s="5">
        <v>0</v>
      </c>
      <c r="C35" s="5">
        <v>0</v>
      </c>
      <c r="D35" s="5">
        <v>0</v>
      </c>
      <c r="E35" s="5">
        <v>4.4609999999999997E-2</v>
      </c>
      <c r="F35" s="6"/>
    </row>
    <row r="36" spans="1:6" x14ac:dyDescent="0.2">
      <c r="A36">
        <v>19</v>
      </c>
      <c r="B36" s="5">
        <v>0</v>
      </c>
      <c r="C36" s="5">
        <v>0</v>
      </c>
      <c r="D36" s="5">
        <v>0</v>
      </c>
      <c r="E36" s="5">
        <v>4.462E-2</v>
      </c>
      <c r="F36" s="6"/>
    </row>
    <row r="37" spans="1:6" x14ac:dyDescent="0.2">
      <c r="A37">
        <v>20</v>
      </c>
      <c r="B37" s="5">
        <v>0</v>
      </c>
      <c r="C37" s="5">
        <v>0</v>
      </c>
      <c r="D37" s="5">
        <v>0</v>
      </c>
      <c r="E37" s="5">
        <v>4.4609999999999997E-2</v>
      </c>
      <c r="F37" s="6"/>
    </row>
    <row r="38" spans="1:6" x14ac:dyDescent="0.2">
      <c r="A38">
        <v>21</v>
      </c>
      <c r="B38" s="5">
        <v>0</v>
      </c>
      <c r="C38" s="5">
        <v>0</v>
      </c>
      <c r="D38" s="5">
        <v>0</v>
      </c>
      <c r="E38" s="5">
        <v>2.231E-2</v>
      </c>
      <c r="F38" s="6"/>
    </row>
    <row r="39" spans="1:6" x14ac:dyDescent="0.2">
      <c r="A39">
        <v>22</v>
      </c>
      <c r="B39" s="5">
        <v>0</v>
      </c>
      <c r="C39" s="5">
        <v>0</v>
      </c>
      <c r="D39" s="5">
        <v>0</v>
      </c>
      <c r="E39" s="5">
        <v>0</v>
      </c>
    </row>
    <row r="40" spans="1:6" x14ac:dyDescent="0.2">
      <c r="A40">
        <v>23</v>
      </c>
      <c r="B40" s="5">
        <v>0</v>
      </c>
      <c r="C40" s="5">
        <v>0</v>
      </c>
      <c r="D40" s="5">
        <v>0</v>
      </c>
      <c r="E40" s="5">
        <v>0</v>
      </c>
    </row>
    <row r="41" spans="1:6" x14ac:dyDescent="0.2">
      <c r="A41">
        <v>24</v>
      </c>
      <c r="B41" s="5">
        <v>0</v>
      </c>
      <c r="C41" s="5">
        <v>0</v>
      </c>
      <c r="D41" s="5">
        <v>0</v>
      </c>
      <c r="E41" s="5">
        <v>0</v>
      </c>
    </row>
    <row r="42" spans="1:6" x14ac:dyDescent="0.2">
      <c r="A42">
        <v>25</v>
      </c>
      <c r="B42" s="5">
        <v>0</v>
      </c>
      <c r="C42" s="5">
        <v>0</v>
      </c>
      <c r="D42" s="5">
        <v>0</v>
      </c>
      <c r="E42" s="5">
        <v>0</v>
      </c>
    </row>
    <row r="43" spans="1:6" x14ac:dyDescent="0.2">
      <c r="A43">
        <v>26</v>
      </c>
      <c r="B43" s="5">
        <v>0</v>
      </c>
      <c r="C43" s="5">
        <v>0</v>
      </c>
      <c r="D43" s="5">
        <v>0</v>
      </c>
      <c r="E43" s="5">
        <v>0</v>
      </c>
    </row>
    <row r="44" spans="1:6" x14ac:dyDescent="0.2">
      <c r="A44">
        <v>27</v>
      </c>
      <c r="B44" s="5">
        <v>0</v>
      </c>
      <c r="C44" s="5">
        <v>0</v>
      </c>
      <c r="D44" s="5">
        <v>0</v>
      </c>
      <c r="E44" s="5">
        <v>0</v>
      </c>
    </row>
    <row r="45" spans="1:6" x14ac:dyDescent="0.2">
      <c r="A45">
        <v>28</v>
      </c>
      <c r="B45" s="5">
        <v>0</v>
      </c>
      <c r="C45" s="5">
        <v>0</v>
      </c>
      <c r="D45" s="5">
        <v>0</v>
      </c>
      <c r="E45" s="5">
        <v>0</v>
      </c>
    </row>
    <row r="46" spans="1:6" x14ac:dyDescent="0.2">
      <c r="A46">
        <v>29</v>
      </c>
      <c r="B46" s="5">
        <v>0</v>
      </c>
      <c r="C46" s="5">
        <v>0</v>
      </c>
      <c r="D46" s="5">
        <v>0</v>
      </c>
      <c r="E46" s="5">
        <v>0</v>
      </c>
    </row>
    <row r="47" spans="1:6" x14ac:dyDescent="0.2">
      <c r="A47">
        <v>30</v>
      </c>
      <c r="B47" s="5">
        <v>0</v>
      </c>
      <c r="C47" s="5">
        <v>0</v>
      </c>
      <c r="D47" s="5">
        <v>0</v>
      </c>
      <c r="E47" s="5">
        <v>0</v>
      </c>
    </row>
    <row r="48" spans="1:6" x14ac:dyDescent="0.2">
      <c r="B48" s="5"/>
      <c r="C48" s="5"/>
      <c r="D48" s="5"/>
      <c r="E48" s="5"/>
    </row>
    <row r="49" spans="2:7" x14ac:dyDescent="0.2">
      <c r="B49" s="5"/>
      <c r="C49" s="5"/>
      <c r="D49" s="5"/>
      <c r="E49" s="5"/>
    </row>
    <row r="53" spans="2:7" x14ac:dyDescent="0.2">
      <c r="G53" s="24"/>
    </row>
    <row r="54" spans="2:7" x14ac:dyDescent="0.2">
      <c r="G54" s="24"/>
    </row>
  </sheetData>
  <dataConsolidate/>
  <mergeCells count="1">
    <mergeCell ref="B15:E15"/>
  </mergeCells>
  <pageMargins left="0.75" right="0.75" top="1" bottom="1" header="0.5" footer="0.5"/>
  <pageSetup scale="96" orientation="portrait" verticalDpi="1200" r:id="rId1"/>
  <headerFooter scaleWithDoc="0" alignWithMargins="0">
    <oddFooter>&amp;RAttachment E
Page 5 of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G54"/>
  <sheetViews>
    <sheetView zoomScaleNormal="100" zoomScaleSheetLayoutView="100" workbookViewId="0">
      <selection activeCell="I11" sqref="I11"/>
    </sheetView>
  </sheetViews>
  <sheetFormatPr defaultRowHeight="12.75" x14ac:dyDescent="0.2"/>
  <cols>
    <col min="1" max="1" width="18.5703125" customWidth="1"/>
    <col min="2" max="2" width="13.140625" customWidth="1"/>
    <col min="5" max="5" width="12.5703125" customWidth="1"/>
    <col min="6" max="6" width="10.28515625" customWidth="1"/>
  </cols>
  <sheetData>
    <row r="1" spans="1:7" ht="15" x14ac:dyDescent="0.2">
      <c r="A1" s="13" t="s">
        <v>69</v>
      </c>
      <c r="G1" s="22"/>
    </row>
    <row r="2" spans="1:7" x14ac:dyDescent="0.2">
      <c r="A2" s="2" t="s">
        <v>61</v>
      </c>
      <c r="G2" s="4"/>
    </row>
    <row r="3" spans="1:7" x14ac:dyDescent="0.2">
      <c r="A3" s="2"/>
      <c r="G3" s="23"/>
    </row>
    <row r="4" spans="1:7" x14ac:dyDescent="0.2">
      <c r="F4" s="23"/>
    </row>
    <row r="7" spans="1:7" x14ac:dyDescent="0.2">
      <c r="A7" s="13" t="s">
        <v>12</v>
      </c>
    </row>
    <row r="8" spans="1:7" x14ac:dyDescent="0.2">
      <c r="B8" s="13"/>
      <c r="C8" s="13"/>
      <c r="D8" s="12" t="s">
        <v>11</v>
      </c>
      <c r="F8" s="12" t="s">
        <v>10</v>
      </c>
    </row>
    <row r="9" spans="1:7" x14ac:dyDescent="0.2">
      <c r="B9" s="11" t="s">
        <v>9</v>
      </c>
      <c r="C9" s="11" t="s">
        <v>6</v>
      </c>
      <c r="D9" s="11" t="s">
        <v>8</v>
      </c>
      <c r="E9" s="11" t="s">
        <v>7</v>
      </c>
      <c r="F9" s="11" t="s">
        <v>6</v>
      </c>
    </row>
    <row r="10" spans="1:7" x14ac:dyDescent="0.2">
      <c r="A10" t="s">
        <v>87</v>
      </c>
      <c r="B10" s="6">
        <v>1.6899999999999998E-2</v>
      </c>
      <c r="C10" s="6">
        <v>4.5999999999999999E-3</v>
      </c>
      <c r="D10" s="6">
        <f>C10*B10</f>
        <v>7.7739999999999998E-5</v>
      </c>
      <c r="E10" s="3">
        <v>0.24826996500000001</v>
      </c>
      <c r="F10" s="55">
        <f>D10*(1-E10)</f>
        <v>5.84394929209E-5</v>
      </c>
    </row>
    <row r="11" spans="1:7" x14ac:dyDescent="0.2">
      <c r="A11" t="s">
        <v>88</v>
      </c>
      <c r="B11" s="6">
        <v>0.45069999999999999</v>
      </c>
      <c r="C11" s="6">
        <v>4.1399999999999999E-2</v>
      </c>
      <c r="D11" s="6">
        <f>B11*C11</f>
        <v>1.8658979999999999E-2</v>
      </c>
      <c r="E11" s="3">
        <f>E10</f>
        <v>0.24826996500000001</v>
      </c>
      <c r="F11" s="6">
        <f>D11*(1-E11)</f>
        <v>1.4026515688464299E-2</v>
      </c>
    </row>
    <row r="12" spans="1:7" x14ac:dyDescent="0.2">
      <c r="A12" t="s">
        <v>5</v>
      </c>
      <c r="B12" s="8">
        <v>0.53239999999999998</v>
      </c>
      <c r="C12" s="8">
        <v>9.425E-2</v>
      </c>
      <c r="D12" s="8">
        <f>B12*C12</f>
        <v>5.01787E-2</v>
      </c>
      <c r="E12" s="3"/>
      <c r="F12" s="7">
        <f>D12/(1-E12)</f>
        <v>5.01787E-2</v>
      </c>
    </row>
    <row r="13" spans="1:7" x14ac:dyDescent="0.2">
      <c r="D13" s="3">
        <f>SUM(D10:D12)</f>
        <v>6.8915420000000005E-2</v>
      </c>
      <c r="F13" s="3">
        <f>SUM(F10:F12)</f>
        <v>6.4263655181385201E-2</v>
      </c>
    </row>
    <row r="15" spans="1:7" x14ac:dyDescent="0.2">
      <c r="B15" s="128" t="s">
        <v>4</v>
      </c>
      <c r="C15" s="128"/>
      <c r="D15" s="128"/>
      <c r="E15" s="128"/>
    </row>
    <row r="17" spans="1:6" x14ac:dyDescent="0.2">
      <c r="B17">
        <v>5</v>
      </c>
      <c r="D17">
        <v>15</v>
      </c>
      <c r="E17">
        <v>20</v>
      </c>
    </row>
    <row r="18" spans="1:6" x14ac:dyDescent="0.2">
      <c r="A18">
        <v>1</v>
      </c>
      <c r="B18" s="5">
        <v>0.2</v>
      </c>
      <c r="C18" s="5">
        <v>0.1</v>
      </c>
      <c r="D18" s="5">
        <v>0.05</v>
      </c>
      <c r="E18" s="5">
        <v>3.7499999999999999E-2</v>
      </c>
      <c r="F18" s="6"/>
    </row>
    <row r="19" spans="1:6" x14ac:dyDescent="0.2">
      <c r="A19">
        <v>2</v>
      </c>
      <c r="B19" s="5">
        <v>0.32</v>
      </c>
      <c r="C19" s="5">
        <v>0.18</v>
      </c>
      <c r="D19" s="5">
        <v>9.5000000000000001E-2</v>
      </c>
      <c r="E19" s="5">
        <v>7.2190000000000004E-2</v>
      </c>
      <c r="F19" s="6"/>
    </row>
    <row r="20" spans="1:6" x14ac:dyDescent="0.2">
      <c r="A20">
        <v>3</v>
      </c>
      <c r="B20" s="5">
        <v>0.192</v>
      </c>
      <c r="C20" s="5">
        <v>0.14399999999999999</v>
      </c>
      <c r="D20" s="5">
        <v>8.5500000000000007E-2</v>
      </c>
      <c r="E20" s="5">
        <v>6.6769999999999996E-2</v>
      </c>
      <c r="F20" s="6"/>
    </row>
    <row r="21" spans="1:6" x14ac:dyDescent="0.2">
      <c r="A21">
        <v>4</v>
      </c>
      <c r="B21" s="5">
        <v>0.1152</v>
      </c>
      <c r="C21" s="5">
        <v>0.1152</v>
      </c>
      <c r="D21" s="5">
        <v>7.6999999999999999E-2</v>
      </c>
      <c r="E21" s="5">
        <v>6.1769999999999999E-2</v>
      </c>
      <c r="F21" s="6"/>
    </row>
    <row r="22" spans="1:6" x14ac:dyDescent="0.2">
      <c r="A22">
        <v>5</v>
      </c>
      <c r="B22" s="5">
        <v>0.1152</v>
      </c>
      <c r="C22" s="5">
        <v>9.2200000000000004E-2</v>
      </c>
      <c r="D22" s="5">
        <v>6.93E-2</v>
      </c>
      <c r="E22" s="5">
        <v>5.713E-2</v>
      </c>
      <c r="F22" s="6"/>
    </row>
    <row r="23" spans="1:6" x14ac:dyDescent="0.2">
      <c r="A23">
        <v>6</v>
      </c>
      <c r="B23" s="5">
        <v>0</v>
      </c>
      <c r="C23" s="5">
        <v>7.3700000000000002E-2</v>
      </c>
      <c r="D23" s="5">
        <v>6.2300000000000001E-2</v>
      </c>
      <c r="E23" s="5">
        <v>5.2850000000000001E-2</v>
      </c>
      <c r="F23" s="6"/>
    </row>
    <row r="24" spans="1:6" x14ac:dyDescent="0.2">
      <c r="A24">
        <v>7</v>
      </c>
      <c r="B24" s="5">
        <v>0</v>
      </c>
      <c r="C24" s="5">
        <v>6.5500000000000003E-2</v>
      </c>
      <c r="D24" s="5">
        <v>5.8999999999999997E-2</v>
      </c>
      <c r="E24" s="5">
        <v>4.888E-2</v>
      </c>
      <c r="F24" s="6"/>
    </row>
    <row r="25" spans="1:6" x14ac:dyDescent="0.2">
      <c r="A25">
        <v>8</v>
      </c>
      <c r="B25" s="5">
        <v>0</v>
      </c>
      <c r="C25" s="5">
        <v>6.5500000000000003E-2</v>
      </c>
      <c r="D25" s="5">
        <v>5.8999999999999997E-2</v>
      </c>
      <c r="E25" s="5">
        <v>4.5220000000000003E-2</v>
      </c>
      <c r="F25" s="6"/>
    </row>
    <row r="26" spans="1:6" x14ac:dyDescent="0.2">
      <c r="A26">
        <v>9</v>
      </c>
      <c r="B26" s="5">
        <v>0</v>
      </c>
      <c r="C26" s="5">
        <v>6.5600000000000006E-2</v>
      </c>
      <c r="D26" s="5">
        <v>5.91E-2</v>
      </c>
      <c r="E26" s="5">
        <v>4.462E-2</v>
      </c>
      <c r="F26" s="6"/>
    </row>
    <row r="27" spans="1:6" x14ac:dyDescent="0.2">
      <c r="A27">
        <v>10</v>
      </c>
      <c r="B27" s="5">
        <v>0</v>
      </c>
      <c r="C27" s="5">
        <v>6.5500000000000003E-2</v>
      </c>
      <c r="D27" s="5">
        <v>5.8999999999999997E-2</v>
      </c>
      <c r="E27" s="5">
        <v>4.4609999999999997E-2</v>
      </c>
      <c r="F27" s="6"/>
    </row>
    <row r="28" spans="1:6" x14ac:dyDescent="0.2">
      <c r="A28">
        <v>11</v>
      </c>
      <c r="B28" s="5">
        <v>0</v>
      </c>
      <c r="C28" s="5">
        <v>0</v>
      </c>
      <c r="D28" s="5">
        <v>5.91E-2</v>
      </c>
      <c r="E28" s="5">
        <v>4.462E-2</v>
      </c>
      <c r="F28" s="6"/>
    </row>
    <row r="29" spans="1:6" x14ac:dyDescent="0.2">
      <c r="A29">
        <v>12</v>
      </c>
      <c r="B29" s="5">
        <v>0</v>
      </c>
      <c r="C29" s="5">
        <v>0</v>
      </c>
      <c r="D29" s="5">
        <v>5.8999999999999997E-2</v>
      </c>
      <c r="E29" s="5">
        <v>4.4609999999999997E-2</v>
      </c>
      <c r="F29" s="6"/>
    </row>
    <row r="30" spans="1:6" x14ac:dyDescent="0.2">
      <c r="A30">
        <v>13</v>
      </c>
      <c r="B30" s="5">
        <v>0</v>
      </c>
      <c r="C30" s="5">
        <v>0</v>
      </c>
      <c r="D30" s="5">
        <v>5.91E-2</v>
      </c>
      <c r="E30" s="5">
        <v>4.462E-2</v>
      </c>
      <c r="F30" s="6"/>
    </row>
    <row r="31" spans="1:6" x14ac:dyDescent="0.2">
      <c r="A31">
        <v>14</v>
      </c>
      <c r="B31" s="5">
        <v>0</v>
      </c>
      <c r="C31" s="5">
        <v>0</v>
      </c>
      <c r="D31" s="5">
        <v>5.8999999999999997E-2</v>
      </c>
      <c r="E31" s="5">
        <v>4.4609999999999997E-2</v>
      </c>
      <c r="F31" s="6"/>
    </row>
    <row r="32" spans="1:6" x14ac:dyDescent="0.2">
      <c r="A32">
        <v>15</v>
      </c>
      <c r="B32" s="5">
        <v>0</v>
      </c>
      <c r="C32" s="5">
        <v>0</v>
      </c>
      <c r="D32" s="5">
        <v>5.91E-2</v>
      </c>
      <c r="E32" s="5">
        <v>4.462E-2</v>
      </c>
      <c r="F32" s="6"/>
    </row>
    <row r="33" spans="1:6" x14ac:dyDescent="0.2">
      <c r="A33">
        <v>16</v>
      </c>
      <c r="B33" s="5">
        <v>0</v>
      </c>
      <c r="C33" s="5">
        <v>0</v>
      </c>
      <c r="D33" s="5">
        <v>2.9499999999999998E-2</v>
      </c>
      <c r="E33" s="5">
        <v>4.4609999999999997E-2</v>
      </c>
      <c r="F33" s="6"/>
    </row>
    <row r="34" spans="1:6" x14ac:dyDescent="0.2">
      <c r="A34">
        <v>17</v>
      </c>
      <c r="B34" s="5">
        <v>0</v>
      </c>
      <c r="C34" s="5">
        <v>0</v>
      </c>
      <c r="D34" s="5">
        <v>0</v>
      </c>
      <c r="E34" s="5">
        <v>4.462E-2</v>
      </c>
      <c r="F34" s="6"/>
    </row>
    <row r="35" spans="1:6" x14ac:dyDescent="0.2">
      <c r="A35">
        <v>18</v>
      </c>
      <c r="B35" s="5">
        <v>0</v>
      </c>
      <c r="C35" s="5">
        <v>0</v>
      </c>
      <c r="D35" s="5">
        <v>0</v>
      </c>
      <c r="E35" s="5">
        <v>4.4609999999999997E-2</v>
      </c>
      <c r="F35" s="6"/>
    </row>
    <row r="36" spans="1:6" x14ac:dyDescent="0.2">
      <c r="A36">
        <v>19</v>
      </c>
      <c r="B36" s="5">
        <v>0</v>
      </c>
      <c r="C36" s="5">
        <v>0</v>
      </c>
      <c r="D36" s="5">
        <v>0</v>
      </c>
      <c r="E36" s="5">
        <v>4.462E-2</v>
      </c>
      <c r="F36" s="6"/>
    </row>
    <row r="37" spans="1:6" x14ac:dyDescent="0.2">
      <c r="A37">
        <v>20</v>
      </c>
      <c r="B37" s="5">
        <v>0</v>
      </c>
      <c r="C37" s="5">
        <v>0</v>
      </c>
      <c r="D37" s="5">
        <v>0</v>
      </c>
      <c r="E37" s="5">
        <v>4.4609999999999997E-2</v>
      </c>
      <c r="F37" s="6"/>
    </row>
    <row r="38" spans="1:6" x14ac:dyDescent="0.2">
      <c r="A38">
        <v>21</v>
      </c>
      <c r="B38" s="5">
        <v>0</v>
      </c>
      <c r="C38" s="5">
        <v>0</v>
      </c>
      <c r="D38" s="5">
        <v>0</v>
      </c>
      <c r="E38" s="5">
        <v>2.231E-2</v>
      </c>
      <c r="F38" s="6"/>
    </row>
    <row r="39" spans="1:6" x14ac:dyDescent="0.2">
      <c r="A39">
        <v>22</v>
      </c>
      <c r="B39" s="5">
        <v>0</v>
      </c>
      <c r="C39" s="5">
        <v>0</v>
      </c>
      <c r="D39" s="5">
        <v>0</v>
      </c>
      <c r="E39" s="5">
        <v>0</v>
      </c>
    </row>
    <row r="40" spans="1:6" x14ac:dyDescent="0.2">
      <c r="A40">
        <v>23</v>
      </c>
      <c r="B40" s="5">
        <v>0</v>
      </c>
      <c r="C40" s="5">
        <v>0</v>
      </c>
      <c r="D40" s="5">
        <v>0</v>
      </c>
      <c r="E40" s="5">
        <v>0</v>
      </c>
    </row>
    <row r="41" spans="1:6" x14ac:dyDescent="0.2">
      <c r="A41">
        <v>24</v>
      </c>
      <c r="B41" s="5">
        <v>0</v>
      </c>
      <c r="C41" s="5">
        <v>0</v>
      </c>
      <c r="D41" s="5">
        <v>0</v>
      </c>
      <c r="E41" s="5">
        <v>0</v>
      </c>
    </row>
    <row r="42" spans="1:6" x14ac:dyDescent="0.2">
      <c r="A42">
        <v>25</v>
      </c>
      <c r="B42" s="5">
        <v>0</v>
      </c>
      <c r="C42" s="5">
        <v>0</v>
      </c>
      <c r="D42" s="5">
        <v>0</v>
      </c>
      <c r="E42" s="5">
        <v>0</v>
      </c>
    </row>
    <row r="43" spans="1:6" x14ac:dyDescent="0.2">
      <c r="A43">
        <v>26</v>
      </c>
      <c r="B43" s="5">
        <v>0</v>
      </c>
      <c r="C43" s="5">
        <v>0</v>
      </c>
      <c r="D43" s="5">
        <v>0</v>
      </c>
      <c r="E43" s="5">
        <v>0</v>
      </c>
    </row>
    <row r="44" spans="1:6" x14ac:dyDescent="0.2">
      <c r="A44">
        <v>27</v>
      </c>
      <c r="B44" s="5">
        <v>0</v>
      </c>
      <c r="C44" s="5">
        <v>0</v>
      </c>
      <c r="D44" s="5">
        <v>0</v>
      </c>
      <c r="E44" s="5">
        <v>0</v>
      </c>
    </row>
    <row r="45" spans="1:6" x14ac:dyDescent="0.2">
      <c r="A45">
        <v>28</v>
      </c>
      <c r="B45" s="5">
        <v>0</v>
      </c>
      <c r="C45" s="5">
        <v>0</v>
      </c>
      <c r="D45" s="5">
        <v>0</v>
      </c>
      <c r="E45" s="5">
        <v>0</v>
      </c>
    </row>
    <row r="46" spans="1:6" x14ac:dyDescent="0.2">
      <c r="A46">
        <v>29</v>
      </c>
      <c r="B46" s="5">
        <v>0</v>
      </c>
      <c r="C46" s="5">
        <v>0</v>
      </c>
      <c r="D46" s="5">
        <v>0</v>
      </c>
      <c r="E46" s="5">
        <v>0</v>
      </c>
    </row>
    <row r="47" spans="1:6" x14ac:dyDescent="0.2">
      <c r="A47">
        <v>30</v>
      </c>
      <c r="B47" s="5">
        <v>0</v>
      </c>
      <c r="C47" s="5">
        <v>0</v>
      </c>
      <c r="D47" s="5">
        <v>0</v>
      </c>
      <c r="E47" s="5">
        <v>0</v>
      </c>
    </row>
    <row r="48" spans="1:6" x14ac:dyDescent="0.2">
      <c r="B48" s="5"/>
      <c r="C48" s="5"/>
      <c r="D48" s="5"/>
      <c r="E48" s="5"/>
    </row>
    <row r="49" spans="2:7" x14ac:dyDescent="0.2">
      <c r="B49" s="5"/>
      <c r="C49" s="5"/>
      <c r="D49" s="5"/>
      <c r="E49" s="5"/>
    </row>
    <row r="53" spans="2:7" x14ac:dyDescent="0.2">
      <c r="G53" s="24"/>
    </row>
    <row r="54" spans="2:7" x14ac:dyDescent="0.2">
      <c r="G54" s="24"/>
    </row>
  </sheetData>
  <dataConsolidate/>
  <mergeCells count="1">
    <mergeCell ref="B15:E15"/>
  </mergeCells>
  <pageMargins left="0.75" right="0.75" top="1" bottom="1" header="0.5" footer="0.5"/>
  <pageSetup scale="96" orientation="portrait" verticalDpi="1200" r:id="rId1"/>
  <headerFooter scaleWithDoc="0" alignWithMargins="0">
    <oddFooter>&amp;RAttachment D
Page 5 of 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C1C3F-63DB-4DA8-8BD6-60B98029BCBF}">
  <sheetPr>
    <tabColor rgb="FF00B050"/>
    <pageSetUpPr fitToPage="1"/>
  </sheetPr>
  <dimension ref="A1:J38"/>
  <sheetViews>
    <sheetView zoomScaleNormal="100" workbookViewId="0">
      <selection activeCell="B38" sqref="B38"/>
    </sheetView>
  </sheetViews>
  <sheetFormatPr defaultColWidth="8.85546875" defaultRowHeight="15" x14ac:dyDescent="0.25"/>
  <cols>
    <col min="1" max="1" width="24.140625" style="40" customWidth="1"/>
    <col min="2" max="4" width="17.5703125" style="40" customWidth="1"/>
    <col min="5" max="5" width="8.85546875" style="40"/>
    <col min="6" max="6" width="15.140625" style="40" bestFit="1" customWidth="1"/>
    <col min="7" max="7" width="16.7109375" style="40" customWidth="1"/>
    <col min="8" max="8" width="17.85546875" style="40" bestFit="1" customWidth="1"/>
    <col min="9" max="16384" width="8.85546875" style="40"/>
  </cols>
  <sheetData>
    <row r="1" spans="1:8" ht="15.75" x14ac:dyDescent="0.25">
      <c r="A1" s="129" t="s">
        <v>90</v>
      </c>
      <c r="B1" s="129"/>
      <c r="C1" s="129"/>
      <c r="D1" s="129"/>
    </row>
    <row r="2" spans="1:8" ht="15.75" x14ac:dyDescent="0.25">
      <c r="A2" s="130" t="s">
        <v>91</v>
      </c>
      <c r="B2" s="130"/>
      <c r="C2" s="130"/>
      <c r="D2" s="130"/>
    </row>
    <row r="3" spans="1:8" ht="15.75" x14ac:dyDescent="0.25">
      <c r="A3" s="41"/>
      <c r="B3" s="41"/>
      <c r="C3" s="41"/>
      <c r="D3" s="41"/>
    </row>
    <row r="4" spans="1:8" ht="15.75" x14ac:dyDescent="0.25">
      <c r="A4" s="41"/>
      <c r="B4" s="41"/>
      <c r="C4" s="41"/>
      <c r="D4" s="41"/>
    </row>
    <row r="5" spans="1:8" ht="16.5" thickBot="1" x14ac:dyDescent="0.3">
      <c r="A5" s="41"/>
      <c r="B5" s="41"/>
      <c r="C5" s="41"/>
      <c r="D5" s="41"/>
    </row>
    <row r="6" spans="1:8" ht="15.75" thickBot="1" x14ac:dyDescent="0.3">
      <c r="A6" s="131" t="s">
        <v>92</v>
      </c>
      <c r="B6" s="132"/>
      <c r="C6" s="132"/>
      <c r="D6" s="133"/>
    </row>
    <row r="7" spans="1:8" x14ac:dyDescent="0.25">
      <c r="A7" s="42"/>
      <c r="D7" s="43" t="s">
        <v>11</v>
      </c>
    </row>
    <row r="8" spans="1:8" x14ac:dyDescent="0.25">
      <c r="B8" s="42"/>
      <c r="C8" s="42"/>
      <c r="D8" s="43" t="s">
        <v>93</v>
      </c>
    </row>
    <row r="9" spans="1:8" ht="15.75" thickBot="1" x14ac:dyDescent="0.3">
      <c r="A9" s="44" t="s">
        <v>94</v>
      </c>
      <c r="B9" s="45" t="s">
        <v>9</v>
      </c>
      <c r="C9" s="45" t="s">
        <v>6</v>
      </c>
      <c r="D9" s="45" t="s">
        <v>95</v>
      </c>
    </row>
    <row r="10" spans="1:8" x14ac:dyDescent="0.25">
      <c r="A10" s="40" t="s">
        <v>101</v>
      </c>
      <c r="B10" s="46">
        <f>'KU WACOC-Tax Table'!B10</f>
        <v>1.6899999999999998E-2</v>
      </c>
      <c r="C10" s="46">
        <f>'KU WACOC-Tax Table'!C10</f>
        <v>4.5999999999999999E-3</v>
      </c>
      <c r="D10" s="52">
        <f>C10*B10</f>
        <v>7.7739999999999998E-5</v>
      </c>
      <c r="F10" s="57">
        <v>88669692.967399269</v>
      </c>
      <c r="G10" s="47">
        <f>F10*C10</f>
        <v>407880.58765003661</v>
      </c>
      <c r="H10" s="47"/>
    </row>
    <row r="11" spans="1:8" x14ac:dyDescent="0.25">
      <c r="A11" s="40" t="s">
        <v>96</v>
      </c>
      <c r="B11" s="46">
        <f>'KU WACOC-Tax Table'!B11</f>
        <v>0.45069999999999999</v>
      </c>
      <c r="C11" s="46">
        <f>'KU WACOC-Tax Table'!C11</f>
        <v>4.1399999999999999E-2</v>
      </c>
      <c r="D11" s="52">
        <f>B11*C11</f>
        <v>1.8658979999999999E-2</v>
      </c>
      <c r="F11" s="57">
        <v>2358597444.1902695</v>
      </c>
      <c r="G11" s="47">
        <f t="shared" ref="G11:G12" si="0">F11*C11</f>
        <v>97645934.189477161</v>
      </c>
      <c r="H11" s="47"/>
    </row>
    <row r="12" spans="1:8" ht="15.75" thickBot="1" x14ac:dyDescent="0.3">
      <c r="A12" s="40" t="s">
        <v>5</v>
      </c>
      <c r="B12" s="48">
        <f>'KU WACOC-Tax Table'!B12</f>
        <v>0.53239999999999998</v>
      </c>
      <c r="C12" s="48">
        <f>'KU WACOC-Tax Table'!C12</f>
        <v>9.425E-2</v>
      </c>
      <c r="D12" s="53">
        <f>B12*C12</f>
        <v>5.01787E-2</v>
      </c>
      <c r="F12" s="57">
        <v>2786020096.9871111</v>
      </c>
      <c r="G12" s="47">
        <f t="shared" si="0"/>
        <v>262582394.14103523</v>
      </c>
      <c r="H12" s="47"/>
    </row>
    <row r="13" spans="1:8" x14ac:dyDescent="0.25">
      <c r="D13" s="52">
        <f>SUM(D10:D12)</f>
        <v>6.8915420000000005E-2</v>
      </c>
      <c r="F13" s="49">
        <f>SUM(F10:F12)</f>
        <v>5233287234.1447792</v>
      </c>
      <c r="G13" s="40">
        <f>((F13)/($F$13+$F$23))*D13</f>
        <v>4.1536330229229416E-2</v>
      </c>
      <c r="H13" s="40">
        <f>((F12)/($F$12+$F$22))*B37</f>
        <v>0.14982274593902928</v>
      </c>
    </row>
    <row r="15" spans="1:8" ht="15.75" thickBot="1" x14ac:dyDescent="0.3"/>
    <row r="16" spans="1:8" ht="15.75" thickBot="1" x14ac:dyDescent="0.3">
      <c r="A16" s="131" t="s">
        <v>97</v>
      </c>
      <c r="B16" s="132"/>
      <c r="C16" s="132"/>
      <c r="D16" s="133"/>
    </row>
    <row r="17" spans="1:10" x14ac:dyDescent="0.25">
      <c r="A17" s="42"/>
      <c r="D17" s="43" t="s">
        <v>11</v>
      </c>
    </row>
    <row r="18" spans="1:10" x14ac:dyDescent="0.25">
      <c r="B18" s="42"/>
      <c r="C18" s="42"/>
      <c r="D18" s="43" t="s">
        <v>93</v>
      </c>
    </row>
    <row r="19" spans="1:10" ht="15.75" thickBot="1" x14ac:dyDescent="0.3">
      <c r="A19" s="44" t="s">
        <v>94</v>
      </c>
      <c r="B19" s="45" t="s">
        <v>9</v>
      </c>
      <c r="C19" s="45" t="s">
        <v>6</v>
      </c>
      <c r="D19" s="45" t="s">
        <v>95</v>
      </c>
    </row>
    <row r="20" spans="1:10" x14ac:dyDescent="0.25">
      <c r="A20" s="40" t="s">
        <v>101</v>
      </c>
      <c r="B20" s="46">
        <f>'LGE WACOC-Tax Table'!B10</f>
        <v>1.26E-2</v>
      </c>
      <c r="C20" s="46">
        <f>'LGE WACOC-Tax Table'!C10</f>
        <v>4.5999999999999999E-3</v>
      </c>
      <c r="D20" s="46">
        <f>B20*C20</f>
        <v>5.7960000000000001E-5</v>
      </c>
      <c r="F20" s="57">
        <v>43543326.439146273</v>
      </c>
      <c r="G20" s="49">
        <f>F20*C20</f>
        <v>200299.30162007286</v>
      </c>
      <c r="H20" s="47"/>
    </row>
    <row r="21" spans="1:10" x14ac:dyDescent="0.25">
      <c r="A21" s="40" t="s">
        <v>96</v>
      </c>
      <c r="B21" s="46">
        <f>'LGE WACOC-Tax Table'!B11</f>
        <v>0.45550000000000002</v>
      </c>
      <c r="C21" s="46">
        <f>'LGE WACOC-Tax Table'!C11</f>
        <v>0.04</v>
      </c>
      <c r="D21" s="46">
        <f>B21*C21</f>
        <v>1.822E-2</v>
      </c>
      <c r="F21" s="57">
        <v>1571185385.9068089</v>
      </c>
      <c r="G21" s="49">
        <f t="shared" ref="G21:G22" si="1">F21*C21</f>
        <v>62847415.436272353</v>
      </c>
      <c r="H21" s="47"/>
    </row>
    <row r="22" spans="1:10" ht="15.75" thickBot="1" x14ac:dyDescent="0.3">
      <c r="A22" s="40" t="s">
        <v>5</v>
      </c>
      <c r="B22" s="48">
        <f>'LGE WACOC-Tax Table'!B12</f>
        <v>0.53190000000000004</v>
      </c>
      <c r="C22" s="48">
        <f>'LGE WACOC-Tax Table'!C12</f>
        <v>9.425E-2</v>
      </c>
      <c r="D22" s="48">
        <f>B22*C22</f>
        <v>5.0131575000000005E-2</v>
      </c>
      <c r="F22" s="57">
        <v>1834845195.3424194</v>
      </c>
      <c r="G22" s="49">
        <f t="shared" si="1"/>
        <v>172934159.66102302</v>
      </c>
      <c r="H22" s="47"/>
    </row>
    <row r="23" spans="1:10" x14ac:dyDescent="0.25">
      <c r="D23" s="50">
        <f>SUM(D20:D22)</f>
        <v>6.8409535000000007E-2</v>
      </c>
      <c r="F23" s="49">
        <f>SUM(F20:F22)</f>
        <v>3449573907.6883745</v>
      </c>
      <c r="G23" s="40">
        <f>((F23)/($F$13+$F$23))*D23</f>
        <v>2.7178109049348798E-2</v>
      </c>
      <c r="H23" s="40">
        <f>((F22)/($F$12+$F$22))*B36</f>
        <v>9.8582608150091608E-2</v>
      </c>
    </row>
    <row r="24" spans="1:10" x14ac:dyDescent="0.25">
      <c r="G24" s="51"/>
    </row>
    <row r="25" spans="1:10" ht="15.75" thickBot="1" x14ac:dyDescent="0.3"/>
    <row r="26" spans="1:10" ht="15.75" thickBot="1" x14ac:dyDescent="0.3">
      <c r="A26" s="131" t="s">
        <v>98</v>
      </c>
      <c r="B26" s="132"/>
      <c r="C26" s="132"/>
      <c r="D26" s="133"/>
    </row>
    <row r="27" spans="1:10" x14ac:dyDescent="0.25">
      <c r="A27" s="42"/>
      <c r="D27" s="43" t="s">
        <v>11</v>
      </c>
    </row>
    <row r="28" spans="1:10" x14ac:dyDescent="0.25">
      <c r="B28" s="42"/>
      <c r="C28" s="42"/>
      <c r="D28" s="43" t="s">
        <v>93</v>
      </c>
    </row>
    <row r="29" spans="1:10" ht="15.75" thickBot="1" x14ac:dyDescent="0.3">
      <c r="A29" s="44" t="s">
        <v>94</v>
      </c>
      <c r="B29" s="45" t="s">
        <v>9</v>
      </c>
      <c r="C29" s="45" t="s">
        <v>6</v>
      </c>
      <c r="D29" s="45" t="s">
        <v>95</v>
      </c>
    </row>
    <row r="30" spans="1:10" x14ac:dyDescent="0.25">
      <c r="A30" s="40" t="s">
        <v>101</v>
      </c>
      <c r="B30" s="52">
        <f>F30/$F$33</f>
        <v>1.5226895518293673E-2</v>
      </c>
      <c r="C30" s="52">
        <f>H30/F30</f>
        <v>4.5999999999999999E-3</v>
      </c>
      <c r="D30" s="46">
        <f>B30*C30</f>
        <v>7.0043719384150889E-5</v>
      </c>
      <c r="F30" s="49">
        <f>F20+F10</f>
        <v>132213019.40654555</v>
      </c>
      <c r="G30" s="40">
        <f>F30/$F$33</f>
        <v>1.5226895518293673E-2</v>
      </c>
      <c r="H30" s="49">
        <f>G10+G20</f>
        <v>608179.88927010947</v>
      </c>
      <c r="I30" s="40">
        <f>H30/F30</f>
        <v>4.5999999999999999E-3</v>
      </c>
      <c r="J30" s="40">
        <f>G30*I30</f>
        <v>7.0043719384150889E-5</v>
      </c>
    </row>
    <row r="31" spans="1:10" x14ac:dyDescent="0.25">
      <c r="A31" s="40" t="s">
        <v>96</v>
      </c>
      <c r="B31" s="52">
        <f>F31/$F$33</f>
        <v>0.45259077231625627</v>
      </c>
      <c r="C31" s="52">
        <f>H31/F31</f>
        <v>4.0840259262312675E-2</v>
      </c>
      <c r="D31" s="46">
        <f>B31*C31</f>
        <v>1.8483924481126231E-2</v>
      </c>
      <c r="F31" s="49">
        <f t="shared" ref="F31:F32" si="2">F21+F11</f>
        <v>3929782830.0970783</v>
      </c>
      <c r="G31" s="40">
        <f t="shared" ref="G31:G32" si="3">F31/$F$33</f>
        <v>0.45259077231625627</v>
      </c>
      <c r="H31" s="49">
        <f t="shared" ref="H31:H32" si="4">G11+G21</f>
        <v>160493349.62574953</v>
      </c>
      <c r="I31" s="40">
        <f t="shared" ref="I31:I32" si="5">H31/F31</f>
        <v>4.0840259262312675E-2</v>
      </c>
      <c r="J31" s="40">
        <f t="shared" ref="J31:J32" si="6">G31*I31</f>
        <v>1.8483924481126231E-2</v>
      </c>
    </row>
    <row r="32" spans="1:10" ht="15.75" thickBot="1" x14ac:dyDescent="0.3">
      <c r="A32" s="40" t="s">
        <v>5</v>
      </c>
      <c r="B32" s="53">
        <f>F32/$F$33</f>
        <v>0.53218233216545008</v>
      </c>
      <c r="C32" s="53">
        <f>H32/F32</f>
        <v>9.4249999999999987E-2</v>
      </c>
      <c r="D32" s="48">
        <f>B32*C32</f>
        <v>5.0158184806593661E-2</v>
      </c>
      <c r="F32" s="49">
        <f t="shared" si="2"/>
        <v>4620865292.3295307</v>
      </c>
      <c r="G32" s="40">
        <f t="shared" si="3"/>
        <v>0.53218233216545008</v>
      </c>
      <c r="H32" s="49">
        <f t="shared" si="4"/>
        <v>435516553.80205822</v>
      </c>
      <c r="I32" s="40">
        <f t="shared" si="5"/>
        <v>9.4249999999999987E-2</v>
      </c>
      <c r="J32" s="40">
        <f t="shared" si="6"/>
        <v>5.0158184806593661E-2</v>
      </c>
    </row>
    <row r="33" spans="1:10" x14ac:dyDescent="0.25">
      <c r="B33" s="50">
        <f>SUM(B30:B32)</f>
        <v>1</v>
      </c>
      <c r="D33" s="50">
        <f>SUM(D30:D32)</f>
        <v>6.8712153007104038E-2</v>
      </c>
      <c r="F33" s="49">
        <f>SUM(F30:F32)</f>
        <v>8682861141.8331547</v>
      </c>
      <c r="G33" s="54">
        <f>SUM(G30:G32)</f>
        <v>1</v>
      </c>
      <c r="J33" s="40">
        <f>SUM(J30:J32)</f>
        <v>6.8712153007104038E-2</v>
      </c>
    </row>
    <row r="35" spans="1:10" x14ac:dyDescent="0.25">
      <c r="A35" s="40" t="s">
        <v>99</v>
      </c>
    </row>
    <row r="36" spans="1:10" x14ac:dyDescent="0.25">
      <c r="A36" s="40" t="s">
        <v>70</v>
      </c>
      <c r="B36" s="52">
        <f>'KU WACOC-Tax Table'!E10</f>
        <v>0.24826996500000001</v>
      </c>
    </row>
    <row r="37" spans="1:10" x14ac:dyDescent="0.25">
      <c r="A37" s="40" t="s">
        <v>71</v>
      </c>
      <c r="B37" s="52">
        <f>'LGE WACOC-Tax Table'!E10</f>
        <v>0.24849452</v>
      </c>
    </row>
    <row r="38" spans="1:10" x14ac:dyDescent="0.25">
      <c r="A38" s="40" t="s">
        <v>100</v>
      </c>
      <c r="B38" s="52">
        <f>SUM(H13:H23)</f>
        <v>0.2484053540891209</v>
      </c>
    </row>
  </sheetData>
  <mergeCells count="5">
    <mergeCell ref="A1:D1"/>
    <mergeCell ref="A2:D2"/>
    <mergeCell ref="A6:D6"/>
    <mergeCell ref="A16:D16"/>
    <mergeCell ref="A26:D2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 xsi:nil="true"/>
    <Year xmlns="65bfb563-8fe2-4d34-a09f-38a217d8feea">2022</Year>
    <Review_x0020_Case_x0020_Doc_x0020_Types xmlns="65bfb563-8fe2-4d34-a09f-38a217d8feea">Testimony, Orders, Motions, Notices, and Briefs</Review_x0020_Case_x0020_Doc_x0020_Types>
    <Case_x0020__x0023_ xmlns="f789fa03-9022-4931-acb2-79f11ac92edf" xsi:nil="true"/>
    <Data_x0020_Request_x0020_Party xmlns="f789fa03-9022-4931-acb2-79f11ac92edf" xsi:nil="true"/>
    <Status_x0020__x0028_Internal_x0020_Use_x0020_Only_x0029_ xmlns="2ad705b9-adad-42ba-803b-2580de5ca47a"/>
    <Company xmlns="65bfb563-8fe2-4d34-a09f-38a217d8feea">
      <Value>KU</Value>
    </Compan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CEBE2AC83CBF4DBDD768E1B572F6C5" ma:contentTypeVersion="22" ma:contentTypeDescription="Create a new document." ma:contentTypeScope="" ma:versionID="4bffbf025570108a8d028dbe3291b700">
  <xsd:schema xmlns:xsd="http://www.w3.org/2001/XMLSchema" xmlns:xs="http://www.w3.org/2001/XMLSchema" xmlns:p="http://schemas.microsoft.com/office/2006/metadata/properties" xmlns:ns2="65bfb563-8fe2-4d34-a09f-38a217d8feea" xmlns:ns3="f789fa03-9022-4931-acb2-79f11ac92edf" xmlns:ns4="2ad705b9-adad-42ba-803b-2580de5ca47a" targetNamespace="http://schemas.microsoft.com/office/2006/metadata/properties" ma:root="true" ma:fieldsID="c6fedcf7c2c0918743fe259a7913fb6d" ns2:_="" ns3:_="" ns4:_="">
    <xsd:import namespace="65bfb563-8fe2-4d34-a09f-38a217d8feea"/>
    <xsd:import namespace="f789fa03-9022-4931-acb2-79f11ac92edf"/>
    <xsd:import namespace="2ad705b9-adad-42ba-803b-2580de5ca47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Review_x0020_Case_x0020_Doc_x0020_Types"/>
                <xsd:element ref="ns2:Witness_x0020_Testimony" minOccurs="0"/>
                <xsd:element ref="ns3:Data_x0020_Request_x0020_Party" minOccurs="0"/>
                <xsd:element ref="ns3:Case_x0020__x0023_" minOccurs="0"/>
                <xsd:element ref="ns4:Status_x0020__x0028_Internal_x0020_Use_x0020_Onl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2" ma:format="Dropdown" ma:internalName="Year">
      <xsd:simpleType>
        <xsd:restriction base="dms:Choice">
          <xsd:enumeration value="2022"/>
        </xsd:restriction>
      </xsd:simpleType>
    </xsd:element>
    <xsd:element name="Review_x0020_Case_x0020_Doc_x0020_Types" ma:index="4" ma:displayName="Document Types" ma:format="Dropdown" ma:internalName="Review_x0020_Case_x0020_Doc_x0020_Types">
      <xsd:simpleType>
        <xsd:restriction base="dms:Choice">
          <xsd:enumeration value="Testimony, Orders, Motions, Notices, and Briefs"/>
          <xsd:enumeration value="First Round Data Requests"/>
          <xsd:enumeration value="Second Round Data Requests"/>
        </xsd:restriction>
      </xsd:simpleType>
    </xsd:element>
    <xsd:element name="Witness_x0020_Testimony" ma:index="5" nillable="true" ma:displayName="Witness" ma:format="Dropdown" ma:internalName="Witness_x0020_Testimony">
      <xsd:simpleType>
        <xsd:restriction base="dms:Choice">
          <xsd:enumeration value="Bevington, John"/>
          <xsd:enumeration value="Conroy, Robert"/>
          <xsd:enumeration value="Hornung, Mike"/>
          <xsd:enumeration value="Multipl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9fa03-9022-4931-acb2-79f11ac92edf" elementFormDefault="qualified">
    <xsd:import namespace="http://schemas.microsoft.com/office/2006/documentManagement/types"/>
    <xsd:import namespace="http://schemas.microsoft.com/office/infopath/2007/PartnerControls"/>
    <xsd:element name="Data_x0020_Request_x0020_Party" ma:index="6" nillable="true" ma:displayName="Data Request Party" ma:format="Dropdown" ma:internalName="Data_x0020_Request_x0020_Party">
      <xsd:simpleType>
        <xsd:restriction base="dms:Choice">
          <xsd:enumeration value="Public Service Commission"/>
          <xsd:enumeration value="Attorney General"/>
          <xsd:enumeration value="Ky. Industrial Utility Cust."/>
          <xsd:enumeration value="Assoc. of Community Ministries"/>
          <xsd:enumeration value="Lex.-Fay. Urban Co. Gov’t."/>
          <xsd:enumeration value="Comm. Act. Council for Lex.-Fay., Bourb., Harr., &amp; Nich. Cos."/>
          <xsd:enumeration value="Kroger"/>
          <xsd:enumeration value="Ky. Cable Telecomm. Assoc."/>
          <xsd:enumeration value="Sierra Club"/>
          <xsd:enumeration value="Walmart"/>
          <xsd:enumeration value="Ky. School Boards Assoc."/>
          <xsd:enumeration value="U.S. Dept. of Defense"/>
          <xsd:enumeration value="Metro. Housing Coalition"/>
        </xsd:restriction>
      </xsd:simpleType>
    </xsd:element>
    <xsd:element name="Case_x0020__x0023_" ma:index="7" nillable="true" ma:displayName="Case #" ma:internalName="Case_x0020__x002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705b9-adad-42ba-803b-2580de5ca47a" elementFormDefault="qualified">
    <xsd:import namespace="http://schemas.microsoft.com/office/2006/documentManagement/types"/>
    <xsd:import namespace="http://schemas.microsoft.com/office/infopath/2007/PartnerControls"/>
    <xsd:element name="Status_x0020__x0028_Internal_x0020_Use_x0020_Only_x0029_" ma:index="8" nillable="true" ma:displayName="Status (Internal Use Only)" ma:internalName="Status_x0020__x0028_Internal_x0020_Use_x0020_Only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CEF516-6CC1-410F-94B6-BF183918FDEC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a97646d-5e46-4532-99d2-95b688ae3204"/>
    <ds:schemaRef ds:uri="2b9e1b56-1bc3-4bb6-83f9-6df8fea7da23"/>
    <ds:schemaRef ds:uri="7e1690bc-552b-4878-9693-ea0d85c5988a"/>
    <ds:schemaRef ds:uri="65bfb563-8fe2-4d34-a09f-38a217d8feea"/>
    <ds:schemaRef ds:uri="f789fa03-9022-4931-acb2-79f11ac92edf"/>
    <ds:schemaRef ds:uri="2ad705b9-adad-42ba-803b-2580de5ca47a"/>
  </ds:schemaRefs>
</ds:datastoreItem>
</file>

<file path=customXml/itemProps2.xml><?xml version="1.0" encoding="utf-8"?>
<ds:datastoreItem xmlns:ds="http://schemas.openxmlformats.org/officeDocument/2006/customXml" ds:itemID="{E6A90EAD-B769-413A-98C0-42ADE0CEA4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9573F5-4993-42EA-B998-1A4F7460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bfb563-8fe2-4d34-a09f-38a217d8feea"/>
    <ds:schemaRef ds:uri="f789fa03-9022-4931-acb2-79f11ac92edf"/>
    <ds:schemaRef ds:uri="2ad705b9-adad-42ba-803b-2580de5ca4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Summary</vt:lpstr>
      <vt:lpstr>Prod Economic Carrying Charge</vt:lpstr>
      <vt:lpstr>Prod PVRR</vt:lpstr>
      <vt:lpstr>Combined WACOC-Tax Table</vt:lpstr>
      <vt:lpstr>LGE WACOC-Tax Table</vt:lpstr>
      <vt:lpstr>KU WACOC-Tax Table</vt:lpstr>
      <vt:lpstr>WACOC</vt:lpstr>
      <vt:lpstr>'KU WACOC-Tax Table'!Print_Area</vt:lpstr>
      <vt:lpstr>'LGE WACOC-Tax Table'!Print_Area</vt:lpstr>
      <vt:lpstr>'Prod Economic Carrying Charge'!Print_Area</vt:lpstr>
      <vt:lpstr>'Prod PVRR'!Print_Area</vt:lpstr>
      <vt:lpstr>Summary!Print_Area</vt:lpstr>
      <vt:lpstr>WACOC!Print_Area</vt:lpstr>
      <vt:lpstr>'Prod PVRR'!Print_Titles</vt:lpstr>
    </vt:vector>
  </TitlesOfParts>
  <Company>The Prime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Steve Seelye</dc:creator>
  <cp:lastModifiedBy>SKO</cp:lastModifiedBy>
  <cp:lastPrinted>2022-08-12T18:49:49Z</cp:lastPrinted>
  <dcterms:created xsi:type="dcterms:W3CDTF">2008-07-02T22:21:05Z</dcterms:created>
  <dcterms:modified xsi:type="dcterms:W3CDTF">2023-02-15T21:16:07Z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0x010100E5CEBE2AC83CBF4DBDD768E1B572F6C5</vt:lpwstr>
  </property>
  <property fmtid="{D5CDD505-2E9C-101B-9397-08002B2CF9AE}" pid="3" name="MediaServiceImageTags">
    <vt:lpwstr/>
  </property>
  <property fmtid="{D5CDD505-2E9C-101B-9397-08002B2CF9AE}" pid="4" name="eDOCS AutoSave">
    <vt:lpwstr>20230215091051483</vt:lpwstr>
  </property>
</Properties>
</file>