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uncan.crosby\Desktop\"/>
    </mc:Choice>
  </mc:AlternateContent>
  <xr:revisionPtr revIDLastSave="0" documentId="8_{D9932FBA-011C-485F-AEF0-07DF46E5E24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" sheetId="18" r:id="rId1"/>
    <sheet name="Prod Economic Carrying Charge" sheetId="8" r:id="rId2"/>
    <sheet name="Prod PVRR" sheetId="7" r:id="rId3"/>
    <sheet name="Combined WACOC-Tax Table" sheetId="20" r:id="rId4"/>
    <sheet name="LGE WACOC-Tax Table" sheetId="6" r:id="rId5"/>
    <sheet name="KU WACOC-Tax Table" sheetId="19" r:id="rId6"/>
    <sheet name="WACOC" sheetId="22" r:id="rId7"/>
  </sheets>
  <definedNames>
    <definedName name="_xlnm.Print_Area" localSheetId="5">'KU WACOC-Tax Table'!$A$1:$G$53</definedName>
    <definedName name="_xlnm.Print_Area" localSheetId="4">'LGE WACOC-Tax Table'!$A$1:$G$53</definedName>
    <definedName name="_xlnm.Print_Area" localSheetId="1">'Prod Economic Carrying Charge'!$A$1:$F$48</definedName>
    <definedName name="_xlnm.Print_Area" localSheetId="2">'Prod PVRR'!$A$1:$X$70</definedName>
    <definedName name="_xlnm.Print_Area" localSheetId="0">Summary!$A$1:$I$49</definedName>
    <definedName name="_xlnm.Print_Area" localSheetId="6">WACOC!$A$1:$D$39</definedName>
    <definedName name="_xlnm.Print_Titles" localSheetId="2">'Prod PVRR'!$A:$A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7" l="1"/>
  <c r="K29" i="7"/>
  <c r="J30" i="7"/>
  <c r="K30" i="7"/>
  <c r="J31" i="7"/>
  <c r="K31" i="7"/>
  <c r="J32" i="7"/>
  <c r="K32" i="7"/>
  <c r="J33" i="7"/>
  <c r="K33" i="7"/>
  <c r="J34" i="7"/>
  <c r="K34" i="7"/>
  <c r="J35" i="7"/>
  <c r="K35" i="7"/>
  <c r="J36" i="7"/>
  <c r="K36" i="7"/>
  <c r="J37" i="7"/>
  <c r="K37" i="7"/>
  <c r="J38" i="7"/>
  <c r="K38" i="7"/>
  <c r="J39" i="7"/>
  <c r="K39" i="7"/>
  <c r="J40" i="7"/>
  <c r="K40" i="7"/>
  <c r="J41" i="7"/>
  <c r="K41" i="7"/>
  <c r="J42" i="7"/>
  <c r="K42" i="7"/>
  <c r="J43" i="7"/>
  <c r="K43" i="7"/>
  <c r="J44" i="7"/>
  <c r="K44" i="7"/>
  <c r="J45" i="7"/>
  <c r="K45" i="7"/>
  <c r="J46" i="7"/>
  <c r="K46" i="7"/>
  <c r="J47" i="7"/>
  <c r="K47" i="7"/>
  <c r="J48" i="7"/>
  <c r="K48" i="7"/>
  <c r="J49" i="7"/>
  <c r="K49" i="7"/>
  <c r="J50" i="7"/>
  <c r="K50" i="7"/>
  <c r="J51" i="7"/>
  <c r="K51" i="7"/>
  <c r="J52" i="7"/>
  <c r="K52" i="7"/>
  <c r="J53" i="7"/>
  <c r="K53" i="7"/>
  <c r="J54" i="7"/>
  <c r="K54" i="7"/>
  <c r="J55" i="7"/>
  <c r="K55" i="7"/>
  <c r="J56" i="7"/>
  <c r="K56" i="7"/>
  <c r="J57" i="7"/>
  <c r="K57" i="7"/>
  <c r="J58" i="7"/>
  <c r="K58" i="7"/>
  <c r="J59" i="7"/>
  <c r="K59" i="7"/>
  <c r="J60" i="7"/>
  <c r="K60" i="7"/>
  <c r="J61" i="7"/>
  <c r="K61" i="7"/>
  <c r="J62" i="7"/>
  <c r="K62" i="7"/>
  <c r="J63" i="7"/>
  <c r="K63" i="7"/>
  <c r="J64" i="7"/>
  <c r="K64" i="7"/>
  <c r="J65" i="7"/>
  <c r="K65" i="7"/>
  <c r="J66" i="7"/>
  <c r="K66" i="7"/>
  <c r="J67" i="7"/>
  <c r="K67" i="7"/>
  <c r="J68" i="7"/>
  <c r="K68" i="7"/>
  <c r="O30" i="7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N30" i="7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N47" i="7" s="1"/>
  <c r="N48" i="7" s="1"/>
  <c r="N49" i="7" s="1"/>
  <c r="N50" i="7" s="1"/>
  <c r="N51" i="7" s="1"/>
  <c r="N52" i="7" s="1"/>
  <c r="N53" i="7" s="1"/>
  <c r="N54" i="7" s="1"/>
  <c r="N55" i="7" s="1"/>
  <c r="N56" i="7" s="1"/>
  <c r="N57" i="7" s="1"/>
  <c r="N58" i="7" s="1"/>
  <c r="N59" i="7" s="1"/>
  <c r="N60" i="7" s="1"/>
  <c r="N61" i="7" s="1"/>
  <c r="N62" i="7" s="1"/>
  <c r="N63" i="7" s="1"/>
  <c r="N64" i="7" s="1"/>
  <c r="N65" i="7" s="1"/>
  <c r="N66" i="7" s="1"/>
  <c r="N67" i="7" s="1"/>
  <c r="N68" i="7" s="1"/>
  <c r="D28" i="8"/>
  <c r="E12" i="7"/>
  <c r="B37" i="22" l="1"/>
  <c r="B36" i="22"/>
  <c r="C22" i="22"/>
  <c r="C21" i="22"/>
  <c r="C20" i="22"/>
  <c r="B22" i="22"/>
  <c r="B21" i="22"/>
  <c r="B20" i="22"/>
  <c r="C12" i="22"/>
  <c r="B12" i="22"/>
  <c r="C11" i="22"/>
  <c r="B11" i="22"/>
  <c r="C10" i="22"/>
  <c r="B10" i="22"/>
  <c r="E11" i="6"/>
  <c r="E11" i="19" l="1"/>
  <c r="F13" i="18" l="1"/>
  <c r="F32" i="22" l="1"/>
  <c r="F31" i="22"/>
  <c r="F30" i="22"/>
  <c r="H23" i="22"/>
  <c r="F23" i="22"/>
  <c r="D21" i="22" s="1"/>
  <c r="G22" i="22"/>
  <c r="G21" i="22"/>
  <c r="G20" i="22"/>
  <c r="H13" i="22"/>
  <c r="F13" i="22"/>
  <c r="G12" i="22"/>
  <c r="D12" i="22"/>
  <c r="G11" i="22"/>
  <c r="D11" i="22"/>
  <c r="G10" i="22"/>
  <c r="D10" i="22"/>
  <c r="B38" i="22" l="1"/>
  <c r="E10" i="20" s="1"/>
  <c r="E11" i="20" s="1"/>
  <c r="H30" i="22"/>
  <c r="C30" i="22" s="1"/>
  <c r="C10" i="20" s="1"/>
  <c r="D20" i="22"/>
  <c r="H32" i="22"/>
  <c r="C32" i="22" s="1"/>
  <c r="C12" i="20" s="1"/>
  <c r="H31" i="22"/>
  <c r="C31" i="22" s="1"/>
  <c r="C11" i="20" s="1"/>
  <c r="D22" i="22"/>
  <c r="F33" i="22"/>
  <c r="G31" i="22" s="1"/>
  <c r="D13" i="22"/>
  <c r="G13" i="22" s="1"/>
  <c r="I30" i="22" l="1"/>
  <c r="I31" i="22"/>
  <c r="J31" i="22" s="1"/>
  <c r="I32" i="22"/>
  <c r="B31" i="22"/>
  <c r="D23" i="22"/>
  <c r="G23" i="22" s="1"/>
  <c r="G30" i="22"/>
  <c r="J30" i="22" s="1"/>
  <c r="B32" i="22"/>
  <c r="B30" i="22"/>
  <c r="G32" i="22"/>
  <c r="D31" i="22" l="1"/>
  <c r="B11" i="20"/>
  <c r="D30" i="22"/>
  <c r="B10" i="20"/>
  <c r="D32" i="22"/>
  <c r="B12" i="20"/>
  <c r="J32" i="22"/>
  <c r="J33" i="22" s="1"/>
  <c r="B33" i="22"/>
  <c r="G33" i="22"/>
  <c r="D33" i="22" l="1"/>
  <c r="E11" i="7"/>
  <c r="D11" i="20" l="1"/>
  <c r="F11" i="20" s="1"/>
  <c r="D10" i="20"/>
  <c r="F10" i="20" s="1"/>
  <c r="D12" i="20"/>
  <c r="F12" i="20" s="1"/>
  <c r="D16" i="8" l="1"/>
  <c r="D20" i="8"/>
  <c r="D13" i="20" l="1"/>
  <c r="F13" i="20" l="1"/>
  <c r="Q68" i="7" l="1"/>
  <c r="Q64" i="7"/>
  <c r="Q60" i="7"/>
  <c r="Q56" i="7"/>
  <c r="Q52" i="7"/>
  <c r="Q48" i="7"/>
  <c r="Q44" i="7"/>
  <c r="Q40" i="7"/>
  <c r="Q36" i="7"/>
  <c r="Q32" i="7"/>
  <c r="Q28" i="7"/>
  <c r="Q67" i="7"/>
  <c r="Q63" i="7"/>
  <c r="Q59" i="7"/>
  <c r="Q55" i="7"/>
  <c r="Q51" i="7"/>
  <c r="Q47" i="7"/>
  <c r="Q43" i="7"/>
  <c r="Q39" i="7"/>
  <c r="Q35" i="7"/>
  <c r="Q31" i="7"/>
  <c r="Q61" i="7"/>
  <c r="Q53" i="7"/>
  <c r="Q45" i="7"/>
  <c r="Q37" i="7"/>
  <c r="Q29" i="7"/>
  <c r="Q49" i="7"/>
  <c r="Q33" i="7"/>
  <c r="D10" i="8"/>
  <c r="D26" i="8" s="1"/>
  <c r="Q62" i="7"/>
  <c r="Q54" i="7"/>
  <c r="Q46" i="7"/>
  <c r="Q38" i="7"/>
  <c r="Q30" i="7"/>
  <c r="Q66" i="7"/>
  <c r="Q58" i="7"/>
  <c r="Q50" i="7"/>
  <c r="Q42" i="7"/>
  <c r="Q34" i="7"/>
  <c r="Q65" i="7"/>
  <c r="Q57" i="7"/>
  <c r="Q41" i="7"/>
  <c r="D12" i="19"/>
  <c r="F12" i="19" s="1"/>
  <c r="D11" i="19"/>
  <c r="F11" i="19" s="1"/>
  <c r="D10" i="19"/>
  <c r="F10" i="19" s="1"/>
  <c r="F13" i="19" l="1"/>
  <c r="D13" i="19"/>
  <c r="W9" i="7" l="1"/>
  <c r="W10" i="7"/>
  <c r="W11" i="7"/>
  <c r="W8" i="7"/>
  <c r="S2" i="7"/>
  <c r="S3" i="7"/>
  <c r="S1" i="7"/>
  <c r="W12" i="7"/>
  <c r="D10" i="6"/>
  <c r="F10" i="6" s="1"/>
  <c r="E13" i="7"/>
  <c r="W13" i="7" s="1"/>
  <c r="I3" i="7"/>
  <c r="I2" i="7"/>
  <c r="I1" i="7"/>
  <c r="L10" i="7"/>
  <c r="L8" i="7"/>
  <c r="L11" i="7"/>
  <c r="L9" i="7"/>
  <c r="D11" i="6"/>
  <c r="F11" i="6" s="1"/>
  <c r="D12" i="6"/>
  <c r="F12" i="6" s="1"/>
  <c r="B28" i="7"/>
  <c r="L13" i="7" l="1"/>
  <c r="E33" i="7"/>
  <c r="E37" i="7"/>
  <c r="E41" i="7"/>
  <c r="E45" i="7"/>
  <c r="E49" i="7"/>
  <c r="E53" i="7"/>
  <c r="E57" i="7"/>
  <c r="E61" i="7"/>
  <c r="E65" i="7"/>
  <c r="E29" i="7"/>
  <c r="F29" i="7" s="1"/>
  <c r="E32" i="7"/>
  <c r="E36" i="7"/>
  <c r="E40" i="7"/>
  <c r="E44" i="7"/>
  <c r="E48" i="7"/>
  <c r="E52" i="7"/>
  <c r="E56" i="7"/>
  <c r="E60" i="7"/>
  <c r="E64" i="7"/>
  <c r="E68" i="7"/>
  <c r="E31" i="7"/>
  <c r="E35" i="7"/>
  <c r="E39" i="7"/>
  <c r="E43" i="7"/>
  <c r="E47" i="7"/>
  <c r="E51" i="7"/>
  <c r="E55" i="7"/>
  <c r="E59" i="7"/>
  <c r="E63" i="7"/>
  <c r="E67" i="7"/>
  <c r="E30" i="7"/>
  <c r="E34" i="7"/>
  <c r="E38" i="7"/>
  <c r="E42" i="7"/>
  <c r="E46" i="7"/>
  <c r="E50" i="7"/>
  <c r="E54" i="7"/>
  <c r="E58" i="7"/>
  <c r="E62" i="7"/>
  <c r="E66" i="7"/>
  <c r="C29" i="7"/>
  <c r="L12" i="7"/>
  <c r="F13" i="6"/>
  <c r="D13" i="6"/>
  <c r="G29" i="7" l="1"/>
  <c r="H29" i="7" s="1"/>
  <c r="F30" i="7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D29" i="7"/>
  <c r="R28" i="7"/>
  <c r="S28" i="7" s="1"/>
  <c r="I29" i="7" l="1"/>
  <c r="L29" i="7"/>
  <c r="C30" i="7"/>
  <c r="M29" i="7" l="1"/>
  <c r="D30" i="7"/>
  <c r="G30" i="7"/>
  <c r="H30" i="7" s="1"/>
  <c r="P29" i="7" l="1"/>
  <c r="L30" i="7"/>
  <c r="I30" i="7"/>
  <c r="C31" i="7"/>
  <c r="M30" i="7" l="1"/>
  <c r="G31" i="7"/>
  <c r="H31" i="7" s="1"/>
  <c r="D31" i="7"/>
  <c r="R29" i="7"/>
  <c r="S29" i="7" s="1"/>
  <c r="T29" i="7"/>
  <c r="P30" i="7" l="1"/>
  <c r="I31" i="7"/>
  <c r="L31" i="7"/>
  <c r="C32" i="7"/>
  <c r="M31" i="7" l="1"/>
  <c r="T30" i="7"/>
  <c r="R30" i="7"/>
  <c r="S30" i="7" s="1"/>
  <c r="G32" i="7"/>
  <c r="H32" i="7" s="1"/>
  <c r="D32" i="7"/>
  <c r="P31" i="7" l="1"/>
  <c r="T31" i="7" s="1"/>
  <c r="C33" i="7"/>
  <c r="L32" i="7"/>
  <c r="I32" i="7"/>
  <c r="G33" i="7" l="1"/>
  <c r="H33" i="7" s="1"/>
  <c r="D33" i="7"/>
  <c r="L33" i="7" s="1"/>
  <c r="M32" i="7"/>
  <c r="R31" i="7"/>
  <c r="S31" i="7" s="1"/>
  <c r="P32" i="7" l="1"/>
  <c r="C34" i="7"/>
  <c r="I33" i="7"/>
  <c r="M33" i="7" s="1"/>
  <c r="G34" i="7" l="1"/>
  <c r="H34" i="7" s="1"/>
  <c r="D34" i="7"/>
  <c r="C35" i="7" s="1"/>
  <c r="R32" i="7"/>
  <c r="S32" i="7" s="1"/>
  <c r="T32" i="7"/>
  <c r="G35" i="7" l="1"/>
  <c r="H35" i="7" s="1"/>
  <c r="P33" i="7"/>
  <c r="T33" i="7" s="1"/>
  <c r="I34" i="7"/>
  <c r="M34" i="7" s="1"/>
  <c r="L34" i="7"/>
  <c r="D35" i="7"/>
  <c r="I35" i="7" s="1"/>
  <c r="R33" i="7" l="1"/>
  <c r="S33" i="7" s="1"/>
  <c r="P34" i="7"/>
  <c r="L35" i="7"/>
  <c r="C36" i="7"/>
  <c r="M35" i="7"/>
  <c r="P35" i="7" l="1"/>
  <c r="T35" i="7" s="1"/>
  <c r="G36" i="7"/>
  <c r="H36" i="7" s="1"/>
  <c r="D36" i="7"/>
  <c r="L36" i="7" s="1"/>
  <c r="R34" i="7"/>
  <c r="S34" i="7" s="1"/>
  <c r="T34" i="7"/>
  <c r="I36" i="7" l="1"/>
  <c r="C37" i="7"/>
  <c r="R35" i="7"/>
  <c r="S35" i="7" s="1"/>
  <c r="G37" i="7" l="1"/>
  <c r="H37" i="7" s="1"/>
  <c r="D37" i="7"/>
  <c r="L37" i="7" s="1"/>
  <c r="M36" i="7"/>
  <c r="P36" i="7" l="1"/>
  <c r="T36" i="7" s="1"/>
  <c r="I37" i="7"/>
  <c r="C38" i="7"/>
  <c r="D38" i="7" l="1"/>
  <c r="R36" i="7"/>
  <c r="S36" i="7" s="1"/>
  <c r="G38" i="7"/>
  <c r="H38" i="7" s="1"/>
  <c r="I38" i="7" s="1"/>
  <c r="M37" i="7"/>
  <c r="L38" i="7"/>
  <c r="C39" i="7"/>
  <c r="G39" i="7" l="1"/>
  <c r="P37" i="7"/>
  <c r="H39" i="7"/>
  <c r="T37" i="7"/>
  <c r="M38" i="7"/>
  <c r="P38" i="7"/>
  <c r="D39" i="7"/>
  <c r="R37" i="7" l="1"/>
  <c r="S37" i="7" s="1"/>
  <c r="I39" i="7"/>
  <c r="C40" i="7"/>
  <c r="L39" i="7"/>
  <c r="M39" i="7" l="1"/>
  <c r="G40" i="7"/>
  <c r="H40" i="7" s="1"/>
  <c r="T38" i="7"/>
  <c r="R38" i="7"/>
  <c r="S38" i="7" s="1"/>
  <c r="D40" i="7"/>
  <c r="P39" i="7" l="1"/>
  <c r="L40" i="7"/>
  <c r="C41" i="7"/>
  <c r="I40" i="7"/>
  <c r="D41" i="7" l="1"/>
  <c r="M40" i="7"/>
  <c r="T39" i="7"/>
  <c r="R39" i="7"/>
  <c r="S39" i="7" s="1"/>
  <c r="L41" i="7"/>
  <c r="C42" i="7"/>
  <c r="G41" i="7"/>
  <c r="H41" i="7" s="1"/>
  <c r="I41" i="7" s="1"/>
  <c r="D42" i="7" l="1"/>
  <c r="P40" i="7"/>
  <c r="M41" i="7"/>
  <c r="P41" i="7"/>
  <c r="R40" i="7"/>
  <c r="S40" i="7" s="1"/>
  <c r="L42" i="7"/>
  <c r="C43" i="7"/>
  <c r="G42" i="7"/>
  <c r="H42" i="7" s="1"/>
  <c r="I42" i="7" s="1"/>
  <c r="G43" i="7" l="1"/>
  <c r="M42" i="7"/>
  <c r="T41" i="7"/>
  <c r="T40" i="7"/>
  <c r="D43" i="7"/>
  <c r="L43" i="7" s="1"/>
  <c r="H43" i="7"/>
  <c r="P42" i="7" l="1"/>
  <c r="R42" i="7" s="1"/>
  <c r="C44" i="7"/>
  <c r="R41" i="7"/>
  <c r="S41" i="7" s="1"/>
  <c r="I43" i="7"/>
  <c r="D44" i="7" l="1"/>
  <c r="L44" i="7"/>
  <c r="C45" i="7"/>
  <c r="G44" i="7"/>
  <c r="H44" i="7" s="1"/>
  <c r="I44" i="7" s="1"/>
  <c r="M44" i="7" s="1"/>
  <c r="M43" i="7"/>
  <c r="S42" i="7"/>
  <c r="T42" i="7"/>
  <c r="P43" i="7" l="1"/>
  <c r="T43" i="7" s="1"/>
  <c r="D45" i="7"/>
  <c r="P44" i="7"/>
  <c r="G45" i="7"/>
  <c r="H45" i="7" s="1"/>
  <c r="I45" i="7" s="1"/>
  <c r="C46" i="7"/>
  <c r="L45" i="7"/>
  <c r="G46" i="7" l="1"/>
  <c r="D46" i="7"/>
  <c r="L46" i="7" s="1"/>
  <c r="H46" i="7"/>
  <c r="R43" i="7"/>
  <c r="S43" i="7" s="1"/>
  <c r="M45" i="7"/>
  <c r="R44" i="7"/>
  <c r="T44" i="7"/>
  <c r="P45" i="7" l="1"/>
  <c r="I46" i="7"/>
  <c r="M46" i="7" s="1"/>
  <c r="C47" i="7"/>
  <c r="S44" i="7"/>
  <c r="D47" i="7" l="1"/>
  <c r="L47" i="7" s="1"/>
  <c r="G47" i="7"/>
  <c r="H47" i="7" s="1"/>
  <c r="R45" i="7"/>
  <c r="S45" i="7" s="1"/>
  <c r="T45" i="7"/>
  <c r="C48" i="7" l="1"/>
  <c r="I47" i="7"/>
  <c r="D48" i="7"/>
  <c r="C49" i="7" s="1"/>
  <c r="P46" i="7"/>
  <c r="R46" i="7" s="1"/>
  <c r="S46" i="7" s="1"/>
  <c r="T46" i="7"/>
  <c r="M47" i="7"/>
  <c r="L48" i="7"/>
  <c r="G48" i="7"/>
  <c r="H48" i="7" s="1"/>
  <c r="I48" i="7" l="1"/>
  <c r="P47" i="7"/>
  <c r="M48" i="7"/>
  <c r="G49" i="7"/>
  <c r="H49" i="7" s="1"/>
  <c r="D49" i="7"/>
  <c r="P48" i="7" l="1"/>
  <c r="R47" i="7"/>
  <c r="S47" i="7" s="1"/>
  <c r="T47" i="7"/>
  <c r="I49" i="7"/>
  <c r="L49" i="7"/>
  <c r="C50" i="7"/>
  <c r="G50" i="7" l="1"/>
  <c r="H50" i="7" s="1"/>
  <c r="M49" i="7"/>
  <c r="R48" i="7"/>
  <c r="S48" i="7" s="1"/>
  <c r="T48" i="7"/>
  <c r="D50" i="7"/>
  <c r="P49" i="7" l="1"/>
  <c r="T49" i="7" s="1"/>
  <c r="I50" i="7"/>
  <c r="L50" i="7"/>
  <c r="C51" i="7"/>
  <c r="M50" i="7" l="1"/>
  <c r="R49" i="7"/>
  <c r="S49" i="7" s="1"/>
  <c r="G51" i="7"/>
  <c r="H51" i="7" s="1"/>
  <c r="D51" i="7"/>
  <c r="P50" i="7" l="1"/>
  <c r="R50" i="7" s="1"/>
  <c r="S50" i="7" s="1"/>
  <c r="I51" i="7"/>
  <c r="C52" i="7"/>
  <c r="L51" i="7"/>
  <c r="M51" i="7" l="1"/>
  <c r="T50" i="7"/>
  <c r="G52" i="7"/>
  <c r="H52" i="7" s="1"/>
  <c r="D52" i="7"/>
  <c r="P51" i="7" l="1"/>
  <c r="R51" i="7" s="1"/>
  <c r="S51" i="7" s="1"/>
  <c r="I52" i="7"/>
  <c r="C53" i="7"/>
  <c r="L52" i="7"/>
  <c r="T51" i="7" l="1"/>
  <c r="M52" i="7"/>
  <c r="D53" i="7"/>
  <c r="G53" i="7"/>
  <c r="H53" i="7" s="1"/>
  <c r="P52" i="7" l="1"/>
  <c r="C54" i="7"/>
  <c r="L53" i="7"/>
  <c r="I53" i="7"/>
  <c r="G54" i="7" l="1"/>
  <c r="H54" i="7" s="1"/>
  <c r="M53" i="7"/>
  <c r="P53" i="7"/>
  <c r="R52" i="7"/>
  <c r="S52" i="7" s="1"/>
  <c r="T52" i="7"/>
  <c r="D54" i="7"/>
  <c r="R53" i="7" l="1"/>
  <c r="S53" i="7" s="1"/>
  <c r="L54" i="7"/>
  <c r="C55" i="7"/>
  <c r="I54" i="7"/>
  <c r="D55" i="7" l="1"/>
  <c r="M54" i="7"/>
  <c r="P54" i="7"/>
  <c r="T53" i="7"/>
  <c r="C56" i="7"/>
  <c r="L55" i="7"/>
  <c r="G55" i="7"/>
  <c r="H55" i="7" s="1"/>
  <c r="I55" i="7" s="1"/>
  <c r="M55" i="7" l="1"/>
  <c r="G56" i="7"/>
  <c r="H56" i="7" s="1"/>
  <c r="D56" i="7"/>
  <c r="P55" i="7" l="1"/>
  <c r="C57" i="7"/>
  <c r="I56" i="7"/>
  <c r="L56" i="7"/>
  <c r="T54" i="7"/>
  <c r="R54" i="7"/>
  <c r="S54" i="7" s="1"/>
  <c r="G57" i="7" l="1"/>
  <c r="H57" i="7" s="1"/>
  <c r="M56" i="7"/>
  <c r="T55" i="7"/>
  <c r="R55" i="7"/>
  <c r="S55" i="7" s="1"/>
  <c r="D57" i="7"/>
  <c r="P56" i="7" l="1"/>
  <c r="L57" i="7"/>
  <c r="C58" i="7"/>
  <c r="I57" i="7"/>
  <c r="M57" i="7" l="1"/>
  <c r="P57" i="7"/>
  <c r="G58" i="7"/>
  <c r="H58" i="7" s="1"/>
  <c r="R56" i="7"/>
  <c r="S56" i="7" s="1"/>
  <c r="T56" i="7"/>
  <c r="D58" i="7"/>
  <c r="C59" i="7" l="1"/>
  <c r="L58" i="7"/>
  <c r="I58" i="7"/>
  <c r="D59" i="7" l="1"/>
  <c r="M58" i="7"/>
  <c r="I59" i="7"/>
  <c r="L59" i="7"/>
  <c r="C60" i="7"/>
  <c r="T57" i="7"/>
  <c r="R57" i="7"/>
  <c r="S57" i="7" s="1"/>
  <c r="G59" i="7"/>
  <c r="H59" i="7" s="1"/>
  <c r="P58" i="7" l="1"/>
  <c r="R58" i="7" s="1"/>
  <c r="S58" i="7" s="1"/>
  <c r="M59" i="7"/>
  <c r="G60" i="7"/>
  <c r="H60" i="7" s="1"/>
  <c r="D60" i="7"/>
  <c r="P59" i="7" l="1"/>
  <c r="T58" i="7"/>
  <c r="C61" i="7"/>
  <c r="I60" i="7"/>
  <c r="L60" i="7"/>
  <c r="D61" i="7" l="1"/>
  <c r="M60" i="7"/>
  <c r="P60" i="7"/>
  <c r="R59" i="7"/>
  <c r="S59" i="7" s="1"/>
  <c r="T59" i="7"/>
  <c r="G61" i="7"/>
  <c r="H61" i="7" s="1"/>
  <c r="C62" i="7"/>
  <c r="L61" i="7"/>
  <c r="I61" i="7"/>
  <c r="M61" i="7" l="1"/>
  <c r="P61" i="7"/>
  <c r="R60" i="7"/>
  <c r="S60" i="7" s="1"/>
  <c r="G62" i="7"/>
  <c r="H62" i="7" s="1"/>
  <c r="D62" i="7"/>
  <c r="T60" i="7" l="1"/>
  <c r="C63" i="7"/>
  <c r="I62" i="7"/>
  <c r="L62" i="7"/>
  <c r="G63" i="7" l="1"/>
  <c r="H63" i="7" s="1"/>
  <c r="D63" i="7"/>
  <c r="C64" i="7" s="1"/>
  <c r="M62" i="7"/>
  <c r="P62" i="7"/>
  <c r="T61" i="7"/>
  <c r="R61" i="7"/>
  <c r="S61" i="7" s="1"/>
  <c r="G64" i="7" l="1"/>
  <c r="H64" i="7" s="1"/>
  <c r="L63" i="7"/>
  <c r="I63" i="7"/>
  <c r="M63" i="7" s="1"/>
  <c r="D64" i="7"/>
  <c r="I64" i="7" s="1"/>
  <c r="M64" i="7" l="1"/>
  <c r="C65" i="7"/>
  <c r="L64" i="7"/>
  <c r="T62" i="7"/>
  <c r="R62" i="7"/>
  <c r="S62" i="7" s="1"/>
  <c r="G65" i="7" l="1"/>
  <c r="H65" i="7" s="1"/>
  <c r="P64" i="7"/>
  <c r="T64" i="7" s="1"/>
  <c r="P63" i="7"/>
  <c r="R63" i="7" s="1"/>
  <c r="S63" i="7" s="1"/>
  <c r="D65" i="7"/>
  <c r="L65" i="7" s="1"/>
  <c r="T63" i="7" l="1"/>
  <c r="C66" i="7"/>
  <c r="I65" i="7"/>
  <c r="R64" i="7"/>
  <c r="S64" i="7" s="1"/>
  <c r="G66" i="7" l="1"/>
  <c r="H66" i="7" s="1"/>
  <c r="M65" i="7"/>
  <c r="D66" i="7"/>
  <c r="I66" i="7" s="1"/>
  <c r="P65" i="7" l="1"/>
  <c r="R65" i="7"/>
  <c r="S65" i="7" s="1"/>
  <c r="C67" i="7"/>
  <c r="M66" i="7"/>
  <c r="L66" i="7"/>
  <c r="P66" i="7" l="1"/>
  <c r="G67" i="7"/>
  <c r="H67" i="7" s="1"/>
  <c r="T65" i="7"/>
  <c r="D67" i="7"/>
  <c r="I67" i="7" s="1"/>
  <c r="M67" i="7" s="1"/>
  <c r="C68" i="7" l="1"/>
  <c r="L67" i="7"/>
  <c r="R66" i="7"/>
  <c r="S66" i="7" s="1"/>
  <c r="T66" i="7"/>
  <c r="G68" i="7" l="1"/>
  <c r="H68" i="7" s="1"/>
  <c r="P67" i="7"/>
  <c r="R67" i="7"/>
  <c r="S67" i="7" s="1"/>
  <c r="D68" i="7"/>
  <c r="L68" i="7" s="1"/>
  <c r="T67" i="7" l="1"/>
  <c r="I68" i="7"/>
  <c r="M68" i="7" l="1"/>
  <c r="P68" i="7" l="1"/>
  <c r="T68" i="7"/>
  <c r="R68" i="7" l="1"/>
  <c r="S68" i="7" s="1"/>
  <c r="R70" i="7" l="1"/>
  <c r="E16" i="7" l="1"/>
  <c r="D22" i="8" s="1"/>
  <c r="D31" i="8" s="1"/>
  <c r="E17" i="7"/>
  <c r="W17" i="7" s="1"/>
  <c r="W16" i="7" l="1"/>
  <c r="L16" i="7"/>
  <c r="D34" i="8"/>
  <c r="D40" i="8" s="1"/>
  <c r="D11" i="18" s="1"/>
  <c r="D37" i="8"/>
  <c r="L17" i="7"/>
  <c r="L18" i="7" s="1"/>
  <c r="E18" i="7"/>
  <c r="W18" i="7" s="1"/>
  <c r="F11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W</author>
  </authors>
  <commentList>
    <comment ref="D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Companies in their 2021 Integrated Resource Plan filed in Kentucky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WACC based on Companies' 2020 Kentucky Rate Case Settlement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Based on Companies' Integrated Resource Plan for when next generating facility will need to be constructed. </t>
        </r>
      </text>
    </comment>
    <comment ref="D2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Average coincidence factor for both Companies.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W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Overnight Capital Cost cost per kW of new NGCC installed in 2028 based on 2020 NREL ATB data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<sst xmlns="http://schemas.openxmlformats.org/spreadsheetml/2006/main" count="209" uniqueCount="120">
  <si>
    <t>Cumulative</t>
  </si>
  <si>
    <t>Year</t>
  </si>
  <si>
    <t>Present</t>
  </si>
  <si>
    <t>Annual</t>
  </si>
  <si>
    <t>Tax Depreciation Table (MACRS)</t>
  </si>
  <si>
    <t>Common Equity</t>
  </si>
  <si>
    <t>Rate</t>
  </si>
  <si>
    <t>Tax Rate</t>
  </si>
  <si>
    <t>COC</t>
  </si>
  <si>
    <t>Percent</t>
  </si>
  <si>
    <t>Adjusted</t>
  </si>
  <si>
    <t>Weighted</t>
  </si>
  <si>
    <t>Capital Structure:</t>
  </si>
  <si>
    <t>Requirement</t>
  </si>
  <si>
    <t>Factor</t>
  </si>
  <si>
    <t>Taxes</t>
  </si>
  <si>
    <t>Equity</t>
  </si>
  <si>
    <t>Interest</t>
  </si>
  <si>
    <t>Rate Base</t>
  </si>
  <si>
    <t>Income Tax</t>
  </si>
  <si>
    <t>Plant</t>
  </si>
  <si>
    <t>Depreciation</t>
  </si>
  <si>
    <t>Investment</t>
  </si>
  <si>
    <t>Charge</t>
  </si>
  <si>
    <t>Revenue</t>
  </si>
  <si>
    <t>Income</t>
  </si>
  <si>
    <t xml:space="preserve">Deferred </t>
  </si>
  <si>
    <t>Residual</t>
  </si>
  <si>
    <t>Tax</t>
  </si>
  <si>
    <t>Book</t>
  </si>
  <si>
    <t>Carrying</t>
  </si>
  <si>
    <t>Value</t>
  </si>
  <si>
    <t>Accumulated</t>
  </si>
  <si>
    <t xml:space="preserve">   Levelized Carrying Charge Rate</t>
  </si>
  <si>
    <t xml:space="preserve">   Levelized Revenue Requirement</t>
  </si>
  <si>
    <t xml:space="preserve">   Present Value Revenue Requirement</t>
  </si>
  <si>
    <t>Results:</t>
  </si>
  <si>
    <t xml:space="preserve">   Levelized Revenue Requirement Years</t>
  </si>
  <si>
    <t xml:space="preserve">   Property Tax Rate</t>
  </si>
  <si>
    <t xml:space="preserve">   Composite Tax Rate</t>
  </si>
  <si>
    <t xml:space="preserve">   Tax Life</t>
  </si>
  <si>
    <t xml:space="preserve">   Book Life</t>
  </si>
  <si>
    <t xml:space="preserve">   Investment</t>
  </si>
  <si>
    <t>Assumptions:</t>
  </si>
  <si>
    <t>Present Value Revenue Requirement Analysis</t>
  </si>
  <si>
    <t>Net</t>
  </si>
  <si>
    <t>Property</t>
  </si>
  <si>
    <t>Rev</t>
  </si>
  <si>
    <t>Louisville Gas &amp; Electric and Kentucky Utilities</t>
  </si>
  <si>
    <t>PVRR</t>
  </si>
  <si>
    <t>Weighted Cost of Capital ( r )</t>
  </si>
  <si>
    <t>Inflation Rate ( g )</t>
  </si>
  <si>
    <t>Assumptions</t>
  </si>
  <si>
    <t>Values</t>
  </si>
  <si>
    <t>Economic Carrying Charge Rate (ECRR)</t>
  </si>
  <si>
    <t>Current Year</t>
  </si>
  <si>
    <t>m</t>
  </si>
  <si>
    <t>Year Scheduled to be Installed</t>
  </si>
  <si>
    <t>a</t>
  </si>
  <si>
    <t>Service Life (L)</t>
  </si>
  <si>
    <t>Net Present Value Revenue Requirement</t>
  </si>
  <si>
    <t>Weighted Cost of Capital and MACRS</t>
  </si>
  <si>
    <t>Year Installed After Load Addition</t>
  </si>
  <si>
    <t xml:space="preserve">Annual Value (CP) = </t>
  </si>
  <si>
    <t>Coincidence Factor</t>
  </si>
  <si>
    <t xml:space="preserve">Annual Value (NCP) = </t>
  </si>
  <si>
    <t xml:space="preserve">Monthly Value (CP) = </t>
  </si>
  <si>
    <t xml:space="preserve">Monthly Value (NCP) = </t>
  </si>
  <si>
    <t>Louisville Gas &amp; Electric</t>
  </si>
  <si>
    <t>Kentucky Utilities</t>
  </si>
  <si>
    <t>LG&amp;E</t>
  </si>
  <si>
    <t>KU</t>
  </si>
  <si>
    <t>LG&amp;E/KU Marginal Cost of Service per kW of added NCP Demand</t>
  </si>
  <si>
    <t>Production Demand (per kW of added NCP Demand)</t>
  </si>
  <si>
    <t>Transmission (per kW of added NCP Demand)</t>
  </si>
  <si>
    <t>Production Energy (per kWh of added Energy)</t>
  </si>
  <si>
    <t>Kentucky Utilities Company and Louisville Gas and Electric Company</t>
  </si>
  <si>
    <t>Summary of Marginal Cost of Service</t>
  </si>
  <si>
    <t>Louisville Gas and Electric and Kentucky Utilities</t>
  </si>
  <si>
    <t>Notes:</t>
  </si>
  <si>
    <t>The marginal Production Demand costs are the changes in capacity costs associated with serving changes in the demand</t>
  </si>
  <si>
    <t>Marginal cost is broadly defined as the change in total cost with respect to a small change in output.</t>
  </si>
  <si>
    <t>The marginal Production Demand cost is the monthly value of the Economic Carrying Charge Rate (ECCR) applied to the</t>
  </si>
  <si>
    <t xml:space="preserve">Because the LG&amp;E and KU generating units are jointly operated and dispatched to meet the combined demands of the joint </t>
  </si>
  <si>
    <t>systems, a single value is provided for the marginal production demand cost on a joint Company basis. For evaluating an</t>
  </si>
  <si>
    <t>economic development offer, it would be necessary to adjust the NCP marginal value to reflect the applicable loss-factor for a</t>
  </si>
  <si>
    <t xml:space="preserve">prospective customer which could take service at a transmission, primary or secondary voltage. </t>
  </si>
  <si>
    <t>Short Term Debt</t>
  </si>
  <si>
    <t>Long Term Debt</t>
  </si>
  <si>
    <t>("output") on the electric system. Based on the Companies' most recent Integrated Resource Plan filed at the Kentucky Public Service</t>
  </si>
  <si>
    <t>Kentucky Utilities Company and Louisvillle Gas &amp; Electric Company</t>
  </si>
  <si>
    <t>Weighted Cost of Capital</t>
  </si>
  <si>
    <t>Kentucky Utilities Company</t>
  </si>
  <si>
    <t>Cost of</t>
  </si>
  <si>
    <t>Component of Capital</t>
  </si>
  <si>
    <t>Capital</t>
  </si>
  <si>
    <t>Long-Term Debt</t>
  </si>
  <si>
    <t>Louisville Gas &amp; Electric Company</t>
  </si>
  <si>
    <t>Total Company Average</t>
  </si>
  <si>
    <t>Income Tax Rates</t>
  </si>
  <si>
    <t>Weighted Total</t>
  </si>
  <si>
    <t>Short-Term Debt</t>
  </si>
  <si>
    <t>New CCGT Addition</t>
  </si>
  <si>
    <t>Commission in 2021, the Companies' are not projecting needing additional capacity until 2028 with the retirement of Mill Creek 2.</t>
  </si>
  <si>
    <t>The Companies are not projecting to need additional capacity prior to 2028 based on their load forecasts. Therefore, the analysis</t>
  </si>
  <si>
    <t>shows the cost of moving that nearest forecasted need of 2028, up one year to 2027  due to a change of load on the system.</t>
  </si>
  <si>
    <t xml:space="preserve">present value revenue requirement (PVRR) of a new Combined Cycle Plant built in 2028 based on the NREL ATB worksheet </t>
  </si>
  <si>
    <t>which estimates the installed cost of new generation technologies. The computation of the PVRR for a new combined cycle</t>
  </si>
  <si>
    <r>
      <t xml:space="preserve">Combustion Turbine is shown on the tab labeled </t>
    </r>
    <r>
      <rPr>
        <b/>
        <sz val="10"/>
        <rFont val="Arial"/>
        <family val="2"/>
      </rPr>
      <t xml:space="preserve">"Prod PVRR" </t>
    </r>
    <r>
      <rPr>
        <sz val="10"/>
        <rFont val="Arial"/>
        <family val="2"/>
      </rPr>
      <t>which is then used as an input into the ECCR for Production</t>
    </r>
  </si>
  <si>
    <r>
      <rPr>
        <sz val="10"/>
        <rFont val="Arial"/>
        <family val="2"/>
      </rPr>
      <t xml:space="preserve">Demand shown on tab labeled </t>
    </r>
    <r>
      <rPr>
        <b/>
        <sz val="10"/>
        <rFont val="Arial"/>
        <family val="2"/>
      </rPr>
      <t>"Prod Economic Carrying Charge".</t>
    </r>
    <r>
      <rPr>
        <sz val="10"/>
        <rFont val="Arial"/>
        <family val="2"/>
      </rPr>
      <t xml:space="preserve"> The tab which calculates the ECCR takes the PVRR</t>
    </r>
  </si>
  <si>
    <t xml:space="preserve">and calculates a Coincident Peak (CP) rate per additional kW based on accelerating the construction of the next needed </t>
  </si>
  <si>
    <t>generating plant from 2028 to 2027. This CP rate is then multipled by an average coincidence factor for both Companies'</t>
  </si>
  <si>
    <t>Industrial customer classes based on their 2020 retail rate case filings to determine what the cost per kW is on a Non-Coincident</t>
  </si>
  <si>
    <t xml:space="preserve">Peak (NCP) basis. The rationale behind thisis that the Economic Development Rate determined by the Company will be charged </t>
  </si>
  <si>
    <t>on an NCP basis for demand.</t>
  </si>
  <si>
    <t>Economic Carrying Charge of CCGT Addition</t>
  </si>
  <si>
    <t>Fixed</t>
  </si>
  <si>
    <t>O&amp;M</t>
  </si>
  <si>
    <t>Firm Gas</t>
  </si>
  <si>
    <t>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</si>
</sst>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0.000%"/>
    <numFmt numFmtId="168" formatCode="&quot;$&quot;#,##0\ ;\(&quot;$&quot;#,##0\)"/>
    <numFmt numFmtId="169" formatCode="_([$€-2]* #,##0.00_);_([$€-2]* \(#,##0.00\);_([$€-2]* &quot;-&quot;??_)"/>
    <numFmt numFmtId="170" formatCode="_(* #,##0.000000_);_(* \(#,##0.000000\);_(* &quot;-&quot;??_);_(@_)"/>
    <numFmt numFmtId="171" formatCode="0.0000%"/>
    <numFmt numFmtId="172" formatCode="0.00000"/>
    <numFmt numFmtId="173" formatCode="_(&quot;$&quot;* #,##0.00000_);_(&quot;$&quot;* \(#,##0.00000\);_(&quot;$&quot;* &quot;-&quot;??_);_(@_)"/>
    <numFmt numFmtId="174" formatCode="_(&quot;$&quot;* #,##0.0000_);_(&quot;$&quot;* \(#,##0.0000\);_(&quot;$&quot;* &quot;-&quot;??_);_(@_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8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0" fontId="7" fillId="3" borderId="0">
      <alignment horizontal="left"/>
    </xf>
    <xf numFmtId="0" fontId="8" fillId="3" borderId="0">
      <alignment horizontal="right"/>
    </xf>
    <xf numFmtId="0" fontId="9" fillId="4" borderId="0">
      <alignment horizontal="center"/>
    </xf>
    <xf numFmtId="0" fontId="8" fillId="3" borderId="0">
      <alignment horizontal="right"/>
    </xf>
    <xf numFmtId="0" fontId="10" fillId="4" borderId="0">
      <alignment horizontal="left"/>
    </xf>
    <xf numFmtId="43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4" fillId="5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5" fillId="0" borderId="0" applyProtection="0"/>
    <xf numFmtId="0" fontId="11" fillId="0" borderId="0" applyProtection="0"/>
    <xf numFmtId="0" fontId="6" fillId="0" borderId="0" applyProtection="0"/>
    <xf numFmtId="0" fontId="12" fillId="0" borderId="0" applyProtection="0"/>
    <xf numFmtId="0" fontId="4" fillId="0" borderId="0" applyProtection="0"/>
    <xf numFmtId="0" fontId="5" fillId="0" borderId="0" applyProtection="0"/>
    <xf numFmtId="0" fontId="13" fillId="0" borderId="0" applyProtection="0"/>
    <xf numFmtId="2" fontId="4" fillId="0" borderId="0" applyFont="0" applyFill="0" applyBorder="0" applyAlignment="0" applyProtection="0"/>
    <xf numFmtId="0" fontId="7" fillId="3" borderId="0">
      <alignment horizontal="left"/>
    </xf>
    <xf numFmtId="0" fontId="14" fillId="4" borderId="0">
      <alignment horizontal="left"/>
    </xf>
    <xf numFmtId="0" fontId="4" fillId="0" borderId="0"/>
    <xf numFmtId="4" fontId="15" fillId="7" borderId="0">
      <alignment horizontal="right"/>
    </xf>
    <xf numFmtId="0" fontId="16" fillId="7" borderId="0">
      <alignment horizontal="center" vertical="center"/>
    </xf>
    <xf numFmtId="0" fontId="14" fillId="7" borderId="1"/>
    <xf numFmtId="0" fontId="16" fillId="7" borderId="0" applyBorder="0">
      <alignment horizontal="centerContinuous"/>
    </xf>
    <xf numFmtId="0" fontId="17" fillId="7" borderId="0" applyBorder="0">
      <alignment horizontal="centerContinuous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6" borderId="0">
      <alignment horizontal="center"/>
    </xf>
    <xf numFmtId="49" fontId="18" fillId="4" borderId="0">
      <alignment horizontal="center"/>
    </xf>
    <xf numFmtId="0" fontId="8" fillId="3" borderId="0">
      <alignment horizontal="center"/>
    </xf>
    <xf numFmtId="0" fontId="8" fillId="3" borderId="0">
      <alignment horizontal="centerContinuous"/>
    </xf>
    <xf numFmtId="0" fontId="19" fillId="4" borderId="0">
      <alignment horizontal="left"/>
    </xf>
    <xf numFmtId="49" fontId="19" fillId="4" borderId="0">
      <alignment horizontal="center"/>
    </xf>
    <xf numFmtId="0" fontId="7" fillId="3" borderId="0">
      <alignment horizontal="left"/>
    </xf>
    <xf numFmtId="49" fontId="19" fillId="4" borderId="0">
      <alignment horizontal="left"/>
    </xf>
    <xf numFmtId="0" fontId="7" fillId="3" borderId="0">
      <alignment horizontal="centerContinuous"/>
    </xf>
    <xf numFmtId="0" fontId="7" fillId="3" borderId="0">
      <alignment horizontal="right"/>
    </xf>
    <xf numFmtId="49" fontId="14" fillId="4" borderId="0">
      <alignment horizontal="left"/>
    </xf>
    <xf numFmtId="0" fontId="8" fillId="3" borderId="0">
      <alignment horizontal="right"/>
    </xf>
    <xf numFmtId="0" fontId="19" fillId="2" borderId="0">
      <alignment horizontal="center"/>
    </xf>
    <xf numFmtId="0" fontId="20" fillId="2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4" borderId="0">
      <alignment horizontal="center"/>
    </xf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43" fontId="0" fillId="0" borderId="0" xfId="0" applyNumberFormat="1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167" fontId="0" fillId="0" borderId="0" xfId="37" applyNumberFormat="1" applyFont="1"/>
    <xf numFmtId="10" fontId="0" fillId="0" borderId="0" xfId="37" applyNumberFormat="1" applyFont="1"/>
    <xf numFmtId="10" fontId="0" fillId="0" borderId="2" xfId="0" applyNumberFormat="1" applyBorder="1"/>
    <xf numFmtId="10" fontId="0" fillId="0" borderId="2" xfId="37" applyNumberFormat="1" applyFont="1" applyBorder="1"/>
    <xf numFmtId="166" fontId="0" fillId="0" borderId="0" xfId="9" applyNumberFormat="1" applyFont="1"/>
    <xf numFmtId="165" fontId="0" fillId="0" borderId="0" xfId="14" applyNumberFormat="1" applyFo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165" fontId="0" fillId="0" borderId="0" xfId="0" applyNumberFormat="1"/>
    <xf numFmtId="165" fontId="0" fillId="0" borderId="0" xfId="14" applyNumberFormat="1" applyFont="1" applyAlignment="1"/>
    <xf numFmtId="6" fontId="0" fillId="0" borderId="0" xfId="0" applyNumberFormat="1"/>
    <xf numFmtId="166" fontId="0" fillId="0" borderId="0" xfId="9" applyNumberFormat="1" applyFont="1" applyAlignment="1"/>
    <xf numFmtId="44" fontId="0" fillId="0" borderId="0" xfId="14" applyFont="1"/>
    <xf numFmtId="43" fontId="0" fillId="0" borderId="0" xfId="9" applyFont="1"/>
    <xf numFmtId="0" fontId="0" fillId="0" borderId="0" xfId="0" quotePrefix="1"/>
    <xf numFmtId="171" fontId="0" fillId="0" borderId="0" xfId="37" applyNumberFormat="1" applyFont="1"/>
    <xf numFmtId="0" fontId="2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70" fontId="0" fillId="0" borderId="0" xfId="6" applyNumberFormat="1" applyFont="1"/>
    <xf numFmtId="165" fontId="0" fillId="0" borderId="0" xfId="13" applyNumberFormat="1" applyFont="1"/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2" fontId="0" fillId="0" borderId="0" xfId="0" applyNumberFormat="1"/>
    <xf numFmtId="172" fontId="0" fillId="0" borderId="0" xfId="0" applyNumberFormat="1"/>
    <xf numFmtId="44" fontId="5" fillId="0" borderId="0" xfId="13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4" fontId="5" fillId="0" borderId="0" xfId="13" applyFont="1" applyBorder="1" applyAlignment="1">
      <alignment horizontal="center" vertical="center"/>
    </xf>
    <xf numFmtId="171" fontId="0" fillId="0" borderId="0" xfId="37" applyNumberFormat="1" applyFont="1" applyFill="1"/>
    <xf numFmtId="10" fontId="0" fillId="0" borderId="0" xfId="37" applyNumberFormat="1" applyFont="1" applyFill="1"/>
    <xf numFmtId="0" fontId="5" fillId="0" borderId="0" xfId="0" applyFont="1" applyAlignment="1">
      <alignment horizontal="left"/>
    </xf>
    <xf numFmtId="10" fontId="0" fillId="0" borderId="2" xfId="37" applyNumberFormat="1" applyFont="1" applyFill="1" applyBorder="1"/>
    <xf numFmtId="10" fontId="0" fillId="0" borderId="0" xfId="36" applyNumberFormat="1" applyFont="1" applyFill="1"/>
    <xf numFmtId="0" fontId="2" fillId="0" borderId="0" xfId="0" applyFont="1"/>
    <xf numFmtId="0" fontId="1" fillId="0" borderId="0" xfId="61"/>
    <xf numFmtId="0" fontId="28" fillId="0" borderId="0" xfId="61" applyFont="1" applyAlignment="1">
      <alignment horizontal="center"/>
    </xf>
    <xf numFmtId="0" fontId="5" fillId="0" borderId="0" xfId="61" applyFont="1"/>
    <xf numFmtId="0" fontId="5" fillId="0" borderId="0" xfId="61" applyFont="1" applyAlignment="1">
      <alignment horizontal="right"/>
    </xf>
    <xf numFmtId="0" fontId="5" fillId="0" borderId="21" xfId="61" applyFont="1" applyBorder="1" applyAlignment="1">
      <alignment horizontal="left"/>
    </xf>
    <xf numFmtId="0" fontId="5" fillId="0" borderId="21" xfId="61" applyFont="1" applyBorder="1" applyAlignment="1">
      <alignment horizontal="right"/>
    </xf>
    <xf numFmtId="10" fontId="0" fillId="0" borderId="0" xfId="62" applyNumberFormat="1" applyFont="1" applyFill="1"/>
    <xf numFmtId="43" fontId="1" fillId="0" borderId="0" xfId="61" applyNumberFormat="1"/>
    <xf numFmtId="10" fontId="0" fillId="0" borderId="21" xfId="62" applyNumberFormat="1" applyFont="1" applyFill="1" applyBorder="1"/>
    <xf numFmtId="166" fontId="1" fillId="0" borderId="0" xfId="61" applyNumberFormat="1"/>
    <xf numFmtId="10" fontId="1" fillId="0" borderId="0" xfId="61" applyNumberFormat="1"/>
    <xf numFmtId="10" fontId="0" fillId="0" borderId="0" xfId="64" applyNumberFormat="1" applyFont="1"/>
    <xf numFmtId="10" fontId="0" fillId="0" borderId="0" xfId="64" applyNumberFormat="1" applyFont="1" applyFill="1"/>
    <xf numFmtId="10" fontId="0" fillId="0" borderId="21" xfId="64" applyNumberFormat="1" applyFont="1" applyFill="1" applyBorder="1"/>
    <xf numFmtId="2" fontId="1" fillId="0" borderId="0" xfId="61" applyNumberFormat="1"/>
    <xf numFmtId="10" fontId="0" fillId="0" borderId="0" xfId="36" applyNumberFormat="1" applyFont="1"/>
    <xf numFmtId="43" fontId="0" fillId="0" borderId="0" xfId="6" applyFont="1" applyFill="1"/>
    <xf numFmtId="166" fontId="0" fillId="0" borderId="0" xfId="63" applyNumberFormat="1" applyFont="1" applyFill="1"/>
    <xf numFmtId="174" fontId="0" fillId="0" borderId="0" xfId="0" applyNumberFormat="1"/>
    <xf numFmtId="44" fontId="0" fillId="0" borderId="10" xfId="13" applyFont="1" applyFill="1" applyBorder="1" applyAlignment="1">
      <alignment horizontal="center" vertical="center"/>
    </xf>
    <xf numFmtId="44" fontId="0" fillId="0" borderId="11" xfId="13" applyFont="1" applyFill="1" applyBorder="1" applyAlignment="1">
      <alignment horizontal="center" vertical="center"/>
    </xf>
    <xf numFmtId="44" fontId="0" fillId="0" borderId="12" xfId="13" applyFont="1" applyFill="1" applyBorder="1" applyAlignment="1">
      <alignment horizontal="center" vertical="center"/>
    </xf>
    <xf numFmtId="44" fontId="0" fillId="0" borderId="13" xfId="13" applyFont="1" applyFill="1" applyBorder="1" applyAlignment="1">
      <alignment horizontal="center" vertical="center"/>
    </xf>
    <xf numFmtId="44" fontId="0" fillId="0" borderId="17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4" fontId="0" fillId="0" borderId="3" xfId="13" applyFont="1" applyFill="1" applyBorder="1" applyAlignment="1">
      <alignment horizontal="center" vertical="center"/>
    </xf>
    <xf numFmtId="44" fontId="0" fillId="0" borderId="22" xfId="13" applyFont="1" applyFill="1" applyBorder="1" applyAlignment="1">
      <alignment horizontal="center" vertical="center"/>
    </xf>
    <xf numFmtId="44" fontId="0" fillId="0" borderId="16" xfId="13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3" fontId="0" fillId="0" borderId="10" xfId="13" applyNumberFormat="1" applyFont="1" applyFill="1" applyBorder="1" applyAlignment="1">
      <alignment horizontal="center" vertical="center"/>
    </xf>
    <xf numFmtId="173" fontId="0" fillId="0" borderId="14" xfId="13" applyNumberFormat="1" applyFont="1" applyFill="1" applyBorder="1" applyAlignment="1">
      <alignment horizontal="center" vertical="center"/>
    </xf>
    <xf numFmtId="173" fontId="0" fillId="0" borderId="12" xfId="13" applyNumberFormat="1" applyFont="1" applyFill="1" applyBorder="1" applyAlignment="1">
      <alignment horizontal="center" vertical="center"/>
    </xf>
    <xf numFmtId="173" fontId="0" fillId="0" borderId="15" xfId="13" applyNumberFormat="1" applyFont="1" applyFill="1" applyBorder="1" applyAlignment="1">
      <alignment horizontal="center" vertical="center"/>
    </xf>
    <xf numFmtId="173" fontId="0" fillId="0" borderId="3" xfId="13" applyNumberFormat="1" applyFont="1" applyFill="1" applyBorder="1" applyAlignment="1">
      <alignment horizontal="center" vertical="center"/>
    </xf>
    <xf numFmtId="173" fontId="0" fillId="0" borderId="22" xfId="13" applyNumberFormat="1" applyFont="1" applyFill="1" applyBorder="1" applyAlignment="1">
      <alignment horizontal="center" vertical="center"/>
    </xf>
    <xf numFmtId="173" fontId="0" fillId="0" borderId="16" xfId="13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0" fontId="3" fillId="0" borderId="17" xfId="36" applyNumberFormat="1" applyFont="1" applyFill="1" applyBorder="1" applyAlignment="1">
      <alignment horizontal="center" vertical="center"/>
    </xf>
    <xf numFmtId="10" fontId="3" fillId="0" borderId="19" xfId="36" applyNumberFormat="1" applyFont="1" applyFill="1" applyBorder="1" applyAlignment="1">
      <alignment horizontal="center" vertical="center"/>
    </xf>
    <xf numFmtId="10" fontId="3" fillId="0" borderId="20" xfId="36" applyNumberFormat="1" applyFont="1" applyFill="1" applyBorder="1" applyAlignment="1">
      <alignment horizontal="center" vertical="center"/>
    </xf>
    <xf numFmtId="10" fontId="3" fillId="0" borderId="9" xfId="36" applyNumberFormat="1" applyFont="1" applyFill="1" applyBorder="1" applyAlignment="1">
      <alignment horizontal="center" vertical="center"/>
    </xf>
    <xf numFmtId="44" fontId="5" fillId="0" borderId="17" xfId="13" applyFont="1" applyBorder="1" applyAlignment="1">
      <alignment horizontal="center" vertical="center"/>
    </xf>
    <xf numFmtId="44" fontId="5" fillId="0" borderId="19" xfId="13" applyFont="1" applyBorder="1" applyAlignment="1">
      <alignment horizontal="center" vertical="center"/>
    </xf>
    <xf numFmtId="44" fontId="5" fillId="0" borderId="20" xfId="13" applyFont="1" applyBorder="1" applyAlignment="1">
      <alignment horizontal="center" vertical="center"/>
    </xf>
    <xf numFmtId="44" fontId="5" fillId="0" borderId="9" xfId="13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0" fontId="3" fillId="0" borderId="7" xfId="36" applyNumberFormat="1" applyFont="1" applyFill="1" applyBorder="1" applyAlignment="1">
      <alignment horizontal="center" vertical="center"/>
    </xf>
    <xf numFmtId="10" fontId="3" fillId="0" borderId="8" xfId="36" applyNumberFormat="1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0" fontId="0" fillId="0" borderId="17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7" fillId="0" borderId="0" xfId="61" applyFont="1" applyAlignment="1">
      <alignment horizontal="center"/>
    </xf>
    <xf numFmtId="0" fontId="28" fillId="0" borderId="0" xfId="61" applyFont="1" applyAlignment="1">
      <alignment horizontal="center"/>
    </xf>
    <xf numFmtId="0" fontId="5" fillId="0" borderId="23" xfId="61" applyFont="1" applyBorder="1" applyAlignment="1">
      <alignment horizontal="center"/>
    </xf>
    <xf numFmtId="0" fontId="5" fillId="0" borderId="24" xfId="61" applyFont="1" applyBorder="1" applyAlignment="1">
      <alignment horizontal="center"/>
    </xf>
    <xf numFmtId="0" fontId="5" fillId="0" borderId="25" xfId="61" applyFont="1" applyBorder="1" applyAlignment="1">
      <alignment horizontal="center"/>
    </xf>
  </cellXfs>
  <cellStyles count="65">
    <cellStyle name="ColumnAttributeAbovePrompt" xfId="1" xr:uid="{00000000-0005-0000-0000-000000000000}"/>
    <cellStyle name="ColumnAttributePrompt" xfId="2" xr:uid="{00000000-0005-0000-0000-000001000000}"/>
    <cellStyle name="ColumnAttributeValue" xfId="3" xr:uid="{00000000-0005-0000-0000-000002000000}"/>
    <cellStyle name="ColumnHeadingPrompt" xfId="4" xr:uid="{00000000-0005-0000-0000-000003000000}"/>
    <cellStyle name="ColumnHeadingValue" xfId="5" xr:uid="{00000000-0005-0000-0000-000004000000}"/>
    <cellStyle name="Comma" xfId="6" builtinId="3"/>
    <cellStyle name="Comma [0] 2 2" xfId="7" xr:uid="{00000000-0005-0000-0000-000006000000}"/>
    <cellStyle name="Comma [0] 2 3" xfId="8" xr:uid="{00000000-0005-0000-0000-000007000000}"/>
    <cellStyle name="Comma 2" xfId="9" xr:uid="{00000000-0005-0000-0000-000008000000}"/>
    <cellStyle name="Comma 2 2" xfId="10" xr:uid="{00000000-0005-0000-0000-000009000000}"/>
    <cellStyle name="Comma 2 3" xfId="11" xr:uid="{00000000-0005-0000-0000-00000A000000}"/>
    <cellStyle name="Comma 3" xfId="63" xr:uid="{ECF4B134-D6BC-4536-BF94-53D048EB701E}"/>
    <cellStyle name="Comma0" xfId="12" xr:uid="{00000000-0005-0000-0000-00000B000000}"/>
    <cellStyle name="Currency" xfId="13" builtinId="4"/>
    <cellStyle name="Currency 2" xfId="14" xr:uid="{00000000-0005-0000-0000-00000D000000}"/>
    <cellStyle name="Currency 2 2" xfId="15" xr:uid="{00000000-0005-0000-0000-00000E000000}"/>
    <cellStyle name="Currency 2 3" xfId="16" xr:uid="{00000000-0005-0000-0000-00000F000000}"/>
    <cellStyle name="Currency0" xfId="17" xr:uid="{00000000-0005-0000-0000-000010000000}"/>
    <cellStyle name="Date" xfId="18" xr:uid="{00000000-0005-0000-0000-000011000000}"/>
    <cellStyle name="Euro" xfId="19" xr:uid="{00000000-0005-0000-0000-000012000000}"/>
    <cellStyle name="F2" xfId="20" xr:uid="{00000000-0005-0000-0000-000013000000}"/>
    <cellStyle name="F3" xfId="21" xr:uid="{00000000-0005-0000-0000-000014000000}"/>
    <cellStyle name="F4" xfId="22" xr:uid="{00000000-0005-0000-0000-000015000000}"/>
    <cellStyle name="F5" xfId="23" xr:uid="{00000000-0005-0000-0000-000016000000}"/>
    <cellStyle name="F6" xfId="24" xr:uid="{00000000-0005-0000-0000-000017000000}"/>
    <cellStyle name="F7" xfId="25" xr:uid="{00000000-0005-0000-0000-000018000000}"/>
    <cellStyle name="F8" xfId="26" xr:uid="{00000000-0005-0000-0000-000019000000}"/>
    <cellStyle name="Fixed" xfId="27" xr:uid="{00000000-0005-0000-0000-00001A000000}"/>
    <cellStyle name="LineItemPrompt" xfId="28" xr:uid="{00000000-0005-0000-0000-00001B000000}"/>
    <cellStyle name="LineItemValue" xfId="29" xr:uid="{00000000-0005-0000-0000-00001C000000}"/>
    <cellStyle name="Normal" xfId="0" builtinId="0"/>
    <cellStyle name="Normal 2" xfId="30" xr:uid="{00000000-0005-0000-0000-00001E000000}"/>
    <cellStyle name="Normal 3" xfId="61" xr:uid="{2BE8F0CF-8F40-4D85-8EAE-306374B77DB6}"/>
    <cellStyle name="Output Amounts" xfId="31" xr:uid="{00000000-0005-0000-0000-00001F000000}"/>
    <cellStyle name="Output Column Headings" xfId="32" xr:uid="{00000000-0005-0000-0000-000020000000}"/>
    <cellStyle name="Output Line Items" xfId="33" xr:uid="{00000000-0005-0000-0000-000021000000}"/>
    <cellStyle name="Output Report Heading" xfId="34" xr:uid="{00000000-0005-0000-0000-000022000000}"/>
    <cellStyle name="Output Report Title" xfId="35" xr:uid="{00000000-0005-0000-0000-000023000000}"/>
    <cellStyle name="Percent" xfId="36" builtinId="5"/>
    <cellStyle name="Percent 2" xfId="37" xr:uid="{00000000-0005-0000-0000-000025000000}"/>
    <cellStyle name="Percent 2 2" xfId="38" xr:uid="{00000000-0005-0000-0000-000026000000}"/>
    <cellStyle name="Percent 2 3" xfId="39" xr:uid="{00000000-0005-0000-0000-000027000000}"/>
    <cellStyle name="Percent 2 4" xfId="62" xr:uid="{BF1D1DFE-3594-4944-B9ED-1A615FA091E4}"/>
    <cellStyle name="Percent 3" xfId="64" xr:uid="{29E4832F-E91B-4851-8A64-BCC680ACA3C3}"/>
    <cellStyle name="ReportTitlePrompt" xfId="40" xr:uid="{00000000-0005-0000-0000-000028000000}"/>
    <cellStyle name="ReportTitleValue" xfId="41" xr:uid="{00000000-0005-0000-0000-000029000000}"/>
    <cellStyle name="RowAcctAbovePrompt" xfId="42" xr:uid="{00000000-0005-0000-0000-00002A000000}"/>
    <cellStyle name="RowAcctSOBAbovePrompt" xfId="43" xr:uid="{00000000-0005-0000-0000-00002B000000}"/>
    <cellStyle name="RowAcctSOBValue" xfId="44" xr:uid="{00000000-0005-0000-0000-00002C000000}"/>
    <cellStyle name="RowAcctValue" xfId="45" xr:uid="{00000000-0005-0000-0000-00002D000000}"/>
    <cellStyle name="RowAttrAbovePrompt" xfId="46" xr:uid="{00000000-0005-0000-0000-00002E000000}"/>
    <cellStyle name="RowAttrValue" xfId="47" xr:uid="{00000000-0005-0000-0000-00002F000000}"/>
    <cellStyle name="RowColSetAbovePrompt" xfId="48" xr:uid="{00000000-0005-0000-0000-000030000000}"/>
    <cellStyle name="RowColSetLeftPrompt" xfId="49" xr:uid="{00000000-0005-0000-0000-000031000000}"/>
    <cellStyle name="RowColSetValue" xfId="50" xr:uid="{00000000-0005-0000-0000-000032000000}"/>
    <cellStyle name="RowLeftPrompt" xfId="51" xr:uid="{00000000-0005-0000-0000-000033000000}"/>
    <cellStyle name="SampleUsingFormatMask" xfId="52" xr:uid="{00000000-0005-0000-0000-000034000000}"/>
    <cellStyle name="SampleWithNoFormatMask" xfId="53" xr:uid="{00000000-0005-0000-0000-000035000000}"/>
    <cellStyle name="STYL5 - Style5" xfId="54" xr:uid="{00000000-0005-0000-0000-000036000000}"/>
    <cellStyle name="STYL6 - Style6" xfId="55" xr:uid="{00000000-0005-0000-0000-000037000000}"/>
    <cellStyle name="STYLE1 - Style1" xfId="56" xr:uid="{00000000-0005-0000-0000-000038000000}"/>
    <cellStyle name="STYLE2 - Style2" xfId="57" xr:uid="{00000000-0005-0000-0000-000039000000}"/>
    <cellStyle name="STYLE3 - Style3" xfId="58" xr:uid="{00000000-0005-0000-0000-00003A000000}"/>
    <cellStyle name="STYLE4 - Style4" xfId="59" xr:uid="{00000000-0005-0000-0000-00003B000000}"/>
    <cellStyle name="UploadThisRowValue" xfId="60" xr:uid="{00000000-0005-0000-0000-00003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41</xdr:row>
      <xdr:rowOff>76200</xdr:rowOff>
    </xdr:from>
    <xdr:to>
      <xdr:col>4</xdr:col>
      <xdr:colOff>466725</xdr:colOff>
      <xdr:row>46</xdr:row>
      <xdr:rowOff>76200</xdr:rowOff>
    </xdr:to>
    <xdr:pic>
      <xdr:nvPicPr>
        <xdr:cNvPr id="1044" name="Picture 4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43025" y="6848475"/>
          <a:ext cx="32861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workbookViewId="0">
      <selection activeCell="F15" sqref="F15:G16"/>
    </sheetView>
  </sheetViews>
  <sheetFormatPr defaultRowHeight="12.75" x14ac:dyDescent="0.2"/>
  <cols>
    <col min="2" max="3" width="26.28515625" customWidth="1"/>
  </cols>
  <sheetData>
    <row r="1" spans="1:10" ht="15.75" x14ac:dyDescent="0.25">
      <c r="A1" s="70" t="s">
        <v>76</v>
      </c>
      <c r="B1" s="70"/>
      <c r="C1" s="70"/>
      <c r="D1" s="70"/>
      <c r="E1" s="70"/>
      <c r="F1" s="70"/>
      <c r="G1" s="70"/>
      <c r="H1" s="70"/>
      <c r="I1" s="70"/>
    </row>
    <row r="2" spans="1:10" ht="14.25" x14ac:dyDescent="0.2">
      <c r="A2" s="71" t="s">
        <v>77</v>
      </c>
      <c r="B2" s="71"/>
      <c r="C2" s="71"/>
      <c r="D2" s="71"/>
      <c r="E2" s="71"/>
      <c r="F2" s="71"/>
      <c r="G2" s="71"/>
      <c r="H2" s="71"/>
      <c r="I2" s="71"/>
    </row>
    <row r="5" spans="1:10" ht="13.5" thickBot="1" x14ac:dyDescent="0.25"/>
    <row r="6" spans="1:10" x14ac:dyDescent="0.2">
      <c r="D6" s="91" t="s">
        <v>72</v>
      </c>
      <c r="E6" s="92"/>
      <c r="F6" s="92"/>
      <c r="G6" s="93"/>
    </row>
    <row r="7" spans="1:10" ht="12.75" customHeight="1" x14ac:dyDescent="0.2">
      <c r="C7" s="28"/>
      <c r="D7" s="94"/>
      <c r="E7" s="95"/>
      <c r="F7" s="95"/>
      <c r="G7" s="96"/>
      <c r="H7" s="28"/>
      <c r="I7" s="28"/>
    </row>
    <row r="8" spans="1:10" ht="13.5" thickBot="1" x14ac:dyDescent="0.25">
      <c r="B8" s="28"/>
      <c r="C8" s="28"/>
      <c r="D8" s="97"/>
      <c r="E8" s="98"/>
      <c r="F8" s="98"/>
      <c r="G8" s="99"/>
      <c r="H8" s="28"/>
      <c r="I8" s="28"/>
    </row>
    <row r="9" spans="1:10" x14ac:dyDescent="0.2">
      <c r="D9" s="76" t="s">
        <v>70</v>
      </c>
      <c r="E9" s="77"/>
      <c r="F9" s="79" t="s">
        <v>71</v>
      </c>
      <c r="G9" s="64"/>
    </row>
    <row r="10" spans="1:10" ht="13.5" thickBot="1" x14ac:dyDescent="0.25">
      <c r="D10" s="78"/>
      <c r="E10" s="77"/>
      <c r="F10" s="65"/>
      <c r="G10" s="66"/>
    </row>
    <row r="11" spans="1:10" x14ac:dyDescent="0.2">
      <c r="B11" s="72" t="s">
        <v>73</v>
      </c>
      <c r="C11" s="73"/>
      <c r="D11" s="63">
        <f>'Prod Economic Carrying Charge'!D40</f>
        <v>3.8806640071363039</v>
      </c>
      <c r="E11" s="100"/>
      <c r="F11" s="63">
        <f>D11</f>
        <v>3.8806640071363039</v>
      </c>
      <c r="G11" s="64"/>
    </row>
    <row r="12" spans="1:10" ht="13.5" thickBot="1" x14ac:dyDescent="0.25">
      <c r="B12" s="74"/>
      <c r="C12" s="75"/>
      <c r="D12" s="65"/>
      <c r="E12" s="101"/>
      <c r="F12" s="65"/>
      <c r="G12" s="66"/>
      <c r="J12" s="58"/>
    </row>
    <row r="13" spans="1:10" x14ac:dyDescent="0.2">
      <c r="B13" s="72" t="s">
        <v>75</v>
      </c>
      <c r="C13" s="73"/>
      <c r="D13" s="84">
        <v>3.4470000000000001E-2</v>
      </c>
      <c r="E13" s="85"/>
      <c r="F13" s="88">
        <f>D13</f>
        <v>3.4470000000000001E-2</v>
      </c>
      <c r="G13" s="89"/>
    </row>
    <row r="14" spans="1:10" ht="13.5" thickBot="1" x14ac:dyDescent="0.25">
      <c r="B14" s="82"/>
      <c r="C14" s="83"/>
      <c r="D14" s="86"/>
      <c r="E14" s="87"/>
      <c r="F14" s="86"/>
      <c r="G14" s="90"/>
    </row>
    <row r="15" spans="1:10" x14ac:dyDescent="0.2">
      <c r="B15" s="80" t="s">
        <v>74</v>
      </c>
      <c r="C15" s="81"/>
      <c r="D15" s="59">
        <v>0.06</v>
      </c>
      <c r="E15" s="60"/>
      <c r="F15" s="67">
        <v>0.01</v>
      </c>
      <c r="G15" s="68"/>
    </row>
    <row r="16" spans="1:10" ht="13.5" thickBot="1" x14ac:dyDescent="0.25">
      <c r="B16" s="82"/>
      <c r="C16" s="83"/>
      <c r="D16" s="61"/>
      <c r="E16" s="62"/>
      <c r="F16" s="61"/>
      <c r="G16" s="69"/>
      <c r="J16" s="58"/>
    </row>
    <row r="18" spans="2:3" x14ac:dyDescent="0.2">
      <c r="B18" s="36" t="s">
        <v>79</v>
      </c>
      <c r="C18" s="2"/>
    </row>
    <row r="19" spans="2:3" x14ac:dyDescent="0.2">
      <c r="B19" s="2" t="s">
        <v>81</v>
      </c>
      <c r="C19" s="2"/>
    </row>
    <row r="20" spans="2:3" x14ac:dyDescent="0.2">
      <c r="C20" s="2"/>
    </row>
    <row r="21" spans="2:3" x14ac:dyDescent="0.2">
      <c r="B21" s="2" t="s">
        <v>80</v>
      </c>
      <c r="C21" s="2"/>
    </row>
    <row r="22" spans="2:3" x14ac:dyDescent="0.2">
      <c r="B22" s="39" t="s">
        <v>89</v>
      </c>
      <c r="C22" s="2"/>
    </row>
    <row r="23" spans="2:3" x14ac:dyDescent="0.2">
      <c r="B23" s="39" t="s">
        <v>103</v>
      </c>
    </row>
    <row r="24" spans="2:3" x14ac:dyDescent="0.2">
      <c r="B24" s="39" t="s">
        <v>104</v>
      </c>
    </row>
    <row r="25" spans="2:3" x14ac:dyDescent="0.2">
      <c r="B25" s="39" t="s">
        <v>105</v>
      </c>
    </row>
    <row r="27" spans="2:3" x14ac:dyDescent="0.2">
      <c r="B27" s="2" t="s">
        <v>82</v>
      </c>
    </row>
    <row r="28" spans="2:3" x14ac:dyDescent="0.2">
      <c r="B28" s="39" t="s">
        <v>106</v>
      </c>
    </row>
    <row r="29" spans="2:3" x14ac:dyDescent="0.2">
      <c r="B29" s="39" t="s">
        <v>107</v>
      </c>
    </row>
    <row r="30" spans="2:3" x14ac:dyDescent="0.2">
      <c r="B30" s="39" t="s">
        <v>108</v>
      </c>
    </row>
    <row r="31" spans="2:3" x14ac:dyDescent="0.2">
      <c r="B31" s="13" t="s">
        <v>109</v>
      </c>
    </row>
    <row r="32" spans="2:3" x14ac:dyDescent="0.2">
      <c r="B32" s="39" t="s">
        <v>110</v>
      </c>
    </row>
    <row r="33" spans="2:2" x14ac:dyDescent="0.2">
      <c r="B33" s="39" t="s">
        <v>111</v>
      </c>
    </row>
    <row r="34" spans="2:2" x14ac:dyDescent="0.2">
      <c r="B34" s="39" t="s">
        <v>112</v>
      </c>
    </row>
    <row r="35" spans="2:2" x14ac:dyDescent="0.2">
      <c r="B35" s="39" t="s">
        <v>113</v>
      </c>
    </row>
    <row r="36" spans="2:2" x14ac:dyDescent="0.2">
      <c r="B36" s="39" t="s">
        <v>114</v>
      </c>
    </row>
    <row r="38" spans="2:2" x14ac:dyDescent="0.2">
      <c r="B38" s="2" t="s">
        <v>83</v>
      </c>
    </row>
    <row r="39" spans="2:2" x14ac:dyDescent="0.2">
      <c r="B39" s="2" t="s">
        <v>84</v>
      </c>
    </row>
    <row r="40" spans="2:2" x14ac:dyDescent="0.2">
      <c r="B40" s="2" t="s">
        <v>85</v>
      </c>
    </row>
    <row r="41" spans="2:2" x14ac:dyDescent="0.2">
      <c r="B41" s="2" t="s">
        <v>86</v>
      </c>
    </row>
  </sheetData>
  <mergeCells count="14">
    <mergeCell ref="D15:E16"/>
    <mergeCell ref="F11:G12"/>
    <mergeCell ref="F15:G16"/>
    <mergeCell ref="A1:I1"/>
    <mergeCell ref="A2:I2"/>
    <mergeCell ref="B11:C12"/>
    <mergeCell ref="D9:E10"/>
    <mergeCell ref="F9:G10"/>
    <mergeCell ref="B15:C16"/>
    <mergeCell ref="B13:C14"/>
    <mergeCell ref="D13:E14"/>
    <mergeCell ref="F13:G14"/>
    <mergeCell ref="D6:G8"/>
    <mergeCell ref="D11:E1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M41"/>
  <sheetViews>
    <sheetView tabSelected="1" zoomScaleNormal="100" workbookViewId="0">
      <selection activeCell="D22" sqref="D22:E23"/>
    </sheetView>
  </sheetViews>
  <sheetFormatPr defaultRowHeight="12.75" x14ac:dyDescent="0.2"/>
  <cols>
    <col min="1" max="1" width="10.85546875" customWidth="1"/>
    <col min="2" max="3" width="17.85546875" customWidth="1"/>
    <col min="4" max="5" width="15.85546875" customWidth="1"/>
    <col min="6" max="6" width="10.140625" customWidth="1"/>
    <col min="7" max="7" width="14.28515625" customWidth="1"/>
    <col min="9" max="9" width="9.5703125" bestFit="1" customWidth="1"/>
  </cols>
  <sheetData>
    <row r="1" spans="2:13" ht="13.5" thickBot="1" x14ac:dyDescent="0.25"/>
    <row r="2" spans="2:13" x14ac:dyDescent="0.2">
      <c r="B2" s="102" t="s">
        <v>48</v>
      </c>
      <c r="C2" s="103"/>
      <c r="D2" s="103"/>
      <c r="E2" s="104"/>
    </row>
    <row r="3" spans="2:13" ht="13.5" thickBot="1" x14ac:dyDescent="0.25">
      <c r="B3" s="105" t="s">
        <v>115</v>
      </c>
      <c r="C3" s="106"/>
      <c r="D3" s="106"/>
      <c r="E3" s="107"/>
    </row>
    <row r="4" spans="2:13" x14ac:dyDescent="0.2">
      <c r="B4" s="2"/>
    </row>
    <row r="5" spans="2:13" ht="13.5" thickBot="1" x14ac:dyDescent="0.25"/>
    <row r="6" spans="2:13" x14ac:dyDescent="0.2">
      <c r="B6" s="117" t="s">
        <v>52</v>
      </c>
      <c r="C6" s="118"/>
      <c r="D6" s="117" t="s">
        <v>53</v>
      </c>
      <c r="E6" s="118"/>
    </row>
    <row r="7" spans="2:13" ht="13.5" thickBot="1" x14ac:dyDescent="0.25">
      <c r="B7" s="119"/>
      <c r="C7" s="120"/>
      <c r="D7" s="119"/>
      <c r="E7" s="120"/>
      <c r="M7" s="30"/>
    </row>
    <row r="8" spans="2:13" x14ac:dyDescent="0.2">
      <c r="B8" s="121" t="s">
        <v>51</v>
      </c>
      <c r="C8" s="100"/>
      <c r="D8" s="126">
        <v>2.5000000000000001E-2</v>
      </c>
      <c r="E8" s="64"/>
      <c r="M8" s="29"/>
    </row>
    <row r="9" spans="2:13" x14ac:dyDescent="0.2">
      <c r="B9" s="78"/>
      <c r="C9" s="77"/>
      <c r="D9" s="78"/>
      <c r="E9" s="116"/>
    </row>
    <row r="10" spans="2:13" x14ac:dyDescent="0.2">
      <c r="B10" s="78" t="s">
        <v>50</v>
      </c>
      <c r="C10" s="77"/>
      <c r="D10" s="127">
        <f>'Combined WACOC-Tax Table'!F13</f>
        <v>6.4103247966497967E-2</v>
      </c>
      <c r="E10" s="116"/>
      <c r="M10" s="2"/>
    </row>
    <row r="11" spans="2:13" x14ac:dyDescent="0.2">
      <c r="B11" s="78"/>
      <c r="C11" s="77"/>
      <c r="D11" s="78"/>
      <c r="E11" s="116"/>
      <c r="K11" s="28"/>
    </row>
    <row r="12" spans="2:13" x14ac:dyDescent="0.2">
      <c r="B12" s="76" t="s">
        <v>57</v>
      </c>
      <c r="C12" s="77"/>
      <c r="D12" s="78">
        <v>2028</v>
      </c>
      <c r="E12" s="116"/>
      <c r="K12" s="28"/>
    </row>
    <row r="13" spans="2:13" x14ac:dyDescent="0.2">
      <c r="B13" s="78"/>
      <c r="C13" s="77"/>
      <c r="D13" s="78"/>
      <c r="E13" s="116"/>
      <c r="K13" s="28"/>
    </row>
    <row r="14" spans="2:13" x14ac:dyDescent="0.2">
      <c r="B14" s="76" t="s">
        <v>62</v>
      </c>
      <c r="C14" s="77"/>
      <c r="D14" s="78">
        <v>2027</v>
      </c>
      <c r="E14" s="116"/>
      <c r="K14" s="28"/>
    </row>
    <row r="15" spans="2:13" x14ac:dyDescent="0.2">
      <c r="B15" s="78"/>
      <c r="C15" s="77"/>
      <c r="D15" s="78"/>
      <c r="E15" s="116"/>
    </row>
    <row r="16" spans="2:13" x14ac:dyDescent="0.2">
      <c r="B16" s="76" t="s">
        <v>58</v>
      </c>
      <c r="C16" s="77"/>
      <c r="D16" s="78">
        <f>D12-D14</f>
        <v>1</v>
      </c>
      <c r="E16" s="116"/>
      <c r="G16" s="32"/>
      <c r="H16" s="32"/>
      <c r="I16" s="33"/>
      <c r="J16" s="33"/>
    </row>
    <row r="17" spans="2:10" x14ac:dyDescent="0.2">
      <c r="B17" s="78"/>
      <c r="C17" s="77"/>
      <c r="D17" s="78"/>
      <c r="E17" s="116"/>
      <c r="G17" s="32"/>
      <c r="H17" s="32"/>
      <c r="I17" s="33"/>
      <c r="J17" s="33"/>
    </row>
    <row r="18" spans="2:10" x14ac:dyDescent="0.2">
      <c r="B18" s="76" t="s">
        <v>55</v>
      </c>
      <c r="C18" s="77"/>
      <c r="D18" s="78">
        <v>2022</v>
      </c>
      <c r="E18" s="116"/>
      <c r="G18" s="32"/>
      <c r="H18" s="32"/>
      <c r="I18" s="33"/>
      <c r="J18" s="33"/>
    </row>
    <row r="19" spans="2:10" x14ac:dyDescent="0.2">
      <c r="B19" s="78"/>
      <c r="C19" s="77"/>
      <c r="D19" s="78"/>
      <c r="E19" s="116"/>
      <c r="G19" s="32"/>
      <c r="H19" s="32"/>
      <c r="I19" s="33"/>
      <c r="J19" s="33"/>
    </row>
    <row r="20" spans="2:10" x14ac:dyDescent="0.2">
      <c r="B20" s="76" t="s">
        <v>56</v>
      </c>
      <c r="C20" s="77"/>
      <c r="D20" s="78">
        <f>D14-D18</f>
        <v>5</v>
      </c>
      <c r="E20" s="116"/>
      <c r="G20" s="32"/>
      <c r="H20" s="32"/>
      <c r="I20" s="33"/>
      <c r="J20" s="33"/>
    </row>
    <row r="21" spans="2:10" x14ac:dyDescent="0.2">
      <c r="B21" s="78"/>
      <c r="C21" s="77"/>
      <c r="D21" s="78"/>
      <c r="E21" s="116"/>
      <c r="G21" s="32"/>
      <c r="H21" s="32"/>
      <c r="I21" s="33"/>
      <c r="J21" s="33"/>
    </row>
    <row r="22" spans="2:10" x14ac:dyDescent="0.2">
      <c r="B22" s="78" t="s">
        <v>49</v>
      </c>
      <c r="C22" s="77"/>
      <c r="D22" s="124">
        <f>'Prod PVRR'!E16</f>
        <v>1968.4374938663768</v>
      </c>
      <c r="E22" s="125"/>
    </row>
    <row r="23" spans="2:10" x14ac:dyDescent="0.2">
      <c r="B23" s="78"/>
      <c r="C23" s="77"/>
      <c r="D23" s="124"/>
      <c r="E23" s="125"/>
      <c r="I23" s="31"/>
      <c r="J23" s="31"/>
    </row>
    <row r="24" spans="2:10" x14ac:dyDescent="0.2">
      <c r="B24" s="76" t="s">
        <v>59</v>
      </c>
      <c r="C24" s="77"/>
      <c r="D24" s="78">
        <v>40</v>
      </c>
      <c r="E24" s="116"/>
      <c r="I24" s="31"/>
      <c r="J24" s="31"/>
    </row>
    <row r="25" spans="2:10" x14ac:dyDescent="0.2">
      <c r="B25" s="78"/>
      <c r="C25" s="77"/>
      <c r="D25" s="78"/>
      <c r="E25" s="116"/>
    </row>
    <row r="26" spans="2:10" x14ac:dyDescent="0.2">
      <c r="B26" s="76" t="s">
        <v>54</v>
      </c>
      <c r="C26" s="77"/>
      <c r="D26" s="122">
        <f>((1+$D$8)^($D$20))/((1+$D$10)^($D$20))*(1-((1+$D$8)/(1+$D$10)))*1/(1-(((1+$D$8)^$D$24)/((1+$D$10)^$D$24)))</f>
        <v>3.9253832142009781E-2</v>
      </c>
      <c r="E26" s="123"/>
    </row>
    <row r="27" spans="2:10" ht="13.5" thickBot="1" x14ac:dyDescent="0.25">
      <c r="B27" s="78"/>
      <c r="C27" s="77"/>
      <c r="D27" s="122"/>
      <c r="E27" s="123"/>
    </row>
    <row r="28" spans="2:10" x14ac:dyDescent="0.2">
      <c r="B28" s="79" t="s">
        <v>64</v>
      </c>
      <c r="C28" s="100"/>
      <c r="D28" s="108">
        <f>(0.59271062507547+0.612640547283599)/2</f>
        <v>0.60267558617953454</v>
      </c>
      <c r="E28" s="109"/>
    </row>
    <row r="29" spans="2:10" ht="13.5" thickBot="1" x14ac:dyDescent="0.25">
      <c r="B29" s="65"/>
      <c r="C29" s="101"/>
      <c r="D29" s="110"/>
      <c r="E29" s="111"/>
    </row>
    <row r="30" spans="2:10" ht="13.5" thickBot="1" x14ac:dyDescent="0.25"/>
    <row r="31" spans="2:10" x14ac:dyDescent="0.2">
      <c r="B31" s="79" t="s">
        <v>63</v>
      </c>
      <c r="C31" s="64"/>
      <c r="D31" s="112">
        <f>((1+$D$8)^($D$14-$D$18))/((1+$D$10)^($D$14-$D$18))*$D$22*(1-((1+$D$8)/(1+$D$10)))*1/(1-(((1+$D$8)^$D$24)/((1+$D$10)^$D$24)))</f>
        <v>77.268714966269172</v>
      </c>
      <c r="E31" s="113"/>
    </row>
    <row r="32" spans="2:10" ht="13.5" thickBot="1" x14ac:dyDescent="0.25">
      <c r="B32" s="65"/>
      <c r="C32" s="66"/>
      <c r="D32" s="114"/>
      <c r="E32" s="115"/>
    </row>
    <row r="33" spans="2:5" ht="13.5" thickBot="1" x14ac:dyDescent="0.25">
      <c r="B33" s="32"/>
      <c r="C33" s="32"/>
      <c r="D33" s="33"/>
      <c r="E33" s="33"/>
    </row>
    <row r="34" spans="2:5" x14ac:dyDescent="0.2">
      <c r="B34" s="79" t="s">
        <v>65</v>
      </c>
      <c r="C34" s="64"/>
      <c r="D34" s="112">
        <f>D31*D28</f>
        <v>46.567968085635648</v>
      </c>
      <c r="E34" s="113"/>
    </row>
    <row r="35" spans="2:5" ht="13.5" thickBot="1" x14ac:dyDescent="0.25">
      <c r="B35" s="65"/>
      <c r="C35" s="66"/>
      <c r="D35" s="114"/>
      <c r="E35" s="115"/>
    </row>
    <row r="36" spans="2:5" ht="13.5" thickBot="1" x14ac:dyDescent="0.25"/>
    <row r="37" spans="2:5" x14ac:dyDescent="0.2">
      <c r="B37" s="79" t="s">
        <v>66</v>
      </c>
      <c r="C37" s="64"/>
      <c r="D37" s="112">
        <f>D31/12</f>
        <v>6.4390595805224313</v>
      </c>
      <c r="E37" s="113"/>
    </row>
    <row r="38" spans="2:5" ht="13.5" thickBot="1" x14ac:dyDescent="0.25">
      <c r="B38" s="65"/>
      <c r="C38" s="66"/>
      <c r="D38" s="114"/>
      <c r="E38" s="115"/>
    </row>
    <row r="39" spans="2:5" ht="13.5" thickBot="1" x14ac:dyDescent="0.25"/>
    <row r="40" spans="2:5" x14ac:dyDescent="0.2">
      <c r="B40" s="79" t="s">
        <v>67</v>
      </c>
      <c r="C40" s="64"/>
      <c r="D40" s="112">
        <f>D34/12</f>
        <v>3.8806640071363039</v>
      </c>
      <c r="E40" s="113"/>
    </row>
    <row r="41" spans="2:5" ht="13.5" thickBot="1" x14ac:dyDescent="0.25">
      <c r="B41" s="65"/>
      <c r="C41" s="66"/>
      <c r="D41" s="114"/>
      <c r="E41" s="115"/>
    </row>
  </sheetData>
  <mergeCells count="34">
    <mergeCell ref="D22:E23"/>
    <mergeCell ref="B14:C15"/>
    <mergeCell ref="B16:C17"/>
    <mergeCell ref="D16:E17"/>
    <mergeCell ref="D6:E7"/>
    <mergeCell ref="D8:E9"/>
    <mergeCell ref="D10:E11"/>
    <mergeCell ref="D14:E15"/>
    <mergeCell ref="B40:C41"/>
    <mergeCell ref="D40:E41"/>
    <mergeCell ref="B37:C38"/>
    <mergeCell ref="D37:E38"/>
    <mergeCell ref="D24:E25"/>
    <mergeCell ref="D26:E27"/>
    <mergeCell ref="D31:E32"/>
    <mergeCell ref="B24:C25"/>
    <mergeCell ref="B31:C32"/>
    <mergeCell ref="B26:C27"/>
    <mergeCell ref="B2:E2"/>
    <mergeCell ref="B3:E3"/>
    <mergeCell ref="B28:C29"/>
    <mergeCell ref="D28:E29"/>
    <mergeCell ref="B34:C35"/>
    <mergeCell ref="D34:E35"/>
    <mergeCell ref="B18:C19"/>
    <mergeCell ref="D18:E19"/>
    <mergeCell ref="B12:C13"/>
    <mergeCell ref="D12:E13"/>
    <mergeCell ref="B22:C23"/>
    <mergeCell ref="B20:C21"/>
    <mergeCell ref="B6:C7"/>
    <mergeCell ref="D20:E21"/>
    <mergeCell ref="B8:C9"/>
    <mergeCell ref="B10:C11"/>
  </mergeCells>
  <pageMargins left="0.7" right="0.7" top="0.75" bottom="0.75" header="0.3" footer="0.3"/>
  <pageSetup orientation="portrait" r:id="rId1"/>
  <headerFooter>
    <oddFooter>&amp;RAttachment B 
Page 1 of 5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85"/>
  <sheetViews>
    <sheetView topLeftCell="A25" zoomScaleNormal="100" workbookViewId="0">
      <selection activeCell="J29" sqref="J29"/>
    </sheetView>
  </sheetViews>
  <sheetFormatPr defaultRowHeight="12.75" x14ac:dyDescent="0.2"/>
  <cols>
    <col min="1" max="1" width="9.28515625" bestFit="1" customWidth="1"/>
    <col min="2" max="2" width="14.140625" customWidth="1"/>
    <col min="3" max="3" width="13.5703125" customWidth="1"/>
    <col min="4" max="4" width="14.42578125" bestFit="1" customWidth="1"/>
    <col min="5" max="5" width="16.28515625" customWidth="1"/>
    <col min="6" max="6" width="14.42578125" bestFit="1" customWidth="1"/>
    <col min="7" max="7" width="12.85546875" customWidth="1"/>
    <col min="8" max="8" width="14" customWidth="1"/>
    <col min="9" max="9" width="13.140625" customWidth="1"/>
    <col min="10" max="10" width="12.85546875" customWidth="1"/>
    <col min="11" max="11" width="12.140625" customWidth="1"/>
    <col min="12" max="12" width="13.85546875" bestFit="1" customWidth="1"/>
    <col min="13" max="13" width="14.140625" bestFit="1" customWidth="1"/>
    <col min="14" max="15" width="14.140625" customWidth="1"/>
    <col min="16" max="16" width="14.28515625" customWidth="1"/>
    <col min="17" max="17" width="12" customWidth="1"/>
    <col min="18" max="18" width="16.28515625" bestFit="1" customWidth="1"/>
    <col min="19" max="19" width="15" customWidth="1"/>
    <col min="20" max="20" width="9.28515625" bestFit="1" customWidth="1"/>
    <col min="23" max="23" width="10.42578125" bestFit="1" customWidth="1"/>
  </cols>
  <sheetData>
    <row r="1" spans="2:23" ht="15" x14ac:dyDescent="0.2">
      <c r="B1" s="13" t="s">
        <v>48</v>
      </c>
      <c r="H1" s="22"/>
      <c r="I1" s="13" t="str">
        <f>B1</f>
        <v>Louisville Gas &amp; Electric and Kentucky Utilities</v>
      </c>
      <c r="R1" s="22"/>
      <c r="S1" s="13" t="str">
        <f>B1</f>
        <v>Louisville Gas &amp; Electric and Kentucky Utilities</v>
      </c>
    </row>
    <row r="2" spans="2:23" x14ac:dyDescent="0.2">
      <c r="B2" s="2" t="s">
        <v>44</v>
      </c>
      <c r="H2" s="4"/>
      <c r="I2" s="2" t="str">
        <f>B2</f>
        <v>Present Value Revenue Requirement Analysis</v>
      </c>
      <c r="R2" s="4"/>
      <c r="S2" s="2" t="str">
        <f>B2</f>
        <v>Present Value Revenue Requirement Analysis</v>
      </c>
    </row>
    <row r="3" spans="2:23" x14ac:dyDescent="0.2">
      <c r="B3" s="39" t="s">
        <v>102</v>
      </c>
      <c r="H3" s="23"/>
      <c r="I3" s="2" t="str">
        <f>B3</f>
        <v>New CCGT Addition</v>
      </c>
      <c r="R3" s="23"/>
      <c r="S3" s="2" t="str">
        <f>B3</f>
        <v>New CCGT Addition</v>
      </c>
    </row>
    <row r="4" spans="2:23" x14ac:dyDescent="0.2">
      <c r="B4" s="13"/>
      <c r="H4" s="23"/>
      <c r="I4" s="13"/>
      <c r="R4" s="23"/>
    </row>
    <row r="7" spans="2:23" x14ac:dyDescent="0.2">
      <c r="B7" s="13" t="s">
        <v>43</v>
      </c>
      <c r="I7" s="13" t="s">
        <v>43</v>
      </c>
      <c r="S7" s="13" t="s">
        <v>43</v>
      </c>
    </row>
    <row r="8" spans="2:23" x14ac:dyDescent="0.2">
      <c r="B8" s="20" t="s">
        <v>42</v>
      </c>
      <c r="E8" s="56">
        <v>1127</v>
      </c>
      <c r="I8" s="20" t="s">
        <v>42</v>
      </c>
      <c r="L8" s="10">
        <f t="shared" ref="L8:L13" si="0">E8</f>
        <v>1127</v>
      </c>
      <c r="P8" s="10"/>
      <c r="S8" s="20" t="s">
        <v>42</v>
      </c>
      <c r="W8" s="10">
        <f t="shared" ref="W8:W13" si="1">E8</f>
        <v>1127</v>
      </c>
    </row>
    <row r="9" spans="2:23" x14ac:dyDescent="0.2">
      <c r="B9" s="20" t="s">
        <v>41</v>
      </c>
      <c r="E9">
        <v>40</v>
      </c>
      <c r="I9" s="20" t="s">
        <v>41</v>
      </c>
      <c r="L9">
        <f t="shared" si="0"/>
        <v>40</v>
      </c>
      <c r="S9" s="20" t="s">
        <v>41</v>
      </c>
      <c r="W9">
        <f t="shared" si="1"/>
        <v>40</v>
      </c>
    </row>
    <row r="10" spans="2:23" x14ac:dyDescent="0.2">
      <c r="B10" s="20" t="s">
        <v>40</v>
      </c>
      <c r="E10">
        <v>20</v>
      </c>
      <c r="I10" s="20" t="s">
        <v>40</v>
      </c>
      <c r="L10">
        <f t="shared" si="0"/>
        <v>20</v>
      </c>
      <c r="S10" s="20" t="s">
        <v>40</v>
      </c>
      <c r="W10">
        <f t="shared" si="1"/>
        <v>20</v>
      </c>
    </row>
    <row r="11" spans="2:23" x14ac:dyDescent="0.2">
      <c r="B11" s="20" t="s">
        <v>39</v>
      </c>
      <c r="E11" s="34">
        <f>'Combined WACOC-Tax Table'!E10</f>
        <v>0.2484053540891209</v>
      </c>
      <c r="I11" s="20" t="s">
        <v>39</v>
      </c>
      <c r="L11" s="21">
        <f t="shared" si="0"/>
        <v>0.2484053540891209</v>
      </c>
      <c r="P11" s="21"/>
      <c r="S11" s="20" t="s">
        <v>39</v>
      </c>
      <c r="W11" s="21">
        <f t="shared" si="1"/>
        <v>0.2484053540891209</v>
      </c>
    </row>
    <row r="12" spans="2:23" x14ac:dyDescent="0.2">
      <c r="B12" s="20" t="s">
        <v>38</v>
      </c>
      <c r="E12" s="35">
        <f>(40428756+43476370)/(10746349463+641585730)</f>
        <v>7.3678963374831348E-3</v>
      </c>
      <c r="I12" s="20" t="s">
        <v>38</v>
      </c>
      <c r="L12" s="6">
        <f t="shared" si="0"/>
        <v>7.3678963374831348E-3</v>
      </c>
      <c r="P12" s="6"/>
      <c r="S12" s="20" t="s">
        <v>38</v>
      </c>
      <c r="W12" s="6">
        <f t="shared" si="1"/>
        <v>7.3678963374831348E-3</v>
      </c>
    </row>
    <row r="13" spans="2:23" x14ac:dyDescent="0.2">
      <c r="B13" s="20" t="s">
        <v>37</v>
      </c>
      <c r="E13">
        <f>E9</f>
        <v>40</v>
      </c>
      <c r="I13" s="20" t="s">
        <v>37</v>
      </c>
      <c r="L13">
        <f t="shared" si="0"/>
        <v>40</v>
      </c>
      <c r="S13" s="20" t="s">
        <v>37</v>
      </c>
      <c r="W13">
        <f t="shared" si="1"/>
        <v>40</v>
      </c>
    </row>
    <row r="15" spans="2:23" x14ac:dyDescent="0.2">
      <c r="B15" s="13" t="s">
        <v>36</v>
      </c>
      <c r="I15" s="13" t="s">
        <v>36</v>
      </c>
      <c r="S15" s="13" t="s">
        <v>36</v>
      </c>
    </row>
    <row r="16" spans="2:23" x14ac:dyDescent="0.2">
      <c r="B16" s="20" t="s">
        <v>35</v>
      </c>
      <c r="E16" s="14">
        <f>R70</f>
        <v>1968.4374938663768</v>
      </c>
      <c r="I16" s="20" t="s">
        <v>35</v>
      </c>
      <c r="L16" s="14">
        <f>E16</f>
        <v>1968.4374938663768</v>
      </c>
      <c r="P16" s="14"/>
      <c r="S16" s="20" t="s">
        <v>35</v>
      </c>
      <c r="W16" s="14">
        <f>E16</f>
        <v>1968.4374938663768</v>
      </c>
    </row>
    <row r="17" spans="1:23" x14ac:dyDescent="0.2">
      <c r="B17" s="20" t="s">
        <v>34</v>
      </c>
      <c r="E17" s="14">
        <f>PMT('Combined WACOC-Tax Table'!D13,E13,R70)*-1</f>
        <v>145.44801125904519</v>
      </c>
      <c r="I17" s="20" t="s">
        <v>34</v>
      </c>
      <c r="L17" s="14">
        <f>E17</f>
        <v>145.44801125904519</v>
      </c>
      <c r="P17" s="16"/>
      <c r="S17" s="20" t="s">
        <v>34</v>
      </c>
      <c r="W17" s="14">
        <f>E17</f>
        <v>145.44801125904519</v>
      </c>
    </row>
    <row r="18" spans="1:23" x14ac:dyDescent="0.2">
      <c r="B18" s="20" t="s">
        <v>33</v>
      </c>
      <c r="E18" s="6">
        <f>E17/E8</f>
        <v>0.12905768523429031</v>
      </c>
      <c r="I18" s="20" t="s">
        <v>33</v>
      </c>
      <c r="L18" s="6">
        <f>L17/L8</f>
        <v>0.12905768523429031</v>
      </c>
      <c r="P18" s="6"/>
      <c r="S18" s="20" t="s">
        <v>33</v>
      </c>
      <c r="W18" s="6">
        <f>E18</f>
        <v>0.12905768523429031</v>
      </c>
    </row>
    <row r="19" spans="1:23" x14ac:dyDescent="0.2">
      <c r="B19" s="20"/>
      <c r="E19" s="19"/>
      <c r="I19" s="20"/>
      <c r="P19" s="19"/>
    </row>
    <row r="20" spans="1:23" x14ac:dyDescent="0.2">
      <c r="C20" s="19"/>
    </row>
    <row r="21" spans="1:23" x14ac:dyDescent="0.2">
      <c r="C21" s="19"/>
    </row>
    <row r="22" spans="1:23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2"/>
      <c r="R22" s="4"/>
      <c r="S22" s="12" t="s">
        <v>0</v>
      </c>
      <c r="T22" s="4"/>
    </row>
    <row r="23" spans="1:23" x14ac:dyDescent="0.2">
      <c r="A23" s="4"/>
      <c r="B23" s="4"/>
      <c r="C23" s="4"/>
      <c r="D23" s="4"/>
      <c r="E23" s="4"/>
      <c r="F23" s="4"/>
      <c r="G23" s="4"/>
      <c r="H23" s="4"/>
      <c r="I23" s="12"/>
      <c r="J23" s="4"/>
      <c r="K23" s="4"/>
      <c r="L23" s="4"/>
      <c r="M23" s="12"/>
      <c r="N23" s="12"/>
      <c r="O23" s="12"/>
      <c r="P23" s="12"/>
      <c r="Q23" s="12" t="s">
        <v>2</v>
      </c>
      <c r="R23" s="12" t="s">
        <v>2</v>
      </c>
      <c r="S23" s="12" t="s">
        <v>2</v>
      </c>
      <c r="T23" s="12" t="s">
        <v>3</v>
      </c>
    </row>
    <row r="24" spans="1:23" x14ac:dyDescent="0.2">
      <c r="A24" s="4"/>
      <c r="B24" s="4"/>
      <c r="C24" s="4"/>
      <c r="D24" s="4"/>
      <c r="E24" s="4"/>
      <c r="F24" s="4"/>
      <c r="G24" s="4"/>
      <c r="H24" s="12" t="s">
        <v>32</v>
      </c>
      <c r="I24" s="12"/>
      <c r="J24" s="4"/>
      <c r="K24" s="4"/>
      <c r="L24" s="4"/>
      <c r="M24" s="12"/>
      <c r="N24" s="12"/>
      <c r="O24" s="12"/>
      <c r="P24" s="12" t="s">
        <v>3</v>
      </c>
      <c r="Q24" s="12" t="s">
        <v>31</v>
      </c>
      <c r="R24" s="12" t="s">
        <v>31</v>
      </c>
      <c r="S24" s="12" t="s">
        <v>31</v>
      </c>
      <c r="T24" s="12" t="s">
        <v>30</v>
      </c>
    </row>
    <row r="25" spans="1:23" x14ac:dyDescent="0.2">
      <c r="A25" s="4"/>
      <c r="B25" s="12"/>
      <c r="C25" s="12" t="s">
        <v>29</v>
      </c>
      <c r="D25" s="12" t="s">
        <v>45</v>
      </c>
      <c r="E25" s="12" t="s">
        <v>28</v>
      </c>
      <c r="F25" s="12" t="s">
        <v>27</v>
      </c>
      <c r="G25" s="12" t="s">
        <v>26</v>
      </c>
      <c r="H25" s="12" t="s">
        <v>26</v>
      </c>
      <c r="I25" s="12"/>
      <c r="J25" s="12"/>
      <c r="K25" s="12"/>
      <c r="L25" s="12" t="s">
        <v>46</v>
      </c>
      <c r="M25" s="12" t="s">
        <v>25</v>
      </c>
      <c r="N25" s="12" t="s">
        <v>116</v>
      </c>
      <c r="O25" s="12" t="s">
        <v>118</v>
      </c>
      <c r="P25" s="12" t="s">
        <v>47</v>
      </c>
      <c r="Q25" s="12" t="s">
        <v>17</v>
      </c>
      <c r="R25" s="12" t="s">
        <v>24</v>
      </c>
      <c r="S25" s="12" t="s">
        <v>24</v>
      </c>
      <c r="T25" s="12" t="s">
        <v>23</v>
      </c>
    </row>
    <row r="26" spans="1:23" x14ac:dyDescent="0.2">
      <c r="A26" s="12" t="s">
        <v>1</v>
      </c>
      <c r="B26" s="12" t="s">
        <v>22</v>
      </c>
      <c r="C26" s="12" t="s">
        <v>21</v>
      </c>
      <c r="D26" s="12" t="s">
        <v>20</v>
      </c>
      <c r="E26" s="12" t="s">
        <v>21</v>
      </c>
      <c r="F26" s="12" t="s">
        <v>20</v>
      </c>
      <c r="G26" s="12" t="s">
        <v>19</v>
      </c>
      <c r="H26" s="12" t="s">
        <v>19</v>
      </c>
      <c r="I26" s="12" t="s">
        <v>18</v>
      </c>
      <c r="J26" s="12" t="s">
        <v>17</v>
      </c>
      <c r="K26" s="12" t="s">
        <v>16</v>
      </c>
      <c r="L26" s="12" t="s">
        <v>15</v>
      </c>
      <c r="M26" s="12" t="s">
        <v>15</v>
      </c>
      <c r="N26" s="12" t="s">
        <v>117</v>
      </c>
      <c r="O26" s="12" t="s">
        <v>119</v>
      </c>
      <c r="P26" s="12" t="s">
        <v>13</v>
      </c>
      <c r="Q26" s="12" t="s">
        <v>14</v>
      </c>
      <c r="R26" s="12" t="s">
        <v>13</v>
      </c>
      <c r="S26" s="12" t="s">
        <v>13</v>
      </c>
      <c r="T26" s="12" t="s">
        <v>6</v>
      </c>
    </row>
    <row r="28" spans="1:23" x14ac:dyDescent="0.2">
      <c r="A28">
        <v>0</v>
      </c>
      <c r="B28" s="10">
        <f>E8</f>
        <v>1127</v>
      </c>
      <c r="C28" s="18"/>
      <c r="D28" s="18"/>
      <c r="E28" s="18"/>
      <c r="F28" s="18"/>
      <c r="G28" s="18"/>
      <c r="H28" s="18"/>
      <c r="I28" s="14"/>
      <c r="J28" s="1"/>
      <c r="K28" s="10"/>
      <c r="L28" s="14"/>
      <c r="M28" s="9"/>
      <c r="N28" s="9"/>
      <c r="O28" s="9"/>
      <c r="P28" s="10"/>
      <c r="Q28" s="25">
        <f>1/(1+'Combined WACOC-Tax Table'!$F$13)^A28</f>
        <v>1</v>
      </c>
      <c r="R28" s="15">
        <f t="shared" ref="R28:R68" si="2">P28*Q28</f>
        <v>0</v>
      </c>
      <c r="S28" s="14">
        <f>R28</f>
        <v>0</v>
      </c>
    </row>
    <row r="29" spans="1:23" x14ac:dyDescent="0.2">
      <c r="A29">
        <v>1</v>
      </c>
      <c r="C29" s="26">
        <f>(1/$E$9)*$B$28</f>
        <v>28.175000000000001</v>
      </c>
      <c r="D29" s="26">
        <f>$B$28-C29</f>
        <v>1098.825</v>
      </c>
      <c r="E29" s="26">
        <f>HLOOKUP($E$10,'Combined WACOC-Tax Table'!$B$17:$E$58,A29+1)*$B$28</f>
        <v>42.262499999999996</v>
      </c>
      <c r="F29" s="26">
        <f>B28-E29</f>
        <v>1084.7375</v>
      </c>
      <c r="G29" s="26">
        <f t="shared" ref="G29:G68" si="3">(E29-C29)*$E$11</f>
        <v>3.4994104257304897</v>
      </c>
      <c r="H29" s="26">
        <f>G29</f>
        <v>3.4994104257304897</v>
      </c>
      <c r="I29" s="26">
        <f>D29-H29</f>
        <v>1095.3255895742695</v>
      </c>
      <c r="J29" s="26">
        <f>'Combined WACOC-Tax Table'!$D$10*I29</f>
        <v>7.6720678230419767E-2</v>
      </c>
      <c r="K29" s="26">
        <f>I29*('Combined WACOC-Tax Table'!$D$11+'Combined WACOC-Tax Table'!$D$12)</f>
        <v>75.185458825193237</v>
      </c>
      <c r="L29" s="26">
        <f t="shared" ref="L29:L68" si="4">$E$12*D29</f>
        <v>8.0960286930349064</v>
      </c>
      <c r="M29" s="26">
        <f t="shared" ref="M29:M68" si="5">($E$11/(1-$E$11))*K29</f>
        <v>24.849126618232621</v>
      </c>
      <c r="N29" s="26">
        <v>7</v>
      </c>
      <c r="O29" s="26">
        <v>22</v>
      </c>
      <c r="P29" s="26">
        <f>C29+J29+K29+L29+M29+N29+O29</f>
        <v>165.38233481469121</v>
      </c>
      <c r="Q29" s="25">
        <f>1/(1+'Combined WACOC-Tax Table'!$F$13)^A29</f>
        <v>0.93975843219255328</v>
      </c>
      <c r="R29" s="17">
        <f t="shared" si="2"/>
        <v>155.41944367779814</v>
      </c>
      <c r="S29" s="9">
        <f t="shared" ref="S29:S68" si="6">S28+R29</f>
        <v>155.41944367779814</v>
      </c>
      <c r="T29" s="6">
        <f t="shared" ref="T29:T68" si="7">P29/$B$28</f>
        <v>0.14674563869981475</v>
      </c>
      <c r="U29" s="16"/>
    </row>
    <row r="30" spans="1:23" x14ac:dyDescent="0.2">
      <c r="A30">
        <v>2</v>
      </c>
      <c r="C30" s="9">
        <f t="shared" ref="C30:C68" si="8">IF(D29&lt;=0.001,0,(1/$E$9)*$B$28)</f>
        <v>28.175000000000001</v>
      </c>
      <c r="D30" s="9">
        <f t="shared" ref="D30:D68" si="9">D29-C30</f>
        <v>1070.6500000000001</v>
      </c>
      <c r="E30" s="9">
        <f>HLOOKUP($E$10,'Combined WACOC-Tax Table'!$B$17:$E$58,A30+1)*$B$28</f>
        <v>81.358130000000003</v>
      </c>
      <c r="F30" s="9">
        <f t="shared" ref="F30:F68" si="10">F29-E30</f>
        <v>1003.37937</v>
      </c>
      <c r="G30" s="9">
        <f t="shared" si="3"/>
        <v>13.21097423921775</v>
      </c>
      <c r="H30" s="9">
        <f t="shared" ref="H30:H68" si="11">H29+G30</f>
        <v>16.71038466494824</v>
      </c>
      <c r="I30" s="9">
        <f t="shared" ref="I30:I58" si="12">D30-H30</f>
        <v>1053.9396153350519</v>
      </c>
      <c r="J30" s="9">
        <f>'Combined WACOC-Tax Table'!$D$10*I30</f>
        <v>7.3821850664368305E-2</v>
      </c>
      <c r="K30" s="9">
        <f>I30*('Combined WACOC-Tax Table'!$D$11+'Combined WACOC-Tax Table'!$D$12)</f>
        <v>72.3446382584861</v>
      </c>
      <c r="L30" s="9">
        <f t="shared" si="4"/>
        <v>7.8884382137263191</v>
      </c>
      <c r="M30" s="9">
        <f t="shared" si="5"/>
        <v>23.910222858585271</v>
      </c>
      <c r="N30" s="9">
        <f>N29*(1+'Prod Economic Carrying Charge'!$D$8)</f>
        <v>7.1749999999999989</v>
      </c>
      <c r="O30" s="9">
        <f>O29*(1+'Prod Economic Carrying Charge'!$D$8)</f>
        <v>22.549999999999997</v>
      </c>
      <c r="P30" s="26">
        <f t="shared" ref="P30:P68" si="13">C30+J30+K30+L30+M30+N30+O30</f>
        <v>162.1171211814621</v>
      </c>
      <c r="Q30" s="25">
        <f>1/(1+'Combined WACOC-Tax Table'!$F$13)^A30</f>
        <v>0.88314591087700589</v>
      </c>
      <c r="R30" s="17">
        <f t="shared" si="2"/>
        <v>143.17307265456029</v>
      </c>
      <c r="S30" s="9">
        <f t="shared" si="6"/>
        <v>298.5925163323584</v>
      </c>
      <c r="T30" s="6">
        <f t="shared" si="7"/>
        <v>0.14384837726837807</v>
      </c>
      <c r="U30" s="16"/>
    </row>
    <row r="31" spans="1:23" x14ac:dyDescent="0.2">
      <c r="A31">
        <v>3</v>
      </c>
      <c r="C31" s="9">
        <f t="shared" si="8"/>
        <v>28.175000000000001</v>
      </c>
      <c r="D31" s="9">
        <f t="shared" si="9"/>
        <v>1042.4750000000001</v>
      </c>
      <c r="E31" s="9">
        <f>HLOOKUP($E$10,'Combined WACOC-Tax Table'!$B$17:$E$58,A31+1)*$B$28</f>
        <v>75.24978999999999</v>
      </c>
      <c r="F31" s="9">
        <f t="shared" si="10"/>
        <v>928.12958000000003</v>
      </c>
      <c r="G31" s="9">
        <f t="shared" si="3"/>
        <v>11.693629878621007</v>
      </c>
      <c r="H31" s="9">
        <f t="shared" si="11"/>
        <v>28.404014543569247</v>
      </c>
      <c r="I31" s="9">
        <f t="shared" si="12"/>
        <v>1014.0709854564309</v>
      </c>
      <c r="J31" s="9">
        <f>'Combined WACOC-Tax Table'!$D$10*I31</f>
        <v>7.1029303540919603E-2</v>
      </c>
      <c r="K31" s="9">
        <f>I31*('Combined WACOC-Tax Table'!$D$11+'Combined WACOC-Tax Table'!$D$12)</f>
        <v>69.607971409206144</v>
      </c>
      <c r="L31" s="9">
        <f t="shared" si="4"/>
        <v>7.6808477344177319</v>
      </c>
      <c r="M31" s="9">
        <f t="shared" si="5"/>
        <v>23.005742363124217</v>
      </c>
      <c r="N31" s="9">
        <f>N30*(1+'Prod Economic Carrying Charge'!$D$8)</f>
        <v>7.3543749999999983</v>
      </c>
      <c r="O31" s="9">
        <f>O30*(1+'Prod Economic Carrying Charge'!$D$8)</f>
        <v>23.113749999999996</v>
      </c>
      <c r="P31" s="26">
        <f t="shared" si="13"/>
        <v>159.008715810289</v>
      </c>
      <c r="Q31" s="25">
        <f>1/(1+'Combined WACOC-Tax Table'!$F$13)^A31</f>
        <v>0.82994381660303951</v>
      </c>
      <c r="R31" s="17">
        <f t="shared" si="2"/>
        <v>131.96830047273932</v>
      </c>
      <c r="S31" s="9">
        <f t="shared" si="6"/>
        <v>430.56081680509772</v>
      </c>
      <c r="T31" s="6">
        <f t="shared" si="7"/>
        <v>0.14109025360274091</v>
      </c>
      <c r="U31" s="16"/>
    </row>
    <row r="32" spans="1:23" x14ac:dyDescent="0.2">
      <c r="A32">
        <v>4</v>
      </c>
      <c r="C32" s="9">
        <f t="shared" si="8"/>
        <v>28.175000000000001</v>
      </c>
      <c r="D32" s="9">
        <f t="shared" si="9"/>
        <v>1014.3000000000002</v>
      </c>
      <c r="E32" s="9">
        <f>HLOOKUP($E$10,'Combined WACOC-Tax Table'!$B$17:$E$58,A32+1)*$B$28</f>
        <v>69.614789999999999</v>
      </c>
      <c r="F32" s="9">
        <f t="shared" si="10"/>
        <v>858.51479000000006</v>
      </c>
      <c r="G32" s="9">
        <f t="shared" si="3"/>
        <v>10.293865708328813</v>
      </c>
      <c r="H32" s="9">
        <f t="shared" si="11"/>
        <v>38.697880251898056</v>
      </c>
      <c r="I32" s="9">
        <f t="shared" si="12"/>
        <v>975.60211974810215</v>
      </c>
      <c r="J32" s="9">
        <f>'Combined WACOC-Tax Table'!$D$10*I32</f>
        <v>6.833480110621884E-2</v>
      </c>
      <c r="K32" s="9">
        <f>I32*('Combined WACOC-Tax Table'!$D$11+'Combined WACOC-Tax Table'!$D$12)</f>
        <v>66.967387325080423</v>
      </c>
      <c r="L32" s="9">
        <f t="shared" si="4"/>
        <v>7.4732572551091447</v>
      </c>
      <c r="M32" s="9">
        <f t="shared" si="5"/>
        <v>22.133017646432815</v>
      </c>
      <c r="N32" s="9">
        <f>N31*(1+'Prod Economic Carrying Charge'!$D$8)</f>
        <v>7.5382343749999974</v>
      </c>
      <c r="O32" s="9">
        <f>O31*(1+'Prod Economic Carrying Charge'!$D$8)</f>
        <v>23.691593749999996</v>
      </c>
      <c r="P32" s="26">
        <f t="shared" si="13"/>
        <v>156.04682515272862</v>
      </c>
      <c r="Q32" s="25">
        <f>1/(1+'Combined WACOC-Tax Table'!$F$13)^A32</f>
        <v>0.7799466998987763</v>
      </c>
      <c r="R32" s="17">
        <f t="shared" si="2"/>
        <v>121.70820630755205</v>
      </c>
      <c r="S32" s="9">
        <f t="shared" si="6"/>
        <v>552.26902311264973</v>
      </c>
      <c r="T32" s="6">
        <f t="shared" si="7"/>
        <v>0.13846213411954625</v>
      </c>
      <c r="U32" s="16"/>
    </row>
    <row r="33" spans="1:21" x14ac:dyDescent="0.2">
      <c r="A33">
        <v>5</v>
      </c>
      <c r="C33" s="9">
        <f t="shared" si="8"/>
        <v>28.175000000000001</v>
      </c>
      <c r="D33" s="9">
        <f t="shared" si="9"/>
        <v>986.12500000000023</v>
      </c>
      <c r="E33" s="9">
        <f>HLOOKUP($E$10,'Combined WACOC-Tax Table'!$B$17:$E$58,A33+1)*$B$28</f>
        <v>64.385509999999996</v>
      </c>
      <c r="F33" s="9">
        <f t="shared" si="10"/>
        <v>794.12928000000011</v>
      </c>
      <c r="G33" s="9">
        <f t="shared" si="3"/>
        <v>8.9948845582976524</v>
      </c>
      <c r="H33" s="9">
        <f t="shared" si="11"/>
        <v>47.692764810195712</v>
      </c>
      <c r="I33" s="9">
        <f t="shared" si="12"/>
        <v>938.43223518980449</v>
      </c>
      <c r="J33" s="9">
        <f>'Combined WACOC-Tax Table'!$D$10*I33</f>
        <v>6.573128414267615E-2</v>
      </c>
      <c r="K33" s="9">
        <f>I33*('Combined WACOC-Tax Table'!$D$11+'Combined WACOC-Tax Table'!$D$12)</f>
        <v>64.415968047017827</v>
      </c>
      <c r="L33" s="9">
        <f t="shared" si="4"/>
        <v>7.2656667758005584</v>
      </c>
      <c r="M33" s="9">
        <f t="shared" si="5"/>
        <v>21.289762292439647</v>
      </c>
      <c r="N33" s="9">
        <f>N32*(1+'Prod Economic Carrying Charge'!$D$8)</f>
        <v>7.7266902343749964</v>
      </c>
      <c r="O33" s="9">
        <f>O32*(1+'Prod Economic Carrying Charge'!$D$8)</f>
        <v>24.283883593749994</v>
      </c>
      <c r="P33" s="26">
        <f t="shared" si="13"/>
        <v>153.2227022275257</v>
      </c>
      <c r="Q33" s="25">
        <f>1/(1+'Combined WACOC-Tax Table'!$F$13)^A33</f>
        <v>0.73296148789062987</v>
      </c>
      <c r="R33" s="17">
        <f t="shared" si="2"/>
        <v>112.30633980331017</v>
      </c>
      <c r="S33" s="9">
        <f t="shared" si="6"/>
        <v>664.57536291595989</v>
      </c>
      <c r="T33" s="6">
        <f t="shared" si="7"/>
        <v>0.13595625752220558</v>
      </c>
      <c r="U33" s="16"/>
    </row>
    <row r="34" spans="1:21" x14ac:dyDescent="0.2">
      <c r="A34">
        <v>6</v>
      </c>
      <c r="C34" s="9">
        <f t="shared" si="8"/>
        <v>28.175000000000001</v>
      </c>
      <c r="D34" s="9">
        <f t="shared" si="9"/>
        <v>957.95000000000027</v>
      </c>
      <c r="E34" s="9">
        <f>HLOOKUP($E$10,'Combined WACOC-Tax Table'!$B$17:$E$58,A34+1)*$B$28</f>
        <v>59.561950000000003</v>
      </c>
      <c r="F34" s="9">
        <f t="shared" si="10"/>
        <v>734.56733000000008</v>
      </c>
      <c r="G34" s="9">
        <f t="shared" si="3"/>
        <v>7.7966864285275337</v>
      </c>
      <c r="H34" s="9">
        <f t="shared" si="11"/>
        <v>55.489451238723248</v>
      </c>
      <c r="I34" s="9">
        <f t="shared" si="12"/>
        <v>902.46054876127698</v>
      </c>
      <c r="J34" s="9">
        <f>'Combined WACOC-Tax Table'!$D$10*I34</f>
        <v>6.3211693432701707E-2</v>
      </c>
      <c r="K34" s="9">
        <f>I34*('Combined WACOC-Tax Table'!$D$11+'Combined WACOC-Tax Table'!$D$12)</f>
        <v>61.946795615927243</v>
      </c>
      <c r="L34" s="9">
        <f t="shared" si="4"/>
        <v>7.0580762964919712</v>
      </c>
      <c r="M34" s="9">
        <f t="shared" si="5"/>
        <v>20.473689885073295</v>
      </c>
      <c r="N34" s="9">
        <f>N33*(1+'Prod Economic Carrying Charge'!$D$8)</f>
        <v>7.9198574902343708</v>
      </c>
      <c r="O34" s="9">
        <f>O33*(1+'Prod Economic Carrying Charge'!$D$8)</f>
        <v>24.890980683593742</v>
      </c>
      <c r="P34" s="26">
        <f t="shared" si="13"/>
        <v>150.52761166475332</v>
      </c>
      <c r="Q34" s="25">
        <f>1/(1+'Combined WACOC-Tax Table'!$F$13)^A34</f>
        <v>0.68880673871761955</v>
      </c>
      <c r="R34" s="17">
        <f t="shared" si="2"/>
        <v>103.68443327775104</v>
      </c>
      <c r="S34" s="9">
        <f t="shared" si="6"/>
        <v>768.25979619371094</v>
      </c>
      <c r="T34" s="6">
        <f t="shared" si="7"/>
        <v>0.13356487281699497</v>
      </c>
      <c r="U34" s="16"/>
    </row>
    <row r="35" spans="1:21" x14ac:dyDescent="0.2">
      <c r="A35">
        <v>7</v>
      </c>
      <c r="C35" s="9">
        <f t="shared" si="8"/>
        <v>28.175000000000001</v>
      </c>
      <c r="D35" s="9">
        <f t="shared" si="9"/>
        <v>929.77500000000032</v>
      </c>
      <c r="E35" s="9">
        <f>HLOOKUP($E$10,'Combined WACOC-Tax Table'!$B$17:$E$58,A35+1)*$B$28</f>
        <v>55.087760000000003</v>
      </c>
      <c r="F35" s="9">
        <f t="shared" si="10"/>
        <v>679.47957000000008</v>
      </c>
      <c r="G35" s="9">
        <f t="shared" si="3"/>
        <v>6.6852736773155303</v>
      </c>
      <c r="H35" s="9">
        <f t="shared" si="11"/>
        <v>62.174724916038777</v>
      </c>
      <c r="I35" s="9">
        <f t="shared" si="12"/>
        <v>867.60027508396149</v>
      </c>
      <c r="J35" s="9">
        <f>'Combined WACOC-Tax Table'!$D$10*I35</f>
        <v>6.0769950205593115E-2</v>
      </c>
      <c r="K35" s="9">
        <f>I35*('Combined WACOC-Tax Table'!$D$11+'Combined WACOC-Tax Table'!$D$12)</f>
        <v>59.553912900369127</v>
      </c>
      <c r="L35" s="9">
        <f t="shared" si="4"/>
        <v>6.850485817183384</v>
      </c>
      <c r="M35" s="9">
        <f t="shared" si="5"/>
        <v>19.682831566050048</v>
      </c>
      <c r="N35" s="9">
        <f>N34*(1+'Prod Economic Carrying Charge'!$D$8)</f>
        <v>8.1178539274902288</v>
      </c>
      <c r="O35" s="9">
        <f>O34*(1+'Prod Economic Carrying Charge'!$D$8)</f>
        <v>25.513255200683584</v>
      </c>
      <c r="P35" s="26">
        <f t="shared" si="13"/>
        <v>147.95410936198198</v>
      </c>
      <c r="Q35" s="25">
        <f>1/(1+'Combined WACOC-Tax Table'!$F$13)^A35</f>
        <v>0.64731194086093591</v>
      </c>
      <c r="R35" s="17">
        <f t="shared" si="2"/>
        <v>95.772461689455724</v>
      </c>
      <c r="S35" s="9">
        <f t="shared" si="6"/>
        <v>864.03225788316672</v>
      </c>
      <c r="T35" s="6">
        <f t="shared" si="7"/>
        <v>0.13128137476662111</v>
      </c>
      <c r="U35" s="16"/>
    </row>
    <row r="36" spans="1:21" x14ac:dyDescent="0.2">
      <c r="A36">
        <v>8</v>
      </c>
      <c r="C36" s="9">
        <f t="shared" si="8"/>
        <v>28.175000000000001</v>
      </c>
      <c r="D36" s="9">
        <f t="shared" si="9"/>
        <v>901.60000000000036</v>
      </c>
      <c r="E36" s="9">
        <f>HLOOKUP($E$10,'Combined WACOC-Tax Table'!$B$17:$E$58,A36+1)*$B$28</f>
        <v>50.962940000000003</v>
      </c>
      <c r="F36" s="9">
        <f t="shared" si="10"/>
        <v>628.51663000000008</v>
      </c>
      <c r="G36" s="9">
        <f t="shared" si="3"/>
        <v>5.6606463046616424</v>
      </c>
      <c r="H36" s="9">
        <f t="shared" si="11"/>
        <v>67.835371220700424</v>
      </c>
      <c r="I36" s="9">
        <f t="shared" si="12"/>
        <v>833.76462877929998</v>
      </c>
      <c r="J36" s="9">
        <f>'Combined WACOC-Tax Table'!$D$10*I36</f>
        <v>5.8399975690648025E-2</v>
      </c>
      <c r="K36" s="9">
        <f>I36*('Combined WACOC-Tax Table'!$D$11+'Combined WACOC-Tax Table'!$D$12)</f>
        <v>57.231362768903921</v>
      </c>
      <c r="L36" s="9">
        <f t="shared" si="4"/>
        <v>6.6428953378747968</v>
      </c>
      <c r="M36" s="9">
        <f t="shared" si="5"/>
        <v>18.915218477086185</v>
      </c>
      <c r="N36" s="9">
        <f>N35*(1+'Prod Economic Carrying Charge'!$D$8)</f>
        <v>8.3208002756774846</v>
      </c>
      <c r="O36" s="9">
        <f>O35*(1+'Prod Economic Carrying Charge'!$D$8)</f>
        <v>26.151086580700671</v>
      </c>
      <c r="P36" s="26">
        <f t="shared" si="13"/>
        <v>145.4947634159337</v>
      </c>
      <c r="Q36" s="25">
        <f>1/(1+'Combined WACOC-Tax Table'!$F$13)^A36</f>
        <v>0.6083168546829919</v>
      </c>
      <c r="R36" s="17">
        <f t="shared" si="2"/>
        <v>88.506916854026827</v>
      </c>
      <c r="S36" s="9">
        <f t="shared" si="6"/>
        <v>952.53917473719355</v>
      </c>
      <c r="T36" s="6">
        <f t="shared" si="7"/>
        <v>0.12909916895823753</v>
      </c>
      <c r="U36" s="16"/>
    </row>
    <row r="37" spans="1:21" x14ac:dyDescent="0.2">
      <c r="A37">
        <v>9</v>
      </c>
      <c r="C37" s="9">
        <f t="shared" si="8"/>
        <v>28.175000000000001</v>
      </c>
      <c r="D37" s="9">
        <f t="shared" si="9"/>
        <v>873.42500000000041</v>
      </c>
      <c r="E37" s="9">
        <f>HLOOKUP($E$10,'Combined WACOC-Tax Table'!$B$17:$E$58,A37+1)*$B$28</f>
        <v>50.286740000000002</v>
      </c>
      <c r="F37" s="9">
        <f t="shared" si="10"/>
        <v>578.22989000000007</v>
      </c>
      <c r="G37" s="9">
        <f t="shared" si="3"/>
        <v>5.4926746042265782</v>
      </c>
      <c r="H37" s="9">
        <f t="shared" si="11"/>
        <v>73.328045824927003</v>
      </c>
      <c r="I37" s="9">
        <f t="shared" si="12"/>
        <v>800.09695417507339</v>
      </c>
      <c r="J37" s="9">
        <f>'Combined WACOC-Tax Table'!$D$10*I37</f>
        <v>5.6041766538352675E-2</v>
      </c>
      <c r="K37" s="9">
        <f>I37*('Combined WACOC-Tax Table'!$D$11+'Combined WACOC-Tax Table'!$D$12)</f>
        <v>54.920342569257208</v>
      </c>
      <c r="L37" s="9">
        <f t="shared" si="4"/>
        <v>6.4353048585662105</v>
      </c>
      <c r="M37" s="9">
        <f t="shared" si="5"/>
        <v>18.151416081574681</v>
      </c>
      <c r="N37" s="9">
        <f>N36*(1+'Prod Economic Carrying Charge'!$D$8)</f>
        <v>8.5288202825694217</v>
      </c>
      <c r="O37" s="9">
        <f>O36*(1+'Prod Economic Carrying Charge'!$D$8)</f>
        <v>26.804863745218185</v>
      </c>
      <c r="P37" s="26">
        <f t="shared" si="13"/>
        <v>143.07178930372407</v>
      </c>
      <c r="Q37" s="25">
        <f>1/(1+'Combined WACOC-Tax Table'!$F$13)^A37</f>
        <v>0.57167089363319368</v>
      </c>
      <c r="R37" s="17">
        <f t="shared" si="2"/>
        <v>81.789977644959947</v>
      </c>
      <c r="S37" s="9">
        <f t="shared" si="6"/>
        <v>1034.3291523821536</v>
      </c>
      <c r="T37" s="6">
        <f t="shared" si="7"/>
        <v>0.12694923629434257</v>
      </c>
      <c r="U37" s="16"/>
    </row>
    <row r="38" spans="1:21" x14ac:dyDescent="0.2">
      <c r="A38">
        <v>10</v>
      </c>
      <c r="C38" s="9">
        <f t="shared" si="8"/>
        <v>28.175000000000001</v>
      </c>
      <c r="D38" s="9">
        <f t="shared" si="9"/>
        <v>845.25000000000045</v>
      </c>
      <c r="E38" s="9">
        <f>HLOOKUP($E$10,'Combined WACOC-Tax Table'!$B$17:$E$58,A38+1)*$B$28</f>
        <v>50.275469999999999</v>
      </c>
      <c r="F38" s="9">
        <f t="shared" si="10"/>
        <v>527.95442000000003</v>
      </c>
      <c r="G38" s="9">
        <f t="shared" si="3"/>
        <v>5.4898750758859931</v>
      </c>
      <c r="H38" s="9">
        <f t="shared" si="11"/>
        <v>78.817920900812993</v>
      </c>
      <c r="I38" s="9">
        <f t="shared" si="12"/>
        <v>766.43207909918749</v>
      </c>
      <c r="J38" s="9">
        <f>'Combined WACOC-Tax Table'!$D$10*I38</f>
        <v>5.3683753475434824E-2</v>
      </c>
      <c r="K38" s="9">
        <f>I38*('Combined WACOC-Tax Table'!$D$11+'Combined WACOC-Tax Table'!$D$12)</f>
        <v>52.609514535140811</v>
      </c>
      <c r="L38" s="9">
        <f t="shared" si="4"/>
        <v>6.2277143792576233</v>
      </c>
      <c r="M38" s="9">
        <f t="shared" si="5"/>
        <v>17.387677197620715</v>
      </c>
      <c r="N38" s="9">
        <f>N37*(1+'Prod Economic Carrying Charge'!$D$8)</f>
        <v>8.7420407896336556</v>
      </c>
      <c r="O38" s="9">
        <f>O37*(1+'Prod Economic Carrying Charge'!$D$8)</f>
        <v>27.474985338848636</v>
      </c>
      <c r="P38" s="26">
        <f t="shared" si="13"/>
        <v>140.67061599397687</v>
      </c>
      <c r="Q38" s="25">
        <f>1/(1+'Combined WACOC-Tax Table'!$F$13)^A38</f>
        <v>0.53723254273084609</v>
      </c>
      <c r="R38" s="17">
        <f t="shared" si="2"/>
        <v>75.572832717958619</v>
      </c>
      <c r="S38" s="9">
        <f t="shared" si="6"/>
        <v>1109.9019851001121</v>
      </c>
      <c r="T38" s="6">
        <f t="shared" si="7"/>
        <v>0.12481864773201141</v>
      </c>
      <c r="U38" s="16"/>
    </row>
    <row r="39" spans="1:21" x14ac:dyDescent="0.2">
      <c r="A39">
        <v>11</v>
      </c>
      <c r="C39" s="9">
        <f t="shared" si="8"/>
        <v>28.175000000000001</v>
      </c>
      <c r="D39" s="9">
        <f t="shared" si="9"/>
        <v>817.0750000000005</v>
      </c>
      <c r="E39" s="9">
        <f>HLOOKUP($E$10,'Combined WACOC-Tax Table'!$B$17:$E$58,A39+1)*$B$28</f>
        <v>50.286740000000002</v>
      </c>
      <c r="F39" s="9">
        <f t="shared" si="10"/>
        <v>477.66768000000002</v>
      </c>
      <c r="G39" s="9">
        <f t="shared" si="3"/>
        <v>5.4926746042265782</v>
      </c>
      <c r="H39" s="9">
        <f t="shared" si="11"/>
        <v>84.310595505039572</v>
      </c>
      <c r="I39" s="9">
        <f t="shared" si="12"/>
        <v>732.7644044949609</v>
      </c>
      <c r="J39" s="9">
        <f>'Combined WACOC-Tax Table'!$D$10*I39</f>
        <v>5.1325544323139474E-2</v>
      </c>
      <c r="K39" s="9">
        <f>I39*('Combined WACOC-Tax Table'!$D$11+'Combined WACOC-Tax Table'!$D$12)</f>
        <v>50.298494335494091</v>
      </c>
      <c r="L39" s="9">
        <f t="shared" si="4"/>
        <v>6.0201238999490361</v>
      </c>
      <c r="M39" s="9">
        <f t="shared" si="5"/>
        <v>16.623874802109203</v>
      </c>
      <c r="N39" s="9">
        <f>N38*(1+'Prod Economic Carrying Charge'!$D$8)</f>
        <v>8.9605918093744954</v>
      </c>
      <c r="O39" s="9">
        <f>O38*(1+'Prod Economic Carrying Charge'!$D$8)</f>
        <v>28.161859972319849</v>
      </c>
      <c r="P39" s="26">
        <f t="shared" si="13"/>
        <v>138.29127036356982</v>
      </c>
      <c r="Q39" s="25">
        <f>1/(1+'Combined WACOC-Tax Table'!$F$13)^A39</f>
        <v>0.5048688120795588</v>
      </c>
      <c r="R39" s="17">
        <f t="shared" si="2"/>
        <v>69.818949389428596</v>
      </c>
      <c r="S39" s="9">
        <f t="shared" si="6"/>
        <v>1179.7209344895407</v>
      </c>
      <c r="T39" s="6">
        <f t="shared" si="7"/>
        <v>0.12270742711940534</v>
      </c>
      <c r="U39" s="16"/>
    </row>
    <row r="40" spans="1:21" x14ac:dyDescent="0.2">
      <c r="A40">
        <v>12</v>
      </c>
      <c r="C40" s="9">
        <f t="shared" si="8"/>
        <v>28.175000000000001</v>
      </c>
      <c r="D40" s="9">
        <f t="shared" si="9"/>
        <v>788.90000000000055</v>
      </c>
      <c r="E40" s="9">
        <f>HLOOKUP($E$10,'Combined WACOC-Tax Table'!$B$17:$E$58,A40+1)*$B$28</f>
        <v>50.275469999999999</v>
      </c>
      <c r="F40" s="9">
        <f t="shared" si="10"/>
        <v>427.39221000000003</v>
      </c>
      <c r="G40" s="9">
        <f t="shared" si="3"/>
        <v>5.4898750758859931</v>
      </c>
      <c r="H40" s="9">
        <f t="shared" si="11"/>
        <v>89.800470580925563</v>
      </c>
      <c r="I40" s="9">
        <f t="shared" si="12"/>
        <v>699.099529419075</v>
      </c>
      <c r="J40" s="9">
        <f>'Combined WACOC-Tax Table'!$D$10*I40</f>
        <v>4.8967531260221631E-2</v>
      </c>
      <c r="K40" s="9">
        <f>I40*('Combined WACOC-Tax Table'!$D$11+'Combined WACOC-Tax Table'!$D$12)</f>
        <v>47.987666301377693</v>
      </c>
      <c r="L40" s="9">
        <f t="shared" si="4"/>
        <v>5.8125334206404489</v>
      </c>
      <c r="M40" s="9">
        <f t="shared" si="5"/>
        <v>15.860135918155239</v>
      </c>
      <c r="N40" s="9">
        <f>N39*(1+'Prod Economic Carrying Charge'!$D$8)</f>
        <v>9.1846066046088577</v>
      </c>
      <c r="O40" s="9">
        <f>O39*(1+'Prod Economic Carrying Charge'!$D$8)</f>
        <v>28.865906471627842</v>
      </c>
      <c r="P40" s="26">
        <f t="shared" si="13"/>
        <v>135.93481624767031</v>
      </c>
      <c r="Q40" s="25">
        <f>1/(1+'Combined WACOC-Tax Table'!$F$13)^A40</f>
        <v>0.47445472330280297</v>
      </c>
      <c r="R40" s="17">
        <f t="shared" si="2"/>
        <v>64.494915630005778</v>
      </c>
      <c r="S40" s="9">
        <f t="shared" si="6"/>
        <v>1244.2158501195465</v>
      </c>
      <c r="T40" s="6">
        <f t="shared" si="7"/>
        <v>0.12061651840964535</v>
      </c>
      <c r="U40" s="16"/>
    </row>
    <row r="41" spans="1:21" x14ac:dyDescent="0.2">
      <c r="A41">
        <v>13</v>
      </c>
      <c r="C41" s="9">
        <f t="shared" si="8"/>
        <v>28.175000000000001</v>
      </c>
      <c r="D41" s="9">
        <f t="shared" si="9"/>
        <v>760.72500000000059</v>
      </c>
      <c r="E41" s="9">
        <f>HLOOKUP($E$10,'Combined WACOC-Tax Table'!$B$17:$E$58,A41+1)*$B$28</f>
        <v>50.286740000000002</v>
      </c>
      <c r="F41" s="9">
        <f t="shared" si="10"/>
        <v>377.10547000000003</v>
      </c>
      <c r="G41" s="9">
        <f t="shared" si="3"/>
        <v>5.4926746042265782</v>
      </c>
      <c r="H41" s="9">
        <f t="shared" si="11"/>
        <v>95.293145185152142</v>
      </c>
      <c r="I41" s="9">
        <f t="shared" si="12"/>
        <v>665.43185481484841</v>
      </c>
      <c r="J41" s="9">
        <f>'Combined WACOC-Tax Table'!$D$10*I41</f>
        <v>4.6609322107926281E-2</v>
      </c>
      <c r="K41" s="9">
        <f>I41*('Combined WACOC-Tax Table'!$D$11+'Combined WACOC-Tax Table'!$D$12)</f>
        <v>45.676646101730981</v>
      </c>
      <c r="L41" s="9">
        <f t="shared" si="4"/>
        <v>5.6049429413318617</v>
      </c>
      <c r="M41" s="9">
        <f t="shared" si="5"/>
        <v>15.096333522643731</v>
      </c>
      <c r="N41" s="9">
        <f>N40*(1+'Prod Economic Carrying Charge'!$D$8)</f>
        <v>9.4142217697240778</v>
      </c>
      <c r="O41" s="9">
        <f>O40*(1+'Prod Economic Carrying Charge'!$D$8)</f>
        <v>29.587554133418536</v>
      </c>
      <c r="P41" s="26">
        <f t="shared" si="13"/>
        <v>133.60130779095709</v>
      </c>
      <c r="Q41" s="25">
        <f>1/(1+'Combined WACOC-Tax Table'!$F$13)^A41</f>
        <v>0.44587282691739377</v>
      </c>
      <c r="R41" s="17">
        <f t="shared" si="2"/>
        <v>59.569192784614863</v>
      </c>
      <c r="S41" s="9">
        <f t="shared" si="6"/>
        <v>1303.7850429041614</v>
      </c>
      <c r="T41" s="6">
        <f t="shared" si="7"/>
        <v>0.11854596964592466</v>
      </c>
      <c r="U41" s="16"/>
    </row>
    <row r="42" spans="1:21" x14ac:dyDescent="0.2">
      <c r="A42">
        <v>14</v>
      </c>
      <c r="C42" s="9">
        <f t="shared" si="8"/>
        <v>28.175000000000001</v>
      </c>
      <c r="D42" s="9">
        <f t="shared" si="9"/>
        <v>732.55000000000064</v>
      </c>
      <c r="E42" s="9">
        <f>HLOOKUP($E$10,'Combined WACOC-Tax Table'!$B$17:$E$58,A42+1)*$B$28</f>
        <v>50.275469999999999</v>
      </c>
      <c r="F42" s="9">
        <f t="shared" si="10"/>
        <v>326.83000000000004</v>
      </c>
      <c r="G42" s="9">
        <f t="shared" si="3"/>
        <v>5.4898750758859931</v>
      </c>
      <c r="H42" s="9">
        <f t="shared" si="11"/>
        <v>100.78302026103813</v>
      </c>
      <c r="I42" s="9">
        <f t="shared" si="12"/>
        <v>631.7669797389625</v>
      </c>
      <c r="J42" s="9">
        <f>'Combined WACOC-Tax Table'!$D$10*I42</f>
        <v>4.425130904500843E-2</v>
      </c>
      <c r="K42" s="9">
        <f>I42*('Combined WACOC-Tax Table'!$D$11+'Combined WACOC-Tax Table'!$D$12)</f>
        <v>43.365818067614583</v>
      </c>
      <c r="L42" s="9">
        <f t="shared" si="4"/>
        <v>5.3973524620232753</v>
      </c>
      <c r="M42" s="9">
        <f t="shared" si="5"/>
        <v>14.332594638689764</v>
      </c>
      <c r="N42" s="9">
        <f>N41*(1+'Prod Economic Carrying Charge'!$D$8)</f>
        <v>9.6495773139671783</v>
      </c>
      <c r="O42" s="9">
        <f>O41*(1+'Prod Economic Carrying Charge'!$D$8)</f>
        <v>30.327242986753998</v>
      </c>
      <c r="P42" s="26">
        <f t="shared" si="13"/>
        <v>131.2918367780938</v>
      </c>
      <c r="Q42" s="25">
        <f>1/(1+'Combined WACOC-Tax Table'!$F$13)^A42</f>
        <v>0.4190127487811518</v>
      </c>
      <c r="R42" s="17">
        <f t="shared" si="2"/>
        <v>55.012953420915402</v>
      </c>
      <c r="S42" s="9">
        <f t="shared" si="6"/>
        <v>1358.7979963250768</v>
      </c>
      <c r="T42" s="6">
        <f t="shared" si="7"/>
        <v>0.11649674958127222</v>
      </c>
      <c r="U42" s="16"/>
    </row>
    <row r="43" spans="1:21" x14ac:dyDescent="0.2">
      <c r="A43">
        <v>15</v>
      </c>
      <c r="C43" s="9">
        <f t="shared" si="8"/>
        <v>28.175000000000001</v>
      </c>
      <c r="D43" s="9">
        <f t="shared" si="9"/>
        <v>704.37500000000068</v>
      </c>
      <c r="E43" s="9">
        <f>HLOOKUP($E$10,'Combined WACOC-Tax Table'!$B$17:$E$58,A43+1)*$B$28</f>
        <v>50.286740000000002</v>
      </c>
      <c r="F43" s="9">
        <f t="shared" si="10"/>
        <v>276.54326000000003</v>
      </c>
      <c r="G43" s="9">
        <f t="shared" si="3"/>
        <v>5.4926746042265782</v>
      </c>
      <c r="H43" s="9">
        <f t="shared" si="11"/>
        <v>106.27569486526471</v>
      </c>
      <c r="I43" s="9">
        <f t="shared" si="12"/>
        <v>598.09930513473591</v>
      </c>
      <c r="J43" s="9">
        <f>'Combined WACOC-Tax Table'!$D$10*I43</f>
        <v>4.189309989271308E-2</v>
      </c>
      <c r="K43" s="9">
        <f>I43*('Combined WACOC-Tax Table'!$D$11+'Combined WACOC-Tax Table'!$D$12)</f>
        <v>41.054797867967871</v>
      </c>
      <c r="L43" s="9">
        <f t="shared" si="4"/>
        <v>5.1897619827146881</v>
      </c>
      <c r="M43" s="9">
        <f t="shared" si="5"/>
        <v>13.568792243178258</v>
      </c>
      <c r="N43" s="9">
        <f>N42*(1+'Prod Economic Carrying Charge'!$D$8)</f>
        <v>9.8908167468163573</v>
      </c>
      <c r="O43" s="9">
        <f>O42*(1+'Prod Economic Carrying Charge'!$D$8)</f>
        <v>31.085424061422845</v>
      </c>
      <c r="P43" s="26">
        <f t="shared" si="13"/>
        <v>129.00648600199273</v>
      </c>
      <c r="Q43" s="25">
        <f>1/(1+'Combined WACOC-Tax Table'!$F$13)^A43</f>
        <v>0.39377076386326737</v>
      </c>
      <c r="R43" s="17">
        <f t="shared" si="2"/>
        <v>50.798982536320587</v>
      </c>
      <c r="S43" s="9">
        <f t="shared" si="6"/>
        <v>1409.5969788613975</v>
      </c>
      <c r="T43" s="6">
        <f t="shared" si="7"/>
        <v>0.1144689316787868</v>
      </c>
      <c r="U43" s="16"/>
    </row>
    <row r="44" spans="1:21" x14ac:dyDescent="0.2">
      <c r="A44">
        <v>16</v>
      </c>
      <c r="C44" s="9">
        <f t="shared" si="8"/>
        <v>28.175000000000001</v>
      </c>
      <c r="D44" s="9">
        <f t="shared" si="9"/>
        <v>676.20000000000073</v>
      </c>
      <c r="E44" s="9">
        <f>HLOOKUP($E$10,'Combined WACOC-Tax Table'!$B$17:$E$58,A44+1)*$B$28</f>
        <v>50.275469999999999</v>
      </c>
      <c r="F44" s="9">
        <f t="shared" si="10"/>
        <v>226.26779000000005</v>
      </c>
      <c r="G44" s="9">
        <f t="shared" si="3"/>
        <v>5.4898750758859931</v>
      </c>
      <c r="H44" s="9">
        <f t="shared" si="11"/>
        <v>111.7655699411507</v>
      </c>
      <c r="I44" s="9">
        <f t="shared" si="12"/>
        <v>564.43443005885001</v>
      </c>
      <c r="J44" s="9">
        <f>'Combined WACOC-Tax Table'!$D$10*I44</f>
        <v>3.953508682979523E-2</v>
      </c>
      <c r="K44" s="9">
        <f>I44*('Combined WACOC-Tax Table'!$D$11+'Combined WACOC-Tax Table'!$D$12)</f>
        <v>38.743969833851473</v>
      </c>
      <c r="L44" s="9">
        <f t="shared" si="4"/>
        <v>4.9821715034061009</v>
      </c>
      <c r="M44" s="9">
        <f t="shared" si="5"/>
        <v>12.805053359224292</v>
      </c>
      <c r="N44" s="9">
        <f>N43*(1+'Prod Economic Carrying Charge'!$D$8)</f>
        <v>10.138087165486766</v>
      </c>
      <c r="O44" s="9">
        <f>O43*(1+'Prod Economic Carrying Charge'!$D$8)</f>
        <v>31.862559662958414</v>
      </c>
      <c r="P44" s="26">
        <f t="shared" si="13"/>
        <v>126.74637661175684</v>
      </c>
      <c r="Q44" s="25">
        <f>1/(1+'Combined WACOC-Tax Table'!$F$13)^A44</f>
        <v>0.37004939569140827</v>
      </c>
      <c r="R44" s="17">
        <f t="shared" si="2"/>
        <v>46.902420071256266</v>
      </c>
      <c r="S44" s="9">
        <f t="shared" si="6"/>
        <v>1456.4993989326538</v>
      </c>
      <c r="T44" s="6">
        <f t="shared" si="7"/>
        <v>0.11246351074690049</v>
      </c>
      <c r="U44" s="16"/>
    </row>
    <row r="45" spans="1:21" x14ac:dyDescent="0.2">
      <c r="A45">
        <v>17</v>
      </c>
      <c r="C45" s="9">
        <f t="shared" si="8"/>
        <v>28.175000000000001</v>
      </c>
      <c r="D45" s="9">
        <f t="shared" si="9"/>
        <v>648.02500000000077</v>
      </c>
      <c r="E45" s="9">
        <f>HLOOKUP($E$10,'Combined WACOC-Tax Table'!$B$17:$E$58,A45+1)*$B$28</f>
        <v>50.286740000000002</v>
      </c>
      <c r="F45" s="9">
        <f t="shared" si="10"/>
        <v>175.98105000000004</v>
      </c>
      <c r="G45" s="9">
        <f t="shared" si="3"/>
        <v>5.4926746042265782</v>
      </c>
      <c r="H45" s="9">
        <f t="shared" si="11"/>
        <v>117.25824454537728</v>
      </c>
      <c r="I45" s="9">
        <f t="shared" si="12"/>
        <v>530.76675545462354</v>
      </c>
      <c r="J45" s="9">
        <f>'Combined WACOC-Tax Table'!$D$10*I45</f>
        <v>3.7176877677499887E-2</v>
      </c>
      <c r="K45" s="9">
        <f>I45*('Combined WACOC-Tax Table'!$D$11+'Combined WACOC-Tax Table'!$D$12)</f>
        <v>36.432949634204768</v>
      </c>
      <c r="L45" s="9">
        <f t="shared" si="4"/>
        <v>4.7745810240975137</v>
      </c>
      <c r="M45" s="9">
        <f t="shared" si="5"/>
        <v>12.041250963712788</v>
      </c>
      <c r="N45" s="9">
        <f>N44*(1+'Prod Economic Carrying Charge'!$D$8)</f>
        <v>10.391539344623935</v>
      </c>
      <c r="O45" s="9">
        <f>O44*(1+'Prod Economic Carrying Charge'!$D$8)</f>
        <v>32.659123654532372</v>
      </c>
      <c r="P45" s="26">
        <f t="shared" si="13"/>
        <v>124.51162149884888</v>
      </c>
      <c r="Q45" s="25">
        <f>1/(1+'Combined WACOC-Tax Table'!$F$13)^A45</f>
        <v>0.34775703992875967</v>
      </c>
      <c r="R45" s="17">
        <f t="shared" si="2"/>
        <v>43.299792929169804</v>
      </c>
      <c r="S45" s="9">
        <f t="shared" si="6"/>
        <v>1499.7991918618236</v>
      </c>
      <c r="T45" s="6">
        <f t="shared" si="7"/>
        <v>0.11048058695550034</v>
      </c>
      <c r="U45" s="16"/>
    </row>
    <row r="46" spans="1:21" x14ac:dyDescent="0.2">
      <c r="A46">
        <v>18</v>
      </c>
      <c r="C46" s="9">
        <f t="shared" si="8"/>
        <v>28.175000000000001</v>
      </c>
      <c r="D46" s="9">
        <f t="shared" si="9"/>
        <v>619.85000000000082</v>
      </c>
      <c r="E46" s="9">
        <f>HLOOKUP($E$10,'Combined WACOC-Tax Table'!$B$17:$E$58,A46+1)*$B$28</f>
        <v>50.275469999999999</v>
      </c>
      <c r="F46" s="9">
        <f t="shared" si="10"/>
        <v>125.70558000000004</v>
      </c>
      <c r="G46" s="9">
        <f t="shared" si="3"/>
        <v>5.4898750758859931</v>
      </c>
      <c r="H46" s="9">
        <f t="shared" si="11"/>
        <v>122.74811962126327</v>
      </c>
      <c r="I46" s="9">
        <f t="shared" si="12"/>
        <v>497.10188037873752</v>
      </c>
      <c r="J46" s="9">
        <f>'Combined WACOC-Tax Table'!$D$10*I46</f>
        <v>3.4818864614582036E-2</v>
      </c>
      <c r="K46" s="9">
        <f>I46*('Combined WACOC-Tax Table'!$D$11+'Combined WACOC-Tax Table'!$D$12)</f>
        <v>34.122121600088363</v>
      </c>
      <c r="L46" s="9">
        <f t="shared" si="4"/>
        <v>4.5669905447889274</v>
      </c>
      <c r="M46" s="9">
        <f t="shared" si="5"/>
        <v>11.277512079758818</v>
      </c>
      <c r="N46" s="9">
        <f>N45*(1+'Prod Economic Carrying Charge'!$D$8)</f>
        <v>10.651327828239532</v>
      </c>
      <c r="O46" s="9">
        <f>O45*(1+'Prod Economic Carrying Charge'!$D$8)</f>
        <v>33.47560174589568</v>
      </c>
      <c r="P46" s="26">
        <f t="shared" si="13"/>
        <v>122.30337266338591</v>
      </c>
      <c r="Q46" s="25">
        <f>1/(1+'Combined WACOC-Tax Table'!$F$13)^A46</f>
        <v>0.32680761062737429</v>
      </c>
      <c r="R46" s="17">
        <f t="shared" si="2"/>
        <v>39.969672991790475</v>
      </c>
      <c r="S46" s="9">
        <f t="shared" si="6"/>
        <v>1539.7688648536141</v>
      </c>
      <c r="T46" s="6">
        <f t="shared" si="7"/>
        <v>0.10852118248747641</v>
      </c>
      <c r="U46" s="16"/>
    </row>
    <row r="47" spans="1:21" x14ac:dyDescent="0.2">
      <c r="A47">
        <v>19</v>
      </c>
      <c r="C47" s="9">
        <f t="shared" si="8"/>
        <v>28.175000000000001</v>
      </c>
      <c r="D47" s="9">
        <f t="shared" si="9"/>
        <v>591.67500000000086</v>
      </c>
      <c r="E47" s="9">
        <f>HLOOKUP($E$10,'Combined WACOC-Tax Table'!$B$17:$E$58,A47+1)*$B$28</f>
        <v>50.286740000000002</v>
      </c>
      <c r="F47" s="9">
        <f t="shared" si="10"/>
        <v>75.418840000000046</v>
      </c>
      <c r="G47" s="9">
        <f t="shared" si="3"/>
        <v>5.4926746042265782</v>
      </c>
      <c r="H47" s="9">
        <f t="shared" si="11"/>
        <v>128.24079422548985</v>
      </c>
      <c r="I47" s="9">
        <f t="shared" si="12"/>
        <v>463.43420577451104</v>
      </c>
      <c r="J47" s="9">
        <f>'Combined WACOC-Tax Table'!$D$10*I47</f>
        <v>3.2460655462286693E-2</v>
      </c>
      <c r="K47" s="9">
        <f>I47*('Combined WACOC-Tax Table'!$D$11+'Combined WACOC-Tax Table'!$D$12)</f>
        <v>31.811101400441657</v>
      </c>
      <c r="L47" s="9">
        <f t="shared" si="4"/>
        <v>4.3594000654803402</v>
      </c>
      <c r="M47" s="9">
        <f t="shared" si="5"/>
        <v>10.513709684247313</v>
      </c>
      <c r="N47" s="9">
        <f>N46*(1+'Prod Economic Carrying Charge'!$D$8)</f>
        <v>10.91761102394552</v>
      </c>
      <c r="O47" s="9">
        <f>O46*(1+'Prod Economic Carrying Charge'!$D$8)</f>
        <v>34.312491789543067</v>
      </c>
      <c r="P47" s="26">
        <f t="shared" si="13"/>
        <v>120.1217746191202</v>
      </c>
      <c r="Q47" s="25">
        <f>1/(1+'Combined WACOC-Tax Table'!$F$13)^A47</f>
        <v>0.30712020779177573</v>
      </c>
      <c r="R47" s="17">
        <f t="shared" si="2"/>
        <v>36.891824381341046</v>
      </c>
      <c r="S47" s="9">
        <f t="shared" si="6"/>
        <v>1576.660689234955</v>
      </c>
      <c r="T47" s="6">
        <f t="shared" si="7"/>
        <v>0.10658542557153523</v>
      </c>
      <c r="U47" s="16"/>
    </row>
    <row r="48" spans="1:21" x14ac:dyDescent="0.2">
      <c r="A48">
        <v>20</v>
      </c>
      <c r="C48" s="9">
        <f t="shared" si="8"/>
        <v>28.175000000000001</v>
      </c>
      <c r="D48" s="9">
        <f t="shared" si="9"/>
        <v>563.50000000000091</v>
      </c>
      <c r="E48" s="9">
        <f>HLOOKUP($E$10,'Combined WACOC-Tax Table'!$B$17:$E$58,A48+1)*$B$28</f>
        <v>50.275469999999999</v>
      </c>
      <c r="F48" s="9">
        <f t="shared" si="10"/>
        <v>25.143370000000047</v>
      </c>
      <c r="G48" s="9">
        <f t="shared" si="3"/>
        <v>5.4898750758859931</v>
      </c>
      <c r="H48" s="9">
        <f t="shared" si="11"/>
        <v>133.73066930137585</v>
      </c>
      <c r="I48" s="9">
        <f t="shared" si="12"/>
        <v>429.76933069862503</v>
      </c>
      <c r="J48" s="9">
        <f>'Combined WACOC-Tax Table'!$D$10*I48</f>
        <v>3.0102642399368836E-2</v>
      </c>
      <c r="K48" s="9">
        <f>I48*('Combined WACOC-Tax Table'!$D$11+'Combined WACOC-Tax Table'!$D$12)</f>
        <v>29.500273366325253</v>
      </c>
      <c r="L48" s="9">
        <f t="shared" si="4"/>
        <v>4.151809586171753</v>
      </c>
      <c r="M48" s="9">
        <f t="shared" si="5"/>
        <v>9.7499708002933456</v>
      </c>
      <c r="N48" s="9">
        <f>N47*(1+'Prod Economic Carrying Charge'!$D$8)</f>
        <v>11.190551299544158</v>
      </c>
      <c r="O48" s="9">
        <f>O47*(1+'Prod Economic Carrying Charge'!$D$8)</f>
        <v>35.170304084281639</v>
      </c>
      <c r="P48" s="26">
        <f t="shared" si="13"/>
        <v>117.96801177901551</v>
      </c>
      <c r="Q48" s="25">
        <f>1/(1+'Combined WACOC-Tax Table'!$F$13)^A48</f>
        <v>0.28861880496905035</v>
      </c>
      <c r="R48" s="17">
        <f t="shared" si="2"/>
        <v>34.047786584234309</v>
      </c>
      <c r="S48" s="9">
        <f t="shared" si="6"/>
        <v>1610.7084758191893</v>
      </c>
      <c r="T48" s="6">
        <f t="shared" si="7"/>
        <v>0.10467436715085671</v>
      </c>
      <c r="U48" s="16"/>
    </row>
    <row r="49" spans="1:21" x14ac:dyDescent="0.2">
      <c r="A49">
        <v>21</v>
      </c>
      <c r="C49" s="9">
        <f t="shared" si="8"/>
        <v>28.175000000000001</v>
      </c>
      <c r="D49" s="9">
        <f t="shared" si="9"/>
        <v>535.32500000000095</v>
      </c>
      <c r="E49" s="9">
        <f>HLOOKUP($E$10,'Combined WACOC-Tax Table'!$B$17:$E$58,A49+1)*$B$28</f>
        <v>25.143370000000001</v>
      </c>
      <c r="F49" s="9">
        <f t="shared" si="10"/>
        <v>4.6185277824406512E-14</v>
      </c>
      <c r="G49" s="9">
        <f t="shared" si="3"/>
        <v>-0.75307312361720158</v>
      </c>
      <c r="H49" s="9">
        <f t="shared" si="11"/>
        <v>132.97759617775864</v>
      </c>
      <c r="I49" s="9">
        <f t="shared" si="12"/>
        <v>402.34740382224231</v>
      </c>
      <c r="J49" s="9">
        <f>'Combined WACOC-Tax Table'!$D$10*I49</f>
        <v>2.8181908648266779E-2</v>
      </c>
      <c r="K49" s="9">
        <f>I49*('Combined WACOC-Tax Table'!$D$11+'Combined WACOC-Tax Table'!$D$12)</f>
        <v>27.617974464796728</v>
      </c>
      <c r="L49" s="9">
        <f t="shared" si="4"/>
        <v>3.9442191068631662</v>
      </c>
      <c r="M49" s="9">
        <f t="shared" si="5"/>
        <v>9.1278626896520159</v>
      </c>
      <c r="N49" s="9">
        <f>N48*(1+'Prod Economic Carrying Charge'!$D$8)</f>
        <v>11.47031508203276</v>
      </c>
      <c r="O49" s="9">
        <f>O48*(1+'Prod Economic Carrying Charge'!$D$8)</f>
        <v>36.049561686388678</v>
      </c>
      <c r="P49" s="26">
        <f t="shared" si="13"/>
        <v>116.4131149383816</v>
      </c>
      <c r="Q49" s="25">
        <f>1/(1+'Combined WACOC-Tax Table'!$F$13)^A49</f>
        <v>0.27123195565900304</v>
      </c>
      <c r="R49" s="17">
        <f t="shared" si="2"/>
        <v>31.574956829093541</v>
      </c>
      <c r="S49" s="9">
        <f t="shared" si="6"/>
        <v>1642.2834326482828</v>
      </c>
      <c r="T49" s="6">
        <f t="shared" si="7"/>
        <v>0.10329468938631907</v>
      </c>
      <c r="U49" s="16"/>
    </row>
    <row r="50" spans="1:21" x14ac:dyDescent="0.2">
      <c r="A50">
        <v>22</v>
      </c>
      <c r="C50" s="9">
        <f t="shared" si="8"/>
        <v>28.175000000000001</v>
      </c>
      <c r="D50" s="9">
        <f t="shared" si="9"/>
        <v>507.15000000000094</v>
      </c>
      <c r="E50" s="9">
        <f>HLOOKUP($E$10,'Combined WACOC-Tax Table'!$B$17:$E$58,A50+1)*$B$28</f>
        <v>0</v>
      </c>
      <c r="F50" s="9">
        <f t="shared" si="10"/>
        <v>4.6185277824406512E-14</v>
      </c>
      <c r="G50" s="9">
        <f>(E50-C50)*$E$11</f>
        <v>-6.9988208514609811</v>
      </c>
      <c r="H50" s="9">
        <f t="shared" si="11"/>
        <v>125.97877532629767</v>
      </c>
      <c r="I50" s="9">
        <f t="shared" si="12"/>
        <v>381.17122467370325</v>
      </c>
      <c r="J50" s="9">
        <f>'Combined WACOC-Tax Table'!$D$10*I50</f>
        <v>2.6698650298358002E-2</v>
      </c>
      <c r="K50" s="9">
        <f>I50*('Combined WACOC-Tax Table'!$D$11+'Combined WACOC-Tax Table'!$D$12)</f>
        <v>26.164396861386372</v>
      </c>
      <c r="L50" s="9">
        <f t="shared" si="4"/>
        <v>3.7366286275545786</v>
      </c>
      <c r="M50" s="9">
        <f t="shared" si="5"/>
        <v>8.6474488638808555</v>
      </c>
      <c r="N50" s="9">
        <f>N49*(1+'Prod Economic Carrying Charge'!$D$8)</f>
        <v>11.757072959083578</v>
      </c>
      <c r="O50" s="9">
        <f>O49*(1+'Prod Economic Carrying Charge'!$D$8)</f>
        <v>36.950800728548394</v>
      </c>
      <c r="P50" s="26">
        <f t="shared" si="13"/>
        <v>115.45804669075213</v>
      </c>
      <c r="Q50" s="25">
        <f>1/(1+'Combined WACOC-Tax Table'!$F$13)^A50</f>
        <v>0.25489251741062485</v>
      </c>
      <c r="R50" s="17">
        <f t="shared" si="2"/>
        <v>29.429392176319272</v>
      </c>
      <c r="S50" s="9">
        <f t="shared" si="6"/>
        <v>1671.712824824602</v>
      </c>
      <c r="T50" s="6">
        <f t="shared" si="7"/>
        <v>0.1024472463981829</v>
      </c>
      <c r="U50" s="16"/>
    </row>
    <row r="51" spans="1:21" x14ac:dyDescent="0.2">
      <c r="A51">
        <v>23</v>
      </c>
      <c r="C51" s="9">
        <f t="shared" si="8"/>
        <v>28.175000000000001</v>
      </c>
      <c r="D51" s="9">
        <f t="shared" si="9"/>
        <v>478.97500000000093</v>
      </c>
      <c r="E51" s="9">
        <f>HLOOKUP($E$10,'Combined WACOC-Tax Table'!$B$17:$E$58,A51+1)*$B$28</f>
        <v>0</v>
      </c>
      <c r="F51" s="9">
        <f t="shared" si="10"/>
        <v>4.6185277824406512E-14</v>
      </c>
      <c r="G51" s="9">
        <f t="shared" si="3"/>
        <v>-6.9988208514609811</v>
      </c>
      <c r="H51" s="9">
        <f t="shared" si="11"/>
        <v>118.97995447483669</v>
      </c>
      <c r="I51" s="9">
        <f t="shared" si="12"/>
        <v>359.99504552516424</v>
      </c>
      <c r="J51" s="9">
        <f>'Combined WACOC-Tax Table'!$D$10*I51</f>
        <v>2.5215391948449229E-2</v>
      </c>
      <c r="K51" s="9">
        <f>I51*('Combined WACOC-Tax Table'!$D$11+'Combined WACOC-Tax Table'!$D$12)</f>
        <v>24.710819257976024</v>
      </c>
      <c r="L51" s="9">
        <f t="shared" si="4"/>
        <v>3.5290381482459914</v>
      </c>
      <c r="M51" s="9">
        <f t="shared" si="5"/>
        <v>8.1670350381096988</v>
      </c>
      <c r="N51" s="9">
        <f>N50*(1+'Prod Economic Carrying Charge'!$D$8)</f>
        <v>12.050999783060666</v>
      </c>
      <c r="O51" s="9">
        <f>O50*(1+'Prod Economic Carrying Charge'!$D$8)</f>
        <v>37.874570746762103</v>
      </c>
      <c r="P51" s="26">
        <f t="shared" si="13"/>
        <v>114.53267836610293</v>
      </c>
      <c r="Q51" s="25">
        <f>1/(1+'Combined WACOC-Tax Table'!$F$13)^A51</f>
        <v>0.23953739253942194</v>
      </c>
      <c r="R51" s="17">
        <f t="shared" si="2"/>
        <v>27.434859136372555</v>
      </c>
      <c r="S51" s="9">
        <f t="shared" si="6"/>
        <v>1699.1476839609745</v>
      </c>
      <c r="T51" s="6">
        <f t="shared" si="7"/>
        <v>0.10162615649166187</v>
      </c>
      <c r="U51" s="16"/>
    </row>
    <row r="52" spans="1:21" x14ac:dyDescent="0.2">
      <c r="A52">
        <v>24</v>
      </c>
      <c r="C52" s="9">
        <f t="shared" si="8"/>
        <v>28.175000000000001</v>
      </c>
      <c r="D52" s="9">
        <f t="shared" si="9"/>
        <v>450.80000000000092</v>
      </c>
      <c r="E52" s="9">
        <f>HLOOKUP($E$10,'Combined WACOC-Tax Table'!$B$17:$E$58,A52+1)*$B$28</f>
        <v>0</v>
      </c>
      <c r="F52" s="9">
        <f t="shared" si="10"/>
        <v>4.6185277824406512E-14</v>
      </c>
      <c r="G52" s="9">
        <f t="shared" si="3"/>
        <v>-6.9988208514609811</v>
      </c>
      <c r="H52" s="9">
        <f t="shared" si="11"/>
        <v>111.98113362337571</v>
      </c>
      <c r="I52" s="9">
        <f t="shared" si="12"/>
        <v>338.81886637662524</v>
      </c>
      <c r="J52" s="9">
        <f>'Combined WACOC-Tax Table'!$D$10*I52</f>
        <v>2.3732133598540456E-2</v>
      </c>
      <c r="K52" s="9">
        <f>I52*('Combined WACOC-Tax Table'!$D$11+'Combined WACOC-Tax Table'!$D$12)</f>
        <v>23.257241654565675</v>
      </c>
      <c r="L52" s="9">
        <f t="shared" si="4"/>
        <v>3.3214476689374042</v>
      </c>
      <c r="M52" s="9">
        <f t="shared" si="5"/>
        <v>7.686621212338542</v>
      </c>
      <c r="N52" s="9">
        <f>N51*(1+'Prod Economic Carrying Charge'!$D$8)</f>
        <v>12.352274777637181</v>
      </c>
      <c r="O52" s="9">
        <f>O51*(1+'Prod Economic Carrying Charge'!$D$8)</f>
        <v>38.821435015431149</v>
      </c>
      <c r="P52" s="26">
        <f t="shared" si="13"/>
        <v>113.63775246250849</v>
      </c>
      <c r="Q52" s="25">
        <f>1/(1+'Combined WACOC-Tax Table'!$F$13)^A52</f>
        <v>0.22510728446433936</v>
      </c>
      <c r="R52" s="17">
        <f t="shared" si="2"/>
        <v>25.58068586946608</v>
      </c>
      <c r="S52" s="9">
        <f t="shared" si="6"/>
        <v>1724.7283698304407</v>
      </c>
      <c r="T52" s="6">
        <f t="shared" si="7"/>
        <v>0.10083207849379636</v>
      </c>
      <c r="U52" s="16"/>
    </row>
    <row r="53" spans="1:21" x14ac:dyDescent="0.2">
      <c r="A53">
        <v>25</v>
      </c>
      <c r="C53" s="9">
        <f t="shared" si="8"/>
        <v>28.175000000000001</v>
      </c>
      <c r="D53" s="9">
        <f t="shared" si="9"/>
        <v>422.62500000000091</v>
      </c>
      <c r="E53" s="9">
        <f>HLOOKUP($E$10,'Combined WACOC-Tax Table'!$B$17:$E$58,A53+1)*$B$28</f>
        <v>0</v>
      </c>
      <c r="F53" s="9">
        <f t="shared" si="10"/>
        <v>4.6185277824406512E-14</v>
      </c>
      <c r="G53" s="9">
        <f t="shared" si="3"/>
        <v>-6.9988208514609811</v>
      </c>
      <c r="H53" s="9">
        <f t="shared" si="11"/>
        <v>104.98231277191474</v>
      </c>
      <c r="I53" s="9">
        <f t="shared" si="12"/>
        <v>317.64268722808617</v>
      </c>
      <c r="J53" s="9">
        <f>'Combined WACOC-Tax Table'!$D$10*I53</f>
        <v>2.2248875248631679E-2</v>
      </c>
      <c r="K53" s="9">
        <f>I53*('Combined WACOC-Tax Table'!$D$11+'Combined WACOC-Tax Table'!$D$12)</f>
        <v>21.803664051155319</v>
      </c>
      <c r="L53" s="9">
        <f t="shared" si="4"/>
        <v>3.1138571896288165</v>
      </c>
      <c r="M53" s="9">
        <f t="shared" si="5"/>
        <v>7.2062073865673835</v>
      </c>
      <c r="N53" s="9">
        <f>N52*(1+'Prod Economic Carrying Charge'!$D$8)</f>
        <v>12.66108164707811</v>
      </c>
      <c r="O53" s="9">
        <f>O52*(1+'Prod Economic Carrying Charge'!$D$8)</f>
        <v>39.791970890816927</v>
      </c>
      <c r="P53" s="26">
        <f t="shared" si="13"/>
        <v>112.77403004049519</v>
      </c>
      <c r="Q53" s="25">
        <f>1/(1+'Combined WACOC-Tax Table'!$F$13)^A53</f>
        <v>0.21154646872333066</v>
      </c>
      <c r="R53" s="17">
        <f t="shared" si="2"/>
        <v>23.856947818765569</v>
      </c>
      <c r="S53" s="9">
        <f t="shared" si="6"/>
        <v>1748.5853176492062</v>
      </c>
      <c r="T53" s="6">
        <f t="shared" si="7"/>
        <v>0.10006568770230274</v>
      </c>
      <c r="U53" s="16"/>
    </row>
    <row r="54" spans="1:21" x14ac:dyDescent="0.2">
      <c r="A54">
        <v>26</v>
      </c>
      <c r="C54" s="9">
        <f t="shared" si="8"/>
        <v>28.175000000000001</v>
      </c>
      <c r="D54" s="9">
        <f t="shared" si="9"/>
        <v>394.4500000000009</v>
      </c>
      <c r="E54" s="9">
        <f>HLOOKUP($E$10,'Combined WACOC-Tax Table'!$B$17:$E$58,A54+1)*$B$28</f>
        <v>0</v>
      </c>
      <c r="F54" s="9">
        <f t="shared" si="10"/>
        <v>4.6185277824406512E-14</v>
      </c>
      <c r="G54" s="9">
        <f t="shared" si="3"/>
        <v>-6.9988208514609811</v>
      </c>
      <c r="H54" s="9">
        <f t="shared" si="11"/>
        <v>97.983491920453758</v>
      </c>
      <c r="I54" s="9">
        <f t="shared" si="12"/>
        <v>296.46650807954711</v>
      </c>
      <c r="J54" s="9">
        <f>'Combined WACOC-Tax Table'!$D$10*I54</f>
        <v>2.0765616898722899E-2</v>
      </c>
      <c r="K54" s="9">
        <f>I54*('Combined WACOC-Tax Table'!$D$11+'Combined WACOC-Tax Table'!$D$12)</f>
        <v>20.350086447744967</v>
      </c>
      <c r="L54" s="9">
        <f t="shared" si="4"/>
        <v>2.9062667103202293</v>
      </c>
      <c r="M54" s="9">
        <f t="shared" si="5"/>
        <v>6.7257935607962249</v>
      </c>
      <c r="N54" s="9">
        <f>N53*(1+'Prod Economic Carrying Charge'!$D$8)</f>
        <v>12.977608688255062</v>
      </c>
      <c r="O54" s="9">
        <f>O53*(1+'Prod Economic Carrying Charge'!$D$8)</f>
        <v>40.786770163087347</v>
      </c>
      <c r="P54" s="26">
        <f t="shared" si="13"/>
        <v>111.94229118710257</v>
      </c>
      <c r="Q54" s="25">
        <f>1/(1+'Combined WACOC-Tax Table'!$F$13)^A54</f>
        <v>0.19880257778330826</v>
      </c>
      <c r="R54" s="17">
        <f t="shared" si="2"/>
        <v>22.254416050965702</v>
      </c>
      <c r="S54" s="9">
        <f t="shared" si="6"/>
        <v>1770.839733700172</v>
      </c>
      <c r="T54" s="6">
        <f t="shared" si="7"/>
        <v>9.932767629734035E-2</v>
      </c>
      <c r="U54" s="16"/>
    </row>
    <row r="55" spans="1:21" x14ac:dyDescent="0.2">
      <c r="A55">
        <v>27</v>
      </c>
      <c r="C55" s="9">
        <f t="shared" si="8"/>
        <v>28.175000000000001</v>
      </c>
      <c r="D55" s="9">
        <f t="shared" si="9"/>
        <v>366.27500000000089</v>
      </c>
      <c r="E55" s="9">
        <f>HLOOKUP($E$10,'Combined WACOC-Tax Table'!$B$17:$E$58,A55+1)*$B$28</f>
        <v>0</v>
      </c>
      <c r="F55" s="9">
        <f t="shared" si="10"/>
        <v>4.6185277824406512E-14</v>
      </c>
      <c r="G55" s="9">
        <f t="shared" si="3"/>
        <v>-6.9988208514609811</v>
      </c>
      <c r="H55" s="9">
        <f t="shared" si="11"/>
        <v>90.984671068992782</v>
      </c>
      <c r="I55" s="9">
        <f t="shared" si="12"/>
        <v>275.2903289310081</v>
      </c>
      <c r="J55" s="9">
        <f>'Combined WACOC-Tax Table'!$D$10*I55</f>
        <v>1.9282358548814126E-2</v>
      </c>
      <c r="K55" s="9">
        <f>I55*('Combined WACOC-Tax Table'!$D$11+'Combined WACOC-Tax Table'!$D$12)</f>
        <v>18.896508844334615</v>
      </c>
      <c r="L55" s="9">
        <f t="shared" si="4"/>
        <v>2.6986762310116417</v>
      </c>
      <c r="M55" s="9">
        <f t="shared" si="5"/>
        <v>6.2453797350250673</v>
      </c>
      <c r="N55" s="9">
        <f>N54*(1+'Prod Economic Carrying Charge'!$D$8)</f>
        <v>13.302048905461437</v>
      </c>
      <c r="O55" s="9">
        <f>O54*(1+'Prod Economic Carrying Charge'!$D$8)</f>
        <v>41.806439417164526</v>
      </c>
      <c r="P55" s="26">
        <f t="shared" si="13"/>
        <v>111.1433354915461</v>
      </c>
      <c r="Q55" s="25">
        <f>1/(1+'Combined WACOC-Tax Table'!$F$13)^A55</f>
        <v>0.1868263988134799</v>
      </c>
      <c r="R55" s="17">
        <f t="shared" si="2"/>
        <v>20.764509122003986</v>
      </c>
      <c r="S55" s="9">
        <f t="shared" si="6"/>
        <v>1791.604242822176</v>
      </c>
      <c r="T55" s="6">
        <f t="shared" si="7"/>
        <v>9.8618753763572403E-2</v>
      </c>
      <c r="U55" s="16"/>
    </row>
    <row r="56" spans="1:21" x14ac:dyDescent="0.2">
      <c r="A56">
        <v>28</v>
      </c>
      <c r="C56" s="9">
        <f t="shared" si="8"/>
        <v>28.175000000000001</v>
      </c>
      <c r="D56" s="9">
        <f t="shared" si="9"/>
        <v>338.10000000000088</v>
      </c>
      <c r="E56" s="9">
        <f>HLOOKUP($E$10,'Combined WACOC-Tax Table'!$B$17:$E$58,A56+1)*$B$28</f>
        <v>0</v>
      </c>
      <c r="F56" s="9">
        <f t="shared" si="10"/>
        <v>4.6185277824406512E-14</v>
      </c>
      <c r="G56" s="9">
        <f t="shared" si="3"/>
        <v>-6.9988208514609811</v>
      </c>
      <c r="H56" s="9">
        <f t="shared" si="11"/>
        <v>83.985850217531805</v>
      </c>
      <c r="I56" s="9">
        <f t="shared" si="12"/>
        <v>254.11414978246907</v>
      </c>
      <c r="J56" s="9">
        <f>'Combined WACOC-Tax Table'!$D$10*I56</f>
        <v>1.7799100198905352E-2</v>
      </c>
      <c r="K56" s="9">
        <f>I56*('Combined WACOC-Tax Table'!$D$11+'Combined WACOC-Tax Table'!$D$12)</f>
        <v>17.442931240924263</v>
      </c>
      <c r="L56" s="9">
        <f t="shared" si="4"/>
        <v>2.4910857517030545</v>
      </c>
      <c r="M56" s="9">
        <f t="shared" si="5"/>
        <v>5.7649659092539087</v>
      </c>
      <c r="N56" s="9">
        <f>N55*(1+'Prod Economic Carrying Charge'!$D$8)</f>
        <v>13.634600128097972</v>
      </c>
      <c r="O56" s="9">
        <f>O55*(1+'Prod Economic Carrying Charge'!$D$8)</f>
        <v>42.851600402593633</v>
      </c>
      <c r="P56" s="26">
        <f t="shared" si="13"/>
        <v>110.37798253277174</v>
      </c>
      <c r="Q56" s="25">
        <f>1/(1+'Combined WACOC-Tax Table'!$F$13)^A56</f>
        <v>0.17557168364113657</v>
      </c>
      <c r="R56" s="17">
        <f t="shared" si="2"/>
        <v>19.379248230190697</v>
      </c>
      <c r="S56" s="9">
        <f t="shared" si="6"/>
        <v>1810.9834910523668</v>
      </c>
      <c r="T56" s="6">
        <f t="shared" si="7"/>
        <v>9.7939647322778822E-2</v>
      </c>
      <c r="U56" s="16"/>
    </row>
    <row r="57" spans="1:21" x14ac:dyDescent="0.2">
      <c r="A57">
        <v>29</v>
      </c>
      <c r="C57" s="9">
        <f t="shared" si="8"/>
        <v>28.175000000000001</v>
      </c>
      <c r="D57" s="9">
        <f t="shared" si="9"/>
        <v>309.92500000000086</v>
      </c>
      <c r="E57" s="9">
        <f>HLOOKUP($E$10,'Combined WACOC-Tax Table'!$B$17:$E$58,A57+1)*$B$28</f>
        <v>0</v>
      </c>
      <c r="F57" s="9">
        <f t="shared" si="10"/>
        <v>4.6185277824406512E-14</v>
      </c>
      <c r="G57" s="9">
        <f t="shared" si="3"/>
        <v>-6.9988208514609811</v>
      </c>
      <c r="H57" s="9">
        <f t="shared" si="11"/>
        <v>76.987029366070828</v>
      </c>
      <c r="I57" s="9">
        <f t="shared" si="12"/>
        <v>232.93797063393004</v>
      </c>
      <c r="J57" s="9">
        <f>'Combined WACOC-Tax Table'!$D$10*I57</f>
        <v>1.6315841848996575E-2</v>
      </c>
      <c r="K57" s="9">
        <f>I57*('Combined WACOC-Tax Table'!$D$11+'Combined WACOC-Tax Table'!$D$12)</f>
        <v>15.989353637513913</v>
      </c>
      <c r="L57" s="9">
        <f t="shared" si="4"/>
        <v>2.2834952723944668</v>
      </c>
      <c r="M57" s="9">
        <f t="shared" si="5"/>
        <v>5.284552083482752</v>
      </c>
      <c r="N57" s="9">
        <f>N56*(1+'Prod Economic Carrying Charge'!$D$8)</f>
        <v>13.975465131300421</v>
      </c>
      <c r="O57" s="9">
        <f>O56*(1+'Prod Economic Carrying Charge'!$D$8)</f>
        <v>43.922890412658468</v>
      </c>
      <c r="P57" s="26">
        <f t="shared" si="13"/>
        <v>109.64707237919902</v>
      </c>
      <c r="Q57" s="25">
        <f>1/(1+'Combined WACOC-Tax Table'!$F$13)^A57</f>
        <v>0.16499497015600145</v>
      </c>
      <c r="R57" s="17">
        <f t="shared" si="2"/>
        <v>18.091215434898874</v>
      </c>
      <c r="S57" s="9">
        <f t="shared" si="6"/>
        <v>1829.0747064872658</v>
      </c>
      <c r="T57" s="6">
        <f t="shared" si="7"/>
        <v>9.7291102377283958E-2</v>
      </c>
      <c r="U57" s="16"/>
    </row>
    <row r="58" spans="1:21" x14ac:dyDescent="0.2">
      <c r="A58">
        <v>30</v>
      </c>
      <c r="C58" s="9">
        <f t="shared" si="8"/>
        <v>28.175000000000001</v>
      </c>
      <c r="D58" s="9">
        <f t="shared" si="9"/>
        <v>281.75000000000085</v>
      </c>
      <c r="E58" s="9">
        <f>HLOOKUP($E$10,'Combined WACOC-Tax Table'!$B$17:$E$58,A58+1)*$B$28</f>
        <v>0</v>
      </c>
      <c r="F58" s="9">
        <f t="shared" si="10"/>
        <v>4.6185277824406512E-14</v>
      </c>
      <c r="G58" s="9">
        <f t="shared" si="3"/>
        <v>-6.9988208514609811</v>
      </c>
      <c r="H58" s="9">
        <f t="shared" si="11"/>
        <v>69.988208514609852</v>
      </c>
      <c r="I58" s="9">
        <f t="shared" si="12"/>
        <v>211.761791485391</v>
      </c>
      <c r="J58" s="9">
        <f>'Combined WACOC-Tax Table'!$D$10*I58</f>
        <v>1.48325834990878E-2</v>
      </c>
      <c r="K58" s="9">
        <f>I58*('Combined WACOC-Tax Table'!$D$11+'Combined WACOC-Tax Table'!$D$12)</f>
        <v>14.535776034103561</v>
      </c>
      <c r="L58" s="9">
        <f t="shared" si="4"/>
        <v>2.0759047930858796</v>
      </c>
      <c r="M58" s="9">
        <f t="shared" si="5"/>
        <v>4.8041382577115934</v>
      </c>
      <c r="N58" s="9">
        <f>N57*(1+'Prod Economic Carrying Charge'!$D$8)</f>
        <v>14.324851759582931</v>
      </c>
      <c r="O58" s="9">
        <f>O57*(1+'Prod Economic Carrying Charge'!$D$8)</f>
        <v>45.020962672974925</v>
      </c>
      <c r="P58" s="26">
        <f t="shared" si="13"/>
        <v>108.95146610095799</v>
      </c>
      <c r="Q58" s="25">
        <f>1/(1+'Combined WACOC-Tax Table'!$F$13)^A58</f>
        <v>0.15505541447346108</v>
      </c>
      <c r="R58" s="17">
        <f t="shared" si="2"/>
        <v>16.893514733775284</v>
      </c>
      <c r="S58" s="9">
        <f t="shared" si="6"/>
        <v>1845.9682212210409</v>
      </c>
      <c r="T58" s="6">
        <f t="shared" si="7"/>
        <v>9.667388296447027E-2</v>
      </c>
      <c r="U58" s="16"/>
    </row>
    <row r="59" spans="1:21" x14ac:dyDescent="0.2">
      <c r="A59">
        <v>31</v>
      </c>
      <c r="C59" s="9">
        <f t="shared" si="8"/>
        <v>28.175000000000001</v>
      </c>
      <c r="D59" s="9">
        <f t="shared" si="9"/>
        <v>253.57500000000084</v>
      </c>
      <c r="E59" s="9">
        <f>HLOOKUP($E$10,'Combined WACOC-Tax Table'!$B$17:$E$58,A59+1)*$B$28</f>
        <v>0</v>
      </c>
      <c r="F59" s="9">
        <f t="shared" si="10"/>
        <v>4.6185277824406512E-14</v>
      </c>
      <c r="G59" s="9">
        <f t="shared" si="3"/>
        <v>-6.9988208514609811</v>
      </c>
      <c r="H59" s="9">
        <f t="shared" si="11"/>
        <v>62.989387663148868</v>
      </c>
      <c r="I59" s="9">
        <f t="shared" ref="I59:I68" si="14">D59</f>
        <v>253.57500000000084</v>
      </c>
      <c r="J59" s="9">
        <f>'Combined WACOC-Tax Table'!$D$10*I59</f>
        <v>1.776133614283612E-2</v>
      </c>
      <c r="K59" s="9">
        <f>I59*('Combined WACOC-Tax Table'!$D$11+'Combined WACOC-Tax Table'!$D$12)</f>
        <v>17.405922862633631</v>
      </c>
      <c r="L59" s="9">
        <f t="shared" si="4"/>
        <v>1.8683143137772922</v>
      </c>
      <c r="M59" s="9">
        <f t="shared" si="5"/>
        <v>5.752734476574652</v>
      </c>
      <c r="N59" s="9">
        <f>N58*(1+'Prod Economic Carrying Charge'!$D$8)</f>
        <v>14.682973053572503</v>
      </c>
      <c r="O59" s="9">
        <f>O58*(1+'Prod Economic Carrying Charge'!$D$8)</f>
        <v>46.146486739799293</v>
      </c>
      <c r="P59" s="26">
        <f t="shared" si="13"/>
        <v>114.0491927825002</v>
      </c>
      <c r="Q59" s="25">
        <f>1/(1+'Combined WACOC-Tax Table'!$F$13)^A59</f>
        <v>0.14571463320854633</v>
      </c>
      <c r="R59" s="17">
        <f t="shared" si="2"/>
        <v>16.618636294032807</v>
      </c>
      <c r="S59" s="9">
        <f t="shared" si="6"/>
        <v>1862.5868575150737</v>
      </c>
      <c r="T59" s="6">
        <f t="shared" si="7"/>
        <v>0.1011971541992016</v>
      </c>
      <c r="U59" s="16"/>
    </row>
    <row r="60" spans="1:21" x14ac:dyDescent="0.2">
      <c r="A60">
        <v>32</v>
      </c>
      <c r="C60" s="9">
        <f t="shared" si="8"/>
        <v>28.175000000000001</v>
      </c>
      <c r="D60" s="9">
        <f t="shared" si="9"/>
        <v>225.40000000000083</v>
      </c>
      <c r="E60" s="9">
        <f>HLOOKUP($E$10,'Combined WACOC-Tax Table'!$B$17:$E$58,A60+1)*$B$28</f>
        <v>0</v>
      </c>
      <c r="F60" s="9">
        <f t="shared" si="10"/>
        <v>4.6185277824406512E-14</v>
      </c>
      <c r="G60" s="9">
        <f t="shared" si="3"/>
        <v>-6.9988208514609811</v>
      </c>
      <c r="H60" s="9">
        <f t="shared" si="11"/>
        <v>55.990566811687884</v>
      </c>
      <c r="I60" s="9">
        <f t="shared" si="14"/>
        <v>225.40000000000083</v>
      </c>
      <c r="J60" s="9">
        <f>'Combined WACOC-Tax Table'!$D$10*I60</f>
        <v>1.5787854349187669E-2</v>
      </c>
      <c r="K60" s="9">
        <f>I60*('Combined WACOC-Tax Table'!$D$11+'Combined WACOC-Tax Table'!$D$12)</f>
        <v>15.471931433452122</v>
      </c>
      <c r="L60" s="9">
        <f t="shared" si="4"/>
        <v>1.6607238344687048</v>
      </c>
      <c r="M60" s="9">
        <f t="shared" si="5"/>
        <v>5.1135417569552484</v>
      </c>
      <c r="N60" s="9">
        <f>N59*(1+'Prod Economic Carrying Charge'!$D$8)</f>
        <v>15.050047379911815</v>
      </c>
      <c r="O60" s="9">
        <f>O59*(1+'Prod Economic Carrying Charge'!$D$8)</f>
        <v>47.300148908294268</v>
      </c>
      <c r="P60" s="26">
        <f t="shared" si="13"/>
        <v>112.78718116743136</v>
      </c>
      <c r="Q60" s="25">
        <f>1/(1+'Combined WACOC-Tax Table'!$F$13)^A60</f>
        <v>0.13693655525157644</v>
      </c>
      <c r="R60" s="17">
        <f t="shared" si="2"/>
        <v>15.444688065603525</v>
      </c>
      <c r="S60" s="9">
        <f t="shared" si="6"/>
        <v>1878.0315455806772</v>
      </c>
      <c r="T60" s="6">
        <f t="shared" si="7"/>
        <v>0.10007735684776518</v>
      </c>
      <c r="U60" s="16"/>
    </row>
    <row r="61" spans="1:21" x14ac:dyDescent="0.2">
      <c r="A61">
        <v>33</v>
      </c>
      <c r="C61" s="9">
        <f t="shared" si="8"/>
        <v>28.175000000000001</v>
      </c>
      <c r="D61" s="9">
        <f t="shared" si="9"/>
        <v>197.22500000000082</v>
      </c>
      <c r="E61" s="9">
        <f>HLOOKUP($E$10,'Combined WACOC-Tax Table'!$B$17:$E$58,A61+1)*$B$28</f>
        <v>0</v>
      </c>
      <c r="F61" s="9">
        <f t="shared" si="10"/>
        <v>4.6185277824406512E-14</v>
      </c>
      <c r="G61" s="9">
        <f t="shared" si="3"/>
        <v>-6.9988208514609811</v>
      </c>
      <c r="H61" s="9">
        <f t="shared" si="11"/>
        <v>48.991745960226901</v>
      </c>
      <c r="I61" s="9">
        <f t="shared" si="14"/>
        <v>197.22500000000082</v>
      </c>
      <c r="J61" s="9">
        <f>'Combined WACOC-Tax Table'!$D$10*I61</f>
        <v>1.3814372555539217E-2</v>
      </c>
      <c r="K61" s="9">
        <f>I61*('Combined WACOC-Tax Table'!$D$11+'Combined WACOC-Tax Table'!$D$12)</f>
        <v>13.537940004270613</v>
      </c>
      <c r="L61" s="9">
        <f t="shared" si="4"/>
        <v>1.4531333551601173</v>
      </c>
      <c r="M61" s="9">
        <f t="shared" si="5"/>
        <v>4.4743490373358448</v>
      </c>
      <c r="N61" s="9">
        <f>N60*(1+'Prod Economic Carrying Charge'!$D$8)</f>
        <v>15.42629856440961</v>
      </c>
      <c r="O61" s="9">
        <f>O60*(1+'Prod Economic Carrying Charge'!$D$8)</f>
        <v>48.482652631001621</v>
      </c>
      <c r="P61" s="26">
        <f t="shared" si="13"/>
        <v>111.56318796473334</v>
      </c>
      <c r="Q61" s="25">
        <f>1/(1+'Combined WACOC-Tax Table'!$F$13)^A61</f>
        <v>0.12868728247307043</v>
      </c>
      <c r="R61" s="17">
        <f t="shared" si="2"/>
        <v>14.356763483213891</v>
      </c>
      <c r="S61" s="9">
        <f t="shared" si="6"/>
        <v>1892.388309063891</v>
      </c>
      <c r="T61" s="6">
        <f t="shared" si="7"/>
        <v>9.8991293668796221E-2</v>
      </c>
      <c r="U61" s="16"/>
    </row>
    <row r="62" spans="1:21" x14ac:dyDescent="0.2">
      <c r="A62">
        <v>34</v>
      </c>
      <c r="C62" s="9">
        <f t="shared" si="8"/>
        <v>28.175000000000001</v>
      </c>
      <c r="D62" s="9">
        <f t="shared" si="9"/>
        <v>169.05000000000081</v>
      </c>
      <c r="E62" s="9">
        <f>HLOOKUP($E$10,'Combined WACOC-Tax Table'!$B$17:$E$58,A62+1)*$B$28</f>
        <v>0</v>
      </c>
      <c r="F62" s="9">
        <f t="shared" si="10"/>
        <v>4.6185277824406512E-14</v>
      </c>
      <c r="G62" s="9">
        <f t="shared" si="3"/>
        <v>-6.9988208514609811</v>
      </c>
      <c r="H62" s="9">
        <f t="shared" si="11"/>
        <v>41.992925108765917</v>
      </c>
      <c r="I62" s="9">
        <f t="shared" si="14"/>
        <v>169.05000000000081</v>
      </c>
      <c r="J62" s="9">
        <f>'Combined WACOC-Tax Table'!$D$10*I62</f>
        <v>1.1840890761890764E-2</v>
      </c>
      <c r="K62" s="9">
        <f>I62*('Combined WACOC-Tax Table'!$D$11+'Combined WACOC-Tax Table'!$D$12)</f>
        <v>11.603948575089104</v>
      </c>
      <c r="L62" s="9">
        <f t="shared" si="4"/>
        <v>1.2455428758515299</v>
      </c>
      <c r="M62" s="9">
        <f t="shared" si="5"/>
        <v>3.8351563177164407</v>
      </c>
      <c r="N62" s="9">
        <f>N61*(1+'Prod Economic Carrying Charge'!$D$8)</f>
        <v>15.811956028519848</v>
      </c>
      <c r="O62" s="9">
        <f>O61*(1+'Prod Economic Carrying Charge'!$D$8)</f>
        <v>49.694718946776653</v>
      </c>
      <c r="P62" s="26">
        <f t="shared" si="13"/>
        <v>110.37816363471546</v>
      </c>
      <c r="Q62" s="25">
        <f>1/(1+'Combined WACOC-Tax Table'!$F$13)^A62</f>
        <v>0.12093495882001291</v>
      </c>
      <c r="R62" s="17">
        <f t="shared" si="2"/>
        <v>13.348578673792961</v>
      </c>
      <c r="S62" s="9">
        <f t="shared" si="6"/>
        <v>1905.7368877376839</v>
      </c>
      <c r="T62" s="6">
        <f t="shared" si="7"/>
        <v>9.7939808016606442E-2</v>
      </c>
      <c r="U62" s="16"/>
    </row>
    <row r="63" spans="1:21" x14ac:dyDescent="0.2">
      <c r="A63">
        <v>35</v>
      </c>
      <c r="C63" s="9">
        <f t="shared" si="8"/>
        <v>28.175000000000001</v>
      </c>
      <c r="D63" s="9">
        <f t="shared" si="9"/>
        <v>140.8750000000008</v>
      </c>
      <c r="E63" s="9">
        <f>HLOOKUP($E$10,'Combined WACOC-Tax Table'!$B$17:$E$58,A63+1)*$B$28</f>
        <v>0</v>
      </c>
      <c r="F63" s="9">
        <f t="shared" si="10"/>
        <v>4.6185277824406512E-14</v>
      </c>
      <c r="G63" s="9">
        <f t="shared" si="3"/>
        <v>-6.9988208514609811</v>
      </c>
      <c r="H63" s="9">
        <f t="shared" si="11"/>
        <v>34.994104257304933</v>
      </c>
      <c r="I63" s="9">
        <f t="shared" si="14"/>
        <v>140.8750000000008</v>
      </c>
      <c r="J63" s="9">
        <f>'Combined WACOC-Tax Table'!$D$10*I63</f>
        <v>9.8674089682423121E-3</v>
      </c>
      <c r="K63" s="9">
        <f>I63*('Combined WACOC-Tax Table'!$D$11+'Combined WACOC-Tax Table'!$D$12)</f>
        <v>9.6699571459075955</v>
      </c>
      <c r="L63" s="9">
        <f t="shared" si="4"/>
        <v>1.0379523965429425</v>
      </c>
      <c r="M63" s="9">
        <f t="shared" si="5"/>
        <v>3.1959635980970367</v>
      </c>
      <c r="N63" s="9">
        <f>N62*(1+'Prod Economic Carrying Charge'!$D$8)</f>
        <v>16.207254929232842</v>
      </c>
      <c r="O63" s="9">
        <f>O62*(1+'Prod Economic Carrying Charge'!$D$8)</f>
        <v>50.937086920446063</v>
      </c>
      <c r="P63" s="26">
        <f t="shared" si="13"/>
        <v>109.23308239919473</v>
      </c>
      <c r="Q63" s="25">
        <f>1/(1+'Combined WACOC-Tax Table'!$F$13)^A63</f>
        <v>0.11364964729796634</v>
      </c>
      <c r="R63" s="17">
        <f t="shared" si="2"/>
        <v>12.414301287938176</v>
      </c>
      <c r="S63" s="9">
        <f t="shared" si="6"/>
        <v>1918.151189025622</v>
      </c>
      <c r="T63" s="6">
        <f t="shared" si="7"/>
        <v>9.6923764329365336E-2</v>
      </c>
      <c r="U63" s="16"/>
    </row>
    <row r="64" spans="1:21" x14ac:dyDescent="0.2">
      <c r="A64">
        <v>36</v>
      </c>
      <c r="C64" s="9">
        <f t="shared" si="8"/>
        <v>28.175000000000001</v>
      </c>
      <c r="D64" s="9">
        <f t="shared" si="9"/>
        <v>112.7000000000008</v>
      </c>
      <c r="E64" s="9">
        <f>HLOOKUP($E$10,'Combined WACOC-Tax Table'!$B$17:$E$58,A64+1)*$B$28</f>
        <v>0</v>
      </c>
      <c r="F64" s="9">
        <f t="shared" si="10"/>
        <v>4.6185277824406512E-14</v>
      </c>
      <c r="G64" s="9">
        <f t="shared" si="3"/>
        <v>-6.9988208514609811</v>
      </c>
      <c r="H64" s="9">
        <f t="shared" si="11"/>
        <v>27.995283405843953</v>
      </c>
      <c r="I64" s="9">
        <f t="shared" si="14"/>
        <v>112.7000000000008</v>
      </c>
      <c r="J64" s="9">
        <f>'Combined WACOC-Tax Table'!$D$10*I64</f>
        <v>7.8939271745938604E-3</v>
      </c>
      <c r="K64" s="9">
        <f>I64*('Combined WACOC-Tax Table'!$D$11+'Combined WACOC-Tax Table'!$D$12)</f>
        <v>7.7359657167260876</v>
      </c>
      <c r="L64" s="9">
        <f t="shared" si="4"/>
        <v>0.83036191723435515</v>
      </c>
      <c r="M64" s="9">
        <f t="shared" si="5"/>
        <v>2.5567708784776331</v>
      </c>
      <c r="N64" s="9">
        <f>N63*(1+'Prod Economic Carrying Charge'!$D$8)</f>
        <v>16.612436302463664</v>
      </c>
      <c r="O64" s="9">
        <f>O63*(1+'Prod Economic Carrying Charge'!$D$8)</f>
        <v>52.210514093457213</v>
      </c>
      <c r="P64" s="26">
        <f t="shared" si="13"/>
        <v>108.12894283553355</v>
      </c>
      <c r="Q64" s="25">
        <f>1/(1+'Combined WACOC-Tax Table'!$F$13)^A64</f>
        <v>0.10680321436397348</v>
      </c>
      <c r="R64" s="17">
        <f t="shared" si="2"/>
        <v>11.548518660613325</v>
      </c>
      <c r="S64" s="9">
        <f t="shared" si="6"/>
        <v>1929.6997076862353</v>
      </c>
      <c r="T64" s="6">
        <f t="shared" si="7"/>
        <v>9.5944048656196587E-2</v>
      </c>
      <c r="U64" s="3"/>
    </row>
    <row r="65" spans="1:21" x14ac:dyDescent="0.2">
      <c r="A65">
        <v>37</v>
      </c>
      <c r="C65" s="9">
        <f t="shared" si="8"/>
        <v>28.175000000000001</v>
      </c>
      <c r="D65" s="9">
        <f t="shared" si="9"/>
        <v>84.525000000000801</v>
      </c>
      <c r="E65" s="9">
        <f>HLOOKUP($E$10,'Combined WACOC-Tax Table'!$B$17:$E$58,A65+1)*$B$28</f>
        <v>0</v>
      </c>
      <c r="F65" s="9">
        <f t="shared" si="10"/>
        <v>4.6185277824406512E-14</v>
      </c>
      <c r="G65" s="9">
        <f t="shared" si="3"/>
        <v>-6.9988208514609811</v>
      </c>
      <c r="H65" s="9">
        <f t="shared" si="11"/>
        <v>20.996462554382973</v>
      </c>
      <c r="I65" s="9">
        <f t="shared" si="14"/>
        <v>84.525000000000801</v>
      </c>
      <c r="J65" s="9">
        <f>'Combined WACOC-Tax Table'!$D$10*I65</f>
        <v>5.9204453809454096E-3</v>
      </c>
      <c r="K65" s="9">
        <f>I65*('Combined WACOC-Tax Table'!$D$11+'Combined WACOC-Tax Table'!$D$12)</f>
        <v>5.8019742875445797</v>
      </c>
      <c r="L65" s="9">
        <f t="shared" si="4"/>
        <v>0.62277143792576783</v>
      </c>
      <c r="M65" s="9">
        <f t="shared" si="5"/>
        <v>1.9175781588582295</v>
      </c>
      <c r="N65" s="9">
        <f>N64*(1+'Prod Economic Carrying Charge'!$D$8)</f>
        <v>17.027747210025254</v>
      </c>
      <c r="O65" s="9">
        <f>O64*(1+'Prod Economic Carrying Charge'!$D$8)</f>
        <v>53.51577694579364</v>
      </c>
      <c r="P65" s="26">
        <f t="shared" si="13"/>
        <v>107.06676848552841</v>
      </c>
      <c r="Q65" s="25">
        <f>1/(1+'Combined WACOC-Tax Table'!$F$13)^A65</f>
        <v>0.10036922128381291</v>
      </c>
      <c r="R65" s="17">
        <f t="shared" si="2"/>
        <v>10.746208178266768</v>
      </c>
      <c r="S65" s="9">
        <f t="shared" si="6"/>
        <v>1940.445915864502</v>
      </c>
      <c r="T65" s="6">
        <f t="shared" si="7"/>
        <v>9.5001569197452007E-2</v>
      </c>
      <c r="U65" s="3"/>
    </row>
    <row r="66" spans="1:21" x14ac:dyDescent="0.2">
      <c r="A66">
        <v>38</v>
      </c>
      <c r="C66" s="9">
        <f t="shared" si="8"/>
        <v>28.175000000000001</v>
      </c>
      <c r="D66" s="9">
        <f t="shared" si="9"/>
        <v>56.350000000000804</v>
      </c>
      <c r="E66" s="9">
        <f>HLOOKUP($E$10,'Combined WACOC-Tax Table'!$B$17:$E$58,A66+1)*$B$28</f>
        <v>0</v>
      </c>
      <c r="F66" s="9">
        <f t="shared" si="10"/>
        <v>4.6185277824406512E-14</v>
      </c>
      <c r="G66" s="9">
        <f t="shared" si="3"/>
        <v>-6.9988208514609811</v>
      </c>
      <c r="H66" s="9">
        <f t="shared" si="11"/>
        <v>13.997641702921992</v>
      </c>
      <c r="I66" s="9">
        <f t="shared" si="14"/>
        <v>56.350000000000804</v>
      </c>
      <c r="J66" s="9">
        <f>'Combined WACOC-Tax Table'!$D$10*I66</f>
        <v>3.9469635872969588E-3</v>
      </c>
      <c r="K66" s="9">
        <f>I66*('Combined WACOC-Tax Table'!$D$11+'Combined WACOC-Tax Table'!$D$12)</f>
        <v>3.8679828583630713</v>
      </c>
      <c r="L66" s="9">
        <f t="shared" si="4"/>
        <v>0.41518095861718057</v>
      </c>
      <c r="M66" s="9">
        <f t="shared" si="5"/>
        <v>1.2783854392388256</v>
      </c>
      <c r="N66" s="9">
        <f>N65*(1+'Prod Economic Carrying Charge'!$D$8)</f>
        <v>17.453440890275882</v>
      </c>
      <c r="O66" s="9">
        <f>O65*(1+'Prod Economic Carrying Charge'!$D$8)</f>
        <v>54.853671369438473</v>
      </c>
      <c r="P66" s="26">
        <f t="shared" si="13"/>
        <v>106.04760847952073</v>
      </c>
      <c r="Q66" s="25">
        <f>1/(1+'Combined WACOC-Tax Table'!$F$13)^A66</f>
        <v>9.4322822034063489E-2</v>
      </c>
      <c r="R66" s="17">
        <f t="shared" si="2"/>
        <v>10.002709701751876</v>
      </c>
      <c r="S66" s="9">
        <f t="shared" si="6"/>
        <v>1950.4486255662539</v>
      </c>
      <c r="T66" s="6">
        <f t="shared" si="7"/>
        <v>9.4097256858492226E-2</v>
      </c>
      <c r="U66" s="3"/>
    </row>
    <row r="67" spans="1:21" x14ac:dyDescent="0.2">
      <c r="A67">
        <v>39</v>
      </c>
      <c r="C67" s="9">
        <f t="shared" si="8"/>
        <v>28.175000000000001</v>
      </c>
      <c r="D67" s="9">
        <f t="shared" si="9"/>
        <v>28.175000000000804</v>
      </c>
      <c r="E67" s="9">
        <f>HLOOKUP($E$10,'Combined WACOC-Tax Table'!$B$17:$E$58,A67+1)*$B$28</f>
        <v>0</v>
      </c>
      <c r="F67" s="9">
        <f t="shared" si="10"/>
        <v>4.6185277824406512E-14</v>
      </c>
      <c r="G67" s="9">
        <f t="shared" si="3"/>
        <v>-6.9988208514609811</v>
      </c>
      <c r="H67" s="9">
        <f t="shared" si="11"/>
        <v>6.9988208514610113</v>
      </c>
      <c r="I67" s="9">
        <f t="shared" si="14"/>
        <v>28.175000000000804</v>
      </c>
      <c r="J67" s="9">
        <f>'Combined WACOC-Tax Table'!$D$10*I67</f>
        <v>1.9734817936485076E-3</v>
      </c>
      <c r="K67" s="9">
        <f>I67*('Combined WACOC-Tax Table'!$D$11+'Combined WACOC-Tax Table'!$D$12)</f>
        <v>1.9339914291815632</v>
      </c>
      <c r="L67" s="9">
        <f t="shared" si="4"/>
        <v>0.20759047930859326</v>
      </c>
      <c r="M67" s="9">
        <f t="shared" si="5"/>
        <v>0.63919271961942192</v>
      </c>
      <c r="N67" s="9">
        <f>N66*(1+'Prod Economic Carrying Charge'!$D$8)</f>
        <v>17.889776912532778</v>
      </c>
      <c r="O67" s="9">
        <f>O66*(1+'Prod Economic Carrying Charge'!$D$8)</f>
        <v>56.225013153674432</v>
      </c>
      <c r="P67" s="26">
        <f t="shared" si="13"/>
        <v>105.07253817611044</v>
      </c>
      <c r="Q67" s="25">
        <f>1/(1+'Combined WACOC-Tax Table'!$F$13)^A67</f>
        <v>8.8640667354708741E-2</v>
      </c>
      <c r="R67" s="17">
        <f t="shared" si="2"/>
        <v>9.3136999045835402</v>
      </c>
      <c r="S67" s="9">
        <f t="shared" si="6"/>
        <v>1959.7623254708374</v>
      </c>
      <c r="T67" s="6">
        <f t="shared" si="7"/>
        <v>9.3232065817311832E-2</v>
      </c>
      <c r="U67" s="3"/>
    </row>
    <row r="68" spans="1:21" x14ac:dyDescent="0.2">
      <c r="A68">
        <v>40</v>
      </c>
      <c r="C68" s="9">
        <f t="shared" si="8"/>
        <v>28.175000000000001</v>
      </c>
      <c r="D68" s="9">
        <f t="shared" si="9"/>
        <v>8.0291329140891321E-13</v>
      </c>
      <c r="E68" s="9">
        <f>HLOOKUP($E$10,'Combined WACOC-Tax Table'!$B$17:$E$58,A68+1)*$B$28</f>
        <v>0</v>
      </c>
      <c r="F68" s="9">
        <f t="shared" si="10"/>
        <v>4.6185277824406512E-14</v>
      </c>
      <c r="G68" s="9">
        <f t="shared" si="3"/>
        <v>-6.9988208514609811</v>
      </c>
      <c r="H68" s="9">
        <f t="shared" si="11"/>
        <v>3.0198066269804258E-14</v>
      </c>
      <c r="I68" s="9">
        <f t="shared" si="14"/>
        <v>8.0291329140891321E-13</v>
      </c>
      <c r="J68" s="9">
        <f>'Combined WACOC-Tax Table'!$D$10*I68</f>
        <v>5.6239033273250881E-17</v>
      </c>
      <c r="K68" s="9">
        <f>I68*('Combined WACOC-Tax Table'!$D$11+'Combined WACOC-Tax Table'!$D$12)</f>
        <v>5.5113661897453511E-14</v>
      </c>
      <c r="L68" s="9">
        <f t="shared" si="4"/>
        <v>5.9157818990882603E-15</v>
      </c>
      <c r="M68" s="9">
        <f t="shared" si="5"/>
        <v>1.8215308974418101E-14</v>
      </c>
      <c r="N68" s="9">
        <f>N67*(1+'Prod Economic Carrying Charge'!$D$8)</f>
        <v>18.337021335346094</v>
      </c>
      <c r="O68" s="9">
        <f>O67*(1+'Prod Economic Carrying Charge'!$D$8)</f>
        <v>57.630638482516289</v>
      </c>
      <c r="P68" s="26">
        <f t="shared" si="13"/>
        <v>104.14265981786247</v>
      </c>
      <c r="Q68" s="25">
        <f>1/(1+'Combined WACOC-Tax Table'!$F$13)^A68</f>
        <v>8.3300814581762722E-2</v>
      </c>
      <c r="R68" s="17">
        <f t="shared" si="2"/>
        <v>8.6751683955393517</v>
      </c>
      <c r="S68" s="9">
        <f t="shared" si="6"/>
        <v>1968.4374938663768</v>
      </c>
      <c r="T68" s="6">
        <f t="shared" si="7"/>
        <v>9.2406974106355344E-2</v>
      </c>
      <c r="U68" s="3"/>
    </row>
    <row r="70" spans="1:21" x14ac:dyDescent="0.2">
      <c r="I70" s="27" t="s">
        <v>60</v>
      </c>
      <c r="P70" s="14"/>
      <c r="R70" s="14">
        <f>SUM(R29:R69)</f>
        <v>1968.4374938663768</v>
      </c>
      <c r="S70" s="14"/>
    </row>
    <row r="85" spans="9:18" x14ac:dyDescent="0.2">
      <c r="I85" s="27"/>
      <c r="R85" s="14"/>
    </row>
  </sheetData>
  <pageMargins left="0.75" right="0.75" top="0.66" bottom="0.89" header="0.5" footer="0.39"/>
  <pageSetup scale="76" orientation="portrait" verticalDpi="1200" r:id="rId1"/>
  <headerFooter scaleWithDoc="0" alignWithMargins="0">
    <oddFooter>&amp;RAttachment B
Page &amp;P of 5</oddFooter>
    <evenFooter xml:space="preserve">&amp;R&amp;12
</evenFooter>
    <firstFooter>&amp;R&amp;12Attachment 1
Page &amp;P of &amp;N</firstFooter>
  </headerFooter>
  <colBreaks count="2" manualBreakCount="2">
    <brk id="8" max="1048575" man="1"/>
    <brk id="18" max="69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G54"/>
  <sheetViews>
    <sheetView zoomScaleNormal="100" zoomScaleSheetLayoutView="100" workbookViewId="0">
      <selection activeCell="D13" sqref="D13"/>
    </sheetView>
  </sheetViews>
  <sheetFormatPr defaultRowHeight="12.75" x14ac:dyDescent="0.2"/>
  <cols>
    <col min="1" max="1" width="18.5703125" customWidth="1"/>
    <col min="2" max="2" width="13.140625" customWidth="1"/>
    <col min="4" max="4" width="9.7109375" bestFit="1" customWidth="1"/>
    <col min="5" max="5" width="12.5703125" customWidth="1"/>
    <col min="6" max="6" width="10.28515625" customWidth="1"/>
  </cols>
  <sheetData>
    <row r="1" spans="1:7" ht="15" x14ac:dyDescent="0.2">
      <c r="A1" s="13" t="s">
        <v>78</v>
      </c>
      <c r="G1" s="22"/>
    </row>
    <row r="2" spans="1:7" x14ac:dyDescent="0.2">
      <c r="A2" s="2" t="s">
        <v>61</v>
      </c>
      <c r="G2" s="4"/>
    </row>
    <row r="3" spans="1:7" x14ac:dyDescent="0.2">
      <c r="A3" s="2"/>
      <c r="G3" s="23"/>
    </row>
    <row r="4" spans="1:7" x14ac:dyDescent="0.2">
      <c r="F4" s="23"/>
    </row>
    <row r="7" spans="1:7" x14ac:dyDescent="0.2">
      <c r="A7" s="13" t="s">
        <v>12</v>
      </c>
    </row>
    <row r="8" spans="1:7" x14ac:dyDescent="0.2">
      <c r="B8" s="13"/>
      <c r="C8" s="13"/>
      <c r="D8" s="12" t="s">
        <v>11</v>
      </c>
      <c r="F8" s="12" t="s">
        <v>10</v>
      </c>
    </row>
    <row r="9" spans="1:7" x14ac:dyDescent="0.2">
      <c r="B9" s="11" t="s">
        <v>9</v>
      </c>
      <c r="C9" s="11" t="s">
        <v>6</v>
      </c>
      <c r="D9" s="11" t="s">
        <v>8</v>
      </c>
      <c r="E9" s="11" t="s">
        <v>7</v>
      </c>
      <c r="F9" s="11" t="s">
        <v>6</v>
      </c>
    </row>
    <row r="10" spans="1:7" x14ac:dyDescent="0.2">
      <c r="A10" t="s">
        <v>87</v>
      </c>
      <c r="B10" s="35">
        <f>WACOC!B30</f>
        <v>1.5226895518293673E-2</v>
      </c>
      <c r="C10" s="35">
        <f>WACOC!C30</f>
        <v>4.5999999999999999E-3</v>
      </c>
      <c r="D10" s="38">
        <f>B10*C10</f>
        <v>7.0043719384150889E-5</v>
      </c>
      <c r="E10" s="38">
        <f>WACOC!B38</f>
        <v>0.2484053540891209</v>
      </c>
      <c r="F10" s="35">
        <f>D10*(1-E10)</f>
        <v>5.2644484468811869E-5</v>
      </c>
    </row>
    <row r="11" spans="1:7" x14ac:dyDescent="0.2">
      <c r="A11" t="s">
        <v>88</v>
      </c>
      <c r="B11" s="35">
        <f>WACOC!B31</f>
        <v>0.45259077231625627</v>
      </c>
      <c r="C11" s="35">
        <f>WACOC!C31</f>
        <v>4.0840259262312675E-2</v>
      </c>
      <c r="D11" s="35">
        <f>B11*C11</f>
        <v>1.8483924481126231E-2</v>
      </c>
      <c r="E11" s="38">
        <f>E10</f>
        <v>0.2484053540891209</v>
      </c>
      <c r="F11" s="35">
        <f>D11*(1-E11)</f>
        <v>1.3892418675435499E-2</v>
      </c>
    </row>
    <row r="12" spans="1:7" x14ac:dyDescent="0.2">
      <c r="A12" t="s">
        <v>5</v>
      </c>
      <c r="B12" s="37">
        <f>WACOC!B32</f>
        <v>0.53218233216545008</v>
      </c>
      <c r="C12" s="37">
        <f>WACOC!C32</f>
        <v>9.4249999999999987E-2</v>
      </c>
      <c r="D12" s="37">
        <f>B12*C12</f>
        <v>5.0158184806593661E-2</v>
      </c>
      <c r="E12" s="38"/>
      <c r="F12" s="37">
        <f>D12/(1-E12)</f>
        <v>5.0158184806593661E-2</v>
      </c>
    </row>
    <row r="13" spans="1:7" x14ac:dyDescent="0.2">
      <c r="D13" s="3">
        <f>SUM(D10:D12)</f>
        <v>6.8712153007104038E-2</v>
      </c>
      <c r="F13" s="3">
        <f>SUM(F10:F12)</f>
        <v>6.4103247966497967E-2</v>
      </c>
    </row>
    <row r="15" spans="1:7" x14ac:dyDescent="0.2">
      <c r="B15" s="128" t="s">
        <v>4</v>
      </c>
      <c r="C15" s="128"/>
      <c r="D15" s="128"/>
      <c r="E15" s="128"/>
    </row>
    <row r="17" spans="1:6" x14ac:dyDescent="0.2">
      <c r="B17">
        <v>5</v>
      </c>
      <c r="D17">
        <v>15</v>
      </c>
      <c r="E17">
        <v>20</v>
      </c>
    </row>
    <row r="18" spans="1:6" x14ac:dyDescent="0.2">
      <c r="A18">
        <v>1</v>
      </c>
      <c r="B18" s="5">
        <v>0.2</v>
      </c>
      <c r="C18" s="5">
        <v>0.1</v>
      </c>
      <c r="D18" s="5">
        <v>0.05</v>
      </c>
      <c r="E18" s="5">
        <v>3.7499999999999999E-2</v>
      </c>
      <c r="F18" s="6"/>
    </row>
    <row r="19" spans="1:6" x14ac:dyDescent="0.2">
      <c r="A19">
        <v>2</v>
      </c>
      <c r="B19" s="5">
        <v>0.32</v>
      </c>
      <c r="C19" s="5">
        <v>0.18</v>
      </c>
      <c r="D19" s="5">
        <v>9.5000000000000001E-2</v>
      </c>
      <c r="E19" s="5">
        <v>7.2190000000000004E-2</v>
      </c>
      <c r="F19" s="6"/>
    </row>
    <row r="20" spans="1:6" x14ac:dyDescent="0.2">
      <c r="A20">
        <v>3</v>
      </c>
      <c r="B20" s="5">
        <v>0.192</v>
      </c>
      <c r="C20" s="5">
        <v>0.14399999999999999</v>
      </c>
      <c r="D20" s="5">
        <v>8.5500000000000007E-2</v>
      </c>
      <c r="E20" s="5">
        <v>6.6769999999999996E-2</v>
      </c>
      <c r="F20" s="6"/>
    </row>
    <row r="21" spans="1:6" x14ac:dyDescent="0.2">
      <c r="A21">
        <v>4</v>
      </c>
      <c r="B21" s="5">
        <v>0.1152</v>
      </c>
      <c r="C21" s="5">
        <v>0.1152</v>
      </c>
      <c r="D21" s="5">
        <v>7.6999999999999999E-2</v>
      </c>
      <c r="E21" s="5">
        <v>6.1769999999999999E-2</v>
      </c>
      <c r="F21" s="6"/>
    </row>
    <row r="22" spans="1:6" x14ac:dyDescent="0.2">
      <c r="A22">
        <v>5</v>
      </c>
      <c r="B22" s="5">
        <v>0.1152</v>
      </c>
      <c r="C22" s="5">
        <v>9.2200000000000004E-2</v>
      </c>
      <c r="D22" s="5">
        <v>6.93E-2</v>
      </c>
      <c r="E22" s="5">
        <v>5.713E-2</v>
      </c>
      <c r="F22" s="6"/>
    </row>
    <row r="23" spans="1:6" x14ac:dyDescent="0.2">
      <c r="A23">
        <v>6</v>
      </c>
      <c r="B23" s="5">
        <v>0</v>
      </c>
      <c r="C23" s="5">
        <v>7.3700000000000002E-2</v>
      </c>
      <c r="D23" s="5">
        <v>6.2300000000000001E-2</v>
      </c>
      <c r="E23" s="5">
        <v>5.2850000000000001E-2</v>
      </c>
      <c r="F23" s="6"/>
    </row>
    <row r="24" spans="1:6" x14ac:dyDescent="0.2">
      <c r="A24">
        <v>7</v>
      </c>
      <c r="B24" s="5">
        <v>0</v>
      </c>
      <c r="C24" s="5">
        <v>6.5500000000000003E-2</v>
      </c>
      <c r="D24" s="5">
        <v>5.8999999999999997E-2</v>
      </c>
      <c r="E24" s="5">
        <v>4.888E-2</v>
      </c>
      <c r="F24" s="6"/>
    </row>
    <row r="25" spans="1:6" x14ac:dyDescent="0.2">
      <c r="A25">
        <v>8</v>
      </c>
      <c r="B25" s="5">
        <v>0</v>
      </c>
      <c r="C25" s="5">
        <v>6.5500000000000003E-2</v>
      </c>
      <c r="D25" s="5">
        <v>5.8999999999999997E-2</v>
      </c>
      <c r="E25" s="5">
        <v>4.5220000000000003E-2</v>
      </c>
      <c r="F25" s="6"/>
    </row>
    <row r="26" spans="1:6" x14ac:dyDescent="0.2">
      <c r="A26">
        <v>9</v>
      </c>
      <c r="B26" s="5">
        <v>0</v>
      </c>
      <c r="C26" s="5">
        <v>6.5600000000000006E-2</v>
      </c>
      <c r="D26" s="5">
        <v>5.91E-2</v>
      </c>
      <c r="E26" s="5">
        <v>4.462E-2</v>
      </c>
      <c r="F26" s="6"/>
    </row>
    <row r="27" spans="1:6" x14ac:dyDescent="0.2">
      <c r="A27">
        <v>10</v>
      </c>
      <c r="B27" s="5">
        <v>0</v>
      </c>
      <c r="C27" s="5">
        <v>6.5500000000000003E-2</v>
      </c>
      <c r="D27" s="5">
        <v>5.8999999999999997E-2</v>
      </c>
      <c r="E27" s="5">
        <v>4.4609999999999997E-2</v>
      </c>
      <c r="F27" s="6"/>
    </row>
    <row r="28" spans="1:6" x14ac:dyDescent="0.2">
      <c r="A28">
        <v>11</v>
      </c>
      <c r="B28" s="5">
        <v>0</v>
      </c>
      <c r="C28" s="5">
        <v>0</v>
      </c>
      <c r="D28" s="5">
        <v>5.91E-2</v>
      </c>
      <c r="E28" s="5">
        <v>4.462E-2</v>
      </c>
      <c r="F28" s="6"/>
    </row>
    <row r="29" spans="1:6" x14ac:dyDescent="0.2">
      <c r="A29">
        <v>12</v>
      </c>
      <c r="B29" s="5">
        <v>0</v>
      </c>
      <c r="C29" s="5">
        <v>0</v>
      </c>
      <c r="D29" s="5">
        <v>5.8999999999999997E-2</v>
      </c>
      <c r="E29" s="5">
        <v>4.4609999999999997E-2</v>
      </c>
      <c r="F29" s="6"/>
    </row>
    <row r="30" spans="1:6" x14ac:dyDescent="0.2">
      <c r="A30">
        <v>13</v>
      </c>
      <c r="B30" s="5">
        <v>0</v>
      </c>
      <c r="C30" s="5">
        <v>0</v>
      </c>
      <c r="D30" s="5">
        <v>5.91E-2</v>
      </c>
      <c r="E30" s="5">
        <v>4.462E-2</v>
      </c>
      <c r="F30" s="6"/>
    </row>
    <row r="31" spans="1:6" x14ac:dyDescent="0.2">
      <c r="A31">
        <v>14</v>
      </c>
      <c r="B31" s="5">
        <v>0</v>
      </c>
      <c r="C31" s="5">
        <v>0</v>
      </c>
      <c r="D31" s="5">
        <v>5.8999999999999997E-2</v>
      </c>
      <c r="E31" s="5">
        <v>4.4609999999999997E-2</v>
      </c>
      <c r="F31" s="6"/>
    </row>
    <row r="32" spans="1:6" x14ac:dyDescent="0.2">
      <c r="A32">
        <v>15</v>
      </c>
      <c r="B32" s="5">
        <v>0</v>
      </c>
      <c r="C32" s="5">
        <v>0</v>
      </c>
      <c r="D32" s="5">
        <v>5.91E-2</v>
      </c>
      <c r="E32" s="5">
        <v>4.462E-2</v>
      </c>
      <c r="F32" s="6"/>
    </row>
    <row r="33" spans="1:6" x14ac:dyDescent="0.2">
      <c r="A33">
        <v>16</v>
      </c>
      <c r="B33" s="5">
        <v>0</v>
      </c>
      <c r="C33" s="5">
        <v>0</v>
      </c>
      <c r="D33" s="5">
        <v>2.9499999999999998E-2</v>
      </c>
      <c r="E33" s="5">
        <v>4.4609999999999997E-2</v>
      </c>
      <c r="F33" s="6"/>
    </row>
    <row r="34" spans="1:6" x14ac:dyDescent="0.2">
      <c r="A34">
        <v>17</v>
      </c>
      <c r="B34" s="5">
        <v>0</v>
      </c>
      <c r="C34" s="5">
        <v>0</v>
      </c>
      <c r="D34" s="5">
        <v>0</v>
      </c>
      <c r="E34" s="5">
        <v>4.462E-2</v>
      </c>
      <c r="F34" s="6"/>
    </row>
    <row r="35" spans="1:6" x14ac:dyDescent="0.2">
      <c r="A35">
        <v>18</v>
      </c>
      <c r="B35" s="5">
        <v>0</v>
      </c>
      <c r="C35" s="5">
        <v>0</v>
      </c>
      <c r="D35" s="5">
        <v>0</v>
      </c>
      <c r="E35" s="5">
        <v>4.4609999999999997E-2</v>
      </c>
      <c r="F35" s="6"/>
    </row>
    <row r="36" spans="1:6" x14ac:dyDescent="0.2">
      <c r="A36">
        <v>19</v>
      </c>
      <c r="B36" s="5">
        <v>0</v>
      </c>
      <c r="C36" s="5">
        <v>0</v>
      </c>
      <c r="D36" s="5">
        <v>0</v>
      </c>
      <c r="E36" s="5">
        <v>4.462E-2</v>
      </c>
      <c r="F36" s="6"/>
    </row>
    <row r="37" spans="1:6" x14ac:dyDescent="0.2">
      <c r="A37">
        <v>20</v>
      </c>
      <c r="B37" s="5">
        <v>0</v>
      </c>
      <c r="C37" s="5">
        <v>0</v>
      </c>
      <c r="D37" s="5">
        <v>0</v>
      </c>
      <c r="E37" s="5">
        <v>4.4609999999999997E-2</v>
      </c>
      <c r="F37" s="6"/>
    </row>
    <row r="38" spans="1:6" x14ac:dyDescent="0.2">
      <c r="A38">
        <v>21</v>
      </c>
      <c r="B38" s="5">
        <v>0</v>
      </c>
      <c r="C38" s="5">
        <v>0</v>
      </c>
      <c r="D38" s="5">
        <v>0</v>
      </c>
      <c r="E38" s="5">
        <v>2.231E-2</v>
      </c>
      <c r="F38" s="6"/>
    </row>
    <row r="39" spans="1:6" x14ac:dyDescent="0.2">
      <c r="A39">
        <v>22</v>
      </c>
      <c r="B39" s="5">
        <v>0</v>
      </c>
      <c r="C39" s="5">
        <v>0</v>
      </c>
      <c r="D39" s="5">
        <v>0</v>
      </c>
      <c r="E39" s="5">
        <v>0</v>
      </c>
    </row>
    <row r="40" spans="1:6" x14ac:dyDescent="0.2">
      <c r="A40">
        <v>23</v>
      </c>
      <c r="B40" s="5">
        <v>0</v>
      </c>
      <c r="C40" s="5">
        <v>0</v>
      </c>
      <c r="D40" s="5">
        <v>0</v>
      </c>
      <c r="E40" s="5">
        <v>0</v>
      </c>
    </row>
    <row r="41" spans="1:6" x14ac:dyDescent="0.2">
      <c r="A41">
        <v>24</v>
      </c>
      <c r="B41" s="5">
        <v>0</v>
      </c>
      <c r="C41" s="5">
        <v>0</v>
      </c>
      <c r="D41" s="5">
        <v>0</v>
      </c>
      <c r="E41" s="5">
        <v>0</v>
      </c>
    </row>
    <row r="42" spans="1:6" x14ac:dyDescent="0.2">
      <c r="A42">
        <v>25</v>
      </c>
      <c r="B42" s="5">
        <v>0</v>
      </c>
      <c r="C42" s="5">
        <v>0</v>
      </c>
      <c r="D42" s="5">
        <v>0</v>
      </c>
      <c r="E42" s="5">
        <v>0</v>
      </c>
    </row>
    <row r="43" spans="1:6" x14ac:dyDescent="0.2">
      <c r="A43">
        <v>26</v>
      </c>
      <c r="B43" s="5">
        <v>0</v>
      </c>
      <c r="C43" s="5">
        <v>0</v>
      </c>
      <c r="D43" s="5">
        <v>0</v>
      </c>
      <c r="E43" s="5">
        <v>0</v>
      </c>
    </row>
    <row r="44" spans="1:6" x14ac:dyDescent="0.2">
      <c r="A44">
        <v>27</v>
      </c>
      <c r="B44" s="5">
        <v>0</v>
      </c>
      <c r="C44" s="5">
        <v>0</v>
      </c>
      <c r="D44" s="5">
        <v>0</v>
      </c>
      <c r="E44" s="5">
        <v>0</v>
      </c>
    </row>
    <row r="45" spans="1:6" x14ac:dyDescent="0.2">
      <c r="A45">
        <v>28</v>
      </c>
      <c r="B45" s="5">
        <v>0</v>
      </c>
      <c r="C45" s="5">
        <v>0</v>
      </c>
      <c r="D45" s="5">
        <v>0</v>
      </c>
      <c r="E45" s="5">
        <v>0</v>
      </c>
    </row>
    <row r="46" spans="1:6" x14ac:dyDescent="0.2">
      <c r="A46">
        <v>29</v>
      </c>
      <c r="B46" s="5">
        <v>0</v>
      </c>
      <c r="C46" s="5">
        <v>0</v>
      </c>
      <c r="D46" s="5">
        <v>0</v>
      </c>
      <c r="E46" s="5">
        <v>0</v>
      </c>
    </row>
    <row r="47" spans="1:6" x14ac:dyDescent="0.2">
      <c r="A47">
        <v>30</v>
      </c>
      <c r="B47" s="5">
        <v>0</v>
      </c>
      <c r="C47" s="5">
        <v>0</v>
      </c>
      <c r="D47" s="5">
        <v>0</v>
      </c>
      <c r="E47" s="5">
        <v>0</v>
      </c>
    </row>
    <row r="48" spans="1:6" x14ac:dyDescent="0.2">
      <c r="B48" s="5"/>
      <c r="C48" s="5"/>
      <c r="D48" s="5"/>
      <c r="E48" s="5"/>
    </row>
    <row r="49" spans="2:7" x14ac:dyDescent="0.2">
      <c r="B49" s="5"/>
      <c r="C49" s="5"/>
      <c r="D49" s="5"/>
      <c r="E49" s="5"/>
    </row>
    <row r="53" spans="2:7" x14ac:dyDescent="0.2">
      <c r="G53" s="24"/>
    </row>
    <row r="54" spans="2:7" x14ac:dyDescent="0.2">
      <c r="G54" s="24"/>
    </row>
  </sheetData>
  <mergeCells count="1">
    <mergeCell ref="B15:E15"/>
  </mergeCells>
  <pageMargins left="0.7" right="0.7" top="0.75" bottom="0.75" header="0.3" footer="0.3"/>
  <pageSetup orientation="portrait" r:id="rId1"/>
  <headerFooter>
    <oddFooter>&amp;RAttachment B
Page 5 of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G54"/>
  <sheetViews>
    <sheetView zoomScaleNormal="100" zoomScaleSheetLayoutView="100" workbookViewId="0"/>
  </sheetViews>
  <sheetFormatPr defaultRowHeight="12.75" x14ac:dyDescent="0.2"/>
  <cols>
    <col min="1" max="1" width="18.5703125" customWidth="1"/>
    <col min="2" max="2" width="13.140625" customWidth="1"/>
    <col min="5" max="5" width="12.5703125" customWidth="1"/>
    <col min="6" max="6" width="10.28515625" customWidth="1"/>
  </cols>
  <sheetData>
    <row r="1" spans="1:7" ht="15" x14ac:dyDescent="0.2">
      <c r="A1" s="13" t="s">
        <v>68</v>
      </c>
      <c r="G1" s="22"/>
    </row>
    <row r="2" spans="1:7" x14ac:dyDescent="0.2">
      <c r="A2" s="2" t="s">
        <v>61</v>
      </c>
      <c r="G2" s="4"/>
    </row>
    <row r="3" spans="1:7" x14ac:dyDescent="0.2">
      <c r="A3" s="2"/>
      <c r="G3" s="23"/>
    </row>
    <row r="4" spans="1:7" x14ac:dyDescent="0.2">
      <c r="F4" s="23"/>
    </row>
    <row r="7" spans="1:7" x14ac:dyDescent="0.2">
      <c r="A7" s="13" t="s">
        <v>12</v>
      </c>
    </row>
    <row r="8" spans="1:7" x14ac:dyDescent="0.2">
      <c r="B8" s="13"/>
      <c r="C8" s="13"/>
      <c r="D8" s="12" t="s">
        <v>11</v>
      </c>
      <c r="F8" s="12" t="s">
        <v>10</v>
      </c>
    </row>
    <row r="9" spans="1:7" x14ac:dyDescent="0.2">
      <c r="B9" s="11" t="s">
        <v>9</v>
      </c>
      <c r="C9" s="11" t="s">
        <v>6</v>
      </c>
      <c r="D9" s="11" t="s">
        <v>8</v>
      </c>
      <c r="E9" s="11" t="s">
        <v>7</v>
      </c>
      <c r="F9" s="11" t="s">
        <v>6</v>
      </c>
    </row>
    <row r="10" spans="1:7" x14ac:dyDescent="0.2">
      <c r="A10" t="s">
        <v>87</v>
      </c>
      <c r="B10" s="6">
        <v>1.26E-2</v>
      </c>
      <c r="C10" s="6">
        <v>4.5999999999999999E-3</v>
      </c>
      <c r="D10" s="6">
        <f>C10*B10</f>
        <v>5.7960000000000001E-5</v>
      </c>
      <c r="E10" s="3">
        <v>0.24849452</v>
      </c>
      <c r="F10" s="6">
        <f>D10*(1-E10)</f>
        <v>4.3557257620800001E-5</v>
      </c>
    </row>
    <row r="11" spans="1:7" x14ac:dyDescent="0.2">
      <c r="A11" t="s">
        <v>88</v>
      </c>
      <c r="B11" s="6">
        <v>0.45550000000000002</v>
      </c>
      <c r="C11" s="6">
        <v>0.04</v>
      </c>
      <c r="D11" s="6">
        <f>B11*C11</f>
        <v>1.822E-2</v>
      </c>
      <c r="E11" s="3">
        <f>E10</f>
        <v>0.24849452</v>
      </c>
      <c r="F11" s="6">
        <f>D11*(1-E11)</f>
        <v>1.36924298456E-2</v>
      </c>
    </row>
    <row r="12" spans="1:7" x14ac:dyDescent="0.2">
      <c r="A12" t="s">
        <v>5</v>
      </c>
      <c r="B12" s="8">
        <v>0.53190000000000004</v>
      </c>
      <c r="C12" s="8">
        <v>9.425E-2</v>
      </c>
      <c r="D12" s="8">
        <f>B12*C12</f>
        <v>5.0131575000000005E-2</v>
      </c>
      <c r="E12" s="3"/>
      <c r="F12" s="7">
        <f>D12/(1-E12)</f>
        <v>5.0131575000000005E-2</v>
      </c>
    </row>
    <row r="13" spans="1:7" x14ac:dyDescent="0.2">
      <c r="D13" s="3">
        <f>SUM(D10:D12)</f>
        <v>6.8409535000000007E-2</v>
      </c>
      <c r="F13" s="3">
        <f>SUM(F10:F12)</f>
        <v>6.386756210322081E-2</v>
      </c>
    </row>
    <row r="15" spans="1:7" x14ac:dyDescent="0.2">
      <c r="B15" s="128" t="s">
        <v>4</v>
      </c>
      <c r="C15" s="128"/>
      <c r="D15" s="128"/>
      <c r="E15" s="128"/>
    </row>
    <row r="17" spans="1:6" x14ac:dyDescent="0.2">
      <c r="B17">
        <v>5</v>
      </c>
      <c r="D17">
        <v>15</v>
      </c>
      <c r="E17">
        <v>20</v>
      </c>
    </row>
    <row r="18" spans="1:6" x14ac:dyDescent="0.2">
      <c r="A18">
        <v>1</v>
      </c>
      <c r="B18" s="5">
        <v>0.2</v>
      </c>
      <c r="C18" s="5">
        <v>0.1</v>
      </c>
      <c r="D18" s="5">
        <v>0.05</v>
      </c>
      <c r="E18" s="5">
        <v>3.7499999999999999E-2</v>
      </c>
      <c r="F18" s="6"/>
    </row>
    <row r="19" spans="1:6" x14ac:dyDescent="0.2">
      <c r="A19">
        <v>2</v>
      </c>
      <c r="B19" s="5">
        <v>0.32</v>
      </c>
      <c r="C19" s="5">
        <v>0.18</v>
      </c>
      <c r="D19" s="5">
        <v>9.5000000000000001E-2</v>
      </c>
      <c r="E19" s="5">
        <v>7.2190000000000004E-2</v>
      </c>
      <c r="F19" s="6"/>
    </row>
    <row r="20" spans="1:6" x14ac:dyDescent="0.2">
      <c r="A20">
        <v>3</v>
      </c>
      <c r="B20" s="5">
        <v>0.192</v>
      </c>
      <c r="C20" s="5">
        <v>0.14399999999999999</v>
      </c>
      <c r="D20" s="5">
        <v>8.5500000000000007E-2</v>
      </c>
      <c r="E20" s="5">
        <v>6.6769999999999996E-2</v>
      </c>
      <c r="F20" s="6"/>
    </row>
    <row r="21" spans="1:6" x14ac:dyDescent="0.2">
      <c r="A21">
        <v>4</v>
      </c>
      <c r="B21" s="5">
        <v>0.1152</v>
      </c>
      <c r="C21" s="5">
        <v>0.1152</v>
      </c>
      <c r="D21" s="5">
        <v>7.6999999999999999E-2</v>
      </c>
      <c r="E21" s="5">
        <v>6.1769999999999999E-2</v>
      </c>
      <c r="F21" s="6"/>
    </row>
    <row r="22" spans="1:6" x14ac:dyDescent="0.2">
      <c r="A22">
        <v>5</v>
      </c>
      <c r="B22" s="5">
        <v>0.1152</v>
      </c>
      <c r="C22" s="5">
        <v>9.2200000000000004E-2</v>
      </c>
      <c r="D22" s="5">
        <v>6.93E-2</v>
      </c>
      <c r="E22" s="5">
        <v>5.713E-2</v>
      </c>
      <c r="F22" s="6"/>
    </row>
    <row r="23" spans="1:6" x14ac:dyDescent="0.2">
      <c r="A23">
        <v>6</v>
      </c>
      <c r="B23" s="5">
        <v>0</v>
      </c>
      <c r="C23" s="5">
        <v>7.3700000000000002E-2</v>
      </c>
      <c r="D23" s="5">
        <v>6.2300000000000001E-2</v>
      </c>
      <c r="E23" s="5">
        <v>5.2850000000000001E-2</v>
      </c>
      <c r="F23" s="6"/>
    </row>
    <row r="24" spans="1:6" x14ac:dyDescent="0.2">
      <c r="A24">
        <v>7</v>
      </c>
      <c r="B24" s="5">
        <v>0</v>
      </c>
      <c r="C24" s="5">
        <v>6.5500000000000003E-2</v>
      </c>
      <c r="D24" s="5">
        <v>5.8999999999999997E-2</v>
      </c>
      <c r="E24" s="5">
        <v>4.888E-2</v>
      </c>
      <c r="F24" s="6"/>
    </row>
    <row r="25" spans="1:6" x14ac:dyDescent="0.2">
      <c r="A25">
        <v>8</v>
      </c>
      <c r="B25" s="5">
        <v>0</v>
      </c>
      <c r="C25" s="5">
        <v>6.5500000000000003E-2</v>
      </c>
      <c r="D25" s="5">
        <v>5.8999999999999997E-2</v>
      </c>
      <c r="E25" s="5">
        <v>4.5220000000000003E-2</v>
      </c>
      <c r="F25" s="6"/>
    </row>
    <row r="26" spans="1:6" x14ac:dyDescent="0.2">
      <c r="A26">
        <v>9</v>
      </c>
      <c r="B26" s="5">
        <v>0</v>
      </c>
      <c r="C26" s="5">
        <v>6.5600000000000006E-2</v>
      </c>
      <c r="D26" s="5">
        <v>5.91E-2</v>
      </c>
      <c r="E26" s="5">
        <v>4.462E-2</v>
      </c>
      <c r="F26" s="6"/>
    </row>
    <row r="27" spans="1:6" x14ac:dyDescent="0.2">
      <c r="A27">
        <v>10</v>
      </c>
      <c r="B27" s="5">
        <v>0</v>
      </c>
      <c r="C27" s="5">
        <v>6.5500000000000003E-2</v>
      </c>
      <c r="D27" s="5">
        <v>5.8999999999999997E-2</v>
      </c>
      <c r="E27" s="5">
        <v>4.4609999999999997E-2</v>
      </c>
      <c r="F27" s="6"/>
    </row>
    <row r="28" spans="1:6" x14ac:dyDescent="0.2">
      <c r="A28">
        <v>11</v>
      </c>
      <c r="B28" s="5">
        <v>0</v>
      </c>
      <c r="C28" s="5">
        <v>0</v>
      </c>
      <c r="D28" s="5">
        <v>5.91E-2</v>
      </c>
      <c r="E28" s="5">
        <v>4.462E-2</v>
      </c>
      <c r="F28" s="6"/>
    </row>
    <row r="29" spans="1:6" x14ac:dyDescent="0.2">
      <c r="A29">
        <v>12</v>
      </c>
      <c r="B29" s="5">
        <v>0</v>
      </c>
      <c r="C29" s="5">
        <v>0</v>
      </c>
      <c r="D29" s="5">
        <v>5.8999999999999997E-2</v>
      </c>
      <c r="E29" s="5">
        <v>4.4609999999999997E-2</v>
      </c>
      <c r="F29" s="6"/>
    </row>
    <row r="30" spans="1:6" x14ac:dyDescent="0.2">
      <c r="A30">
        <v>13</v>
      </c>
      <c r="B30" s="5">
        <v>0</v>
      </c>
      <c r="C30" s="5">
        <v>0</v>
      </c>
      <c r="D30" s="5">
        <v>5.91E-2</v>
      </c>
      <c r="E30" s="5">
        <v>4.462E-2</v>
      </c>
      <c r="F30" s="6"/>
    </row>
    <row r="31" spans="1:6" x14ac:dyDescent="0.2">
      <c r="A31">
        <v>14</v>
      </c>
      <c r="B31" s="5">
        <v>0</v>
      </c>
      <c r="C31" s="5">
        <v>0</v>
      </c>
      <c r="D31" s="5">
        <v>5.8999999999999997E-2</v>
      </c>
      <c r="E31" s="5">
        <v>4.4609999999999997E-2</v>
      </c>
      <c r="F31" s="6"/>
    </row>
    <row r="32" spans="1:6" x14ac:dyDescent="0.2">
      <c r="A32">
        <v>15</v>
      </c>
      <c r="B32" s="5">
        <v>0</v>
      </c>
      <c r="C32" s="5">
        <v>0</v>
      </c>
      <c r="D32" s="5">
        <v>5.91E-2</v>
      </c>
      <c r="E32" s="5">
        <v>4.462E-2</v>
      </c>
      <c r="F32" s="6"/>
    </row>
    <row r="33" spans="1:6" x14ac:dyDescent="0.2">
      <c r="A33">
        <v>16</v>
      </c>
      <c r="B33" s="5">
        <v>0</v>
      </c>
      <c r="C33" s="5">
        <v>0</v>
      </c>
      <c r="D33" s="5">
        <v>2.9499999999999998E-2</v>
      </c>
      <c r="E33" s="5">
        <v>4.4609999999999997E-2</v>
      </c>
      <c r="F33" s="6"/>
    </row>
    <row r="34" spans="1:6" x14ac:dyDescent="0.2">
      <c r="A34">
        <v>17</v>
      </c>
      <c r="B34" s="5">
        <v>0</v>
      </c>
      <c r="C34" s="5">
        <v>0</v>
      </c>
      <c r="D34" s="5">
        <v>0</v>
      </c>
      <c r="E34" s="5">
        <v>4.462E-2</v>
      </c>
      <c r="F34" s="6"/>
    </row>
    <row r="35" spans="1:6" x14ac:dyDescent="0.2">
      <c r="A35">
        <v>18</v>
      </c>
      <c r="B35" s="5">
        <v>0</v>
      </c>
      <c r="C35" s="5">
        <v>0</v>
      </c>
      <c r="D35" s="5">
        <v>0</v>
      </c>
      <c r="E35" s="5">
        <v>4.4609999999999997E-2</v>
      </c>
      <c r="F35" s="6"/>
    </row>
    <row r="36" spans="1:6" x14ac:dyDescent="0.2">
      <c r="A36">
        <v>19</v>
      </c>
      <c r="B36" s="5">
        <v>0</v>
      </c>
      <c r="C36" s="5">
        <v>0</v>
      </c>
      <c r="D36" s="5">
        <v>0</v>
      </c>
      <c r="E36" s="5">
        <v>4.462E-2</v>
      </c>
      <c r="F36" s="6"/>
    </row>
    <row r="37" spans="1:6" x14ac:dyDescent="0.2">
      <c r="A37">
        <v>20</v>
      </c>
      <c r="B37" s="5">
        <v>0</v>
      </c>
      <c r="C37" s="5">
        <v>0</v>
      </c>
      <c r="D37" s="5">
        <v>0</v>
      </c>
      <c r="E37" s="5">
        <v>4.4609999999999997E-2</v>
      </c>
      <c r="F37" s="6"/>
    </row>
    <row r="38" spans="1:6" x14ac:dyDescent="0.2">
      <c r="A38">
        <v>21</v>
      </c>
      <c r="B38" s="5">
        <v>0</v>
      </c>
      <c r="C38" s="5">
        <v>0</v>
      </c>
      <c r="D38" s="5">
        <v>0</v>
      </c>
      <c r="E38" s="5">
        <v>2.231E-2</v>
      </c>
      <c r="F38" s="6"/>
    </row>
    <row r="39" spans="1:6" x14ac:dyDescent="0.2">
      <c r="A39">
        <v>22</v>
      </c>
      <c r="B39" s="5">
        <v>0</v>
      </c>
      <c r="C39" s="5">
        <v>0</v>
      </c>
      <c r="D39" s="5">
        <v>0</v>
      </c>
      <c r="E39" s="5">
        <v>0</v>
      </c>
    </row>
    <row r="40" spans="1:6" x14ac:dyDescent="0.2">
      <c r="A40">
        <v>23</v>
      </c>
      <c r="B40" s="5">
        <v>0</v>
      </c>
      <c r="C40" s="5">
        <v>0</v>
      </c>
      <c r="D40" s="5">
        <v>0</v>
      </c>
      <c r="E40" s="5">
        <v>0</v>
      </c>
    </row>
    <row r="41" spans="1:6" x14ac:dyDescent="0.2">
      <c r="A41">
        <v>24</v>
      </c>
      <c r="B41" s="5">
        <v>0</v>
      </c>
      <c r="C41" s="5">
        <v>0</v>
      </c>
      <c r="D41" s="5">
        <v>0</v>
      </c>
      <c r="E41" s="5">
        <v>0</v>
      </c>
    </row>
    <row r="42" spans="1:6" x14ac:dyDescent="0.2">
      <c r="A42">
        <v>25</v>
      </c>
      <c r="B42" s="5">
        <v>0</v>
      </c>
      <c r="C42" s="5">
        <v>0</v>
      </c>
      <c r="D42" s="5">
        <v>0</v>
      </c>
      <c r="E42" s="5">
        <v>0</v>
      </c>
    </row>
    <row r="43" spans="1:6" x14ac:dyDescent="0.2">
      <c r="A43">
        <v>26</v>
      </c>
      <c r="B43" s="5">
        <v>0</v>
      </c>
      <c r="C43" s="5">
        <v>0</v>
      </c>
      <c r="D43" s="5">
        <v>0</v>
      </c>
      <c r="E43" s="5">
        <v>0</v>
      </c>
    </row>
    <row r="44" spans="1:6" x14ac:dyDescent="0.2">
      <c r="A44">
        <v>27</v>
      </c>
      <c r="B44" s="5">
        <v>0</v>
      </c>
      <c r="C44" s="5">
        <v>0</v>
      </c>
      <c r="D44" s="5">
        <v>0</v>
      </c>
      <c r="E44" s="5">
        <v>0</v>
      </c>
    </row>
    <row r="45" spans="1:6" x14ac:dyDescent="0.2">
      <c r="A45">
        <v>28</v>
      </c>
      <c r="B45" s="5">
        <v>0</v>
      </c>
      <c r="C45" s="5">
        <v>0</v>
      </c>
      <c r="D45" s="5">
        <v>0</v>
      </c>
      <c r="E45" s="5">
        <v>0</v>
      </c>
    </row>
    <row r="46" spans="1:6" x14ac:dyDescent="0.2">
      <c r="A46">
        <v>29</v>
      </c>
      <c r="B46" s="5">
        <v>0</v>
      </c>
      <c r="C46" s="5">
        <v>0</v>
      </c>
      <c r="D46" s="5">
        <v>0</v>
      </c>
      <c r="E46" s="5">
        <v>0</v>
      </c>
    </row>
    <row r="47" spans="1:6" x14ac:dyDescent="0.2">
      <c r="A47">
        <v>30</v>
      </c>
      <c r="B47" s="5">
        <v>0</v>
      </c>
      <c r="C47" s="5">
        <v>0</v>
      </c>
      <c r="D47" s="5">
        <v>0</v>
      </c>
      <c r="E47" s="5">
        <v>0</v>
      </c>
    </row>
    <row r="48" spans="1:6" x14ac:dyDescent="0.2">
      <c r="B48" s="5"/>
      <c r="C48" s="5"/>
      <c r="D48" s="5"/>
      <c r="E48" s="5"/>
    </row>
    <row r="49" spans="2:7" x14ac:dyDescent="0.2">
      <c r="B49" s="5"/>
      <c r="C49" s="5"/>
      <c r="D49" s="5"/>
      <c r="E49" s="5"/>
    </row>
    <row r="53" spans="2:7" x14ac:dyDescent="0.2">
      <c r="G53" s="24"/>
    </row>
    <row r="54" spans="2:7" x14ac:dyDescent="0.2">
      <c r="G54" s="24"/>
    </row>
  </sheetData>
  <dataConsolidate/>
  <mergeCells count="1">
    <mergeCell ref="B15:E15"/>
  </mergeCells>
  <pageMargins left="0.75" right="0.75" top="1" bottom="1" header="0.5" footer="0.5"/>
  <pageSetup scale="96" orientation="portrait" verticalDpi="1200" r:id="rId1"/>
  <headerFooter scaleWithDoc="0" alignWithMargins="0">
    <oddFooter>&amp;RAttachment E
Page 5 of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G54"/>
  <sheetViews>
    <sheetView zoomScaleNormal="100" zoomScaleSheetLayoutView="100" workbookViewId="0">
      <selection activeCell="I11" sqref="I11"/>
    </sheetView>
  </sheetViews>
  <sheetFormatPr defaultRowHeight="12.75" x14ac:dyDescent="0.2"/>
  <cols>
    <col min="1" max="1" width="18.5703125" customWidth="1"/>
    <col min="2" max="2" width="13.140625" customWidth="1"/>
    <col min="5" max="5" width="12.5703125" customWidth="1"/>
    <col min="6" max="6" width="10.28515625" customWidth="1"/>
  </cols>
  <sheetData>
    <row r="1" spans="1:7" ht="15" x14ac:dyDescent="0.2">
      <c r="A1" s="13" t="s">
        <v>69</v>
      </c>
      <c r="G1" s="22"/>
    </row>
    <row r="2" spans="1:7" x14ac:dyDescent="0.2">
      <c r="A2" s="2" t="s">
        <v>61</v>
      </c>
      <c r="G2" s="4"/>
    </row>
    <row r="3" spans="1:7" x14ac:dyDescent="0.2">
      <c r="A3" s="2"/>
      <c r="G3" s="23"/>
    </row>
    <row r="4" spans="1:7" x14ac:dyDescent="0.2">
      <c r="F4" s="23"/>
    </row>
    <row r="7" spans="1:7" x14ac:dyDescent="0.2">
      <c r="A7" s="13" t="s">
        <v>12</v>
      </c>
    </row>
    <row r="8" spans="1:7" x14ac:dyDescent="0.2">
      <c r="B8" s="13"/>
      <c r="C8" s="13"/>
      <c r="D8" s="12" t="s">
        <v>11</v>
      </c>
      <c r="F8" s="12" t="s">
        <v>10</v>
      </c>
    </row>
    <row r="9" spans="1:7" x14ac:dyDescent="0.2">
      <c r="B9" s="11" t="s">
        <v>9</v>
      </c>
      <c r="C9" s="11" t="s">
        <v>6</v>
      </c>
      <c r="D9" s="11" t="s">
        <v>8</v>
      </c>
      <c r="E9" s="11" t="s">
        <v>7</v>
      </c>
      <c r="F9" s="11" t="s">
        <v>6</v>
      </c>
    </row>
    <row r="10" spans="1:7" x14ac:dyDescent="0.2">
      <c r="A10" t="s">
        <v>87</v>
      </c>
      <c r="B10" s="6">
        <v>1.6899999999999998E-2</v>
      </c>
      <c r="C10" s="6">
        <v>4.5999999999999999E-3</v>
      </c>
      <c r="D10" s="6">
        <f>C10*B10</f>
        <v>7.7739999999999998E-5</v>
      </c>
      <c r="E10" s="3">
        <v>0.24826996500000001</v>
      </c>
      <c r="F10" s="55">
        <f>D10*(1-E10)</f>
        <v>5.84394929209E-5</v>
      </c>
    </row>
    <row r="11" spans="1:7" x14ac:dyDescent="0.2">
      <c r="A11" t="s">
        <v>88</v>
      </c>
      <c r="B11" s="6">
        <v>0.45069999999999999</v>
      </c>
      <c r="C11" s="6">
        <v>4.1399999999999999E-2</v>
      </c>
      <c r="D11" s="6">
        <f>B11*C11</f>
        <v>1.8658979999999999E-2</v>
      </c>
      <c r="E11" s="3">
        <f>E10</f>
        <v>0.24826996500000001</v>
      </c>
      <c r="F11" s="6">
        <f>D11*(1-E11)</f>
        <v>1.4026515688464299E-2</v>
      </c>
    </row>
    <row r="12" spans="1:7" x14ac:dyDescent="0.2">
      <c r="A12" t="s">
        <v>5</v>
      </c>
      <c r="B12" s="8">
        <v>0.53239999999999998</v>
      </c>
      <c r="C12" s="8">
        <v>9.425E-2</v>
      </c>
      <c r="D12" s="8">
        <f>B12*C12</f>
        <v>5.01787E-2</v>
      </c>
      <c r="E12" s="3"/>
      <c r="F12" s="7">
        <f>D12/(1-E12)</f>
        <v>5.01787E-2</v>
      </c>
    </row>
    <row r="13" spans="1:7" x14ac:dyDescent="0.2">
      <c r="D13" s="3">
        <f>SUM(D10:D12)</f>
        <v>6.8915420000000005E-2</v>
      </c>
      <c r="F13" s="3">
        <f>SUM(F10:F12)</f>
        <v>6.4263655181385201E-2</v>
      </c>
    </row>
    <row r="15" spans="1:7" x14ac:dyDescent="0.2">
      <c r="B15" s="128" t="s">
        <v>4</v>
      </c>
      <c r="C15" s="128"/>
      <c r="D15" s="128"/>
      <c r="E15" s="128"/>
    </row>
    <row r="17" spans="1:6" x14ac:dyDescent="0.2">
      <c r="B17">
        <v>5</v>
      </c>
      <c r="D17">
        <v>15</v>
      </c>
      <c r="E17">
        <v>20</v>
      </c>
    </row>
    <row r="18" spans="1:6" x14ac:dyDescent="0.2">
      <c r="A18">
        <v>1</v>
      </c>
      <c r="B18" s="5">
        <v>0.2</v>
      </c>
      <c r="C18" s="5">
        <v>0.1</v>
      </c>
      <c r="D18" s="5">
        <v>0.05</v>
      </c>
      <c r="E18" s="5">
        <v>3.7499999999999999E-2</v>
      </c>
      <c r="F18" s="6"/>
    </row>
    <row r="19" spans="1:6" x14ac:dyDescent="0.2">
      <c r="A19">
        <v>2</v>
      </c>
      <c r="B19" s="5">
        <v>0.32</v>
      </c>
      <c r="C19" s="5">
        <v>0.18</v>
      </c>
      <c r="D19" s="5">
        <v>9.5000000000000001E-2</v>
      </c>
      <c r="E19" s="5">
        <v>7.2190000000000004E-2</v>
      </c>
      <c r="F19" s="6"/>
    </row>
    <row r="20" spans="1:6" x14ac:dyDescent="0.2">
      <c r="A20">
        <v>3</v>
      </c>
      <c r="B20" s="5">
        <v>0.192</v>
      </c>
      <c r="C20" s="5">
        <v>0.14399999999999999</v>
      </c>
      <c r="D20" s="5">
        <v>8.5500000000000007E-2</v>
      </c>
      <c r="E20" s="5">
        <v>6.6769999999999996E-2</v>
      </c>
      <c r="F20" s="6"/>
    </row>
    <row r="21" spans="1:6" x14ac:dyDescent="0.2">
      <c r="A21">
        <v>4</v>
      </c>
      <c r="B21" s="5">
        <v>0.1152</v>
      </c>
      <c r="C21" s="5">
        <v>0.1152</v>
      </c>
      <c r="D21" s="5">
        <v>7.6999999999999999E-2</v>
      </c>
      <c r="E21" s="5">
        <v>6.1769999999999999E-2</v>
      </c>
      <c r="F21" s="6"/>
    </row>
    <row r="22" spans="1:6" x14ac:dyDescent="0.2">
      <c r="A22">
        <v>5</v>
      </c>
      <c r="B22" s="5">
        <v>0.1152</v>
      </c>
      <c r="C22" s="5">
        <v>9.2200000000000004E-2</v>
      </c>
      <c r="D22" s="5">
        <v>6.93E-2</v>
      </c>
      <c r="E22" s="5">
        <v>5.713E-2</v>
      </c>
      <c r="F22" s="6"/>
    </row>
    <row r="23" spans="1:6" x14ac:dyDescent="0.2">
      <c r="A23">
        <v>6</v>
      </c>
      <c r="B23" s="5">
        <v>0</v>
      </c>
      <c r="C23" s="5">
        <v>7.3700000000000002E-2</v>
      </c>
      <c r="D23" s="5">
        <v>6.2300000000000001E-2</v>
      </c>
      <c r="E23" s="5">
        <v>5.2850000000000001E-2</v>
      </c>
      <c r="F23" s="6"/>
    </row>
    <row r="24" spans="1:6" x14ac:dyDescent="0.2">
      <c r="A24">
        <v>7</v>
      </c>
      <c r="B24" s="5">
        <v>0</v>
      </c>
      <c r="C24" s="5">
        <v>6.5500000000000003E-2</v>
      </c>
      <c r="D24" s="5">
        <v>5.8999999999999997E-2</v>
      </c>
      <c r="E24" s="5">
        <v>4.888E-2</v>
      </c>
      <c r="F24" s="6"/>
    </row>
    <row r="25" spans="1:6" x14ac:dyDescent="0.2">
      <c r="A25">
        <v>8</v>
      </c>
      <c r="B25" s="5">
        <v>0</v>
      </c>
      <c r="C25" s="5">
        <v>6.5500000000000003E-2</v>
      </c>
      <c r="D25" s="5">
        <v>5.8999999999999997E-2</v>
      </c>
      <c r="E25" s="5">
        <v>4.5220000000000003E-2</v>
      </c>
      <c r="F25" s="6"/>
    </row>
    <row r="26" spans="1:6" x14ac:dyDescent="0.2">
      <c r="A26">
        <v>9</v>
      </c>
      <c r="B26" s="5">
        <v>0</v>
      </c>
      <c r="C26" s="5">
        <v>6.5600000000000006E-2</v>
      </c>
      <c r="D26" s="5">
        <v>5.91E-2</v>
      </c>
      <c r="E26" s="5">
        <v>4.462E-2</v>
      </c>
      <c r="F26" s="6"/>
    </row>
    <row r="27" spans="1:6" x14ac:dyDescent="0.2">
      <c r="A27">
        <v>10</v>
      </c>
      <c r="B27" s="5">
        <v>0</v>
      </c>
      <c r="C27" s="5">
        <v>6.5500000000000003E-2</v>
      </c>
      <c r="D27" s="5">
        <v>5.8999999999999997E-2</v>
      </c>
      <c r="E27" s="5">
        <v>4.4609999999999997E-2</v>
      </c>
      <c r="F27" s="6"/>
    </row>
    <row r="28" spans="1:6" x14ac:dyDescent="0.2">
      <c r="A28">
        <v>11</v>
      </c>
      <c r="B28" s="5">
        <v>0</v>
      </c>
      <c r="C28" s="5">
        <v>0</v>
      </c>
      <c r="D28" s="5">
        <v>5.91E-2</v>
      </c>
      <c r="E28" s="5">
        <v>4.462E-2</v>
      </c>
      <c r="F28" s="6"/>
    </row>
    <row r="29" spans="1:6" x14ac:dyDescent="0.2">
      <c r="A29">
        <v>12</v>
      </c>
      <c r="B29" s="5">
        <v>0</v>
      </c>
      <c r="C29" s="5">
        <v>0</v>
      </c>
      <c r="D29" s="5">
        <v>5.8999999999999997E-2</v>
      </c>
      <c r="E29" s="5">
        <v>4.4609999999999997E-2</v>
      </c>
      <c r="F29" s="6"/>
    </row>
    <row r="30" spans="1:6" x14ac:dyDescent="0.2">
      <c r="A30">
        <v>13</v>
      </c>
      <c r="B30" s="5">
        <v>0</v>
      </c>
      <c r="C30" s="5">
        <v>0</v>
      </c>
      <c r="D30" s="5">
        <v>5.91E-2</v>
      </c>
      <c r="E30" s="5">
        <v>4.462E-2</v>
      </c>
      <c r="F30" s="6"/>
    </row>
    <row r="31" spans="1:6" x14ac:dyDescent="0.2">
      <c r="A31">
        <v>14</v>
      </c>
      <c r="B31" s="5">
        <v>0</v>
      </c>
      <c r="C31" s="5">
        <v>0</v>
      </c>
      <c r="D31" s="5">
        <v>5.8999999999999997E-2</v>
      </c>
      <c r="E31" s="5">
        <v>4.4609999999999997E-2</v>
      </c>
      <c r="F31" s="6"/>
    </row>
    <row r="32" spans="1:6" x14ac:dyDescent="0.2">
      <c r="A32">
        <v>15</v>
      </c>
      <c r="B32" s="5">
        <v>0</v>
      </c>
      <c r="C32" s="5">
        <v>0</v>
      </c>
      <c r="D32" s="5">
        <v>5.91E-2</v>
      </c>
      <c r="E32" s="5">
        <v>4.462E-2</v>
      </c>
      <c r="F32" s="6"/>
    </row>
    <row r="33" spans="1:6" x14ac:dyDescent="0.2">
      <c r="A33">
        <v>16</v>
      </c>
      <c r="B33" s="5">
        <v>0</v>
      </c>
      <c r="C33" s="5">
        <v>0</v>
      </c>
      <c r="D33" s="5">
        <v>2.9499999999999998E-2</v>
      </c>
      <c r="E33" s="5">
        <v>4.4609999999999997E-2</v>
      </c>
      <c r="F33" s="6"/>
    </row>
    <row r="34" spans="1:6" x14ac:dyDescent="0.2">
      <c r="A34">
        <v>17</v>
      </c>
      <c r="B34" s="5">
        <v>0</v>
      </c>
      <c r="C34" s="5">
        <v>0</v>
      </c>
      <c r="D34" s="5">
        <v>0</v>
      </c>
      <c r="E34" s="5">
        <v>4.462E-2</v>
      </c>
      <c r="F34" s="6"/>
    </row>
    <row r="35" spans="1:6" x14ac:dyDescent="0.2">
      <c r="A35">
        <v>18</v>
      </c>
      <c r="B35" s="5">
        <v>0</v>
      </c>
      <c r="C35" s="5">
        <v>0</v>
      </c>
      <c r="D35" s="5">
        <v>0</v>
      </c>
      <c r="E35" s="5">
        <v>4.4609999999999997E-2</v>
      </c>
      <c r="F35" s="6"/>
    </row>
    <row r="36" spans="1:6" x14ac:dyDescent="0.2">
      <c r="A36">
        <v>19</v>
      </c>
      <c r="B36" s="5">
        <v>0</v>
      </c>
      <c r="C36" s="5">
        <v>0</v>
      </c>
      <c r="D36" s="5">
        <v>0</v>
      </c>
      <c r="E36" s="5">
        <v>4.462E-2</v>
      </c>
      <c r="F36" s="6"/>
    </row>
    <row r="37" spans="1:6" x14ac:dyDescent="0.2">
      <c r="A37">
        <v>20</v>
      </c>
      <c r="B37" s="5">
        <v>0</v>
      </c>
      <c r="C37" s="5">
        <v>0</v>
      </c>
      <c r="D37" s="5">
        <v>0</v>
      </c>
      <c r="E37" s="5">
        <v>4.4609999999999997E-2</v>
      </c>
      <c r="F37" s="6"/>
    </row>
    <row r="38" spans="1:6" x14ac:dyDescent="0.2">
      <c r="A38">
        <v>21</v>
      </c>
      <c r="B38" s="5">
        <v>0</v>
      </c>
      <c r="C38" s="5">
        <v>0</v>
      </c>
      <c r="D38" s="5">
        <v>0</v>
      </c>
      <c r="E38" s="5">
        <v>2.231E-2</v>
      </c>
      <c r="F38" s="6"/>
    </row>
    <row r="39" spans="1:6" x14ac:dyDescent="0.2">
      <c r="A39">
        <v>22</v>
      </c>
      <c r="B39" s="5">
        <v>0</v>
      </c>
      <c r="C39" s="5">
        <v>0</v>
      </c>
      <c r="D39" s="5">
        <v>0</v>
      </c>
      <c r="E39" s="5">
        <v>0</v>
      </c>
    </row>
    <row r="40" spans="1:6" x14ac:dyDescent="0.2">
      <c r="A40">
        <v>23</v>
      </c>
      <c r="B40" s="5">
        <v>0</v>
      </c>
      <c r="C40" s="5">
        <v>0</v>
      </c>
      <c r="D40" s="5">
        <v>0</v>
      </c>
      <c r="E40" s="5">
        <v>0</v>
      </c>
    </row>
    <row r="41" spans="1:6" x14ac:dyDescent="0.2">
      <c r="A41">
        <v>24</v>
      </c>
      <c r="B41" s="5">
        <v>0</v>
      </c>
      <c r="C41" s="5">
        <v>0</v>
      </c>
      <c r="D41" s="5">
        <v>0</v>
      </c>
      <c r="E41" s="5">
        <v>0</v>
      </c>
    </row>
    <row r="42" spans="1:6" x14ac:dyDescent="0.2">
      <c r="A42">
        <v>25</v>
      </c>
      <c r="B42" s="5">
        <v>0</v>
      </c>
      <c r="C42" s="5">
        <v>0</v>
      </c>
      <c r="D42" s="5">
        <v>0</v>
      </c>
      <c r="E42" s="5">
        <v>0</v>
      </c>
    </row>
    <row r="43" spans="1:6" x14ac:dyDescent="0.2">
      <c r="A43">
        <v>26</v>
      </c>
      <c r="B43" s="5">
        <v>0</v>
      </c>
      <c r="C43" s="5">
        <v>0</v>
      </c>
      <c r="D43" s="5">
        <v>0</v>
      </c>
      <c r="E43" s="5">
        <v>0</v>
      </c>
    </row>
    <row r="44" spans="1:6" x14ac:dyDescent="0.2">
      <c r="A44">
        <v>27</v>
      </c>
      <c r="B44" s="5">
        <v>0</v>
      </c>
      <c r="C44" s="5">
        <v>0</v>
      </c>
      <c r="D44" s="5">
        <v>0</v>
      </c>
      <c r="E44" s="5">
        <v>0</v>
      </c>
    </row>
    <row r="45" spans="1:6" x14ac:dyDescent="0.2">
      <c r="A45">
        <v>28</v>
      </c>
      <c r="B45" s="5">
        <v>0</v>
      </c>
      <c r="C45" s="5">
        <v>0</v>
      </c>
      <c r="D45" s="5">
        <v>0</v>
      </c>
      <c r="E45" s="5">
        <v>0</v>
      </c>
    </row>
    <row r="46" spans="1:6" x14ac:dyDescent="0.2">
      <c r="A46">
        <v>29</v>
      </c>
      <c r="B46" s="5">
        <v>0</v>
      </c>
      <c r="C46" s="5">
        <v>0</v>
      </c>
      <c r="D46" s="5">
        <v>0</v>
      </c>
      <c r="E46" s="5">
        <v>0</v>
      </c>
    </row>
    <row r="47" spans="1:6" x14ac:dyDescent="0.2">
      <c r="A47">
        <v>30</v>
      </c>
      <c r="B47" s="5">
        <v>0</v>
      </c>
      <c r="C47" s="5">
        <v>0</v>
      </c>
      <c r="D47" s="5">
        <v>0</v>
      </c>
      <c r="E47" s="5">
        <v>0</v>
      </c>
    </row>
    <row r="48" spans="1:6" x14ac:dyDescent="0.2">
      <c r="B48" s="5"/>
      <c r="C48" s="5"/>
      <c r="D48" s="5"/>
      <c r="E48" s="5"/>
    </row>
    <row r="49" spans="2:7" x14ac:dyDescent="0.2">
      <c r="B49" s="5"/>
      <c r="C49" s="5"/>
      <c r="D49" s="5"/>
      <c r="E49" s="5"/>
    </row>
    <row r="53" spans="2:7" x14ac:dyDescent="0.2">
      <c r="G53" s="24"/>
    </row>
    <row r="54" spans="2:7" x14ac:dyDescent="0.2">
      <c r="G54" s="24"/>
    </row>
  </sheetData>
  <dataConsolidate/>
  <mergeCells count="1">
    <mergeCell ref="B15:E15"/>
  </mergeCells>
  <pageMargins left="0.75" right="0.75" top="1" bottom="1" header="0.5" footer="0.5"/>
  <pageSetup scale="96" orientation="portrait" verticalDpi="1200" r:id="rId1"/>
  <headerFooter scaleWithDoc="0" alignWithMargins="0">
    <oddFooter>&amp;RAttachment D
Page 5 of 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C1C3F-63DB-4DA8-8BD6-60B98029BCBF}">
  <sheetPr>
    <tabColor rgb="FF00B050"/>
    <pageSetUpPr fitToPage="1"/>
  </sheetPr>
  <dimension ref="A1:J38"/>
  <sheetViews>
    <sheetView zoomScaleNormal="100" workbookViewId="0">
      <selection activeCell="B38" sqref="B38"/>
    </sheetView>
  </sheetViews>
  <sheetFormatPr defaultColWidth="8.85546875" defaultRowHeight="15" x14ac:dyDescent="0.25"/>
  <cols>
    <col min="1" max="1" width="24.140625" style="40" customWidth="1"/>
    <col min="2" max="4" width="17.5703125" style="40" customWidth="1"/>
    <col min="5" max="5" width="8.85546875" style="40"/>
    <col min="6" max="6" width="15.140625" style="40" bestFit="1" customWidth="1"/>
    <col min="7" max="7" width="16.7109375" style="40" customWidth="1"/>
    <col min="8" max="8" width="17.85546875" style="40" bestFit="1" customWidth="1"/>
    <col min="9" max="16384" width="8.85546875" style="40"/>
  </cols>
  <sheetData>
    <row r="1" spans="1:8" ht="15.75" x14ac:dyDescent="0.25">
      <c r="A1" s="129" t="s">
        <v>90</v>
      </c>
      <c r="B1" s="129"/>
      <c r="C1" s="129"/>
      <c r="D1" s="129"/>
    </row>
    <row r="2" spans="1:8" ht="15.75" x14ac:dyDescent="0.25">
      <c r="A2" s="130" t="s">
        <v>91</v>
      </c>
      <c r="B2" s="130"/>
      <c r="C2" s="130"/>
      <c r="D2" s="130"/>
    </row>
    <row r="3" spans="1:8" ht="15.75" x14ac:dyDescent="0.25">
      <c r="A3" s="41"/>
      <c r="B3" s="41"/>
      <c r="C3" s="41"/>
      <c r="D3" s="41"/>
    </row>
    <row r="4" spans="1:8" ht="15.75" x14ac:dyDescent="0.25">
      <c r="A4" s="41"/>
      <c r="B4" s="41"/>
      <c r="C4" s="41"/>
      <c r="D4" s="41"/>
    </row>
    <row r="5" spans="1:8" ht="16.5" thickBot="1" x14ac:dyDescent="0.3">
      <c r="A5" s="41"/>
      <c r="B5" s="41"/>
      <c r="C5" s="41"/>
      <c r="D5" s="41"/>
    </row>
    <row r="6" spans="1:8" ht="15.75" thickBot="1" x14ac:dyDescent="0.3">
      <c r="A6" s="131" t="s">
        <v>92</v>
      </c>
      <c r="B6" s="132"/>
      <c r="C6" s="132"/>
      <c r="D6" s="133"/>
    </row>
    <row r="7" spans="1:8" x14ac:dyDescent="0.25">
      <c r="A7" s="42"/>
      <c r="D7" s="43" t="s">
        <v>11</v>
      </c>
    </row>
    <row r="8" spans="1:8" x14ac:dyDescent="0.25">
      <c r="B8" s="42"/>
      <c r="C8" s="42"/>
      <c r="D8" s="43" t="s">
        <v>93</v>
      </c>
    </row>
    <row r="9" spans="1:8" ht="15.75" thickBot="1" x14ac:dyDescent="0.3">
      <c r="A9" s="44" t="s">
        <v>94</v>
      </c>
      <c r="B9" s="45" t="s">
        <v>9</v>
      </c>
      <c r="C9" s="45" t="s">
        <v>6</v>
      </c>
      <c r="D9" s="45" t="s">
        <v>95</v>
      </c>
    </row>
    <row r="10" spans="1:8" x14ac:dyDescent="0.25">
      <c r="A10" s="40" t="s">
        <v>101</v>
      </c>
      <c r="B10" s="46">
        <f>'KU WACOC-Tax Table'!B10</f>
        <v>1.6899999999999998E-2</v>
      </c>
      <c r="C10" s="46">
        <f>'KU WACOC-Tax Table'!C10</f>
        <v>4.5999999999999999E-3</v>
      </c>
      <c r="D10" s="52">
        <f>C10*B10</f>
        <v>7.7739999999999998E-5</v>
      </c>
      <c r="F10" s="57">
        <v>88669692.967399269</v>
      </c>
      <c r="G10" s="47">
        <f>F10*C10</f>
        <v>407880.58765003661</v>
      </c>
      <c r="H10" s="47"/>
    </row>
    <row r="11" spans="1:8" x14ac:dyDescent="0.25">
      <c r="A11" s="40" t="s">
        <v>96</v>
      </c>
      <c r="B11" s="46">
        <f>'KU WACOC-Tax Table'!B11</f>
        <v>0.45069999999999999</v>
      </c>
      <c r="C11" s="46">
        <f>'KU WACOC-Tax Table'!C11</f>
        <v>4.1399999999999999E-2</v>
      </c>
      <c r="D11" s="52">
        <f>B11*C11</f>
        <v>1.8658979999999999E-2</v>
      </c>
      <c r="F11" s="57">
        <v>2358597444.1902695</v>
      </c>
      <c r="G11" s="47">
        <f t="shared" ref="G11:G12" si="0">F11*C11</f>
        <v>97645934.189477161</v>
      </c>
      <c r="H11" s="47"/>
    </row>
    <row r="12" spans="1:8" ht="15.75" thickBot="1" x14ac:dyDescent="0.3">
      <c r="A12" s="40" t="s">
        <v>5</v>
      </c>
      <c r="B12" s="48">
        <f>'KU WACOC-Tax Table'!B12</f>
        <v>0.53239999999999998</v>
      </c>
      <c r="C12" s="48">
        <f>'KU WACOC-Tax Table'!C12</f>
        <v>9.425E-2</v>
      </c>
      <c r="D12" s="53">
        <f>B12*C12</f>
        <v>5.01787E-2</v>
      </c>
      <c r="F12" s="57">
        <v>2786020096.9871111</v>
      </c>
      <c r="G12" s="47">
        <f t="shared" si="0"/>
        <v>262582394.14103523</v>
      </c>
      <c r="H12" s="47"/>
    </row>
    <row r="13" spans="1:8" x14ac:dyDescent="0.25">
      <c r="D13" s="52">
        <f>SUM(D10:D12)</f>
        <v>6.8915420000000005E-2</v>
      </c>
      <c r="F13" s="49">
        <f>SUM(F10:F12)</f>
        <v>5233287234.1447792</v>
      </c>
      <c r="G13" s="40">
        <f>((F13)/($F$13+$F$23))*D13</f>
        <v>4.1536330229229416E-2</v>
      </c>
      <c r="H13" s="40">
        <f>((F12)/($F$12+$F$22))*B37</f>
        <v>0.14982274593902928</v>
      </c>
    </row>
    <row r="15" spans="1:8" ht="15.75" thickBot="1" x14ac:dyDescent="0.3"/>
    <row r="16" spans="1:8" ht="15.75" thickBot="1" x14ac:dyDescent="0.3">
      <c r="A16" s="131" t="s">
        <v>97</v>
      </c>
      <c r="B16" s="132"/>
      <c r="C16" s="132"/>
      <c r="D16" s="133"/>
    </row>
    <row r="17" spans="1:10" x14ac:dyDescent="0.25">
      <c r="A17" s="42"/>
      <c r="D17" s="43" t="s">
        <v>11</v>
      </c>
    </row>
    <row r="18" spans="1:10" x14ac:dyDescent="0.25">
      <c r="B18" s="42"/>
      <c r="C18" s="42"/>
      <c r="D18" s="43" t="s">
        <v>93</v>
      </c>
    </row>
    <row r="19" spans="1:10" ht="15.75" thickBot="1" x14ac:dyDescent="0.3">
      <c r="A19" s="44" t="s">
        <v>94</v>
      </c>
      <c r="B19" s="45" t="s">
        <v>9</v>
      </c>
      <c r="C19" s="45" t="s">
        <v>6</v>
      </c>
      <c r="D19" s="45" t="s">
        <v>95</v>
      </c>
    </row>
    <row r="20" spans="1:10" x14ac:dyDescent="0.25">
      <c r="A20" s="40" t="s">
        <v>101</v>
      </c>
      <c r="B20" s="46">
        <f>'LGE WACOC-Tax Table'!B10</f>
        <v>1.26E-2</v>
      </c>
      <c r="C20" s="46">
        <f>'LGE WACOC-Tax Table'!C10</f>
        <v>4.5999999999999999E-3</v>
      </c>
      <c r="D20" s="46">
        <f>B20*C20</f>
        <v>5.7960000000000001E-5</v>
      </c>
      <c r="F20" s="57">
        <v>43543326.439146273</v>
      </c>
      <c r="G20" s="49">
        <f>F20*C20</f>
        <v>200299.30162007286</v>
      </c>
      <c r="H20" s="47"/>
    </row>
    <row r="21" spans="1:10" x14ac:dyDescent="0.25">
      <c r="A21" s="40" t="s">
        <v>96</v>
      </c>
      <c r="B21" s="46">
        <f>'LGE WACOC-Tax Table'!B11</f>
        <v>0.45550000000000002</v>
      </c>
      <c r="C21" s="46">
        <f>'LGE WACOC-Tax Table'!C11</f>
        <v>0.04</v>
      </c>
      <c r="D21" s="46">
        <f>B21*C21</f>
        <v>1.822E-2</v>
      </c>
      <c r="F21" s="57">
        <v>1571185385.9068089</v>
      </c>
      <c r="G21" s="49">
        <f t="shared" ref="G21:G22" si="1">F21*C21</f>
        <v>62847415.436272353</v>
      </c>
      <c r="H21" s="47"/>
    </row>
    <row r="22" spans="1:10" ht="15.75" thickBot="1" x14ac:dyDescent="0.3">
      <c r="A22" s="40" t="s">
        <v>5</v>
      </c>
      <c r="B22" s="48">
        <f>'LGE WACOC-Tax Table'!B12</f>
        <v>0.53190000000000004</v>
      </c>
      <c r="C22" s="48">
        <f>'LGE WACOC-Tax Table'!C12</f>
        <v>9.425E-2</v>
      </c>
      <c r="D22" s="48">
        <f>B22*C22</f>
        <v>5.0131575000000005E-2</v>
      </c>
      <c r="F22" s="57">
        <v>1834845195.3424194</v>
      </c>
      <c r="G22" s="49">
        <f t="shared" si="1"/>
        <v>172934159.66102302</v>
      </c>
      <c r="H22" s="47"/>
    </row>
    <row r="23" spans="1:10" x14ac:dyDescent="0.25">
      <c r="D23" s="50">
        <f>SUM(D20:D22)</f>
        <v>6.8409535000000007E-2</v>
      </c>
      <c r="F23" s="49">
        <f>SUM(F20:F22)</f>
        <v>3449573907.6883745</v>
      </c>
      <c r="G23" s="40">
        <f>((F23)/($F$13+$F$23))*D23</f>
        <v>2.7178109049348798E-2</v>
      </c>
      <c r="H23" s="40">
        <f>((F22)/($F$12+$F$22))*B36</f>
        <v>9.8582608150091608E-2</v>
      </c>
    </row>
    <row r="24" spans="1:10" x14ac:dyDescent="0.25">
      <c r="G24" s="51"/>
    </row>
    <row r="25" spans="1:10" ht="15.75" thickBot="1" x14ac:dyDescent="0.3"/>
    <row r="26" spans="1:10" ht="15.75" thickBot="1" x14ac:dyDescent="0.3">
      <c r="A26" s="131" t="s">
        <v>98</v>
      </c>
      <c r="B26" s="132"/>
      <c r="C26" s="132"/>
      <c r="D26" s="133"/>
    </row>
    <row r="27" spans="1:10" x14ac:dyDescent="0.25">
      <c r="A27" s="42"/>
      <c r="D27" s="43" t="s">
        <v>11</v>
      </c>
    </row>
    <row r="28" spans="1:10" x14ac:dyDescent="0.25">
      <c r="B28" s="42"/>
      <c r="C28" s="42"/>
      <c r="D28" s="43" t="s">
        <v>93</v>
      </c>
    </row>
    <row r="29" spans="1:10" ht="15.75" thickBot="1" x14ac:dyDescent="0.3">
      <c r="A29" s="44" t="s">
        <v>94</v>
      </c>
      <c r="B29" s="45" t="s">
        <v>9</v>
      </c>
      <c r="C29" s="45" t="s">
        <v>6</v>
      </c>
      <c r="D29" s="45" t="s">
        <v>95</v>
      </c>
    </row>
    <row r="30" spans="1:10" x14ac:dyDescent="0.25">
      <c r="A30" s="40" t="s">
        <v>101</v>
      </c>
      <c r="B30" s="52">
        <f>F30/$F$33</f>
        <v>1.5226895518293673E-2</v>
      </c>
      <c r="C30" s="52">
        <f>H30/F30</f>
        <v>4.5999999999999999E-3</v>
      </c>
      <c r="D30" s="46">
        <f>B30*C30</f>
        <v>7.0043719384150889E-5</v>
      </c>
      <c r="F30" s="49">
        <f>F20+F10</f>
        <v>132213019.40654555</v>
      </c>
      <c r="G30" s="40">
        <f>F30/$F$33</f>
        <v>1.5226895518293673E-2</v>
      </c>
      <c r="H30" s="49">
        <f>G10+G20</f>
        <v>608179.88927010947</v>
      </c>
      <c r="I30" s="40">
        <f>H30/F30</f>
        <v>4.5999999999999999E-3</v>
      </c>
      <c r="J30" s="40">
        <f>G30*I30</f>
        <v>7.0043719384150889E-5</v>
      </c>
    </row>
    <row r="31" spans="1:10" x14ac:dyDescent="0.25">
      <c r="A31" s="40" t="s">
        <v>96</v>
      </c>
      <c r="B31" s="52">
        <f>F31/$F$33</f>
        <v>0.45259077231625627</v>
      </c>
      <c r="C31" s="52">
        <f>H31/F31</f>
        <v>4.0840259262312675E-2</v>
      </c>
      <c r="D31" s="46">
        <f>B31*C31</f>
        <v>1.8483924481126231E-2</v>
      </c>
      <c r="F31" s="49">
        <f t="shared" ref="F31:F32" si="2">F21+F11</f>
        <v>3929782830.0970783</v>
      </c>
      <c r="G31" s="40">
        <f t="shared" ref="G31:G32" si="3">F31/$F$33</f>
        <v>0.45259077231625627</v>
      </c>
      <c r="H31" s="49">
        <f t="shared" ref="H31:H32" si="4">G11+G21</f>
        <v>160493349.62574953</v>
      </c>
      <c r="I31" s="40">
        <f t="shared" ref="I31:I32" si="5">H31/F31</f>
        <v>4.0840259262312675E-2</v>
      </c>
      <c r="J31" s="40">
        <f t="shared" ref="J31:J32" si="6">G31*I31</f>
        <v>1.8483924481126231E-2</v>
      </c>
    </row>
    <row r="32" spans="1:10" ht="15.75" thickBot="1" x14ac:dyDescent="0.3">
      <c r="A32" s="40" t="s">
        <v>5</v>
      </c>
      <c r="B32" s="53">
        <f>F32/$F$33</f>
        <v>0.53218233216545008</v>
      </c>
      <c r="C32" s="53">
        <f>H32/F32</f>
        <v>9.4249999999999987E-2</v>
      </c>
      <c r="D32" s="48">
        <f>B32*C32</f>
        <v>5.0158184806593661E-2</v>
      </c>
      <c r="F32" s="49">
        <f t="shared" si="2"/>
        <v>4620865292.3295307</v>
      </c>
      <c r="G32" s="40">
        <f t="shared" si="3"/>
        <v>0.53218233216545008</v>
      </c>
      <c r="H32" s="49">
        <f t="shared" si="4"/>
        <v>435516553.80205822</v>
      </c>
      <c r="I32" s="40">
        <f t="shared" si="5"/>
        <v>9.4249999999999987E-2</v>
      </c>
      <c r="J32" s="40">
        <f t="shared" si="6"/>
        <v>5.0158184806593661E-2</v>
      </c>
    </row>
    <row r="33" spans="1:10" x14ac:dyDescent="0.25">
      <c r="B33" s="50">
        <f>SUM(B30:B32)</f>
        <v>1</v>
      </c>
      <c r="D33" s="50">
        <f>SUM(D30:D32)</f>
        <v>6.8712153007104038E-2</v>
      </c>
      <c r="F33" s="49">
        <f>SUM(F30:F32)</f>
        <v>8682861141.8331547</v>
      </c>
      <c r="G33" s="54">
        <f>SUM(G30:G32)</f>
        <v>1</v>
      </c>
      <c r="J33" s="40">
        <f>SUM(J30:J32)</f>
        <v>6.8712153007104038E-2</v>
      </c>
    </row>
    <row r="35" spans="1:10" x14ac:dyDescent="0.25">
      <c r="A35" s="40" t="s">
        <v>99</v>
      </c>
    </row>
    <row r="36" spans="1:10" x14ac:dyDescent="0.25">
      <c r="A36" s="40" t="s">
        <v>70</v>
      </c>
      <c r="B36" s="52">
        <f>'KU WACOC-Tax Table'!E10</f>
        <v>0.24826996500000001</v>
      </c>
    </row>
    <row r="37" spans="1:10" x14ac:dyDescent="0.25">
      <c r="A37" s="40" t="s">
        <v>71</v>
      </c>
      <c r="B37" s="52">
        <f>'LGE WACOC-Tax Table'!E10</f>
        <v>0.24849452</v>
      </c>
    </row>
    <row r="38" spans="1:10" x14ac:dyDescent="0.25">
      <c r="A38" s="40" t="s">
        <v>100</v>
      </c>
      <c r="B38" s="52">
        <f>SUM(H13:H23)</f>
        <v>0.2484053540891209</v>
      </c>
    </row>
  </sheetData>
  <mergeCells count="5">
    <mergeCell ref="A1:D1"/>
    <mergeCell ref="A2:D2"/>
    <mergeCell ref="A6:D6"/>
    <mergeCell ref="A16:D16"/>
    <mergeCell ref="A26:D2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 xsi:nil="true"/>
    <Year xmlns="65bfb563-8fe2-4d34-a09f-38a217d8feea">2022</Year>
    <Review_x0020_Case_x0020_Doc_x0020_Types xmlns="65bfb563-8fe2-4d34-a09f-38a217d8feea">Testimony, Orders, Motions, Notices, and Briefs</Review_x0020_Case_x0020_Doc_x0020_Types>
    <Case_x0020__x0023_ xmlns="f789fa03-9022-4931-acb2-79f11ac92edf" xsi:nil="true"/>
    <Data_x0020_Request_x0020_Party xmlns="f789fa03-9022-4931-acb2-79f11ac92edf" xsi:nil="true"/>
    <Status_x0020__x0028_Internal_x0020_Use_x0020_Only_x0029_ xmlns="2ad705b9-adad-42ba-803b-2580de5ca47a"/>
    <Company xmlns="65bfb563-8fe2-4d34-a09f-38a217d8feea">
      <Value>KU</Value>
    </Compan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EBE2AC83CBF4DBDD768E1B572F6C5" ma:contentTypeVersion="22" ma:contentTypeDescription="Create a new document." ma:contentTypeScope="" ma:versionID="4bffbf025570108a8d028dbe3291b700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c6fedcf7c2c0918743fe259a7913fb6d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2" ma:format="Dropdown" ma:internalName="Year">
      <xsd:simpleType>
        <xsd:restriction base="dms:Choice">
          <xsd:enumeration value="2022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Testimony, Orders, Motions, Notices, and Briefs"/>
          <xsd:enumeration value="First Round Data Requests"/>
          <xsd:enumeration value="Second Round Data Requests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Bevington, John"/>
          <xsd:enumeration value="Conroy, Robert"/>
          <xsd:enumeration value="Hornung, Mike"/>
          <xsd:enumeration value="Multipl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Data Request Party" ma:format="Dropdown" ma:internalName="Data_x0020_Request_x0020_Party">
      <xsd:simpleType>
        <xsd:restriction base="dms:Choice">
          <xsd:enumeration value="Public Service Commission"/>
          <xsd:enumeration value="Attorney General"/>
          <xsd:enumeration value="Ky. Industrial Utility Cust."/>
          <xsd:enumeration value="Assoc. of Community Ministries"/>
          <xsd:enumeration value="Lex.-Fay. Urban Co. Gov’t."/>
          <xsd:enumeration value="Comm. Act. Council for Lex.-Fay., Bourb., Harr., &amp; Nich. Cos."/>
          <xsd:enumeration value="Kroger"/>
          <xsd:enumeration value="Ky. Cable Telecomm. Assoc."/>
          <xsd:enumeration value="Sierra Club"/>
          <xsd:enumeration value="Walmart"/>
          <xsd:enumeration value="Ky. School Boards Assoc."/>
          <xsd:enumeration value="U.S. Dept. of Defense"/>
          <xsd:enumeration value="Metro. Housing Coalition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CEF516-6CC1-410F-94B6-BF183918FDEC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a97646d-5e46-4532-99d2-95b688ae3204"/>
    <ds:schemaRef ds:uri="2b9e1b56-1bc3-4bb6-83f9-6df8fea7da23"/>
    <ds:schemaRef ds:uri="7e1690bc-552b-4878-9693-ea0d85c5988a"/>
    <ds:schemaRef ds:uri="65bfb563-8fe2-4d34-a09f-38a217d8feea"/>
    <ds:schemaRef ds:uri="f789fa03-9022-4931-acb2-79f11ac92edf"/>
    <ds:schemaRef ds:uri="2ad705b9-adad-42ba-803b-2580de5ca47a"/>
  </ds:schemaRefs>
</ds:datastoreItem>
</file>

<file path=customXml/itemProps2.xml><?xml version="1.0" encoding="utf-8"?>
<ds:datastoreItem xmlns:ds="http://schemas.openxmlformats.org/officeDocument/2006/customXml" ds:itemID="{E6A90EAD-B769-413A-98C0-42ADE0CEA4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9573F5-4993-42EA-B998-1A4F7460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fb563-8fe2-4d34-a09f-38a217d8feea"/>
    <ds:schemaRef ds:uri="f789fa03-9022-4931-acb2-79f11ac92edf"/>
    <ds:schemaRef ds:uri="2ad705b9-adad-42ba-803b-2580de5ca4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Summary</vt:lpstr>
      <vt:lpstr>Prod Economic Carrying Charge</vt:lpstr>
      <vt:lpstr>Prod PVRR</vt:lpstr>
      <vt:lpstr>Combined WACOC-Tax Table</vt:lpstr>
      <vt:lpstr>LGE WACOC-Tax Table</vt:lpstr>
      <vt:lpstr>KU WACOC-Tax Table</vt:lpstr>
      <vt:lpstr>WACOC</vt:lpstr>
      <vt:lpstr>'KU WACOC-Tax Table'!Print_Area</vt:lpstr>
      <vt:lpstr>'LGE WACOC-Tax Table'!Print_Area</vt:lpstr>
      <vt:lpstr>'Prod Economic Carrying Charge'!Print_Area</vt:lpstr>
      <vt:lpstr>'Prod PVRR'!Print_Area</vt:lpstr>
      <vt:lpstr>Summary!Print_Area</vt:lpstr>
      <vt:lpstr>WACOC!Print_Area</vt:lpstr>
      <vt:lpstr>'Prod PVRR'!Print_Titles</vt:lpstr>
    </vt:vector>
  </TitlesOfParts>
  <Company>The Prime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Steve Seelye</dc:creator>
  <cp:lastModifiedBy>SKO</cp:lastModifiedBy>
  <cp:lastPrinted>2022-08-12T18:49:49Z</cp:lastPrinted>
  <dcterms:created xsi:type="dcterms:W3CDTF">2008-07-02T22:21:05Z</dcterms:created>
  <dcterms:modified xsi:type="dcterms:W3CDTF">2023-02-08T14:13:42Z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0x010100E5CEBE2AC83CBF4DBDD768E1B572F6C5</vt:lpwstr>
  </property>
  <property fmtid="{D5CDD505-2E9C-101B-9397-08002B2CF9AE}" pid="3" name="MediaServiceImageTags">
    <vt:lpwstr/>
  </property>
  <property fmtid="{D5CDD505-2E9C-101B-9397-08002B2CF9AE}" pid="4" name="eDOCS AutoSave">
    <vt:lpwstr/>
  </property>
</Properties>
</file>