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uncan.crosby\Desktop\"/>
    </mc:Choice>
  </mc:AlternateContent>
  <xr:revisionPtr revIDLastSave="0" documentId="8_{A28EA703-8AD7-4E48-84DC-816ED4328799}" xr6:coauthVersionLast="47" xr6:coauthVersionMax="47" xr10:uidLastSave="{00000000-0000-0000-0000-000000000000}"/>
  <bookViews>
    <workbookView xWindow="-28920" yWindow="-210" windowWidth="29040" windowHeight="15840" activeTab="1" xr2:uid="{00000000-000D-0000-FFFF-FFFF00000000}"/>
  </bookViews>
  <sheets>
    <sheet name="Summary" sheetId="18" r:id="rId1"/>
    <sheet name="Prod Economic Carrying Charge" sheetId="8" r:id="rId2"/>
    <sheet name="Prod PVRR" sheetId="7" r:id="rId3"/>
    <sheet name="Combined WACOC-Tax Table" sheetId="20" r:id="rId4"/>
    <sheet name="LGE WACOC-Tax Table" sheetId="6" r:id="rId5"/>
    <sheet name="KU WACOC-Tax Table" sheetId="19" r:id="rId6"/>
    <sheet name="WACOC" sheetId="22" r:id="rId7"/>
  </sheets>
  <definedNames>
    <definedName name="_xlnm.Print_Area" localSheetId="5">'KU WACOC-Tax Table'!$A$1:$G$53</definedName>
    <definedName name="_xlnm.Print_Area" localSheetId="4">'LGE WACOC-Tax Table'!$A$1:$G$53</definedName>
    <definedName name="_xlnm.Print_Area" localSheetId="1">'Prod Economic Carrying Charge'!$A$1:$F$48</definedName>
    <definedName name="_xlnm.Print_Area" localSheetId="2">'Prod PVRR'!$A$1:$X$70</definedName>
    <definedName name="_xlnm.Print_Area" localSheetId="0">Summary!$A$1:$I$49</definedName>
    <definedName name="_xlnm.Print_Area" localSheetId="6">WACOC!$A$1:$D$39</definedName>
    <definedName name="_xlnm.Print_Titles" localSheetId="2">'Prod PVRR'!$A:$A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9" i="7" l="1"/>
  <c r="N31" i="7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N58" i="7" s="1"/>
  <c r="N59" i="7" s="1"/>
  <c r="N60" i="7" s="1"/>
  <c r="N61" i="7" s="1"/>
  <c r="N62" i="7" s="1"/>
  <c r="N63" i="7" s="1"/>
  <c r="N64" i="7" s="1"/>
  <c r="N65" i="7" s="1"/>
  <c r="N66" i="7" s="1"/>
  <c r="N67" i="7" s="1"/>
  <c r="N68" i="7" s="1"/>
  <c r="O30" i="7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P68" i="7" s="1"/>
  <c r="N30" i="7"/>
  <c r="D28" i="8"/>
  <c r="E12" i="7"/>
  <c r="P30" i="7" l="1"/>
  <c r="P63" i="7"/>
  <c r="P55" i="7"/>
  <c r="P47" i="7"/>
  <c r="P39" i="7"/>
  <c r="P62" i="7"/>
  <c r="P54" i="7"/>
  <c r="P46" i="7"/>
  <c r="P38" i="7"/>
  <c r="P61" i="7"/>
  <c r="P53" i="7"/>
  <c r="P45" i="7"/>
  <c r="P37" i="7"/>
  <c r="P60" i="7"/>
  <c r="P52" i="7"/>
  <c r="P44" i="7"/>
  <c r="P36" i="7"/>
  <c r="P67" i="7"/>
  <c r="P59" i="7"/>
  <c r="P51" i="7"/>
  <c r="P43" i="7"/>
  <c r="P35" i="7"/>
  <c r="P66" i="7"/>
  <c r="P58" i="7"/>
  <c r="P50" i="7"/>
  <c r="P42" i="7"/>
  <c r="P34" i="7"/>
  <c r="P65" i="7"/>
  <c r="P57" i="7"/>
  <c r="P49" i="7"/>
  <c r="P41" i="7"/>
  <c r="P33" i="7"/>
  <c r="P64" i="7"/>
  <c r="P56" i="7"/>
  <c r="P48" i="7"/>
  <c r="P40" i="7"/>
  <c r="P32" i="7"/>
  <c r="P31" i="7"/>
  <c r="B37" i="22"/>
  <c r="B36" i="22"/>
  <c r="C22" i="22"/>
  <c r="C21" i="22"/>
  <c r="C20" i="22"/>
  <c r="B22" i="22"/>
  <c r="B21" i="22"/>
  <c r="B20" i="22"/>
  <c r="C12" i="22"/>
  <c r="B12" i="22"/>
  <c r="C11" i="22"/>
  <c r="B11" i="22"/>
  <c r="C10" i="22"/>
  <c r="B10" i="22"/>
  <c r="E11" i="6"/>
  <c r="E11" i="19" l="1"/>
  <c r="F13" i="18" l="1"/>
  <c r="F32" i="22" l="1"/>
  <c r="F31" i="22"/>
  <c r="F30" i="22"/>
  <c r="H23" i="22"/>
  <c r="F23" i="22"/>
  <c r="D21" i="22" s="1"/>
  <c r="G22" i="22"/>
  <c r="G21" i="22"/>
  <c r="G20" i="22"/>
  <c r="H13" i="22"/>
  <c r="F13" i="22"/>
  <c r="G12" i="22"/>
  <c r="D12" i="22"/>
  <c r="G11" i="22"/>
  <c r="D11" i="22"/>
  <c r="G10" i="22"/>
  <c r="D10" i="22"/>
  <c r="B38" i="22" l="1"/>
  <c r="E10" i="20" s="1"/>
  <c r="E11" i="20" s="1"/>
  <c r="H30" i="22"/>
  <c r="C30" i="22" s="1"/>
  <c r="C10" i="20" s="1"/>
  <c r="D20" i="22"/>
  <c r="H32" i="22"/>
  <c r="C32" i="22" s="1"/>
  <c r="C12" i="20" s="1"/>
  <c r="H31" i="22"/>
  <c r="C31" i="22" s="1"/>
  <c r="C11" i="20" s="1"/>
  <c r="D22" i="22"/>
  <c r="F33" i="22"/>
  <c r="G31" i="22" s="1"/>
  <c r="D13" i="22"/>
  <c r="G13" i="22" s="1"/>
  <c r="I30" i="22" l="1"/>
  <c r="I31" i="22"/>
  <c r="J31" i="22" s="1"/>
  <c r="I32" i="22"/>
  <c r="B31" i="22"/>
  <c r="D23" i="22"/>
  <c r="G23" i="22" s="1"/>
  <c r="G30" i="22"/>
  <c r="J30" i="22" s="1"/>
  <c r="B32" i="22"/>
  <c r="B30" i="22"/>
  <c r="G32" i="22"/>
  <c r="D31" i="22" l="1"/>
  <c r="B11" i="20"/>
  <c r="D30" i="22"/>
  <c r="B10" i="20"/>
  <c r="D32" i="22"/>
  <c r="B12" i="20"/>
  <c r="J32" i="22"/>
  <c r="J33" i="22" s="1"/>
  <c r="B33" i="22"/>
  <c r="G33" i="22"/>
  <c r="D33" i="22" l="1"/>
  <c r="E11" i="7"/>
  <c r="D11" i="20" l="1"/>
  <c r="F11" i="20" s="1"/>
  <c r="D10" i="20"/>
  <c r="F10" i="20" s="1"/>
  <c r="D12" i="20"/>
  <c r="F12" i="20" s="1"/>
  <c r="D16" i="8" l="1"/>
  <c r="D20" i="8"/>
  <c r="D13" i="20" l="1"/>
  <c r="F13" i="20" l="1"/>
  <c r="Q68" i="7" l="1"/>
  <c r="Q64" i="7"/>
  <c r="Q60" i="7"/>
  <c r="Q56" i="7"/>
  <c r="Q52" i="7"/>
  <c r="Q48" i="7"/>
  <c r="Q44" i="7"/>
  <c r="Q40" i="7"/>
  <c r="Q36" i="7"/>
  <c r="Q32" i="7"/>
  <c r="Q28" i="7"/>
  <c r="Q67" i="7"/>
  <c r="Q63" i="7"/>
  <c r="Q59" i="7"/>
  <c r="Q55" i="7"/>
  <c r="Q51" i="7"/>
  <c r="Q47" i="7"/>
  <c r="Q43" i="7"/>
  <c r="Q39" i="7"/>
  <c r="Q35" i="7"/>
  <c r="Q31" i="7"/>
  <c r="Q61" i="7"/>
  <c r="Q53" i="7"/>
  <c r="Q45" i="7"/>
  <c r="Q37" i="7"/>
  <c r="Q29" i="7"/>
  <c r="Q49" i="7"/>
  <c r="Q33" i="7"/>
  <c r="D10" i="8"/>
  <c r="D26" i="8" s="1"/>
  <c r="Q62" i="7"/>
  <c r="Q54" i="7"/>
  <c r="Q46" i="7"/>
  <c r="Q38" i="7"/>
  <c r="Q30" i="7"/>
  <c r="Q66" i="7"/>
  <c r="Q58" i="7"/>
  <c r="Q50" i="7"/>
  <c r="Q42" i="7"/>
  <c r="Q34" i="7"/>
  <c r="Q65" i="7"/>
  <c r="Q57" i="7"/>
  <c r="Q41" i="7"/>
  <c r="D12" i="19"/>
  <c r="F12" i="19" s="1"/>
  <c r="D11" i="19"/>
  <c r="F11" i="19" s="1"/>
  <c r="D10" i="19"/>
  <c r="F10" i="19" s="1"/>
  <c r="F13" i="19" l="1"/>
  <c r="D13" i="19"/>
  <c r="W9" i="7" l="1"/>
  <c r="W10" i="7"/>
  <c r="W11" i="7"/>
  <c r="W8" i="7"/>
  <c r="S2" i="7"/>
  <c r="S3" i="7"/>
  <c r="S1" i="7"/>
  <c r="W12" i="7"/>
  <c r="D10" i="6"/>
  <c r="F10" i="6" s="1"/>
  <c r="E13" i="7"/>
  <c r="W13" i="7" s="1"/>
  <c r="I3" i="7"/>
  <c r="I2" i="7"/>
  <c r="I1" i="7"/>
  <c r="L10" i="7"/>
  <c r="L8" i="7"/>
  <c r="L11" i="7"/>
  <c r="L9" i="7"/>
  <c r="D11" i="6"/>
  <c r="F11" i="6" s="1"/>
  <c r="D12" i="6"/>
  <c r="F12" i="6" s="1"/>
  <c r="B28" i="7"/>
  <c r="L13" i="7" l="1"/>
  <c r="E33" i="7"/>
  <c r="E37" i="7"/>
  <c r="E41" i="7"/>
  <c r="E45" i="7"/>
  <c r="E49" i="7"/>
  <c r="E53" i="7"/>
  <c r="E57" i="7"/>
  <c r="E61" i="7"/>
  <c r="E65" i="7"/>
  <c r="E29" i="7"/>
  <c r="F29" i="7" s="1"/>
  <c r="E32" i="7"/>
  <c r="E36" i="7"/>
  <c r="E40" i="7"/>
  <c r="E44" i="7"/>
  <c r="E48" i="7"/>
  <c r="E52" i="7"/>
  <c r="E56" i="7"/>
  <c r="E60" i="7"/>
  <c r="E64" i="7"/>
  <c r="E68" i="7"/>
  <c r="E31" i="7"/>
  <c r="E35" i="7"/>
  <c r="E39" i="7"/>
  <c r="E43" i="7"/>
  <c r="E47" i="7"/>
  <c r="E51" i="7"/>
  <c r="E55" i="7"/>
  <c r="E59" i="7"/>
  <c r="E63" i="7"/>
  <c r="E67" i="7"/>
  <c r="E30" i="7"/>
  <c r="E34" i="7"/>
  <c r="E38" i="7"/>
  <c r="E42" i="7"/>
  <c r="E46" i="7"/>
  <c r="E50" i="7"/>
  <c r="E54" i="7"/>
  <c r="E58" i="7"/>
  <c r="E62" i="7"/>
  <c r="E66" i="7"/>
  <c r="C29" i="7"/>
  <c r="L12" i="7"/>
  <c r="F13" i="6"/>
  <c r="D13" i="6"/>
  <c r="G29" i="7" l="1"/>
  <c r="H29" i="7" s="1"/>
  <c r="F30" i="7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D29" i="7"/>
  <c r="R28" i="7"/>
  <c r="S28" i="7" s="1"/>
  <c r="I29" i="7" l="1"/>
  <c r="L29" i="7"/>
  <c r="C30" i="7"/>
  <c r="K29" i="7" l="1"/>
  <c r="M29" i="7" s="1"/>
  <c r="J29" i="7"/>
  <c r="D30" i="7"/>
  <c r="G30" i="7"/>
  <c r="H30" i="7" s="1"/>
  <c r="L30" i="7" l="1"/>
  <c r="I30" i="7"/>
  <c r="C31" i="7"/>
  <c r="J30" i="7" l="1"/>
  <c r="K30" i="7"/>
  <c r="M30" i="7" s="1"/>
  <c r="G31" i="7"/>
  <c r="H31" i="7" s="1"/>
  <c r="D31" i="7"/>
  <c r="R29" i="7"/>
  <c r="S29" i="7" s="1"/>
  <c r="T29" i="7"/>
  <c r="I31" i="7" l="1"/>
  <c r="L31" i="7"/>
  <c r="C32" i="7"/>
  <c r="J31" i="7" l="1"/>
  <c r="K31" i="7"/>
  <c r="M31" i="7" s="1"/>
  <c r="T30" i="7"/>
  <c r="R30" i="7"/>
  <c r="S30" i="7" s="1"/>
  <c r="G32" i="7"/>
  <c r="H32" i="7" s="1"/>
  <c r="D32" i="7"/>
  <c r="T31" i="7" l="1"/>
  <c r="C33" i="7"/>
  <c r="G33" i="7" s="1"/>
  <c r="H33" i="7" s="1"/>
  <c r="L32" i="7"/>
  <c r="I32" i="7"/>
  <c r="D33" i="7" l="1"/>
  <c r="L33" i="7" s="1"/>
  <c r="J32" i="7"/>
  <c r="K32" i="7"/>
  <c r="M32" i="7" s="1"/>
  <c r="R31" i="7"/>
  <c r="S31" i="7" s="1"/>
  <c r="C34" i="7" l="1"/>
  <c r="G34" i="7" s="1"/>
  <c r="H34" i="7" s="1"/>
  <c r="I33" i="7"/>
  <c r="K33" i="7" s="1"/>
  <c r="M33" i="7" s="1"/>
  <c r="D34" i="7" l="1"/>
  <c r="C35" i="7" s="1"/>
  <c r="G35" i="7" s="1"/>
  <c r="H35" i="7" s="1"/>
  <c r="J33" i="7"/>
  <c r="T33" i="7" s="1"/>
  <c r="R32" i="7"/>
  <c r="S32" i="7" s="1"/>
  <c r="T32" i="7"/>
  <c r="I34" i="7" l="1"/>
  <c r="K34" i="7" s="1"/>
  <c r="M34" i="7" s="1"/>
  <c r="L34" i="7"/>
  <c r="D35" i="7"/>
  <c r="I35" i="7" s="1"/>
  <c r="R33" i="7"/>
  <c r="S33" i="7" s="1"/>
  <c r="J34" i="7" l="1"/>
  <c r="L35" i="7"/>
  <c r="C36" i="7"/>
  <c r="G36" i="7" s="1"/>
  <c r="H36" i="7" s="1"/>
  <c r="J35" i="7"/>
  <c r="K35" i="7"/>
  <c r="M35" i="7" s="1"/>
  <c r="D36" i="7" l="1"/>
  <c r="L36" i="7" s="1"/>
  <c r="T35" i="7"/>
  <c r="R34" i="7"/>
  <c r="S34" i="7" s="1"/>
  <c r="T34" i="7"/>
  <c r="I36" i="7" l="1"/>
  <c r="J36" i="7" s="1"/>
  <c r="C37" i="7"/>
  <c r="G37" i="7" s="1"/>
  <c r="H37" i="7" s="1"/>
  <c r="R35" i="7"/>
  <c r="S35" i="7" s="1"/>
  <c r="D37" i="7" l="1"/>
  <c r="L37" i="7" s="1"/>
  <c r="K36" i="7"/>
  <c r="M36" i="7" s="1"/>
  <c r="T36" i="7" l="1"/>
  <c r="I37" i="7"/>
  <c r="J37" i="7" s="1"/>
  <c r="C38" i="7"/>
  <c r="D38" i="7" s="1"/>
  <c r="R36" i="7" l="1"/>
  <c r="S36" i="7" s="1"/>
  <c r="G38" i="7"/>
  <c r="H38" i="7" s="1"/>
  <c r="I38" i="7" s="1"/>
  <c r="K37" i="7"/>
  <c r="M37" i="7" s="1"/>
  <c r="L38" i="7"/>
  <c r="C39" i="7"/>
  <c r="G39" i="7" s="1"/>
  <c r="H39" i="7" l="1"/>
  <c r="T37" i="7"/>
  <c r="K38" i="7"/>
  <c r="M38" i="7" s="1"/>
  <c r="J38" i="7"/>
  <c r="D39" i="7"/>
  <c r="R37" i="7" l="1"/>
  <c r="S37" i="7" s="1"/>
  <c r="I39" i="7"/>
  <c r="C40" i="7"/>
  <c r="L39" i="7"/>
  <c r="J39" i="7" l="1"/>
  <c r="K39" i="7"/>
  <c r="M39" i="7" s="1"/>
  <c r="G40" i="7"/>
  <c r="H40" i="7" s="1"/>
  <c r="T38" i="7"/>
  <c r="R38" i="7"/>
  <c r="S38" i="7" s="1"/>
  <c r="D40" i="7"/>
  <c r="L40" i="7" l="1"/>
  <c r="C41" i="7"/>
  <c r="D41" i="7" s="1"/>
  <c r="I40" i="7"/>
  <c r="J40" i="7" l="1"/>
  <c r="K40" i="7"/>
  <c r="M40" i="7" s="1"/>
  <c r="T39" i="7"/>
  <c r="R39" i="7"/>
  <c r="S39" i="7" s="1"/>
  <c r="L41" i="7"/>
  <c r="C42" i="7"/>
  <c r="D42" i="7" s="1"/>
  <c r="G41" i="7"/>
  <c r="H41" i="7" s="1"/>
  <c r="I41" i="7" s="1"/>
  <c r="K41" i="7" l="1"/>
  <c r="M41" i="7" s="1"/>
  <c r="J41" i="7"/>
  <c r="R40" i="7"/>
  <c r="S40" i="7" s="1"/>
  <c r="L42" i="7"/>
  <c r="C43" i="7"/>
  <c r="G43" i="7" s="1"/>
  <c r="G42" i="7"/>
  <c r="H42" i="7" s="1"/>
  <c r="I42" i="7" s="1"/>
  <c r="J42" i="7" l="1"/>
  <c r="K42" i="7"/>
  <c r="M42" i="7" s="1"/>
  <c r="T41" i="7"/>
  <c r="T40" i="7"/>
  <c r="D43" i="7"/>
  <c r="L43" i="7" s="1"/>
  <c r="H43" i="7"/>
  <c r="C44" i="7" l="1"/>
  <c r="D44" i="7" s="1"/>
  <c r="R41" i="7"/>
  <c r="S41" i="7" s="1"/>
  <c r="R42" i="7"/>
  <c r="I43" i="7"/>
  <c r="L44" i="7" l="1"/>
  <c r="C45" i="7"/>
  <c r="D45" i="7" s="1"/>
  <c r="G44" i="7"/>
  <c r="H44" i="7" s="1"/>
  <c r="I44" i="7" s="1"/>
  <c r="K44" i="7" s="1"/>
  <c r="M44" i="7" s="1"/>
  <c r="J43" i="7"/>
  <c r="K43" i="7"/>
  <c r="M43" i="7" s="1"/>
  <c r="S42" i="7"/>
  <c r="T42" i="7"/>
  <c r="J44" i="7" l="1"/>
  <c r="G45" i="7"/>
  <c r="H45" i="7" s="1"/>
  <c r="I45" i="7" s="1"/>
  <c r="T43" i="7"/>
  <c r="C46" i="7"/>
  <c r="G46" i="7" s="1"/>
  <c r="L45" i="7"/>
  <c r="D46" i="7" l="1"/>
  <c r="L46" i="7" s="1"/>
  <c r="H46" i="7"/>
  <c r="R43" i="7"/>
  <c r="S43" i="7" s="1"/>
  <c r="K45" i="7"/>
  <c r="M45" i="7" s="1"/>
  <c r="J45" i="7"/>
  <c r="R44" i="7"/>
  <c r="T44" i="7"/>
  <c r="I46" i="7" l="1"/>
  <c r="K46" i="7" s="1"/>
  <c r="M46" i="7" s="1"/>
  <c r="C47" i="7"/>
  <c r="D47" i="7" s="1"/>
  <c r="S44" i="7"/>
  <c r="G47" i="7" l="1"/>
  <c r="H47" i="7" s="1"/>
  <c r="I47" i="7" s="1"/>
  <c r="J46" i="7"/>
  <c r="R46" i="7" s="1"/>
  <c r="R45" i="7"/>
  <c r="S45" i="7" s="1"/>
  <c r="T45" i="7"/>
  <c r="C48" i="7"/>
  <c r="D48" i="7" s="1"/>
  <c r="L47" i="7"/>
  <c r="T46" i="7" l="1"/>
  <c r="J47" i="7"/>
  <c r="K47" i="7"/>
  <c r="M47" i="7" s="1"/>
  <c r="S46" i="7"/>
  <c r="L48" i="7"/>
  <c r="C49" i="7"/>
  <c r="G48" i="7"/>
  <c r="H48" i="7" s="1"/>
  <c r="I48" i="7" s="1"/>
  <c r="J48" i="7" l="1"/>
  <c r="K48" i="7"/>
  <c r="M48" i="7" s="1"/>
  <c r="G49" i="7"/>
  <c r="H49" i="7" s="1"/>
  <c r="D49" i="7"/>
  <c r="R47" i="7" l="1"/>
  <c r="S47" i="7" s="1"/>
  <c r="T47" i="7"/>
  <c r="I49" i="7"/>
  <c r="L49" i="7"/>
  <c r="C50" i="7"/>
  <c r="G50" i="7" s="1"/>
  <c r="H50" i="7" s="1"/>
  <c r="J49" i="7" l="1"/>
  <c r="K49" i="7"/>
  <c r="M49" i="7" s="1"/>
  <c r="R48" i="7"/>
  <c r="S48" i="7" s="1"/>
  <c r="T48" i="7"/>
  <c r="D50" i="7"/>
  <c r="T49" i="7" l="1"/>
  <c r="I50" i="7"/>
  <c r="L50" i="7"/>
  <c r="C51" i="7"/>
  <c r="J50" i="7" l="1"/>
  <c r="K50" i="7"/>
  <c r="M50" i="7" s="1"/>
  <c r="R49" i="7"/>
  <c r="S49" i="7" s="1"/>
  <c r="G51" i="7"/>
  <c r="H51" i="7" s="1"/>
  <c r="D51" i="7"/>
  <c r="R50" i="7" l="1"/>
  <c r="S50" i="7" s="1"/>
  <c r="I51" i="7"/>
  <c r="C52" i="7"/>
  <c r="L51" i="7"/>
  <c r="J51" i="7" l="1"/>
  <c r="K51" i="7"/>
  <c r="M51" i="7" s="1"/>
  <c r="T50" i="7"/>
  <c r="G52" i="7"/>
  <c r="H52" i="7" s="1"/>
  <c r="D52" i="7"/>
  <c r="R51" i="7" l="1"/>
  <c r="S51" i="7" s="1"/>
  <c r="I52" i="7"/>
  <c r="C53" i="7"/>
  <c r="L52" i="7"/>
  <c r="T51" i="7" l="1"/>
  <c r="J52" i="7"/>
  <c r="K52" i="7"/>
  <c r="M52" i="7" s="1"/>
  <c r="D53" i="7"/>
  <c r="G53" i="7"/>
  <c r="H53" i="7" s="1"/>
  <c r="C54" i="7" l="1"/>
  <c r="G54" i="7" s="1"/>
  <c r="H54" i="7" s="1"/>
  <c r="L53" i="7"/>
  <c r="I53" i="7"/>
  <c r="K53" i="7" l="1"/>
  <c r="M53" i="7" s="1"/>
  <c r="J53" i="7"/>
  <c r="R52" i="7"/>
  <c r="S52" i="7" s="1"/>
  <c r="T52" i="7"/>
  <c r="D54" i="7"/>
  <c r="R53" i="7" l="1"/>
  <c r="S53" i="7" s="1"/>
  <c r="L54" i="7"/>
  <c r="C55" i="7"/>
  <c r="D55" i="7" s="1"/>
  <c r="I54" i="7"/>
  <c r="K54" i="7" l="1"/>
  <c r="M54" i="7" s="1"/>
  <c r="J54" i="7"/>
  <c r="T53" i="7"/>
  <c r="C56" i="7"/>
  <c r="L55" i="7"/>
  <c r="G55" i="7"/>
  <c r="H55" i="7" s="1"/>
  <c r="I55" i="7" s="1"/>
  <c r="J55" i="7" l="1"/>
  <c r="K55" i="7"/>
  <c r="M55" i="7" s="1"/>
  <c r="G56" i="7"/>
  <c r="H56" i="7" s="1"/>
  <c r="D56" i="7"/>
  <c r="C57" i="7" l="1"/>
  <c r="G57" i="7" s="1"/>
  <c r="H57" i="7" s="1"/>
  <c r="I56" i="7"/>
  <c r="L56" i="7"/>
  <c r="T54" i="7"/>
  <c r="R54" i="7"/>
  <c r="S54" i="7" s="1"/>
  <c r="J56" i="7" l="1"/>
  <c r="K56" i="7"/>
  <c r="M56" i="7" s="1"/>
  <c r="T55" i="7"/>
  <c r="R55" i="7"/>
  <c r="S55" i="7" s="1"/>
  <c r="D57" i="7"/>
  <c r="L57" i="7" l="1"/>
  <c r="C58" i="7"/>
  <c r="I57" i="7"/>
  <c r="K57" i="7" l="1"/>
  <c r="M57" i="7" s="1"/>
  <c r="J57" i="7"/>
  <c r="G58" i="7"/>
  <c r="H58" i="7" s="1"/>
  <c r="R56" i="7"/>
  <c r="S56" i="7" s="1"/>
  <c r="T56" i="7"/>
  <c r="D58" i="7"/>
  <c r="C59" i="7" l="1"/>
  <c r="D59" i="7" s="1"/>
  <c r="L58" i="7"/>
  <c r="I58" i="7"/>
  <c r="J58" i="7" l="1"/>
  <c r="K58" i="7"/>
  <c r="M58" i="7" s="1"/>
  <c r="I59" i="7"/>
  <c r="L59" i="7"/>
  <c r="C60" i="7"/>
  <c r="T57" i="7"/>
  <c r="R57" i="7"/>
  <c r="S57" i="7" s="1"/>
  <c r="G59" i="7"/>
  <c r="H59" i="7" s="1"/>
  <c r="J59" i="7" l="1"/>
  <c r="K59" i="7"/>
  <c r="M59" i="7" s="1"/>
  <c r="R58" i="7"/>
  <c r="S58" i="7" s="1"/>
  <c r="G60" i="7"/>
  <c r="H60" i="7" s="1"/>
  <c r="D60" i="7"/>
  <c r="T58" i="7" l="1"/>
  <c r="C61" i="7"/>
  <c r="D61" i="7" s="1"/>
  <c r="I60" i="7"/>
  <c r="L60" i="7"/>
  <c r="K60" i="7" l="1"/>
  <c r="M60" i="7" s="1"/>
  <c r="J60" i="7"/>
  <c r="R59" i="7"/>
  <c r="S59" i="7" s="1"/>
  <c r="T59" i="7"/>
  <c r="G61" i="7"/>
  <c r="H61" i="7" s="1"/>
  <c r="C62" i="7"/>
  <c r="L61" i="7"/>
  <c r="I61" i="7"/>
  <c r="K61" i="7" l="1"/>
  <c r="M61" i="7" s="1"/>
  <c r="J61" i="7"/>
  <c r="R60" i="7"/>
  <c r="S60" i="7" s="1"/>
  <c r="G62" i="7"/>
  <c r="H62" i="7" s="1"/>
  <c r="D62" i="7"/>
  <c r="T60" i="7" l="1"/>
  <c r="C63" i="7"/>
  <c r="G63" i="7" s="1"/>
  <c r="H63" i="7" s="1"/>
  <c r="I62" i="7"/>
  <c r="L62" i="7"/>
  <c r="D63" i="7" l="1"/>
  <c r="C64" i="7" s="1"/>
  <c r="G64" i="7" s="1"/>
  <c r="H64" i="7" s="1"/>
  <c r="K62" i="7"/>
  <c r="M62" i="7" s="1"/>
  <c r="J62" i="7"/>
  <c r="T61" i="7"/>
  <c r="R61" i="7"/>
  <c r="S61" i="7" s="1"/>
  <c r="L63" i="7" l="1"/>
  <c r="I63" i="7"/>
  <c r="K63" i="7" s="1"/>
  <c r="M63" i="7" s="1"/>
  <c r="D64" i="7"/>
  <c r="I64" i="7" s="1"/>
  <c r="J63" i="7" l="1"/>
  <c r="R63" i="7" s="1"/>
  <c r="K64" i="7"/>
  <c r="M64" i="7" s="1"/>
  <c r="J64" i="7"/>
  <c r="C65" i="7"/>
  <c r="G65" i="7" s="1"/>
  <c r="H65" i="7" s="1"/>
  <c r="L64" i="7"/>
  <c r="T62" i="7"/>
  <c r="R62" i="7"/>
  <c r="S62" i="7" s="1"/>
  <c r="T63" i="7" l="1"/>
  <c r="D65" i="7"/>
  <c r="L65" i="7" s="1"/>
  <c r="S63" i="7"/>
  <c r="T64" i="7"/>
  <c r="C66" i="7" l="1"/>
  <c r="G66" i="7" s="1"/>
  <c r="H66" i="7" s="1"/>
  <c r="I65" i="7"/>
  <c r="R64" i="7"/>
  <c r="S64" i="7" s="1"/>
  <c r="J65" i="7" l="1"/>
  <c r="K65" i="7"/>
  <c r="M65" i="7" s="1"/>
  <c r="D66" i="7"/>
  <c r="I66" i="7" s="1"/>
  <c r="R65" i="7" l="1"/>
  <c r="S65" i="7" s="1"/>
  <c r="C67" i="7"/>
  <c r="G67" i="7" s="1"/>
  <c r="H67" i="7" s="1"/>
  <c r="K66" i="7"/>
  <c r="M66" i="7" s="1"/>
  <c r="J66" i="7"/>
  <c r="L66" i="7"/>
  <c r="T65" i="7" l="1"/>
  <c r="D67" i="7"/>
  <c r="I67" i="7" s="1"/>
  <c r="K67" i="7" s="1"/>
  <c r="M67" i="7" s="1"/>
  <c r="J67" i="7" l="1"/>
  <c r="C68" i="7"/>
  <c r="G68" i="7" s="1"/>
  <c r="H68" i="7" s="1"/>
  <c r="L67" i="7"/>
  <c r="R66" i="7"/>
  <c r="S66" i="7" s="1"/>
  <c r="T66" i="7"/>
  <c r="R67" i="7" l="1"/>
  <c r="S67" i="7" s="1"/>
  <c r="D68" i="7"/>
  <c r="L68" i="7" s="1"/>
  <c r="T67" i="7" l="1"/>
  <c r="I68" i="7"/>
  <c r="J68" i="7" s="1"/>
  <c r="K68" i="7" l="1"/>
  <c r="M68" i="7" s="1"/>
  <c r="T68" i="7" l="1"/>
  <c r="R68" i="7" l="1"/>
  <c r="S68" i="7" s="1"/>
  <c r="R70" i="7" l="1"/>
  <c r="E16" i="7" l="1"/>
  <c r="D22" i="8" s="1"/>
  <c r="D31" i="8" s="1"/>
  <c r="E17" i="7"/>
  <c r="W17" i="7" s="1"/>
  <c r="W16" i="7" l="1"/>
  <c r="L16" i="7"/>
  <c r="D34" i="8"/>
  <c r="D40" i="8" s="1"/>
  <c r="D11" i="18" s="1"/>
  <c r="D37" i="8"/>
  <c r="L17" i="7"/>
  <c r="L18" i="7" s="1"/>
  <c r="E18" i="7"/>
  <c r="W18" i="7" s="1"/>
  <c r="F11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W</author>
  </authors>
  <commentList>
    <comment ref="D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Companies in their 2021 Integrated Resource Plan filed in Kentucky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WACC based on Companies' 2020 Kentucky Rate Case Settlement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Based on Companies' Integrated Resource Plan for when next generating facility will need to be constructed. </t>
        </r>
      </text>
    </comment>
    <comment ref="D2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Average coincidence factor for both Companies.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W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Overnight Capital Cost cost per kW of new NGCC installed in 2028 based on 2020 NREL ATB data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<sst xmlns="http://schemas.openxmlformats.org/spreadsheetml/2006/main" count="209" uniqueCount="120">
  <si>
    <t>Cumulative</t>
  </si>
  <si>
    <t>Year</t>
  </si>
  <si>
    <t>Present</t>
  </si>
  <si>
    <t>Annual</t>
  </si>
  <si>
    <t>Tax Depreciation Table (MACRS)</t>
  </si>
  <si>
    <t>Common Equity</t>
  </si>
  <si>
    <t>Rate</t>
  </si>
  <si>
    <t>Tax Rate</t>
  </si>
  <si>
    <t>COC</t>
  </si>
  <si>
    <t>Percent</t>
  </si>
  <si>
    <t>Adjusted</t>
  </si>
  <si>
    <t>Weighted</t>
  </si>
  <si>
    <t>Capital Structure:</t>
  </si>
  <si>
    <t>Requirement</t>
  </si>
  <si>
    <t>Factor</t>
  </si>
  <si>
    <t>Taxes</t>
  </si>
  <si>
    <t>Equity</t>
  </si>
  <si>
    <t>Interest</t>
  </si>
  <si>
    <t>Rate Base</t>
  </si>
  <si>
    <t>Income Tax</t>
  </si>
  <si>
    <t>Plant</t>
  </si>
  <si>
    <t>Depreciation</t>
  </si>
  <si>
    <t>Investment</t>
  </si>
  <si>
    <t>Charge</t>
  </si>
  <si>
    <t>Revenue</t>
  </si>
  <si>
    <t>Income</t>
  </si>
  <si>
    <t xml:space="preserve">Deferred </t>
  </si>
  <si>
    <t>Residual</t>
  </si>
  <si>
    <t>Tax</t>
  </si>
  <si>
    <t>Book</t>
  </si>
  <si>
    <t>Carrying</t>
  </si>
  <si>
    <t>Value</t>
  </si>
  <si>
    <t>Accumulated</t>
  </si>
  <si>
    <t xml:space="preserve">   Levelized Carrying Charge Rate</t>
  </si>
  <si>
    <t xml:space="preserve">   Levelized Revenue Requirement</t>
  </si>
  <si>
    <t xml:space="preserve">   Present Value Revenue Requirement</t>
  </si>
  <si>
    <t>Results:</t>
  </si>
  <si>
    <t xml:space="preserve">   Levelized Revenue Requirement Years</t>
  </si>
  <si>
    <t xml:space="preserve">   Property Tax Rate</t>
  </si>
  <si>
    <t xml:space="preserve">   Composite Tax Rate</t>
  </si>
  <si>
    <t xml:space="preserve">   Tax Life</t>
  </si>
  <si>
    <t xml:space="preserve">   Book Life</t>
  </si>
  <si>
    <t xml:space="preserve">   Investment</t>
  </si>
  <si>
    <t>Assumptions:</t>
  </si>
  <si>
    <t>Present Value Revenue Requirement Analysis</t>
  </si>
  <si>
    <t>Net</t>
  </si>
  <si>
    <t>Property</t>
  </si>
  <si>
    <t>Rev</t>
  </si>
  <si>
    <t>Louisville Gas &amp; Electric and Kentucky Utilities</t>
  </si>
  <si>
    <t>PVRR</t>
  </si>
  <si>
    <t>Weighted Cost of Capital ( r )</t>
  </si>
  <si>
    <t>Inflation Rate ( g )</t>
  </si>
  <si>
    <t>Assumptions</t>
  </si>
  <si>
    <t>Values</t>
  </si>
  <si>
    <t>Economic Carrying Charge Rate (ECRR)</t>
  </si>
  <si>
    <t>Current Year</t>
  </si>
  <si>
    <t>m</t>
  </si>
  <si>
    <t>Year Scheduled to be Installed</t>
  </si>
  <si>
    <t>a</t>
  </si>
  <si>
    <t>Service Life (L)</t>
  </si>
  <si>
    <t>Net Present Value Revenue Requirement</t>
  </si>
  <si>
    <t>Weighted Cost of Capital and MACRS</t>
  </si>
  <si>
    <t>Year Installed After Load Addition</t>
  </si>
  <si>
    <t xml:space="preserve">Annual Value (CP) = </t>
  </si>
  <si>
    <t>Coincidence Factor</t>
  </si>
  <si>
    <t xml:space="preserve">Annual Value (NCP) = </t>
  </si>
  <si>
    <t xml:space="preserve">Monthly Value (CP) = </t>
  </si>
  <si>
    <t xml:space="preserve">Monthly Value (NCP) = </t>
  </si>
  <si>
    <t>Louisville Gas &amp; Electric</t>
  </si>
  <si>
    <t>Kentucky Utilities</t>
  </si>
  <si>
    <t>LG&amp;E</t>
  </si>
  <si>
    <t>KU</t>
  </si>
  <si>
    <t>LG&amp;E/KU Marginal Cost of Service per kW of added NCP Demand</t>
  </si>
  <si>
    <t>Production Demand (per kW of added NCP Demand)</t>
  </si>
  <si>
    <t>Transmission (per kW of added NCP Demand)</t>
  </si>
  <si>
    <t>Production Energy (per kWh of added Energy)</t>
  </si>
  <si>
    <t>Kentucky Utilities Company and Louisville Gas and Electric Company</t>
  </si>
  <si>
    <t>Summary of Marginal Cost of Service</t>
  </si>
  <si>
    <t>Louisville Gas and Electric and Kentucky Utilities</t>
  </si>
  <si>
    <t>Notes:</t>
  </si>
  <si>
    <t>The marginal Production Demand costs are the changes in capacity costs associated with serving changes in the demand</t>
  </si>
  <si>
    <t>Marginal cost is broadly defined as the change in total cost with respect to a small change in output.</t>
  </si>
  <si>
    <t>The marginal Production Demand cost is the monthly value of the Economic Carrying Charge Rate (ECCR) applied to the</t>
  </si>
  <si>
    <t xml:space="preserve">Because the LG&amp;E and KU generating units are jointly operated and dispatched to meet the combined demands of the joint </t>
  </si>
  <si>
    <t>systems, a single value is provided for the marginal production demand cost on a joint Company basis. For evaluating an</t>
  </si>
  <si>
    <t>economic development offer, it would be necessary to adjust the NCP marginal value to reflect the applicable loss-factor for a</t>
  </si>
  <si>
    <t xml:space="preserve">prospective customer which could take service at a transmission, primary or secondary voltage. </t>
  </si>
  <si>
    <t>Short Term Debt</t>
  </si>
  <si>
    <t>Long Term Debt</t>
  </si>
  <si>
    <t>("output") on the electric system. Based on the Companies' most recent Integrated Resource Plan filed at the Kentucky Public Service</t>
  </si>
  <si>
    <t>Kentucky Utilities Company and Louisvillle Gas &amp; Electric Company</t>
  </si>
  <si>
    <t>Weighted Cost of Capital</t>
  </si>
  <si>
    <t>Kentucky Utilities Company</t>
  </si>
  <si>
    <t>Cost of</t>
  </si>
  <si>
    <t>Component of Capital</t>
  </si>
  <si>
    <t>Capital</t>
  </si>
  <si>
    <t>Long-Term Debt</t>
  </si>
  <si>
    <t>Louisville Gas &amp; Electric Company</t>
  </si>
  <si>
    <t>Total Company Average</t>
  </si>
  <si>
    <t>Income Tax Rates</t>
  </si>
  <si>
    <t>Weighted Total</t>
  </si>
  <si>
    <t>Short-Term Debt</t>
  </si>
  <si>
    <t>New CCGT Addition</t>
  </si>
  <si>
    <t>Commission in 2021, the Companies' are not projecting needing additional capacity until 2028 with the retirement of Mill Creek 2.</t>
  </si>
  <si>
    <t>The Companies are not projecting to need additional capacity prior to 2028 based on their load forecasts. Therefore, the analysis</t>
  </si>
  <si>
    <t>shows the cost of moving that nearest forecasted need of 2028, up one year to 2027  due to a change of load on the system.</t>
  </si>
  <si>
    <t xml:space="preserve">present value revenue requirement (PVRR) of a new Combined Cycle Plant built in 2028 based on the NREL ATB worksheet </t>
  </si>
  <si>
    <t>which estimates the installed cost of new generation technologies. The computation of the PVRR for a new combined cycle</t>
  </si>
  <si>
    <r>
      <t xml:space="preserve">Combustion Turbine is shown on the tab labeled </t>
    </r>
    <r>
      <rPr>
        <b/>
        <sz val="10"/>
        <rFont val="Arial"/>
        <family val="2"/>
      </rPr>
      <t xml:space="preserve">"Prod PVRR" </t>
    </r>
    <r>
      <rPr>
        <sz val="10"/>
        <rFont val="Arial"/>
        <family val="2"/>
      </rPr>
      <t>which is then used as an input into the ECCR for Production</t>
    </r>
  </si>
  <si>
    <r>
      <rPr>
        <sz val="10"/>
        <rFont val="Arial"/>
        <family val="2"/>
      </rPr>
      <t xml:space="preserve">Demand shown on tab labeled </t>
    </r>
    <r>
      <rPr>
        <b/>
        <sz val="10"/>
        <rFont val="Arial"/>
        <family val="2"/>
      </rPr>
      <t>"Prod Economic Carrying Charge".</t>
    </r>
    <r>
      <rPr>
        <sz val="10"/>
        <rFont val="Arial"/>
        <family val="2"/>
      </rPr>
      <t xml:space="preserve"> The tab which calculates the ECCR takes the PVRR</t>
    </r>
  </si>
  <si>
    <t xml:space="preserve">and calculates a Coincident Peak (CP) rate per additional kW based on accelerating the construction of the next needed </t>
  </si>
  <si>
    <t>generating plant from 2028 to 2027. This CP rate is then multipled by an average coincidence factor for both Companies'</t>
  </si>
  <si>
    <t>Industrial customer classes based on their 2020 retail rate case filings to determine what the cost per kW is on a Non-Coincident</t>
  </si>
  <si>
    <t xml:space="preserve">Peak (NCP) basis. The rationale behind thisis that the Economic Development Rate determined by the Company will be charged </t>
  </si>
  <si>
    <t>on an NCP basis for demand.</t>
  </si>
  <si>
    <t>Economic Carrying Charge of CCGT Addition</t>
  </si>
  <si>
    <t>Fixed</t>
  </si>
  <si>
    <t>O&amp;M</t>
  </si>
  <si>
    <t>Firm Gas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</si>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</sst>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0.000%"/>
    <numFmt numFmtId="168" formatCode="&quot;$&quot;#,##0\ ;\(&quot;$&quot;#,##0\)"/>
    <numFmt numFmtId="169" formatCode="_([$€-2]* #,##0.00_);_([$€-2]* \(#,##0.00\);_([$€-2]* &quot;-&quot;??_)"/>
    <numFmt numFmtId="170" formatCode="_(* #,##0.000000_);_(* \(#,##0.000000\);_(* &quot;-&quot;??_);_(@_)"/>
    <numFmt numFmtId="171" formatCode="0.0000%"/>
    <numFmt numFmtId="172" formatCode="0.00000"/>
    <numFmt numFmtId="173" formatCode="_(&quot;$&quot;* #,##0.00000_);_(&quot;$&quot;* \(#,##0.00000\);_(&quot;$&quot;* &quot;-&quot;??_);_(@_)"/>
    <numFmt numFmtId="174" formatCode="_(&quot;$&quot;* #,##0.0000_);_(&quot;$&quot;* \(#,##0.0000\);_(&quot;$&quot;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8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7" fillId="3" borderId="0">
      <alignment horizontal="left"/>
    </xf>
    <xf numFmtId="0" fontId="8" fillId="3" borderId="0">
      <alignment horizontal="right"/>
    </xf>
    <xf numFmtId="0" fontId="9" fillId="4" borderId="0">
      <alignment horizontal="center"/>
    </xf>
    <xf numFmtId="0" fontId="8" fillId="3" borderId="0">
      <alignment horizontal="right"/>
    </xf>
    <xf numFmtId="0" fontId="10" fillId="4" borderId="0">
      <alignment horizontal="left"/>
    </xf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4" fillId="5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" fillId="0" borderId="0" applyProtection="0"/>
    <xf numFmtId="0" fontId="11" fillId="0" borderId="0" applyProtection="0"/>
    <xf numFmtId="0" fontId="6" fillId="0" borderId="0" applyProtection="0"/>
    <xf numFmtId="0" fontId="12" fillId="0" borderId="0" applyProtection="0"/>
    <xf numFmtId="0" fontId="4" fillId="0" borderId="0" applyProtection="0"/>
    <xf numFmtId="0" fontId="5" fillId="0" borderId="0" applyProtection="0"/>
    <xf numFmtId="0" fontId="13" fillId="0" borderId="0" applyProtection="0"/>
    <xf numFmtId="2" fontId="4" fillId="0" borderId="0" applyFont="0" applyFill="0" applyBorder="0" applyAlignment="0" applyProtection="0"/>
    <xf numFmtId="0" fontId="7" fillId="3" borderId="0">
      <alignment horizontal="left"/>
    </xf>
    <xf numFmtId="0" fontId="14" fillId="4" borderId="0">
      <alignment horizontal="left"/>
    </xf>
    <xf numFmtId="0" fontId="4" fillId="0" borderId="0"/>
    <xf numFmtId="4" fontId="15" fillId="7" borderId="0">
      <alignment horizontal="right"/>
    </xf>
    <xf numFmtId="0" fontId="16" fillId="7" borderId="0">
      <alignment horizontal="center" vertical="center"/>
    </xf>
    <xf numFmtId="0" fontId="14" fillId="7" borderId="1"/>
    <xf numFmtId="0" fontId="16" fillId="7" borderId="0" applyBorder="0">
      <alignment horizontal="centerContinuous"/>
    </xf>
    <xf numFmtId="0" fontId="17" fillId="7" borderId="0" applyBorder="0">
      <alignment horizontal="centerContinuous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6" borderId="0">
      <alignment horizontal="center"/>
    </xf>
    <xf numFmtId="49" fontId="18" fillId="4" borderId="0">
      <alignment horizontal="center"/>
    </xf>
    <xf numFmtId="0" fontId="8" fillId="3" borderId="0">
      <alignment horizontal="center"/>
    </xf>
    <xf numFmtId="0" fontId="8" fillId="3" borderId="0">
      <alignment horizontal="centerContinuous"/>
    </xf>
    <xf numFmtId="0" fontId="19" fillId="4" borderId="0">
      <alignment horizontal="left"/>
    </xf>
    <xf numFmtId="49" fontId="19" fillId="4" borderId="0">
      <alignment horizontal="center"/>
    </xf>
    <xf numFmtId="0" fontId="7" fillId="3" borderId="0">
      <alignment horizontal="left"/>
    </xf>
    <xf numFmtId="49" fontId="19" fillId="4" borderId="0">
      <alignment horizontal="left"/>
    </xf>
    <xf numFmtId="0" fontId="7" fillId="3" borderId="0">
      <alignment horizontal="centerContinuous"/>
    </xf>
    <xf numFmtId="0" fontId="7" fillId="3" borderId="0">
      <alignment horizontal="right"/>
    </xf>
    <xf numFmtId="49" fontId="14" fillId="4" borderId="0">
      <alignment horizontal="left"/>
    </xf>
    <xf numFmtId="0" fontId="8" fillId="3" borderId="0">
      <alignment horizontal="right"/>
    </xf>
    <xf numFmtId="0" fontId="19" fillId="2" borderId="0">
      <alignment horizontal="center"/>
    </xf>
    <xf numFmtId="0" fontId="20" fillId="2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4" borderId="0">
      <alignment horizontal="center"/>
    </xf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43" fontId="0" fillId="0" borderId="0" xfId="0" applyNumberFormat="1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167" fontId="0" fillId="0" borderId="0" xfId="37" applyNumberFormat="1" applyFont="1"/>
    <xf numFmtId="10" fontId="0" fillId="0" borderId="0" xfId="37" applyNumberFormat="1" applyFont="1"/>
    <xf numFmtId="10" fontId="0" fillId="0" borderId="2" xfId="0" applyNumberFormat="1" applyBorder="1"/>
    <xf numFmtId="10" fontId="0" fillId="0" borderId="2" xfId="37" applyNumberFormat="1" applyFont="1" applyBorder="1"/>
    <xf numFmtId="166" fontId="0" fillId="0" borderId="0" xfId="9" applyNumberFormat="1" applyFont="1"/>
    <xf numFmtId="165" fontId="0" fillId="0" borderId="0" xfId="14" applyNumberFormat="1" applyFo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165" fontId="0" fillId="0" borderId="0" xfId="0" applyNumberFormat="1"/>
    <xf numFmtId="165" fontId="0" fillId="0" borderId="0" xfId="14" applyNumberFormat="1" applyFont="1" applyAlignment="1"/>
    <xf numFmtId="6" fontId="0" fillId="0" borderId="0" xfId="0" applyNumberFormat="1"/>
    <xf numFmtId="166" fontId="0" fillId="0" borderId="0" xfId="9" applyNumberFormat="1" applyFont="1" applyAlignment="1"/>
    <xf numFmtId="44" fontId="0" fillId="0" borderId="0" xfId="14" applyFont="1"/>
    <xf numFmtId="43" fontId="0" fillId="0" borderId="0" xfId="9" applyFont="1"/>
    <xf numFmtId="0" fontId="0" fillId="0" borderId="0" xfId="0" quotePrefix="1"/>
    <xf numFmtId="171" fontId="0" fillId="0" borderId="0" xfId="37" applyNumberFormat="1" applyFont="1"/>
    <xf numFmtId="0" fontId="2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70" fontId="0" fillId="0" borderId="0" xfId="6" applyNumberFormat="1" applyFont="1"/>
    <xf numFmtId="165" fontId="0" fillId="0" borderId="0" xfId="13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2" fontId="0" fillId="0" borderId="0" xfId="0" applyNumberFormat="1"/>
    <xf numFmtId="172" fontId="0" fillId="0" borderId="0" xfId="0" applyNumberFormat="1"/>
    <xf numFmtId="44" fontId="5" fillId="0" borderId="0" xfId="13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4" fontId="5" fillId="0" borderId="0" xfId="13" applyFont="1" applyBorder="1" applyAlignment="1">
      <alignment horizontal="center" vertical="center"/>
    </xf>
    <xf numFmtId="171" fontId="0" fillId="0" borderId="0" xfId="37" applyNumberFormat="1" applyFont="1" applyFill="1"/>
    <xf numFmtId="10" fontId="0" fillId="0" borderId="0" xfId="37" applyNumberFormat="1" applyFont="1" applyFill="1"/>
    <xf numFmtId="0" fontId="5" fillId="0" borderId="0" xfId="0" applyFont="1" applyAlignment="1">
      <alignment horizontal="left"/>
    </xf>
    <xf numFmtId="10" fontId="0" fillId="0" borderId="2" xfId="37" applyNumberFormat="1" applyFont="1" applyFill="1" applyBorder="1"/>
    <xf numFmtId="10" fontId="0" fillId="0" borderId="0" xfId="36" applyNumberFormat="1" applyFont="1" applyFill="1"/>
    <xf numFmtId="0" fontId="2" fillId="0" borderId="0" xfId="0" applyFont="1"/>
    <xf numFmtId="0" fontId="1" fillId="0" borderId="0" xfId="61"/>
    <xf numFmtId="0" fontId="28" fillId="0" borderId="0" xfId="61" applyFont="1" applyAlignment="1">
      <alignment horizontal="center"/>
    </xf>
    <xf numFmtId="0" fontId="5" fillId="0" borderId="0" xfId="61" applyFont="1"/>
    <xf numFmtId="0" fontId="5" fillId="0" borderId="0" xfId="61" applyFont="1" applyAlignment="1">
      <alignment horizontal="right"/>
    </xf>
    <xf numFmtId="0" fontId="5" fillId="0" borderId="21" xfId="61" applyFont="1" applyBorder="1" applyAlignment="1">
      <alignment horizontal="left"/>
    </xf>
    <xf numFmtId="0" fontId="5" fillId="0" borderId="21" xfId="61" applyFont="1" applyBorder="1" applyAlignment="1">
      <alignment horizontal="right"/>
    </xf>
    <xf numFmtId="10" fontId="0" fillId="0" borderId="0" xfId="62" applyNumberFormat="1" applyFont="1" applyFill="1"/>
    <xf numFmtId="43" fontId="1" fillId="0" borderId="0" xfId="61" applyNumberFormat="1"/>
    <xf numFmtId="10" fontId="0" fillId="0" borderId="21" xfId="62" applyNumberFormat="1" applyFont="1" applyFill="1" applyBorder="1"/>
    <xf numFmtId="166" fontId="1" fillId="0" borderId="0" xfId="61" applyNumberFormat="1"/>
    <xf numFmtId="10" fontId="1" fillId="0" borderId="0" xfId="61" applyNumberFormat="1"/>
    <xf numFmtId="10" fontId="0" fillId="0" borderId="0" xfId="64" applyNumberFormat="1" applyFont="1"/>
    <xf numFmtId="10" fontId="0" fillId="0" borderId="0" xfId="64" applyNumberFormat="1" applyFont="1" applyFill="1"/>
    <xf numFmtId="10" fontId="0" fillId="0" borderId="21" xfId="64" applyNumberFormat="1" applyFont="1" applyFill="1" applyBorder="1"/>
    <xf numFmtId="2" fontId="1" fillId="0" borderId="0" xfId="61" applyNumberFormat="1"/>
    <xf numFmtId="10" fontId="0" fillId="0" borderId="0" xfId="36" applyNumberFormat="1" applyFont="1"/>
    <xf numFmtId="43" fontId="0" fillId="0" borderId="0" xfId="6" applyFont="1" applyFill="1"/>
    <xf numFmtId="166" fontId="0" fillId="0" borderId="0" xfId="63" applyNumberFormat="1" applyFont="1" applyFill="1"/>
    <xf numFmtId="174" fontId="0" fillId="0" borderId="0" xfId="0" applyNumberFormat="1"/>
    <xf numFmtId="44" fontId="0" fillId="0" borderId="10" xfId="13" applyFont="1" applyFill="1" applyBorder="1" applyAlignment="1">
      <alignment horizontal="center" vertical="center"/>
    </xf>
    <xf numFmtId="44" fontId="0" fillId="0" borderId="11" xfId="13" applyFont="1" applyFill="1" applyBorder="1" applyAlignment="1">
      <alignment horizontal="center" vertical="center"/>
    </xf>
    <xf numFmtId="44" fontId="0" fillId="0" borderId="12" xfId="13" applyFont="1" applyFill="1" applyBorder="1" applyAlignment="1">
      <alignment horizontal="center" vertical="center"/>
    </xf>
    <xf numFmtId="44" fontId="0" fillId="0" borderId="13" xfId="13" applyFont="1" applyFill="1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3" xfId="13" applyFont="1" applyFill="1" applyBorder="1" applyAlignment="1">
      <alignment horizontal="center" vertical="center"/>
    </xf>
    <xf numFmtId="44" fontId="0" fillId="0" borderId="22" xfId="13" applyFont="1" applyFill="1" applyBorder="1" applyAlignment="1">
      <alignment horizontal="center" vertical="center"/>
    </xf>
    <xf numFmtId="44" fontId="0" fillId="0" borderId="16" xfId="13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3" fontId="0" fillId="0" borderId="10" xfId="13" applyNumberFormat="1" applyFont="1" applyFill="1" applyBorder="1" applyAlignment="1">
      <alignment horizontal="center" vertical="center"/>
    </xf>
    <xf numFmtId="173" fontId="0" fillId="0" borderId="14" xfId="13" applyNumberFormat="1" applyFont="1" applyFill="1" applyBorder="1" applyAlignment="1">
      <alignment horizontal="center" vertical="center"/>
    </xf>
    <xf numFmtId="173" fontId="0" fillId="0" borderId="12" xfId="13" applyNumberFormat="1" applyFont="1" applyFill="1" applyBorder="1" applyAlignment="1">
      <alignment horizontal="center" vertical="center"/>
    </xf>
    <xf numFmtId="173" fontId="0" fillId="0" borderId="15" xfId="13" applyNumberFormat="1" applyFont="1" applyFill="1" applyBorder="1" applyAlignment="1">
      <alignment horizontal="center" vertical="center"/>
    </xf>
    <xf numFmtId="173" fontId="0" fillId="0" borderId="3" xfId="13" applyNumberFormat="1" applyFont="1" applyFill="1" applyBorder="1" applyAlignment="1">
      <alignment horizontal="center" vertical="center"/>
    </xf>
    <xf numFmtId="173" fontId="0" fillId="0" borderId="22" xfId="13" applyNumberFormat="1" applyFont="1" applyFill="1" applyBorder="1" applyAlignment="1">
      <alignment horizontal="center" vertical="center"/>
    </xf>
    <xf numFmtId="173" fontId="0" fillId="0" borderId="16" xfId="13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0" fontId="0" fillId="0" borderId="17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44" fontId="5" fillId="0" borderId="17" xfId="13" applyFont="1" applyBorder="1" applyAlignment="1">
      <alignment horizontal="center" vertical="center"/>
    </xf>
    <xf numFmtId="44" fontId="5" fillId="0" borderId="19" xfId="13" applyFont="1" applyBorder="1" applyAlignment="1">
      <alignment horizontal="center" vertical="center"/>
    </xf>
    <xf numFmtId="44" fontId="5" fillId="0" borderId="20" xfId="13" applyFont="1" applyBorder="1" applyAlignment="1">
      <alignment horizontal="center" vertical="center"/>
    </xf>
    <xf numFmtId="44" fontId="5" fillId="0" borderId="9" xfId="13" applyFont="1" applyBorder="1" applyAlignment="1">
      <alignment horizontal="center" vertical="center"/>
    </xf>
    <xf numFmtId="10" fontId="3" fillId="0" borderId="7" xfId="36" applyNumberFormat="1" applyFont="1" applyFill="1" applyBorder="1" applyAlignment="1">
      <alignment horizontal="center" vertical="center"/>
    </xf>
    <xf numFmtId="10" fontId="3" fillId="0" borderId="8" xfId="36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0" fontId="3" fillId="0" borderId="17" xfId="36" applyNumberFormat="1" applyFont="1" applyFill="1" applyBorder="1" applyAlignment="1">
      <alignment horizontal="center" vertical="center"/>
    </xf>
    <xf numFmtId="10" fontId="3" fillId="0" borderId="19" xfId="36" applyNumberFormat="1" applyFont="1" applyFill="1" applyBorder="1" applyAlignment="1">
      <alignment horizontal="center" vertical="center"/>
    </xf>
    <xf numFmtId="10" fontId="3" fillId="0" borderId="20" xfId="36" applyNumberFormat="1" applyFont="1" applyFill="1" applyBorder="1" applyAlignment="1">
      <alignment horizontal="center" vertical="center"/>
    </xf>
    <xf numFmtId="10" fontId="3" fillId="0" borderId="9" xfId="36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7" fillId="0" borderId="0" xfId="61" applyFont="1" applyAlignment="1">
      <alignment horizontal="center"/>
    </xf>
    <xf numFmtId="0" fontId="28" fillId="0" borderId="0" xfId="61" applyFont="1" applyAlignment="1">
      <alignment horizontal="center"/>
    </xf>
    <xf numFmtId="0" fontId="5" fillId="0" borderId="23" xfId="61" applyFont="1" applyBorder="1" applyAlignment="1">
      <alignment horizontal="center"/>
    </xf>
    <xf numFmtId="0" fontId="5" fillId="0" borderId="24" xfId="61" applyFont="1" applyBorder="1" applyAlignment="1">
      <alignment horizontal="center"/>
    </xf>
    <xf numFmtId="0" fontId="5" fillId="0" borderId="25" xfId="61" applyFont="1" applyBorder="1" applyAlignment="1">
      <alignment horizontal="center"/>
    </xf>
  </cellXfs>
  <cellStyles count="65">
    <cellStyle name="ColumnAttributeAbovePrompt" xfId="1" xr:uid="{00000000-0005-0000-0000-000000000000}"/>
    <cellStyle name="ColumnAttributePrompt" xfId="2" xr:uid="{00000000-0005-0000-0000-000001000000}"/>
    <cellStyle name="ColumnAttributeValue" xfId="3" xr:uid="{00000000-0005-0000-0000-000002000000}"/>
    <cellStyle name="ColumnHeadingPrompt" xfId="4" xr:uid="{00000000-0005-0000-0000-000003000000}"/>
    <cellStyle name="ColumnHeadingValue" xfId="5" xr:uid="{00000000-0005-0000-0000-000004000000}"/>
    <cellStyle name="Comma" xfId="6" builtinId="3"/>
    <cellStyle name="Comma [0] 2 2" xfId="7" xr:uid="{00000000-0005-0000-0000-000006000000}"/>
    <cellStyle name="Comma [0] 2 3" xfId="8" xr:uid="{00000000-0005-0000-0000-000007000000}"/>
    <cellStyle name="Comma 2" xfId="9" xr:uid="{00000000-0005-0000-0000-000008000000}"/>
    <cellStyle name="Comma 2 2" xfId="10" xr:uid="{00000000-0005-0000-0000-000009000000}"/>
    <cellStyle name="Comma 2 3" xfId="11" xr:uid="{00000000-0005-0000-0000-00000A000000}"/>
    <cellStyle name="Comma 3" xfId="63" xr:uid="{ECF4B134-D6BC-4536-BF94-53D048EB701E}"/>
    <cellStyle name="Comma0" xfId="12" xr:uid="{00000000-0005-0000-0000-00000B000000}"/>
    <cellStyle name="Currency" xfId="13" builtinId="4"/>
    <cellStyle name="Currency 2" xfId="14" xr:uid="{00000000-0005-0000-0000-00000D000000}"/>
    <cellStyle name="Currency 2 2" xfId="15" xr:uid="{00000000-0005-0000-0000-00000E000000}"/>
    <cellStyle name="Currency 2 3" xfId="16" xr:uid="{00000000-0005-0000-0000-00000F000000}"/>
    <cellStyle name="Currency0" xfId="17" xr:uid="{00000000-0005-0000-0000-000010000000}"/>
    <cellStyle name="Date" xfId="18" xr:uid="{00000000-0005-0000-0000-000011000000}"/>
    <cellStyle name="Euro" xfId="19" xr:uid="{00000000-0005-0000-0000-000012000000}"/>
    <cellStyle name="F2" xfId="20" xr:uid="{00000000-0005-0000-0000-000013000000}"/>
    <cellStyle name="F3" xfId="21" xr:uid="{00000000-0005-0000-0000-000014000000}"/>
    <cellStyle name="F4" xfId="22" xr:uid="{00000000-0005-0000-0000-000015000000}"/>
    <cellStyle name="F5" xfId="23" xr:uid="{00000000-0005-0000-0000-000016000000}"/>
    <cellStyle name="F6" xfId="24" xr:uid="{00000000-0005-0000-0000-000017000000}"/>
    <cellStyle name="F7" xfId="25" xr:uid="{00000000-0005-0000-0000-000018000000}"/>
    <cellStyle name="F8" xfId="26" xr:uid="{00000000-0005-0000-0000-000019000000}"/>
    <cellStyle name="Fixed" xfId="27" xr:uid="{00000000-0005-0000-0000-00001A000000}"/>
    <cellStyle name="LineItemPrompt" xfId="28" xr:uid="{00000000-0005-0000-0000-00001B000000}"/>
    <cellStyle name="LineItemValue" xfId="29" xr:uid="{00000000-0005-0000-0000-00001C000000}"/>
    <cellStyle name="Normal" xfId="0" builtinId="0"/>
    <cellStyle name="Normal 2" xfId="30" xr:uid="{00000000-0005-0000-0000-00001E000000}"/>
    <cellStyle name="Normal 3" xfId="61" xr:uid="{2BE8F0CF-8F40-4D85-8EAE-306374B77DB6}"/>
    <cellStyle name="Output Amounts" xfId="31" xr:uid="{00000000-0005-0000-0000-00001F000000}"/>
    <cellStyle name="Output Column Headings" xfId="32" xr:uid="{00000000-0005-0000-0000-000020000000}"/>
    <cellStyle name="Output Line Items" xfId="33" xr:uid="{00000000-0005-0000-0000-000021000000}"/>
    <cellStyle name="Output Report Heading" xfId="34" xr:uid="{00000000-0005-0000-0000-000022000000}"/>
    <cellStyle name="Output Report Title" xfId="35" xr:uid="{00000000-0005-0000-0000-000023000000}"/>
    <cellStyle name="Percent" xfId="36" builtinId="5"/>
    <cellStyle name="Percent 2" xfId="37" xr:uid="{00000000-0005-0000-0000-000025000000}"/>
    <cellStyle name="Percent 2 2" xfId="38" xr:uid="{00000000-0005-0000-0000-000026000000}"/>
    <cellStyle name="Percent 2 3" xfId="39" xr:uid="{00000000-0005-0000-0000-000027000000}"/>
    <cellStyle name="Percent 2 4" xfId="62" xr:uid="{BF1D1DFE-3594-4944-B9ED-1A615FA091E4}"/>
    <cellStyle name="Percent 3" xfId="64" xr:uid="{29E4832F-E91B-4851-8A64-BCC680ACA3C3}"/>
    <cellStyle name="ReportTitlePrompt" xfId="40" xr:uid="{00000000-0005-0000-0000-000028000000}"/>
    <cellStyle name="ReportTitleValue" xfId="41" xr:uid="{00000000-0005-0000-0000-000029000000}"/>
    <cellStyle name="RowAcctAbovePrompt" xfId="42" xr:uid="{00000000-0005-0000-0000-00002A000000}"/>
    <cellStyle name="RowAcctSOBAbovePrompt" xfId="43" xr:uid="{00000000-0005-0000-0000-00002B000000}"/>
    <cellStyle name="RowAcctSOBValue" xfId="44" xr:uid="{00000000-0005-0000-0000-00002C000000}"/>
    <cellStyle name="RowAcctValue" xfId="45" xr:uid="{00000000-0005-0000-0000-00002D000000}"/>
    <cellStyle name="RowAttrAbovePrompt" xfId="46" xr:uid="{00000000-0005-0000-0000-00002E000000}"/>
    <cellStyle name="RowAttrValue" xfId="47" xr:uid="{00000000-0005-0000-0000-00002F000000}"/>
    <cellStyle name="RowColSetAbovePrompt" xfId="48" xr:uid="{00000000-0005-0000-0000-000030000000}"/>
    <cellStyle name="RowColSetLeftPrompt" xfId="49" xr:uid="{00000000-0005-0000-0000-000031000000}"/>
    <cellStyle name="RowColSetValue" xfId="50" xr:uid="{00000000-0005-0000-0000-000032000000}"/>
    <cellStyle name="RowLeftPrompt" xfId="51" xr:uid="{00000000-0005-0000-0000-000033000000}"/>
    <cellStyle name="SampleUsingFormatMask" xfId="52" xr:uid="{00000000-0005-0000-0000-000034000000}"/>
    <cellStyle name="SampleWithNoFormatMask" xfId="53" xr:uid="{00000000-0005-0000-0000-000035000000}"/>
    <cellStyle name="STYL5 - Style5" xfId="54" xr:uid="{00000000-0005-0000-0000-000036000000}"/>
    <cellStyle name="STYL6 - Style6" xfId="55" xr:uid="{00000000-0005-0000-0000-000037000000}"/>
    <cellStyle name="STYLE1 - Style1" xfId="56" xr:uid="{00000000-0005-0000-0000-000038000000}"/>
    <cellStyle name="STYLE2 - Style2" xfId="57" xr:uid="{00000000-0005-0000-0000-000039000000}"/>
    <cellStyle name="STYLE3 - Style3" xfId="58" xr:uid="{00000000-0005-0000-0000-00003A000000}"/>
    <cellStyle name="STYLE4 - Style4" xfId="59" xr:uid="{00000000-0005-0000-0000-00003B000000}"/>
    <cellStyle name="UploadThisRowValue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41</xdr:row>
      <xdr:rowOff>76200</xdr:rowOff>
    </xdr:from>
    <xdr:to>
      <xdr:col>4</xdr:col>
      <xdr:colOff>466725</xdr:colOff>
      <xdr:row>46</xdr:row>
      <xdr:rowOff>76200</xdr:rowOff>
    </xdr:to>
    <xdr:pic>
      <xdr:nvPicPr>
        <xdr:cNvPr id="1044" name="Picture 4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43025" y="6848475"/>
          <a:ext cx="32861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workbookViewId="0">
      <selection activeCell="F15" sqref="F15:G16"/>
    </sheetView>
  </sheetViews>
  <sheetFormatPr defaultRowHeight="12.75" x14ac:dyDescent="0.2"/>
  <cols>
    <col min="2" max="3" width="26.28515625" customWidth="1"/>
  </cols>
  <sheetData>
    <row r="1" spans="1:10" ht="15.75" x14ac:dyDescent="0.25">
      <c r="A1" s="70" t="s">
        <v>76</v>
      </c>
      <c r="B1" s="70"/>
      <c r="C1" s="70"/>
      <c r="D1" s="70"/>
      <c r="E1" s="70"/>
      <c r="F1" s="70"/>
      <c r="G1" s="70"/>
      <c r="H1" s="70"/>
      <c r="I1" s="70"/>
    </row>
    <row r="2" spans="1:10" ht="14.25" x14ac:dyDescent="0.2">
      <c r="A2" s="71" t="s">
        <v>77</v>
      </c>
      <c r="B2" s="71"/>
      <c r="C2" s="71"/>
      <c r="D2" s="71"/>
      <c r="E2" s="71"/>
      <c r="F2" s="71"/>
      <c r="G2" s="71"/>
      <c r="H2" s="71"/>
      <c r="I2" s="71"/>
    </row>
    <row r="5" spans="1:10" ht="13.5" thickBot="1" x14ac:dyDescent="0.25"/>
    <row r="6" spans="1:10" x14ac:dyDescent="0.2">
      <c r="D6" s="91" t="s">
        <v>72</v>
      </c>
      <c r="E6" s="92"/>
      <c r="F6" s="92"/>
      <c r="G6" s="93"/>
    </row>
    <row r="7" spans="1:10" ht="12.75" customHeight="1" x14ac:dyDescent="0.2">
      <c r="C7" s="28"/>
      <c r="D7" s="94"/>
      <c r="E7" s="95"/>
      <c r="F7" s="95"/>
      <c r="G7" s="96"/>
      <c r="H7" s="28"/>
      <c r="I7" s="28"/>
    </row>
    <row r="8" spans="1:10" ht="13.5" thickBot="1" x14ac:dyDescent="0.25">
      <c r="B8" s="28"/>
      <c r="C8" s="28"/>
      <c r="D8" s="97"/>
      <c r="E8" s="98"/>
      <c r="F8" s="98"/>
      <c r="G8" s="99"/>
      <c r="H8" s="28"/>
      <c r="I8" s="28"/>
    </row>
    <row r="9" spans="1:10" x14ac:dyDescent="0.2">
      <c r="D9" s="76" t="s">
        <v>70</v>
      </c>
      <c r="E9" s="77"/>
      <c r="F9" s="79" t="s">
        <v>71</v>
      </c>
      <c r="G9" s="64"/>
    </row>
    <row r="10" spans="1:10" ht="13.5" thickBot="1" x14ac:dyDescent="0.25">
      <c r="D10" s="78"/>
      <c r="E10" s="77"/>
      <c r="F10" s="65"/>
      <c r="G10" s="66"/>
    </row>
    <row r="11" spans="1:10" x14ac:dyDescent="0.2">
      <c r="B11" s="72" t="s">
        <v>73</v>
      </c>
      <c r="C11" s="73"/>
      <c r="D11" s="63">
        <f>'Prod Economic Carrying Charge'!D40</f>
        <v>3.6867301107761405</v>
      </c>
      <c r="E11" s="100"/>
      <c r="F11" s="63">
        <f>D11</f>
        <v>3.6867301107761405</v>
      </c>
      <c r="G11" s="64"/>
    </row>
    <row r="12" spans="1:10" ht="13.5" thickBot="1" x14ac:dyDescent="0.25">
      <c r="B12" s="74"/>
      <c r="C12" s="75"/>
      <c r="D12" s="65"/>
      <c r="E12" s="101"/>
      <c r="F12" s="65"/>
      <c r="G12" s="66"/>
      <c r="J12" s="58"/>
    </row>
    <row r="13" spans="1:10" x14ac:dyDescent="0.2">
      <c r="B13" s="72" t="s">
        <v>75</v>
      </c>
      <c r="C13" s="73"/>
      <c r="D13" s="84">
        <v>3.4470000000000001E-2</v>
      </c>
      <c r="E13" s="85"/>
      <c r="F13" s="88">
        <f>D13</f>
        <v>3.4470000000000001E-2</v>
      </c>
      <c r="G13" s="89"/>
    </row>
    <row r="14" spans="1:10" ht="13.5" thickBot="1" x14ac:dyDescent="0.25">
      <c r="B14" s="82"/>
      <c r="C14" s="83"/>
      <c r="D14" s="86"/>
      <c r="E14" s="87"/>
      <c r="F14" s="86"/>
      <c r="G14" s="90"/>
    </row>
    <row r="15" spans="1:10" x14ac:dyDescent="0.2">
      <c r="B15" s="80" t="s">
        <v>74</v>
      </c>
      <c r="C15" s="81"/>
      <c r="D15" s="59">
        <v>0.06</v>
      </c>
      <c r="E15" s="60"/>
      <c r="F15" s="67">
        <v>0.01</v>
      </c>
      <c r="G15" s="68"/>
    </row>
    <row r="16" spans="1:10" ht="13.5" thickBot="1" x14ac:dyDescent="0.25">
      <c r="B16" s="82"/>
      <c r="C16" s="83"/>
      <c r="D16" s="61"/>
      <c r="E16" s="62"/>
      <c r="F16" s="61"/>
      <c r="G16" s="69"/>
      <c r="J16" s="58"/>
    </row>
    <row r="18" spans="2:3" x14ac:dyDescent="0.2">
      <c r="B18" s="36" t="s">
        <v>79</v>
      </c>
      <c r="C18" s="2"/>
    </row>
    <row r="19" spans="2:3" x14ac:dyDescent="0.2">
      <c r="B19" s="2" t="s">
        <v>81</v>
      </c>
      <c r="C19" s="2"/>
    </row>
    <row r="20" spans="2:3" x14ac:dyDescent="0.2">
      <c r="C20" s="2"/>
    </row>
    <row r="21" spans="2:3" x14ac:dyDescent="0.2">
      <c r="B21" s="2" t="s">
        <v>80</v>
      </c>
      <c r="C21" s="2"/>
    </row>
    <row r="22" spans="2:3" x14ac:dyDescent="0.2">
      <c r="B22" s="39" t="s">
        <v>89</v>
      </c>
      <c r="C22" s="2"/>
    </row>
    <row r="23" spans="2:3" x14ac:dyDescent="0.2">
      <c r="B23" s="39" t="s">
        <v>103</v>
      </c>
    </row>
    <row r="24" spans="2:3" x14ac:dyDescent="0.2">
      <c r="B24" s="39" t="s">
        <v>104</v>
      </c>
    </row>
    <row r="25" spans="2:3" x14ac:dyDescent="0.2">
      <c r="B25" s="39" t="s">
        <v>105</v>
      </c>
    </row>
    <row r="27" spans="2:3" x14ac:dyDescent="0.2">
      <c r="B27" s="2" t="s">
        <v>82</v>
      </c>
    </row>
    <row r="28" spans="2:3" x14ac:dyDescent="0.2">
      <c r="B28" s="39" t="s">
        <v>106</v>
      </c>
    </row>
    <row r="29" spans="2:3" x14ac:dyDescent="0.2">
      <c r="B29" s="39" t="s">
        <v>107</v>
      </c>
    </row>
    <row r="30" spans="2:3" x14ac:dyDescent="0.2">
      <c r="B30" s="39" t="s">
        <v>108</v>
      </c>
    </row>
    <row r="31" spans="2:3" x14ac:dyDescent="0.2">
      <c r="B31" s="13" t="s">
        <v>109</v>
      </c>
    </row>
    <row r="32" spans="2:3" x14ac:dyDescent="0.2">
      <c r="B32" s="39" t="s">
        <v>110</v>
      </c>
    </row>
    <row r="33" spans="2:2" x14ac:dyDescent="0.2">
      <c r="B33" s="39" t="s">
        <v>111</v>
      </c>
    </row>
    <row r="34" spans="2:2" x14ac:dyDescent="0.2">
      <c r="B34" s="39" t="s">
        <v>112</v>
      </c>
    </row>
    <row r="35" spans="2:2" x14ac:dyDescent="0.2">
      <c r="B35" s="39" t="s">
        <v>113</v>
      </c>
    </row>
    <row r="36" spans="2:2" x14ac:dyDescent="0.2">
      <c r="B36" s="39" t="s">
        <v>114</v>
      </c>
    </row>
    <row r="38" spans="2:2" x14ac:dyDescent="0.2">
      <c r="B38" s="2" t="s">
        <v>83</v>
      </c>
    </row>
    <row r="39" spans="2:2" x14ac:dyDescent="0.2">
      <c r="B39" s="2" t="s">
        <v>84</v>
      </c>
    </row>
    <row r="40" spans="2:2" x14ac:dyDescent="0.2">
      <c r="B40" s="2" t="s">
        <v>85</v>
      </c>
    </row>
    <row r="41" spans="2:2" x14ac:dyDescent="0.2">
      <c r="B41" s="2" t="s">
        <v>86</v>
      </c>
    </row>
  </sheetData>
  <mergeCells count="14">
    <mergeCell ref="D15:E16"/>
    <mergeCell ref="F11:G12"/>
    <mergeCell ref="F15:G16"/>
    <mergeCell ref="A1:I1"/>
    <mergeCell ref="A2:I2"/>
    <mergeCell ref="B11:C12"/>
    <mergeCell ref="D9:E10"/>
    <mergeCell ref="F9:G10"/>
    <mergeCell ref="B15:C16"/>
    <mergeCell ref="B13:C14"/>
    <mergeCell ref="D13:E14"/>
    <mergeCell ref="F13:G14"/>
    <mergeCell ref="D6:G8"/>
    <mergeCell ref="D11:E1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41"/>
  <sheetViews>
    <sheetView tabSelected="1" zoomScaleNormal="100" workbookViewId="0">
      <selection activeCell="D22" sqref="D22:E23"/>
    </sheetView>
  </sheetViews>
  <sheetFormatPr defaultRowHeight="12.75" x14ac:dyDescent="0.2"/>
  <cols>
    <col min="1" max="1" width="10.85546875" customWidth="1"/>
    <col min="2" max="3" width="17.85546875" customWidth="1"/>
    <col min="4" max="5" width="15.85546875" customWidth="1"/>
    <col min="6" max="6" width="10.140625" customWidth="1"/>
    <col min="7" max="7" width="14.28515625" customWidth="1"/>
    <col min="9" max="9" width="9.5703125" bestFit="1" customWidth="1"/>
  </cols>
  <sheetData>
    <row r="1" spans="2:13" ht="13.5" thickBot="1" x14ac:dyDescent="0.25"/>
    <row r="2" spans="2:13" x14ac:dyDescent="0.2">
      <c r="B2" s="117" t="s">
        <v>48</v>
      </c>
      <c r="C2" s="118"/>
      <c r="D2" s="118"/>
      <c r="E2" s="119"/>
    </row>
    <row r="3" spans="2:13" ht="13.5" thickBot="1" x14ac:dyDescent="0.25">
      <c r="B3" s="120" t="s">
        <v>115</v>
      </c>
      <c r="C3" s="121"/>
      <c r="D3" s="121"/>
      <c r="E3" s="122"/>
    </row>
    <row r="4" spans="2:13" x14ac:dyDescent="0.2">
      <c r="B4" s="2"/>
    </row>
    <row r="5" spans="2:13" ht="13.5" thickBot="1" x14ac:dyDescent="0.25"/>
    <row r="6" spans="2:13" x14ac:dyDescent="0.2">
      <c r="B6" s="105" t="s">
        <v>52</v>
      </c>
      <c r="C6" s="106"/>
      <c r="D6" s="105" t="s">
        <v>53</v>
      </c>
      <c r="E6" s="106"/>
    </row>
    <row r="7" spans="2:13" ht="13.5" thickBot="1" x14ac:dyDescent="0.25">
      <c r="B7" s="107"/>
      <c r="C7" s="108"/>
      <c r="D7" s="107"/>
      <c r="E7" s="108"/>
      <c r="M7" s="30"/>
    </row>
    <row r="8" spans="2:13" x14ac:dyDescent="0.2">
      <c r="B8" s="127" t="s">
        <v>51</v>
      </c>
      <c r="C8" s="100"/>
      <c r="D8" s="109">
        <v>2.5000000000000001E-2</v>
      </c>
      <c r="E8" s="64"/>
      <c r="M8" s="29"/>
    </row>
    <row r="9" spans="2:13" x14ac:dyDescent="0.2">
      <c r="B9" s="78"/>
      <c r="C9" s="77"/>
      <c r="D9" s="78"/>
      <c r="E9" s="104"/>
    </row>
    <row r="10" spans="2:13" x14ac:dyDescent="0.2">
      <c r="B10" s="78" t="s">
        <v>50</v>
      </c>
      <c r="C10" s="77"/>
      <c r="D10" s="110">
        <f>'Combined WACOC-Tax Table'!F13</f>
        <v>6.4103247966497967E-2</v>
      </c>
      <c r="E10" s="104"/>
      <c r="M10" s="2"/>
    </row>
    <row r="11" spans="2:13" x14ac:dyDescent="0.2">
      <c r="B11" s="78"/>
      <c r="C11" s="77"/>
      <c r="D11" s="78"/>
      <c r="E11" s="104"/>
      <c r="K11" s="28"/>
    </row>
    <row r="12" spans="2:13" x14ac:dyDescent="0.2">
      <c r="B12" s="76" t="s">
        <v>57</v>
      </c>
      <c r="C12" s="77"/>
      <c r="D12" s="78">
        <v>2028</v>
      </c>
      <c r="E12" s="104"/>
      <c r="K12" s="28"/>
    </row>
    <row r="13" spans="2:13" x14ac:dyDescent="0.2">
      <c r="B13" s="78"/>
      <c r="C13" s="77"/>
      <c r="D13" s="78"/>
      <c r="E13" s="104"/>
      <c r="K13" s="28"/>
    </row>
    <row r="14" spans="2:13" x14ac:dyDescent="0.2">
      <c r="B14" s="76" t="s">
        <v>62</v>
      </c>
      <c r="C14" s="77"/>
      <c r="D14" s="78">
        <v>2027</v>
      </c>
      <c r="E14" s="104"/>
      <c r="K14" s="28"/>
    </row>
    <row r="15" spans="2:13" x14ac:dyDescent="0.2">
      <c r="B15" s="78"/>
      <c r="C15" s="77"/>
      <c r="D15" s="78"/>
      <c r="E15" s="104"/>
    </row>
    <row r="16" spans="2:13" x14ac:dyDescent="0.2">
      <c r="B16" s="76" t="s">
        <v>58</v>
      </c>
      <c r="C16" s="77"/>
      <c r="D16" s="78">
        <f>D12-D14</f>
        <v>1</v>
      </c>
      <c r="E16" s="104"/>
      <c r="G16" s="32"/>
      <c r="H16" s="32"/>
      <c r="I16" s="33"/>
      <c r="J16" s="33"/>
    </row>
    <row r="17" spans="2:10" x14ac:dyDescent="0.2">
      <c r="B17" s="78"/>
      <c r="C17" s="77"/>
      <c r="D17" s="78"/>
      <c r="E17" s="104"/>
      <c r="G17" s="32"/>
      <c r="H17" s="32"/>
      <c r="I17" s="33"/>
      <c r="J17" s="33"/>
    </row>
    <row r="18" spans="2:10" x14ac:dyDescent="0.2">
      <c r="B18" s="76" t="s">
        <v>55</v>
      </c>
      <c r="C18" s="77"/>
      <c r="D18" s="78">
        <v>2022</v>
      </c>
      <c r="E18" s="104"/>
      <c r="G18" s="32"/>
      <c r="H18" s="32"/>
      <c r="I18" s="33"/>
      <c r="J18" s="33"/>
    </row>
    <row r="19" spans="2:10" x14ac:dyDescent="0.2">
      <c r="B19" s="78"/>
      <c r="C19" s="77"/>
      <c r="D19" s="78"/>
      <c r="E19" s="104"/>
      <c r="G19" s="32"/>
      <c r="H19" s="32"/>
      <c r="I19" s="33"/>
      <c r="J19" s="33"/>
    </row>
    <row r="20" spans="2:10" x14ac:dyDescent="0.2">
      <c r="B20" s="76" t="s">
        <v>56</v>
      </c>
      <c r="C20" s="77"/>
      <c r="D20" s="78">
        <f>D14-D18</f>
        <v>5</v>
      </c>
      <c r="E20" s="104"/>
      <c r="G20" s="32"/>
      <c r="H20" s="32"/>
      <c r="I20" s="33"/>
      <c r="J20" s="33"/>
    </row>
    <row r="21" spans="2:10" x14ac:dyDescent="0.2">
      <c r="B21" s="78"/>
      <c r="C21" s="77"/>
      <c r="D21" s="78"/>
      <c r="E21" s="104"/>
      <c r="G21" s="32"/>
      <c r="H21" s="32"/>
      <c r="I21" s="33"/>
      <c r="J21" s="33"/>
    </row>
    <row r="22" spans="2:10" x14ac:dyDescent="0.2">
      <c r="B22" s="78" t="s">
        <v>49</v>
      </c>
      <c r="C22" s="77"/>
      <c r="D22" s="102">
        <f>'Prod PVRR'!E16</f>
        <v>1870.0659903749818</v>
      </c>
      <c r="E22" s="103"/>
    </row>
    <row r="23" spans="2:10" x14ac:dyDescent="0.2">
      <c r="B23" s="78"/>
      <c r="C23" s="77"/>
      <c r="D23" s="102"/>
      <c r="E23" s="103"/>
      <c r="I23" s="31"/>
      <c r="J23" s="31"/>
    </row>
    <row r="24" spans="2:10" x14ac:dyDescent="0.2">
      <c r="B24" s="76" t="s">
        <v>59</v>
      </c>
      <c r="C24" s="77"/>
      <c r="D24" s="78">
        <v>40</v>
      </c>
      <c r="E24" s="104"/>
      <c r="I24" s="31"/>
      <c r="J24" s="31"/>
    </row>
    <row r="25" spans="2:10" x14ac:dyDescent="0.2">
      <c r="B25" s="78"/>
      <c r="C25" s="77"/>
      <c r="D25" s="78"/>
      <c r="E25" s="104"/>
    </row>
    <row r="26" spans="2:10" x14ac:dyDescent="0.2">
      <c r="B26" s="76" t="s">
        <v>54</v>
      </c>
      <c r="C26" s="77"/>
      <c r="D26" s="115">
        <f>((1+$D$8)^($D$20))/((1+$D$10)^($D$20))*(1-((1+$D$8)/(1+$D$10)))*1/(1-(((1+$D$8)^$D$24)/((1+$D$10)^$D$24)))</f>
        <v>3.9253832142009781E-2</v>
      </c>
      <c r="E26" s="116"/>
    </row>
    <row r="27" spans="2:10" ht="13.5" thickBot="1" x14ac:dyDescent="0.25">
      <c r="B27" s="78"/>
      <c r="C27" s="77"/>
      <c r="D27" s="115"/>
      <c r="E27" s="116"/>
    </row>
    <row r="28" spans="2:10" x14ac:dyDescent="0.2">
      <c r="B28" s="79" t="s">
        <v>64</v>
      </c>
      <c r="C28" s="100"/>
      <c r="D28" s="123">
        <f>(0.59271062507547+0.612640547283599)/2</f>
        <v>0.60267558617953454</v>
      </c>
      <c r="E28" s="124"/>
    </row>
    <row r="29" spans="2:10" ht="13.5" thickBot="1" x14ac:dyDescent="0.25">
      <c r="B29" s="65"/>
      <c r="C29" s="101"/>
      <c r="D29" s="125"/>
      <c r="E29" s="126"/>
    </row>
    <row r="30" spans="2:10" ht="13.5" thickBot="1" x14ac:dyDescent="0.25"/>
    <row r="31" spans="2:10" x14ac:dyDescent="0.2">
      <c r="B31" s="79" t="s">
        <v>63</v>
      </c>
      <c r="C31" s="64"/>
      <c r="D31" s="111">
        <f>((1+$D$8)^($D$14-$D$18))/((1+$D$10)^($D$14-$D$18))*$D$22*(1-((1+$D$8)/(1+$D$10)))*1/(1-(((1+$D$8)^$D$24)/((1+$D$10)^$D$24)))</f>
        <v>73.407256480660806</v>
      </c>
      <c r="E31" s="112"/>
    </row>
    <row r="32" spans="2:10" ht="13.5" thickBot="1" x14ac:dyDescent="0.25">
      <c r="B32" s="65"/>
      <c r="C32" s="66"/>
      <c r="D32" s="113"/>
      <c r="E32" s="114"/>
    </row>
    <row r="33" spans="2:5" ht="13.5" thickBot="1" x14ac:dyDescent="0.25">
      <c r="B33" s="32"/>
      <c r="C33" s="32"/>
      <c r="D33" s="33"/>
      <c r="E33" s="33"/>
    </row>
    <row r="34" spans="2:5" x14ac:dyDescent="0.2">
      <c r="B34" s="79" t="s">
        <v>65</v>
      </c>
      <c r="C34" s="64"/>
      <c r="D34" s="111">
        <f>D31*D28</f>
        <v>44.240761329313685</v>
      </c>
      <c r="E34" s="112"/>
    </row>
    <row r="35" spans="2:5" ht="13.5" thickBot="1" x14ac:dyDescent="0.25">
      <c r="B35" s="65"/>
      <c r="C35" s="66"/>
      <c r="D35" s="113"/>
      <c r="E35" s="114"/>
    </row>
    <row r="36" spans="2:5" ht="13.5" thickBot="1" x14ac:dyDescent="0.25"/>
    <row r="37" spans="2:5" x14ac:dyDescent="0.2">
      <c r="B37" s="79" t="s">
        <v>66</v>
      </c>
      <c r="C37" s="64"/>
      <c r="D37" s="111">
        <f>D31/12</f>
        <v>6.1172713733884008</v>
      </c>
      <c r="E37" s="112"/>
    </row>
    <row r="38" spans="2:5" ht="13.5" thickBot="1" x14ac:dyDescent="0.25">
      <c r="B38" s="65"/>
      <c r="C38" s="66"/>
      <c r="D38" s="113"/>
      <c r="E38" s="114"/>
    </row>
    <row r="39" spans="2:5" ht="13.5" thickBot="1" x14ac:dyDescent="0.25"/>
    <row r="40" spans="2:5" x14ac:dyDescent="0.2">
      <c r="B40" s="79" t="s">
        <v>67</v>
      </c>
      <c r="C40" s="64"/>
      <c r="D40" s="111">
        <f>D34/12</f>
        <v>3.6867301107761405</v>
      </c>
      <c r="E40" s="112"/>
    </row>
    <row r="41" spans="2:5" ht="13.5" thickBot="1" x14ac:dyDescent="0.25">
      <c r="B41" s="65"/>
      <c r="C41" s="66"/>
      <c r="D41" s="113"/>
      <c r="E41" s="114"/>
    </row>
  </sheetData>
  <mergeCells count="34">
    <mergeCell ref="B2:E2"/>
    <mergeCell ref="B3:E3"/>
    <mergeCell ref="B28:C29"/>
    <mergeCell ref="D28:E29"/>
    <mergeCell ref="B34:C35"/>
    <mergeCell ref="D34:E35"/>
    <mergeCell ref="B18:C19"/>
    <mergeCell ref="D18:E19"/>
    <mergeCell ref="B12:C13"/>
    <mergeCell ref="D12:E13"/>
    <mergeCell ref="B22:C23"/>
    <mergeCell ref="B20:C21"/>
    <mergeCell ref="B6:C7"/>
    <mergeCell ref="D20:E21"/>
    <mergeCell ref="B8:C9"/>
    <mergeCell ref="B10:C11"/>
    <mergeCell ref="B40:C41"/>
    <mergeCell ref="D40:E41"/>
    <mergeCell ref="B37:C38"/>
    <mergeCell ref="D37:E38"/>
    <mergeCell ref="D24:E25"/>
    <mergeCell ref="D26:E27"/>
    <mergeCell ref="D31:E32"/>
    <mergeCell ref="B24:C25"/>
    <mergeCell ref="B31:C32"/>
    <mergeCell ref="B26:C27"/>
    <mergeCell ref="D22:E23"/>
    <mergeCell ref="B14:C15"/>
    <mergeCell ref="B16:C17"/>
    <mergeCell ref="D16:E17"/>
    <mergeCell ref="D6:E7"/>
    <mergeCell ref="D8:E9"/>
    <mergeCell ref="D10:E11"/>
    <mergeCell ref="D14:E15"/>
  </mergeCells>
  <pageMargins left="0.7" right="0.7" top="0.75" bottom="0.75" header="0.3" footer="0.3"/>
  <pageSetup orientation="portrait" r:id="rId1"/>
  <headerFooter>
    <oddFooter>&amp;RAttachment B 
Page 1 of 5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85"/>
  <sheetViews>
    <sheetView topLeftCell="A6" zoomScaleNormal="100" workbookViewId="0">
      <selection activeCell="O30" sqref="O30"/>
    </sheetView>
  </sheetViews>
  <sheetFormatPr defaultRowHeight="12.75" x14ac:dyDescent="0.2"/>
  <cols>
    <col min="1" max="1" width="9.28515625" bestFit="1" customWidth="1"/>
    <col min="2" max="2" width="14.140625" customWidth="1"/>
    <col min="3" max="3" width="13.5703125" customWidth="1"/>
    <col min="4" max="4" width="14.42578125" bestFit="1" customWidth="1"/>
    <col min="5" max="5" width="16.28515625" customWidth="1"/>
    <col min="6" max="6" width="14.42578125" bestFit="1" customWidth="1"/>
    <col min="7" max="7" width="12.85546875" customWidth="1"/>
    <col min="8" max="8" width="14" customWidth="1"/>
    <col min="9" max="9" width="13.140625" customWidth="1"/>
    <col min="10" max="10" width="12.85546875" customWidth="1"/>
    <col min="11" max="11" width="12.140625" customWidth="1"/>
    <col min="12" max="12" width="13.85546875" bestFit="1" customWidth="1"/>
    <col min="13" max="13" width="14.140625" bestFit="1" customWidth="1"/>
    <col min="14" max="15" width="14.140625" customWidth="1"/>
    <col min="16" max="16" width="14.28515625" customWidth="1"/>
    <col min="17" max="17" width="12" customWidth="1"/>
    <col min="18" max="18" width="16.28515625" bestFit="1" customWidth="1"/>
    <col min="19" max="19" width="15" customWidth="1"/>
    <col min="20" max="20" width="9.28515625" bestFit="1" customWidth="1"/>
    <col min="23" max="23" width="10.42578125" bestFit="1" customWidth="1"/>
  </cols>
  <sheetData>
    <row r="1" spans="2:23" ht="15" x14ac:dyDescent="0.2">
      <c r="B1" s="13" t="s">
        <v>48</v>
      </c>
      <c r="H1" s="22"/>
      <c r="I1" s="13" t="str">
        <f>B1</f>
        <v>Louisville Gas &amp; Electric and Kentucky Utilities</v>
      </c>
      <c r="R1" s="22"/>
      <c r="S1" s="13" t="str">
        <f>B1</f>
        <v>Louisville Gas &amp; Electric and Kentucky Utilities</v>
      </c>
    </row>
    <row r="2" spans="2:23" x14ac:dyDescent="0.2">
      <c r="B2" s="2" t="s">
        <v>44</v>
      </c>
      <c r="H2" s="4"/>
      <c r="I2" s="2" t="str">
        <f>B2</f>
        <v>Present Value Revenue Requirement Analysis</v>
      </c>
      <c r="R2" s="4"/>
      <c r="S2" s="2" t="str">
        <f>B2</f>
        <v>Present Value Revenue Requirement Analysis</v>
      </c>
    </row>
    <row r="3" spans="2:23" x14ac:dyDescent="0.2">
      <c r="B3" s="39" t="s">
        <v>102</v>
      </c>
      <c r="H3" s="23"/>
      <c r="I3" s="2" t="str">
        <f>B3</f>
        <v>New CCGT Addition</v>
      </c>
      <c r="R3" s="23"/>
      <c r="S3" s="2" t="str">
        <f>B3</f>
        <v>New CCGT Addition</v>
      </c>
    </row>
    <row r="4" spans="2:23" x14ac:dyDescent="0.2">
      <c r="B4" s="13"/>
      <c r="H4" s="23"/>
      <c r="I4" s="13"/>
      <c r="R4" s="23"/>
    </row>
    <row r="7" spans="2:23" x14ac:dyDescent="0.2">
      <c r="B7" s="13" t="s">
        <v>43</v>
      </c>
      <c r="I7" s="13" t="s">
        <v>43</v>
      </c>
      <c r="S7" s="13" t="s">
        <v>43</v>
      </c>
    </row>
    <row r="8" spans="2:23" x14ac:dyDescent="0.2">
      <c r="B8" s="20" t="s">
        <v>42</v>
      </c>
      <c r="E8" s="56">
        <v>951</v>
      </c>
      <c r="I8" s="20" t="s">
        <v>42</v>
      </c>
      <c r="L8" s="10">
        <f t="shared" ref="L8:L13" si="0">E8</f>
        <v>951</v>
      </c>
      <c r="P8" s="10"/>
      <c r="S8" s="20" t="s">
        <v>42</v>
      </c>
      <c r="W8" s="10">
        <f t="shared" ref="W8:W13" si="1">E8</f>
        <v>951</v>
      </c>
    </row>
    <row r="9" spans="2:23" x14ac:dyDescent="0.2">
      <c r="B9" s="20" t="s">
        <v>41</v>
      </c>
      <c r="E9">
        <v>40</v>
      </c>
      <c r="I9" s="20" t="s">
        <v>41</v>
      </c>
      <c r="L9">
        <f t="shared" si="0"/>
        <v>40</v>
      </c>
      <c r="S9" s="20" t="s">
        <v>41</v>
      </c>
      <c r="W9">
        <f t="shared" si="1"/>
        <v>40</v>
      </c>
    </row>
    <row r="10" spans="2:23" x14ac:dyDescent="0.2">
      <c r="B10" s="20" t="s">
        <v>40</v>
      </c>
      <c r="E10">
        <v>20</v>
      </c>
      <c r="I10" s="20" t="s">
        <v>40</v>
      </c>
      <c r="L10">
        <f t="shared" si="0"/>
        <v>20</v>
      </c>
      <c r="S10" s="20" t="s">
        <v>40</v>
      </c>
      <c r="W10">
        <f t="shared" si="1"/>
        <v>20</v>
      </c>
    </row>
    <row r="11" spans="2:23" x14ac:dyDescent="0.2">
      <c r="B11" s="20" t="s">
        <v>39</v>
      </c>
      <c r="E11" s="34">
        <f>'Combined WACOC-Tax Table'!E10</f>
        <v>0.2484053540891209</v>
      </c>
      <c r="I11" s="20" t="s">
        <v>39</v>
      </c>
      <c r="L11" s="21">
        <f t="shared" si="0"/>
        <v>0.2484053540891209</v>
      </c>
      <c r="P11" s="21"/>
      <c r="S11" s="20" t="s">
        <v>39</v>
      </c>
      <c r="W11" s="21">
        <f t="shared" si="1"/>
        <v>0.2484053540891209</v>
      </c>
    </row>
    <row r="12" spans="2:23" x14ac:dyDescent="0.2">
      <c r="B12" s="20" t="s">
        <v>38</v>
      </c>
      <c r="E12" s="35">
        <f>(40428756+43476370)/(10746349463+641585730)</f>
        <v>7.3678963374831348E-3</v>
      </c>
      <c r="I12" s="20" t="s">
        <v>38</v>
      </c>
      <c r="L12" s="6">
        <f t="shared" si="0"/>
        <v>7.3678963374831348E-3</v>
      </c>
      <c r="P12" s="6"/>
      <c r="S12" s="20" t="s">
        <v>38</v>
      </c>
      <c r="W12" s="6">
        <f t="shared" si="1"/>
        <v>7.3678963374831348E-3</v>
      </c>
    </row>
    <row r="13" spans="2:23" x14ac:dyDescent="0.2">
      <c r="B13" s="20" t="s">
        <v>37</v>
      </c>
      <c r="E13">
        <f>E9</f>
        <v>40</v>
      </c>
      <c r="I13" s="20" t="s">
        <v>37</v>
      </c>
      <c r="L13">
        <f t="shared" si="0"/>
        <v>40</v>
      </c>
      <c r="S13" s="20" t="s">
        <v>37</v>
      </c>
      <c r="W13">
        <f t="shared" si="1"/>
        <v>40</v>
      </c>
    </row>
    <row r="15" spans="2:23" x14ac:dyDescent="0.2">
      <c r="B15" s="13" t="s">
        <v>36</v>
      </c>
      <c r="I15" s="13" t="s">
        <v>36</v>
      </c>
      <c r="S15" s="13" t="s">
        <v>36</v>
      </c>
    </row>
    <row r="16" spans="2:23" x14ac:dyDescent="0.2">
      <c r="B16" s="20" t="s">
        <v>35</v>
      </c>
      <c r="E16" s="14">
        <f>R70</f>
        <v>1870.0659903749818</v>
      </c>
      <c r="I16" s="20" t="s">
        <v>35</v>
      </c>
      <c r="L16" s="14">
        <f>E16</f>
        <v>1870.0659903749818</v>
      </c>
      <c r="P16" s="14"/>
      <c r="S16" s="20" t="s">
        <v>35</v>
      </c>
      <c r="W16" s="14">
        <f>E16</f>
        <v>1870.0659903749818</v>
      </c>
    </row>
    <row r="17" spans="1:23" x14ac:dyDescent="0.2">
      <c r="B17" s="20" t="s">
        <v>34</v>
      </c>
      <c r="E17" s="14">
        <f>PMT('Combined WACOC-Tax Table'!D13,E13,R70)*-1</f>
        <v>138.17933262842115</v>
      </c>
      <c r="I17" s="20" t="s">
        <v>34</v>
      </c>
      <c r="L17" s="14">
        <f>E17</f>
        <v>138.17933262842115</v>
      </c>
      <c r="P17" s="16"/>
      <c r="S17" s="20" t="s">
        <v>34</v>
      </c>
      <c r="W17" s="14">
        <f>E17</f>
        <v>138.17933262842115</v>
      </c>
    </row>
    <row r="18" spans="1:23" x14ac:dyDescent="0.2">
      <c r="B18" s="20" t="s">
        <v>33</v>
      </c>
      <c r="E18" s="6">
        <f>E17/E8</f>
        <v>0.14529898278488029</v>
      </c>
      <c r="I18" s="20" t="s">
        <v>33</v>
      </c>
      <c r="L18" s="6">
        <f>L17/L8</f>
        <v>0.14529898278488029</v>
      </c>
      <c r="P18" s="6"/>
      <c r="S18" s="20" t="s">
        <v>33</v>
      </c>
      <c r="W18" s="6">
        <f>E18</f>
        <v>0.14529898278488029</v>
      </c>
    </row>
    <row r="19" spans="1:23" x14ac:dyDescent="0.2">
      <c r="B19" s="20"/>
      <c r="E19" s="19"/>
      <c r="I19" s="20"/>
      <c r="P19" s="19"/>
    </row>
    <row r="20" spans="1:23" x14ac:dyDescent="0.2">
      <c r="C20" s="19"/>
    </row>
    <row r="21" spans="1:23" x14ac:dyDescent="0.2">
      <c r="C21" s="19"/>
    </row>
    <row r="22" spans="1:23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2"/>
      <c r="R22" s="4"/>
      <c r="S22" s="12" t="s">
        <v>0</v>
      </c>
      <c r="T22" s="4"/>
    </row>
    <row r="23" spans="1:23" x14ac:dyDescent="0.2">
      <c r="A23" s="4"/>
      <c r="B23" s="4"/>
      <c r="C23" s="4"/>
      <c r="D23" s="4"/>
      <c r="E23" s="4"/>
      <c r="F23" s="4"/>
      <c r="G23" s="4"/>
      <c r="H23" s="4"/>
      <c r="I23" s="12"/>
      <c r="J23" s="4"/>
      <c r="K23" s="4"/>
      <c r="L23" s="4"/>
      <c r="M23" s="12"/>
      <c r="N23" s="12"/>
      <c r="O23" s="12"/>
      <c r="P23" s="12"/>
      <c r="Q23" s="12" t="s">
        <v>2</v>
      </c>
      <c r="R23" s="12" t="s">
        <v>2</v>
      </c>
      <c r="S23" s="12" t="s">
        <v>2</v>
      </c>
      <c r="T23" s="12" t="s">
        <v>3</v>
      </c>
    </row>
    <row r="24" spans="1:23" x14ac:dyDescent="0.2">
      <c r="A24" s="4"/>
      <c r="B24" s="4"/>
      <c r="C24" s="4"/>
      <c r="D24" s="4"/>
      <c r="E24" s="4"/>
      <c r="F24" s="4"/>
      <c r="G24" s="4"/>
      <c r="H24" s="12" t="s">
        <v>32</v>
      </c>
      <c r="I24" s="12"/>
      <c r="J24" s="4"/>
      <c r="K24" s="4"/>
      <c r="L24" s="4"/>
      <c r="M24" s="12"/>
      <c r="N24" s="12"/>
      <c r="O24" s="12"/>
      <c r="P24" s="12" t="s">
        <v>3</v>
      </c>
      <c r="Q24" s="12" t="s">
        <v>31</v>
      </c>
      <c r="R24" s="12" t="s">
        <v>31</v>
      </c>
      <c r="S24" s="12" t="s">
        <v>31</v>
      </c>
      <c r="T24" s="12" t="s">
        <v>30</v>
      </c>
    </row>
    <row r="25" spans="1:23" x14ac:dyDescent="0.2">
      <c r="A25" s="4"/>
      <c r="B25" s="12"/>
      <c r="C25" s="12" t="s">
        <v>29</v>
      </c>
      <c r="D25" s="12" t="s">
        <v>45</v>
      </c>
      <c r="E25" s="12" t="s">
        <v>28</v>
      </c>
      <c r="F25" s="12" t="s">
        <v>27</v>
      </c>
      <c r="G25" s="12" t="s">
        <v>26</v>
      </c>
      <c r="H25" s="12" t="s">
        <v>26</v>
      </c>
      <c r="I25" s="12"/>
      <c r="J25" s="12"/>
      <c r="K25" s="12"/>
      <c r="L25" s="12" t="s">
        <v>46</v>
      </c>
      <c r="M25" s="12" t="s">
        <v>25</v>
      </c>
      <c r="N25" s="12" t="s">
        <v>116</v>
      </c>
      <c r="O25" s="12" t="s">
        <v>118</v>
      </c>
      <c r="P25" s="12" t="s">
        <v>47</v>
      </c>
      <c r="Q25" s="12" t="s">
        <v>17</v>
      </c>
      <c r="R25" s="12" t="s">
        <v>24</v>
      </c>
      <c r="S25" s="12" t="s">
        <v>24</v>
      </c>
      <c r="T25" s="12" t="s">
        <v>23</v>
      </c>
    </row>
    <row r="26" spans="1:23" x14ac:dyDescent="0.2">
      <c r="A26" s="12" t="s">
        <v>1</v>
      </c>
      <c r="B26" s="12" t="s">
        <v>22</v>
      </c>
      <c r="C26" s="12" t="s">
        <v>21</v>
      </c>
      <c r="D26" s="12" t="s">
        <v>20</v>
      </c>
      <c r="E26" s="12" t="s">
        <v>21</v>
      </c>
      <c r="F26" s="12" t="s">
        <v>20</v>
      </c>
      <c r="G26" s="12" t="s">
        <v>19</v>
      </c>
      <c r="H26" s="12" t="s">
        <v>19</v>
      </c>
      <c r="I26" s="12" t="s">
        <v>18</v>
      </c>
      <c r="J26" s="12" t="s">
        <v>17</v>
      </c>
      <c r="K26" s="12" t="s">
        <v>16</v>
      </c>
      <c r="L26" s="12" t="s">
        <v>15</v>
      </c>
      <c r="M26" s="12" t="s">
        <v>15</v>
      </c>
      <c r="N26" s="12" t="s">
        <v>117</v>
      </c>
      <c r="O26" s="12" t="s">
        <v>119</v>
      </c>
      <c r="P26" s="12" t="s">
        <v>13</v>
      </c>
      <c r="Q26" s="12" t="s">
        <v>14</v>
      </c>
      <c r="R26" s="12" t="s">
        <v>13</v>
      </c>
      <c r="S26" s="12" t="s">
        <v>13</v>
      </c>
      <c r="T26" s="12" t="s">
        <v>6</v>
      </c>
    </row>
    <row r="28" spans="1:23" x14ac:dyDescent="0.2">
      <c r="A28">
        <v>0</v>
      </c>
      <c r="B28" s="10">
        <f>E8</f>
        <v>951</v>
      </c>
      <c r="C28" s="18"/>
      <c r="D28" s="18"/>
      <c r="E28" s="18"/>
      <c r="F28" s="18"/>
      <c r="G28" s="18"/>
      <c r="H28" s="18"/>
      <c r="I28" s="14"/>
      <c r="J28" s="1"/>
      <c r="K28" s="10"/>
      <c r="L28" s="14"/>
      <c r="M28" s="9"/>
      <c r="N28" s="9"/>
      <c r="O28" s="9"/>
      <c r="P28" s="10"/>
      <c r="Q28" s="25">
        <f>1/(1+'Combined WACOC-Tax Table'!$F$13)^A28</f>
        <v>1</v>
      </c>
      <c r="R28" s="15">
        <f t="shared" ref="R28:R68" si="2">P28*Q28</f>
        <v>0</v>
      </c>
      <c r="S28" s="14">
        <f>R28</f>
        <v>0</v>
      </c>
    </row>
    <row r="29" spans="1:23" x14ac:dyDescent="0.2">
      <c r="A29">
        <v>1</v>
      </c>
      <c r="C29" s="26">
        <f>(1/$E$9)*$B$28</f>
        <v>23.775000000000002</v>
      </c>
      <c r="D29" s="26">
        <f>$B$28-C29</f>
        <v>927.22500000000002</v>
      </c>
      <c r="E29" s="26">
        <f>HLOOKUP($E$10,'Combined WACOC-Tax Table'!$B$17:$E$58,A29+1)*$B$28</f>
        <v>35.662500000000001</v>
      </c>
      <c r="F29" s="26">
        <f>B28-E29</f>
        <v>915.33749999999998</v>
      </c>
      <c r="G29" s="26">
        <f t="shared" ref="G29:G68" si="3">(E29-C29)*$E$11</f>
        <v>2.9529186467344246</v>
      </c>
      <c r="H29" s="26">
        <f>G29</f>
        <v>2.9529186467344246</v>
      </c>
      <c r="I29" s="26">
        <f>D29-H29</f>
        <v>924.27208135326555</v>
      </c>
      <c r="J29" s="26">
        <f>'Combined WACOC-Tax Table'!$D$10*I29</f>
        <v>6.4739454300913213E-2</v>
      </c>
      <c r="K29" s="26">
        <f>I29*('Combined WACOC-Tax Table'!$D$11+'Combined WACOC-Tax Table'!$D$12)</f>
        <v>63.443985219839192</v>
      </c>
      <c r="L29" s="26">
        <f t="shared" ref="L29:L68" si="4">$E$12*D29</f>
        <v>6.8316976815228001</v>
      </c>
      <c r="M29" s="26">
        <f t="shared" ref="M29:M68" si="5">($E$11/(1-$E$11))*K29</f>
        <v>20.968517669866213</v>
      </c>
      <c r="N29" s="26">
        <v>13</v>
      </c>
      <c r="O29" s="26">
        <v>22</v>
      </c>
      <c r="P29" s="26">
        <f>C29+J29+K29+L29+M29+N29+O29</f>
        <v>150.0839400255291</v>
      </c>
      <c r="Q29" s="25">
        <f>1/(1+'Combined WACOC-Tax Table'!$F$13)^A29</f>
        <v>0.93975843219255328</v>
      </c>
      <c r="R29" s="17">
        <f t="shared" si="2"/>
        <v>141.04264817567241</v>
      </c>
      <c r="S29" s="9">
        <f t="shared" ref="S29:S68" si="6">S28+R29</f>
        <v>141.04264817567241</v>
      </c>
      <c r="T29" s="6">
        <f t="shared" ref="T29:T68" si="7">P29/$B$28</f>
        <v>0.15781697163567729</v>
      </c>
      <c r="U29" s="16"/>
    </row>
    <row r="30" spans="1:23" x14ac:dyDescent="0.2">
      <c r="A30">
        <v>2</v>
      </c>
      <c r="C30" s="9">
        <f t="shared" ref="C30:C68" si="8">IF(D29&lt;=0.001,0,(1/$E$9)*$B$28)</f>
        <v>23.775000000000002</v>
      </c>
      <c r="D30" s="9">
        <f t="shared" ref="D30:D68" si="9">D29-C30</f>
        <v>903.45</v>
      </c>
      <c r="E30" s="9">
        <f>HLOOKUP($E$10,'Combined WACOC-Tax Table'!$B$17:$E$58,A30+1)*$B$28</f>
        <v>68.652690000000007</v>
      </c>
      <c r="F30" s="9">
        <f t="shared" ref="F30:F68" si="10">F29-E30</f>
        <v>846.68480999999997</v>
      </c>
      <c r="G30" s="9">
        <f t="shared" si="3"/>
        <v>11.1478584751518</v>
      </c>
      <c r="H30" s="9">
        <f t="shared" ref="H30:H68" si="11">H29+G30</f>
        <v>14.100777121886225</v>
      </c>
      <c r="I30" s="9">
        <f t="shared" ref="I30:I58" si="12">D30-H30</f>
        <v>889.34922287811378</v>
      </c>
      <c r="J30" s="9">
        <f>'Combined WACOC-Tax Table'!$D$10*I30</f>
        <v>6.2293327401787266E-2</v>
      </c>
      <c r="K30" s="9">
        <f>I30*('Combined WACOC-Tax Table'!$D$11+'Combined WACOC-Tax Table'!$D$12)</f>
        <v>61.046806551748247</v>
      </c>
      <c r="L30" s="9">
        <f t="shared" si="4"/>
        <v>6.6565259460991388</v>
      </c>
      <c r="M30" s="9">
        <f t="shared" si="5"/>
        <v>20.176239519533798</v>
      </c>
      <c r="N30" s="9">
        <f>N29*(1+'Prod Economic Carrying Charge'!$D$8)</f>
        <v>13.324999999999999</v>
      </c>
      <c r="O30" s="9">
        <f>O29*(1+'Prod Economic Carrying Charge'!$D$8)</f>
        <v>22.549999999999997</v>
      </c>
      <c r="P30" s="26">
        <f t="shared" ref="P30:P68" si="13">C30+J30+K30+L30+M30+N30+O30</f>
        <v>147.59186534478295</v>
      </c>
      <c r="Q30" s="25">
        <f>1/(1+'Combined WACOC-Tax Table'!$F$13)^A30</f>
        <v>0.88314591087700589</v>
      </c>
      <c r="R30" s="17">
        <f t="shared" si="2"/>
        <v>130.34515235795473</v>
      </c>
      <c r="S30" s="9">
        <f t="shared" si="6"/>
        <v>271.38780053362711</v>
      </c>
      <c r="T30" s="6">
        <f t="shared" si="7"/>
        <v>0.15519649352763717</v>
      </c>
      <c r="U30" s="16"/>
    </row>
    <row r="31" spans="1:23" x14ac:dyDescent="0.2">
      <c r="A31">
        <v>3</v>
      </c>
      <c r="C31" s="9">
        <f t="shared" si="8"/>
        <v>23.775000000000002</v>
      </c>
      <c r="D31" s="9">
        <f t="shared" si="9"/>
        <v>879.67500000000007</v>
      </c>
      <c r="E31" s="9">
        <f>HLOOKUP($E$10,'Combined WACOC-Tax Table'!$B$17:$E$58,A31+1)*$B$28</f>
        <v>63.498269999999998</v>
      </c>
      <c r="F31" s="9">
        <f t="shared" si="10"/>
        <v>783.18653999999992</v>
      </c>
      <c r="G31" s="9">
        <f t="shared" si="3"/>
        <v>9.8674729499277536</v>
      </c>
      <c r="H31" s="9">
        <f t="shared" si="11"/>
        <v>23.968250071813976</v>
      </c>
      <c r="I31" s="9">
        <f t="shared" si="12"/>
        <v>855.70674992818613</v>
      </c>
      <c r="J31" s="9">
        <f>'Combined WACOC-Tax Table'!$D$10*I31</f>
        <v>5.9936883467093645E-2</v>
      </c>
      <c r="K31" s="9">
        <f>I31*('Combined WACOC-Tax Table'!$D$11+'Combined WACOC-Tax Table'!$D$12)</f>
        <v>58.737516246810152</v>
      </c>
      <c r="L31" s="9">
        <f t="shared" si="4"/>
        <v>6.4813542106754776</v>
      </c>
      <c r="M31" s="9">
        <f t="shared" si="5"/>
        <v>19.41300886187323</v>
      </c>
      <c r="N31" s="9">
        <f>N30*(1+'Prod Economic Carrying Charge'!$D$8)</f>
        <v>13.658124999999998</v>
      </c>
      <c r="O31" s="9">
        <f>O30*(1+'Prod Economic Carrying Charge'!$D$8)</f>
        <v>23.113749999999996</v>
      </c>
      <c r="P31" s="26">
        <f t="shared" si="13"/>
        <v>145.23869120282595</v>
      </c>
      <c r="Q31" s="25">
        <f>1/(1+'Combined WACOC-Tax Table'!$F$13)^A31</f>
        <v>0.82994381660303951</v>
      </c>
      <c r="R31" s="17">
        <f t="shared" si="2"/>
        <v>120.53995369530367</v>
      </c>
      <c r="S31" s="9">
        <f t="shared" si="6"/>
        <v>391.92775422893078</v>
      </c>
      <c r="T31" s="6">
        <f t="shared" si="7"/>
        <v>0.15272207276848154</v>
      </c>
      <c r="U31" s="16"/>
    </row>
    <row r="32" spans="1:23" x14ac:dyDescent="0.2">
      <c r="A32">
        <v>4</v>
      </c>
      <c r="C32" s="9">
        <f t="shared" si="8"/>
        <v>23.775000000000002</v>
      </c>
      <c r="D32" s="9">
        <f t="shared" si="9"/>
        <v>855.90000000000009</v>
      </c>
      <c r="E32" s="9">
        <f>HLOOKUP($E$10,'Combined WACOC-Tax Table'!$B$17:$E$58,A32+1)*$B$28</f>
        <v>58.743269999999995</v>
      </c>
      <c r="F32" s="9">
        <f t="shared" si="10"/>
        <v>724.44326999999998</v>
      </c>
      <c r="G32" s="9">
        <f t="shared" si="3"/>
        <v>8.6863054912339805</v>
      </c>
      <c r="H32" s="9">
        <f t="shared" si="11"/>
        <v>32.654555563047957</v>
      </c>
      <c r="I32" s="9">
        <f t="shared" si="12"/>
        <v>823.24544443695208</v>
      </c>
      <c r="J32" s="9">
        <f>'Combined WACOC-Tax Table'!$D$10*I32</f>
        <v>5.7663172894422451E-2</v>
      </c>
      <c r="K32" s="9">
        <f>I32*('Combined WACOC-Tax Table'!$D$11+'Combined WACOC-Tax Table'!$D$12)</f>
        <v>56.5093037676588</v>
      </c>
      <c r="L32" s="9">
        <f t="shared" si="4"/>
        <v>6.3061824752518154</v>
      </c>
      <c r="M32" s="9">
        <f t="shared" si="5"/>
        <v>18.676574784168235</v>
      </c>
      <c r="N32" s="9">
        <f>N31*(1+'Prod Economic Carrying Charge'!$D$8)</f>
        <v>13.999578124999998</v>
      </c>
      <c r="O32" s="9">
        <f>O31*(1+'Prod Economic Carrying Charge'!$D$8)</f>
        <v>23.691593749999996</v>
      </c>
      <c r="P32" s="26">
        <f t="shared" si="13"/>
        <v>143.01589607497328</v>
      </c>
      <c r="Q32" s="25">
        <f>1/(1+'Combined WACOC-Tax Table'!$F$13)^A32</f>
        <v>0.7799466998987763</v>
      </c>
      <c r="R32" s="17">
        <f t="shared" si="2"/>
        <v>111.54477617674176</v>
      </c>
      <c r="S32" s="9">
        <f t="shared" si="6"/>
        <v>503.47253040567256</v>
      </c>
      <c r="T32" s="6">
        <f t="shared" si="7"/>
        <v>0.15038474876443036</v>
      </c>
      <c r="U32" s="16"/>
    </row>
    <row r="33" spans="1:21" x14ac:dyDescent="0.2">
      <c r="A33">
        <v>5</v>
      </c>
      <c r="C33" s="9">
        <f t="shared" si="8"/>
        <v>23.775000000000002</v>
      </c>
      <c r="D33" s="9">
        <f t="shared" si="9"/>
        <v>832.12500000000011</v>
      </c>
      <c r="E33" s="9">
        <f>HLOOKUP($E$10,'Combined WACOC-Tax Table'!$B$17:$E$58,A33+1)*$B$28</f>
        <v>54.330629999999999</v>
      </c>
      <c r="F33" s="9">
        <f t="shared" si="10"/>
        <v>670.11263999999994</v>
      </c>
      <c r="G33" s="9">
        <f t="shared" si="3"/>
        <v>7.5901820895661647</v>
      </c>
      <c r="H33" s="9">
        <f t="shared" si="11"/>
        <v>40.24473765261412</v>
      </c>
      <c r="I33" s="9">
        <f t="shared" si="12"/>
        <v>791.88026234738595</v>
      </c>
      <c r="J33" s="9">
        <f>'Combined WACOC-Tax Table'!$D$10*I33</f>
        <v>5.546623888170809E-2</v>
      </c>
      <c r="K33" s="9">
        <f>I33*('Combined WACOC-Tax Table'!$D$11+'Combined WACOC-Tax Table'!$D$12)</f>
        <v>54.35633151083757</v>
      </c>
      <c r="L33" s="9">
        <f t="shared" si="4"/>
        <v>6.1310107398281541</v>
      </c>
      <c r="M33" s="9">
        <f t="shared" si="5"/>
        <v>17.965007932662022</v>
      </c>
      <c r="N33" s="9">
        <f>N32*(1+'Prod Economic Carrying Charge'!$D$8)</f>
        <v>14.349567578124995</v>
      </c>
      <c r="O33" s="9">
        <f>O32*(1+'Prod Economic Carrying Charge'!$D$8)</f>
        <v>24.283883593749994</v>
      </c>
      <c r="P33" s="26">
        <f t="shared" si="13"/>
        <v>140.91626759408445</v>
      </c>
      <c r="Q33" s="25">
        <f>1/(1+'Combined WACOC-Tax Table'!$F$13)^A33</f>
        <v>0.73296148789062987</v>
      </c>
      <c r="R33" s="17">
        <f t="shared" si="2"/>
        <v>103.28619716375428</v>
      </c>
      <c r="S33" s="9">
        <f t="shared" si="6"/>
        <v>606.75872756942681</v>
      </c>
      <c r="T33" s="6">
        <f t="shared" si="7"/>
        <v>0.14817693753321182</v>
      </c>
      <c r="U33" s="16"/>
    </row>
    <row r="34" spans="1:21" x14ac:dyDescent="0.2">
      <c r="A34">
        <v>6</v>
      </c>
      <c r="C34" s="9">
        <f t="shared" si="8"/>
        <v>23.775000000000002</v>
      </c>
      <c r="D34" s="9">
        <f t="shared" si="9"/>
        <v>808.35000000000014</v>
      </c>
      <c r="E34" s="9">
        <f>HLOOKUP($E$10,'Combined WACOC-Tax Table'!$B$17:$E$58,A34+1)*$B$28</f>
        <v>50.260350000000003</v>
      </c>
      <c r="F34" s="9">
        <f t="shared" si="10"/>
        <v>619.85228999999993</v>
      </c>
      <c r="G34" s="9">
        <f t="shared" si="3"/>
        <v>6.579102744924298</v>
      </c>
      <c r="H34" s="9">
        <f t="shared" si="11"/>
        <v>46.823840397538419</v>
      </c>
      <c r="I34" s="9">
        <f t="shared" si="12"/>
        <v>761.52615960246169</v>
      </c>
      <c r="J34" s="9">
        <f>'Combined WACOC-Tax Table'!$D$10*I34</f>
        <v>5.3340124626884929E-2</v>
      </c>
      <c r="K34" s="9">
        <f>I34*('Combined WACOC-Tax Table'!$D$11+'Combined WACOC-Tax Table'!$D$12)</f>
        <v>52.272761872889802</v>
      </c>
      <c r="L34" s="9">
        <f t="shared" si="4"/>
        <v>5.9558390044044929</v>
      </c>
      <c r="M34" s="9">
        <f t="shared" si="5"/>
        <v>17.276378953597785</v>
      </c>
      <c r="N34" s="9">
        <f>N33*(1+'Prod Economic Carrying Charge'!$D$8)</f>
        <v>14.708306767578119</v>
      </c>
      <c r="O34" s="9">
        <f>O33*(1+'Prod Economic Carrying Charge'!$D$8)</f>
        <v>24.890980683593742</v>
      </c>
      <c r="P34" s="26">
        <f t="shared" si="13"/>
        <v>138.93260740669083</v>
      </c>
      <c r="Q34" s="25">
        <f>1/(1+'Combined WACOC-Tax Table'!$F$13)^A34</f>
        <v>0.68880673871761955</v>
      </c>
      <c r="R34" s="17">
        <f t="shared" si="2"/>
        <v>95.697716209338111</v>
      </c>
      <c r="S34" s="9">
        <f t="shared" si="6"/>
        <v>702.45644377876488</v>
      </c>
      <c r="T34" s="6">
        <f t="shared" si="7"/>
        <v>0.14609106982827638</v>
      </c>
      <c r="U34" s="16"/>
    </row>
    <row r="35" spans="1:21" x14ac:dyDescent="0.2">
      <c r="A35">
        <v>7</v>
      </c>
      <c r="C35" s="9">
        <f t="shared" si="8"/>
        <v>23.775000000000002</v>
      </c>
      <c r="D35" s="9">
        <f t="shared" si="9"/>
        <v>784.57500000000016</v>
      </c>
      <c r="E35" s="9">
        <f>HLOOKUP($E$10,'Combined WACOC-Tax Table'!$B$17:$E$58,A35+1)*$B$28</f>
        <v>46.484879999999997</v>
      </c>
      <c r="F35" s="9">
        <f t="shared" si="10"/>
        <v>573.36740999999995</v>
      </c>
      <c r="G35" s="9">
        <f t="shared" si="3"/>
        <v>5.6412557827214433</v>
      </c>
      <c r="H35" s="9">
        <f t="shared" si="11"/>
        <v>52.465096180259863</v>
      </c>
      <c r="I35" s="9">
        <f t="shared" si="12"/>
        <v>732.10990381974034</v>
      </c>
      <c r="J35" s="9">
        <f>'Combined WACOC-Tax Table'!$D$10*I35</f>
        <v>5.1279700661507589E-2</v>
      </c>
      <c r="K35" s="9">
        <f>I35*('Combined WACOC-Tax Table'!$D$11+'Combined WACOC-Tax Table'!$D$12)</f>
        <v>50.253568028616719</v>
      </c>
      <c r="L35" s="9">
        <f t="shared" si="4"/>
        <v>5.7806672689808316</v>
      </c>
      <c r="M35" s="9">
        <f t="shared" si="5"/>
        <v>16.609026459018274</v>
      </c>
      <c r="N35" s="9">
        <f>N34*(1+'Prod Economic Carrying Charge'!$D$8)</f>
        <v>15.07601443676757</v>
      </c>
      <c r="O35" s="9">
        <f>O34*(1+'Prod Economic Carrying Charge'!$D$8)</f>
        <v>25.513255200683584</v>
      </c>
      <c r="P35" s="26">
        <f t="shared" si="13"/>
        <v>137.05881109472847</v>
      </c>
      <c r="Q35" s="25">
        <f>1/(1+'Combined WACOC-Tax Table'!$F$13)^A35</f>
        <v>0.64731194086093591</v>
      </c>
      <c r="R35" s="17">
        <f t="shared" si="2"/>
        <v>88.71980502182106</v>
      </c>
      <c r="S35" s="9">
        <f t="shared" si="6"/>
        <v>791.17624880058588</v>
      </c>
      <c r="T35" s="6">
        <f t="shared" si="7"/>
        <v>0.14412072670318452</v>
      </c>
      <c r="U35" s="16"/>
    </row>
    <row r="36" spans="1:21" x14ac:dyDescent="0.2">
      <c r="A36">
        <v>8</v>
      </c>
      <c r="C36" s="9">
        <f t="shared" si="8"/>
        <v>23.775000000000002</v>
      </c>
      <c r="D36" s="9">
        <f t="shared" si="9"/>
        <v>760.80000000000018</v>
      </c>
      <c r="E36" s="9">
        <f>HLOOKUP($E$10,'Combined WACOC-Tax Table'!$B$17:$E$58,A36+1)*$B$28</f>
        <v>43.004220000000004</v>
      </c>
      <c r="F36" s="9">
        <f t="shared" si="10"/>
        <v>530.36318999999992</v>
      </c>
      <c r="G36" s="9">
        <f t="shared" si="3"/>
        <v>4.776641202957606</v>
      </c>
      <c r="H36" s="9">
        <f t="shared" si="11"/>
        <v>57.241737383217469</v>
      </c>
      <c r="I36" s="9">
        <f t="shared" si="12"/>
        <v>703.55826261678271</v>
      </c>
      <c r="J36" s="9">
        <f>'Combined WACOC-Tax Table'!$D$10*I36</f>
        <v>4.9279837517130665E-2</v>
      </c>
      <c r="K36" s="9">
        <f>I36*('Combined WACOC-Tax Table'!$D$11+'Combined WACOC-Tax Table'!$D$12)</f>
        <v>48.293723152819531</v>
      </c>
      <c r="L36" s="9">
        <f t="shared" si="4"/>
        <v>5.6054955335571703</v>
      </c>
      <c r="M36" s="9">
        <f t="shared" si="5"/>
        <v>15.961289060966244</v>
      </c>
      <c r="N36" s="9">
        <f>N35*(1+'Prod Economic Carrying Charge'!$D$8)</f>
        <v>15.452914797686759</v>
      </c>
      <c r="O36" s="9">
        <f>O35*(1+'Prod Economic Carrying Charge'!$D$8)</f>
        <v>26.151086580700671</v>
      </c>
      <c r="P36" s="26">
        <f t="shared" si="13"/>
        <v>135.28878896324753</v>
      </c>
      <c r="Q36" s="25">
        <f>1/(1+'Combined WACOC-Tax Table'!$F$13)^A36</f>
        <v>0.6083168546829919</v>
      </c>
      <c r="R36" s="17">
        <f t="shared" si="2"/>
        <v>82.298450575993797</v>
      </c>
      <c r="S36" s="9">
        <f t="shared" si="6"/>
        <v>873.47469937657968</v>
      </c>
      <c r="T36" s="6">
        <f t="shared" si="7"/>
        <v>0.14225950469321508</v>
      </c>
      <c r="U36" s="16"/>
    </row>
    <row r="37" spans="1:21" x14ac:dyDescent="0.2">
      <c r="A37">
        <v>9</v>
      </c>
      <c r="C37" s="9">
        <f t="shared" si="8"/>
        <v>23.775000000000002</v>
      </c>
      <c r="D37" s="9">
        <f t="shared" si="9"/>
        <v>737.0250000000002</v>
      </c>
      <c r="E37" s="9">
        <f>HLOOKUP($E$10,'Combined WACOC-Tax Table'!$B$17:$E$58,A37+1)*$B$28</f>
        <v>42.433619999999998</v>
      </c>
      <c r="F37" s="9">
        <f t="shared" si="10"/>
        <v>487.9295699999999</v>
      </c>
      <c r="G37" s="9">
        <f t="shared" si="3"/>
        <v>4.6349011079143523</v>
      </c>
      <c r="H37" s="9">
        <f t="shared" si="11"/>
        <v>61.876638491131821</v>
      </c>
      <c r="I37" s="9">
        <f t="shared" si="12"/>
        <v>675.14836150886833</v>
      </c>
      <c r="J37" s="9">
        <f>'Combined WACOC-Tax Table'!$D$10*I37</f>
        <v>4.728990237619643E-2</v>
      </c>
      <c r="K37" s="9">
        <f>I37*('Combined WACOC-Tax Table'!$D$11+'Combined WACOC-Tax Table'!$D$12)</f>
        <v>46.343607616116763</v>
      </c>
      <c r="L37" s="9">
        <f t="shared" si="4"/>
        <v>5.4303237981335091</v>
      </c>
      <c r="M37" s="9">
        <f t="shared" si="5"/>
        <v>15.316767252508887</v>
      </c>
      <c r="N37" s="9">
        <f>N36*(1+'Prod Economic Carrying Charge'!$D$8)</f>
        <v>15.839237667628927</v>
      </c>
      <c r="O37" s="9">
        <f>O36*(1+'Prod Economic Carrying Charge'!$D$8)</f>
        <v>26.804863745218185</v>
      </c>
      <c r="P37" s="26">
        <f t="shared" si="13"/>
        <v>133.55708998198247</v>
      </c>
      <c r="Q37" s="25">
        <f>1/(1+'Combined WACOC-Tax Table'!$F$13)^A37</f>
        <v>0.57167089363319368</v>
      </c>
      <c r="R37" s="17">
        <f t="shared" si="2"/>
        <v>76.350700981048774</v>
      </c>
      <c r="S37" s="9">
        <f t="shared" si="6"/>
        <v>949.8254003576285</v>
      </c>
      <c r="T37" s="6">
        <f t="shared" si="7"/>
        <v>0.1404385804226945</v>
      </c>
      <c r="U37" s="16"/>
    </row>
    <row r="38" spans="1:21" x14ac:dyDescent="0.2">
      <c r="A38">
        <v>10</v>
      </c>
      <c r="C38" s="9">
        <f t="shared" si="8"/>
        <v>23.775000000000002</v>
      </c>
      <c r="D38" s="9">
        <f t="shared" si="9"/>
        <v>713.25000000000023</v>
      </c>
      <c r="E38" s="9">
        <f>HLOOKUP($E$10,'Combined WACOC-Tax Table'!$B$17:$E$58,A38+1)*$B$28</f>
        <v>42.424109999999999</v>
      </c>
      <c r="F38" s="9">
        <f t="shared" si="10"/>
        <v>445.50545999999991</v>
      </c>
      <c r="G38" s="9">
        <f t="shared" si="3"/>
        <v>4.6325387729969645</v>
      </c>
      <c r="H38" s="9">
        <f t="shared" si="11"/>
        <v>66.50917726412878</v>
      </c>
      <c r="I38" s="9">
        <f t="shared" si="12"/>
        <v>646.74082273587146</v>
      </c>
      <c r="J38" s="9">
        <f>'Combined WACOC-Tax Table'!$D$10*I38</f>
        <v>4.5300132701986254E-2</v>
      </c>
      <c r="K38" s="9">
        <f>I38*('Combined WACOC-Tax Table'!$D$11+'Combined WACOC-Tax Table'!$D$12)</f>
        <v>44.393654235065569</v>
      </c>
      <c r="L38" s="9">
        <f t="shared" si="4"/>
        <v>5.2551520627098478</v>
      </c>
      <c r="M38" s="9">
        <f t="shared" si="5"/>
        <v>14.67229903721144</v>
      </c>
      <c r="N38" s="9">
        <f>N37*(1+'Prod Economic Carrying Charge'!$D$8)</f>
        <v>16.235218609319649</v>
      </c>
      <c r="O38" s="9">
        <f>O37*(1+'Prod Economic Carrying Charge'!$D$8)</f>
        <v>27.474985338848636</v>
      </c>
      <c r="P38" s="26">
        <f t="shared" si="13"/>
        <v>131.85160941585713</v>
      </c>
      <c r="Q38" s="25">
        <f>1/(1+'Combined WACOC-Tax Table'!$F$13)^A38</f>
        <v>0.53723254273084609</v>
      </c>
      <c r="R38" s="17">
        <f t="shared" si="2"/>
        <v>70.834975389635289</v>
      </c>
      <c r="S38" s="9">
        <f t="shared" si="6"/>
        <v>1020.6603757472637</v>
      </c>
      <c r="T38" s="6">
        <f t="shared" si="7"/>
        <v>0.13864522546357216</v>
      </c>
      <c r="U38" s="16"/>
    </row>
    <row r="39" spans="1:21" x14ac:dyDescent="0.2">
      <c r="A39">
        <v>11</v>
      </c>
      <c r="C39" s="9">
        <f t="shared" si="8"/>
        <v>23.775000000000002</v>
      </c>
      <c r="D39" s="9">
        <f t="shared" si="9"/>
        <v>689.47500000000025</v>
      </c>
      <c r="E39" s="9">
        <f>HLOOKUP($E$10,'Combined WACOC-Tax Table'!$B$17:$E$58,A39+1)*$B$28</f>
        <v>42.433619999999998</v>
      </c>
      <c r="F39" s="9">
        <f t="shared" si="10"/>
        <v>403.0718399999999</v>
      </c>
      <c r="G39" s="9">
        <f t="shared" si="3"/>
        <v>4.6349011079143523</v>
      </c>
      <c r="H39" s="9">
        <f t="shared" si="11"/>
        <v>71.14407837204314</v>
      </c>
      <c r="I39" s="9">
        <f t="shared" si="12"/>
        <v>618.33092162795708</v>
      </c>
      <c r="J39" s="9">
        <f>'Combined WACOC-Tax Table'!$D$10*I39</f>
        <v>4.3310197561052019E-2</v>
      </c>
      <c r="K39" s="9">
        <f>I39*('Combined WACOC-Tax Table'!$D$11+'Combined WACOC-Tax Table'!$D$12)</f>
        <v>42.443538698362794</v>
      </c>
      <c r="L39" s="9">
        <f t="shared" si="4"/>
        <v>5.0799803272861865</v>
      </c>
      <c r="M39" s="9">
        <f t="shared" si="5"/>
        <v>14.027777228754081</v>
      </c>
      <c r="N39" s="9">
        <f>N38*(1+'Prod Economic Carrying Charge'!$D$8)</f>
        <v>16.641099074552638</v>
      </c>
      <c r="O39" s="9">
        <f>O38*(1+'Prod Economic Carrying Charge'!$D$8)</f>
        <v>28.161859972319849</v>
      </c>
      <c r="P39" s="26">
        <f t="shared" si="13"/>
        <v>130.1725654988366</v>
      </c>
      <c r="Q39" s="25">
        <f>1/(1+'Combined WACOC-Tax Table'!$F$13)^A39</f>
        <v>0.5048688120795588</v>
      </c>
      <c r="R39" s="17">
        <f t="shared" si="2"/>
        <v>65.720068508746195</v>
      </c>
      <c r="S39" s="9">
        <f t="shared" si="6"/>
        <v>1086.3804442560099</v>
      </c>
      <c r="T39" s="6">
        <f t="shared" si="7"/>
        <v>0.1368796692942551</v>
      </c>
      <c r="U39" s="16"/>
    </row>
    <row r="40" spans="1:21" x14ac:dyDescent="0.2">
      <c r="A40">
        <v>12</v>
      </c>
      <c r="C40" s="9">
        <f t="shared" si="8"/>
        <v>23.775000000000002</v>
      </c>
      <c r="D40" s="9">
        <f t="shared" si="9"/>
        <v>665.70000000000027</v>
      </c>
      <c r="E40" s="9">
        <f>HLOOKUP($E$10,'Combined WACOC-Tax Table'!$B$17:$E$58,A40+1)*$B$28</f>
        <v>42.424109999999999</v>
      </c>
      <c r="F40" s="9">
        <f t="shared" si="10"/>
        <v>360.64772999999991</v>
      </c>
      <c r="G40" s="9">
        <f t="shared" si="3"/>
        <v>4.6325387729969645</v>
      </c>
      <c r="H40" s="9">
        <f t="shared" si="11"/>
        <v>75.776617145040106</v>
      </c>
      <c r="I40" s="9">
        <f t="shared" si="12"/>
        <v>589.92338285496021</v>
      </c>
      <c r="J40" s="9">
        <f>'Combined WACOC-Tax Table'!$D$10*I40</f>
        <v>4.1320427886841843E-2</v>
      </c>
      <c r="K40" s="9">
        <f>I40*('Combined WACOC-Tax Table'!$D$11+'Combined WACOC-Tax Table'!$D$12)</f>
        <v>40.493585317311606</v>
      </c>
      <c r="L40" s="9">
        <f t="shared" si="4"/>
        <v>4.9048085918625253</v>
      </c>
      <c r="M40" s="9">
        <f t="shared" si="5"/>
        <v>13.383309013456637</v>
      </c>
      <c r="N40" s="9">
        <f>N39*(1+'Prod Economic Carrying Charge'!$D$8)</f>
        <v>17.057126551416452</v>
      </c>
      <c r="O40" s="9">
        <f>O39*(1+'Prod Economic Carrying Charge'!$D$8)</f>
        <v>28.865906471627842</v>
      </c>
      <c r="P40" s="26">
        <f t="shared" si="13"/>
        <v>128.52105637356192</v>
      </c>
      <c r="Q40" s="25">
        <f>1/(1+'Combined WACOC-Tax Table'!$F$13)^A40</f>
        <v>0.47445472330280297</v>
      </c>
      <c r="R40" s="17">
        <f t="shared" si="2"/>
        <v>60.977422240302261</v>
      </c>
      <c r="S40" s="9">
        <f t="shared" si="6"/>
        <v>1147.3578664963122</v>
      </c>
      <c r="T40" s="6">
        <f t="shared" si="7"/>
        <v>0.13514306663886638</v>
      </c>
      <c r="U40" s="16"/>
    </row>
    <row r="41" spans="1:21" x14ac:dyDescent="0.2">
      <c r="A41">
        <v>13</v>
      </c>
      <c r="C41" s="9">
        <f t="shared" si="8"/>
        <v>23.775000000000002</v>
      </c>
      <c r="D41" s="9">
        <f t="shared" si="9"/>
        <v>641.9250000000003</v>
      </c>
      <c r="E41" s="9">
        <f>HLOOKUP($E$10,'Combined WACOC-Tax Table'!$B$17:$E$58,A41+1)*$B$28</f>
        <v>42.433619999999998</v>
      </c>
      <c r="F41" s="9">
        <f t="shared" si="10"/>
        <v>318.21410999999989</v>
      </c>
      <c r="G41" s="9">
        <f t="shared" si="3"/>
        <v>4.6349011079143523</v>
      </c>
      <c r="H41" s="9">
        <f t="shared" si="11"/>
        <v>80.411518252954465</v>
      </c>
      <c r="I41" s="9">
        <f t="shared" si="12"/>
        <v>561.51348174704583</v>
      </c>
      <c r="J41" s="9">
        <f>'Combined WACOC-Tax Table'!$D$10*I41</f>
        <v>3.9330492745907608E-2</v>
      </c>
      <c r="K41" s="9">
        <f>I41*('Combined WACOC-Tax Table'!$D$11+'Combined WACOC-Tax Table'!$D$12)</f>
        <v>38.543469780608831</v>
      </c>
      <c r="L41" s="9">
        <f t="shared" si="4"/>
        <v>4.7296368564388631</v>
      </c>
      <c r="M41" s="9">
        <f t="shared" si="5"/>
        <v>12.738787204999277</v>
      </c>
      <c r="N41" s="9">
        <f>N40*(1+'Prod Economic Carrying Charge'!$D$8)</f>
        <v>17.483554715201862</v>
      </c>
      <c r="O41" s="9">
        <f>O40*(1+'Prod Economic Carrying Charge'!$D$8)</f>
        <v>29.587554133418536</v>
      </c>
      <c r="P41" s="26">
        <f t="shared" si="13"/>
        <v>126.89733318341327</v>
      </c>
      <c r="Q41" s="25">
        <f>1/(1+'Combined WACOC-Tax Table'!$F$13)^A41</f>
        <v>0.44587282691739377</v>
      </c>
      <c r="R41" s="17">
        <f t="shared" si="2"/>
        <v>56.580072674766875</v>
      </c>
      <c r="S41" s="9">
        <f t="shared" si="6"/>
        <v>1203.9379391710791</v>
      </c>
      <c r="T41" s="6">
        <f t="shared" si="7"/>
        <v>0.13343568158087621</v>
      </c>
      <c r="U41" s="16"/>
    </row>
    <row r="42" spans="1:21" x14ac:dyDescent="0.2">
      <c r="A42">
        <v>14</v>
      </c>
      <c r="C42" s="9">
        <f t="shared" si="8"/>
        <v>23.775000000000002</v>
      </c>
      <c r="D42" s="9">
        <f t="shared" si="9"/>
        <v>618.15000000000032</v>
      </c>
      <c r="E42" s="9">
        <f>HLOOKUP($E$10,'Combined WACOC-Tax Table'!$B$17:$E$58,A42+1)*$B$28</f>
        <v>42.424109999999999</v>
      </c>
      <c r="F42" s="9">
        <f t="shared" si="10"/>
        <v>275.78999999999991</v>
      </c>
      <c r="G42" s="9">
        <f t="shared" si="3"/>
        <v>4.6325387729969645</v>
      </c>
      <c r="H42" s="9">
        <f t="shared" si="11"/>
        <v>85.044057025951432</v>
      </c>
      <c r="I42" s="9">
        <f t="shared" si="12"/>
        <v>533.10594297404884</v>
      </c>
      <c r="J42" s="9">
        <f>'Combined WACOC-Tax Table'!$D$10*I42</f>
        <v>3.7340723071697425E-2</v>
      </c>
      <c r="K42" s="9">
        <f>I42*('Combined WACOC-Tax Table'!$D$11+'Combined WACOC-Tax Table'!$D$12)</f>
        <v>36.593516399557629</v>
      </c>
      <c r="L42" s="9">
        <f t="shared" si="4"/>
        <v>4.5544651210152018</v>
      </c>
      <c r="M42" s="9">
        <f t="shared" si="5"/>
        <v>12.094318989701828</v>
      </c>
      <c r="N42" s="9">
        <f>N41*(1+'Prod Economic Carrying Charge'!$D$8)</f>
        <v>17.920643583081908</v>
      </c>
      <c r="O42" s="9">
        <f>O41*(1+'Prod Economic Carrying Charge'!$D$8)</f>
        <v>30.327242986753998</v>
      </c>
      <c r="P42" s="26">
        <f t="shared" si="13"/>
        <v>125.30252780318227</v>
      </c>
      <c r="Q42" s="25">
        <f>1/(1+'Combined WACOC-Tax Table'!$F$13)^A42</f>
        <v>0.4190127487811518</v>
      </c>
      <c r="R42" s="17">
        <f t="shared" si="2"/>
        <v>52.503356604038103</v>
      </c>
      <c r="S42" s="9">
        <f t="shared" si="6"/>
        <v>1256.4412957751172</v>
      </c>
      <c r="T42" s="6">
        <f t="shared" si="7"/>
        <v>0.13175870431459755</v>
      </c>
      <c r="U42" s="16"/>
    </row>
    <row r="43" spans="1:21" x14ac:dyDescent="0.2">
      <c r="A43">
        <v>15</v>
      </c>
      <c r="C43" s="9">
        <f t="shared" si="8"/>
        <v>23.775000000000002</v>
      </c>
      <c r="D43" s="9">
        <f t="shared" si="9"/>
        <v>594.37500000000034</v>
      </c>
      <c r="E43" s="9">
        <f>HLOOKUP($E$10,'Combined WACOC-Tax Table'!$B$17:$E$58,A43+1)*$B$28</f>
        <v>42.433619999999998</v>
      </c>
      <c r="F43" s="9">
        <f t="shared" si="10"/>
        <v>233.35637999999992</v>
      </c>
      <c r="G43" s="9">
        <f t="shared" si="3"/>
        <v>4.6349011079143523</v>
      </c>
      <c r="H43" s="9">
        <f t="shared" si="11"/>
        <v>89.678958133865791</v>
      </c>
      <c r="I43" s="9">
        <f t="shared" si="12"/>
        <v>504.69604186613458</v>
      </c>
      <c r="J43" s="9">
        <f>'Combined WACOC-Tax Table'!$D$10*I43</f>
        <v>3.5350787930763197E-2</v>
      </c>
      <c r="K43" s="9">
        <f>I43*('Combined WACOC-Tax Table'!$D$11+'Combined WACOC-Tax Table'!$D$12)</f>
        <v>34.643400862854868</v>
      </c>
      <c r="L43" s="9">
        <f t="shared" si="4"/>
        <v>4.3792933855915406</v>
      </c>
      <c r="M43" s="9">
        <f t="shared" si="5"/>
        <v>11.449797181244472</v>
      </c>
      <c r="N43" s="9">
        <f>N42*(1+'Prod Economic Carrying Charge'!$D$8)</f>
        <v>18.368659672658953</v>
      </c>
      <c r="O43" s="9">
        <f>O42*(1+'Prod Economic Carrying Charge'!$D$8)</f>
        <v>31.085424061422845</v>
      </c>
      <c r="P43" s="26">
        <f t="shared" si="13"/>
        <v>123.73692595170344</v>
      </c>
      <c r="Q43" s="25">
        <f>1/(1+'Combined WACOC-Tax Table'!$F$13)^A43</f>
        <v>0.39377076386326737</v>
      </c>
      <c r="R43" s="17">
        <f t="shared" si="2"/>
        <v>48.723983850094818</v>
      </c>
      <c r="S43" s="9">
        <f t="shared" si="6"/>
        <v>1305.165279625212</v>
      </c>
      <c r="T43" s="6">
        <f t="shared" si="7"/>
        <v>0.13011243528044525</v>
      </c>
      <c r="U43" s="16"/>
    </row>
    <row r="44" spans="1:21" x14ac:dyDescent="0.2">
      <c r="A44">
        <v>16</v>
      </c>
      <c r="C44" s="9">
        <f t="shared" si="8"/>
        <v>23.775000000000002</v>
      </c>
      <c r="D44" s="9">
        <f t="shared" si="9"/>
        <v>570.60000000000036</v>
      </c>
      <c r="E44" s="9">
        <f>HLOOKUP($E$10,'Combined WACOC-Tax Table'!$B$17:$E$58,A44+1)*$B$28</f>
        <v>42.424109999999999</v>
      </c>
      <c r="F44" s="9">
        <f t="shared" si="10"/>
        <v>190.9322699999999</v>
      </c>
      <c r="G44" s="9">
        <f t="shared" si="3"/>
        <v>4.6325387729969645</v>
      </c>
      <c r="H44" s="9">
        <f t="shared" si="11"/>
        <v>94.311496906862757</v>
      </c>
      <c r="I44" s="9">
        <f t="shared" si="12"/>
        <v>476.28850309313759</v>
      </c>
      <c r="J44" s="9">
        <f>'Combined WACOC-Tax Table'!$D$10*I44</f>
        <v>3.3361018256553014E-2</v>
      </c>
      <c r="K44" s="9">
        <f>I44*('Combined WACOC-Tax Table'!$D$11+'Combined WACOC-Tax Table'!$D$12)</f>
        <v>32.693447481803666</v>
      </c>
      <c r="L44" s="9">
        <f t="shared" si="4"/>
        <v>4.2041216501678793</v>
      </c>
      <c r="M44" s="9">
        <f t="shared" si="5"/>
        <v>10.805328965947023</v>
      </c>
      <c r="N44" s="9">
        <f>N43*(1+'Prod Economic Carrying Charge'!$D$8)</f>
        <v>18.827876164475427</v>
      </c>
      <c r="O44" s="9">
        <f>O43*(1+'Prod Economic Carrying Charge'!$D$8)</f>
        <v>31.862559662958414</v>
      </c>
      <c r="P44" s="26">
        <f t="shared" si="13"/>
        <v>122.20169494360897</v>
      </c>
      <c r="Q44" s="25">
        <f>1/(1+'Combined WACOC-Tax Table'!$F$13)^A44</f>
        <v>0.37004939569140827</v>
      </c>
      <c r="R44" s="17">
        <f t="shared" si="2"/>
        <v>45.220663366348319</v>
      </c>
      <c r="S44" s="9">
        <f t="shared" si="6"/>
        <v>1350.3859429915603</v>
      </c>
      <c r="T44" s="6">
        <f t="shared" si="7"/>
        <v>0.1284981019386004</v>
      </c>
      <c r="U44" s="16"/>
    </row>
    <row r="45" spans="1:21" x14ac:dyDescent="0.2">
      <c r="A45">
        <v>17</v>
      </c>
      <c r="C45" s="9">
        <f t="shared" si="8"/>
        <v>23.775000000000002</v>
      </c>
      <c r="D45" s="9">
        <f t="shared" si="9"/>
        <v>546.82500000000039</v>
      </c>
      <c r="E45" s="9">
        <f>HLOOKUP($E$10,'Combined WACOC-Tax Table'!$B$17:$E$58,A45+1)*$B$28</f>
        <v>42.433619999999998</v>
      </c>
      <c r="F45" s="9">
        <f t="shared" si="10"/>
        <v>148.49864999999991</v>
      </c>
      <c r="G45" s="9">
        <f t="shared" si="3"/>
        <v>4.6349011079143523</v>
      </c>
      <c r="H45" s="9">
        <f t="shared" si="11"/>
        <v>98.946398014777117</v>
      </c>
      <c r="I45" s="9">
        <f t="shared" si="12"/>
        <v>447.87860198522327</v>
      </c>
      <c r="J45" s="9">
        <f>'Combined WACOC-Tax Table'!$D$10*I45</f>
        <v>3.1371083115618786E-2</v>
      </c>
      <c r="K45" s="9">
        <f>I45*('Combined WACOC-Tax Table'!$D$11+'Combined WACOC-Tax Table'!$D$12)</f>
        <v>30.743331945100898</v>
      </c>
      <c r="L45" s="9">
        <f t="shared" si="4"/>
        <v>4.028949914744218</v>
      </c>
      <c r="M45" s="9">
        <f t="shared" si="5"/>
        <v>10.160807157489666</v>
      </c>
      <c r="N45" s="9">
        <f>N44*(1+'Prod Economic Carrying Charge'!$D$8)</f>
        <v>19.298573068587309</v>
      </c>
      <c r="O45" s="9">
        <f>O44*(1+'Prod Economic Carrying Charge'!$D$8)</f>
        <v>32.659123654532372</v>
      </c>
      <c r="P45" s="26">
        <f t="shared" si="13"/>
        <v>120.69715682357008</v>
      </c>
      <c r="Q45" s="25">
        <f>1/(1+'Combined WACOC-Tax Table'!$F$13)^A45</f>
        <v>0.34775703992875967</v>
      </c>
      <c r="R45" s="17">
        <f t="shared" si="2"/>
        <v>41.973285984782031</v>
      </c>
      <c r="S45" s="9">
        <f t="shared" si="6"/>
        <v>1392.3592289763424</v>
      </c>
      <c r="T45" s="6">
        <f t="shared" si="7"/>
        <v>0.12691604292699274</v>
      </c>
      <c r="U45" s="16"/>
    </row>
    <row r="46" spans="1:21" x14ac:dyDescent="0.2">
      <c r="A46">
        <v>18</v>
      </c>
      <c r="C46" s="9">
        <f t="shared" si="8"/>
        <v>23.775000000000002</v>
      </c>
      <c r="D46" s="9">
        <f t="shared" si="9"/>
        <v>523.05000000000041</v>
      </c>
      <c r="E46" s="9">
        <f>HLOOKUP($E$10,'Combined WACOC-Tax Table'!$B$17:$E$58,A46+1)*$B$28</f>
        <v>42.424109999999999</v>
      </c>
      <c r="F46" s="9">
        <f t="shared" si="10"/>
        <v>106.07453999999991</v>
      </c>
      <c r="G46" s="9">
        <f t="shared" si="3"/>
        <v>4.6325387729969645</v>
      </c>
      <c r="H46" s="9">
        <f t="shared" si="11"/>
        <v>103.57893678777408</v>
      </c>
      <c r="I46" s="9">
        <f t="shared" si="12"/>
        <v>419.47106321222634</v>
      </c>
      <c r="J46" s="9">
        <f>'Combined WACOC-Tax Table'!$D$10*I46</f>
        <v>2.93813134414086E-2</v>
      </c>
      <c r="K46" s="9">
        <f>I46*('Combined WACOC-Tax Table'!$D$11+'Combined WACOC-Tax Table'!$D$12)</f>
        <v>28.7933785640497</v>
      </c>
      <c r="L46" s="9">
        <f t="shared" si="4"/>
        <v>3.8537781793205568</v>
      </c>
      <c r="M46" s="9">
        <f t="shared" si="5"/>
        <v>9.5163389421922187</v>
      </c>
      <c r="N46" s="9">
        <f>N45*(1+'Prod Economic Carrying Charge'!$D$8)</f>
        <v>19.78103739530199</v>
      </c>
      <c r="O46" s="9">
        <f>O45*(1+'Prod Economic Carrying Charge'!$D$8)</f>
        <v>33.47560174589568</v>
      </c>
      <c r="P46" s="26">
        <f t="shared" si="13"/>
        <v>119.22451614020156</v>
      </c>
      <c r="Q46" s="25">
        <f>1/(1+'Combined WACOC-Tax Table'!$F$13)^A46</f>
        <v>0.32680761062737429</v>
      </c>
      <c r="R46" s="17">
        <f t="shared" si="2"/>
        <v>38.96347924798409</v>
      </c>
      <c r="S46" s="9">
        <f t="shared" si="6"/>
        <v>1431.3227082243266</v>
      </c>
      <c r="T46" s="6">
        <f t="shared" si="7"/>
        <v>0.12536752485825611</v>
      </c>
      <c r="U46" s="16"/>
    </row>
    <row r="47" spans="1:21" x14ac:dyDescent="0.2">
      <c r="A47">
        <v>19</v>
      </c>
      <c r="C47" s="9">
        <f t="shared" si="8"/>
        <v>23.775000000000002</v>
      </c>
      <c r="D47" s="9">
        <f t="shared" si="9"/>
        <v>499.27500000000043</v>
      </c>
      <c r="E47" s="9">
        <f>HLOOKUP($E$10,'Combined WACOC-Tax Table'!$B$17:$E$58,A47+1)*$B$28</f>
        <v>42.433619999999998</v>
      </c>
      <c r="F47" s="9">
        <f t="shared" si="10"/>
        <v>63.640919999999916</v>
      </c>
      <c r="G47" s="9">
        <f t="shared" si="3"/>
        <v>4.6349011079143523</v>
      </c>
      <c r="H47" s="9">
        <f t="shared" si="11"/>
        <v>108.21383789568844</v>
      </c>
      <c r="I47" s="9">
        <f t="shared" si="12"/>
        <v>391.06116210431196</v>
      </c>
      <c r="J47" s="9">
        <f>'Combined WACOC-Tax Table'!$D$10*I47</f>
        <v>2.7391378300474369E-2</v>
      </c>
      <c r="K47" s="9">
        <f>I47*('Combined WACOC-Tax Table'!$D$11+'Combined WACOC-Tax Table'!$D$12)</f>
        <v>26.843263027346929</v>
      </c>
      <c r="L47" s="9">
        <f t="shared" si="4"/>
        <v>3.6786064438968955</v>
      </c>
      <c r="M47" s="9">
        <f t="shared" si="5"/>
        <v>8.8718171337348597</v>
      </c>
      <c r="N47" s="9">
        <f>N46*(1+'Prod Economic Carrying Charge'!$D$8)</f>
        <v>20.275563330184539</v>
      </c>
      <c r="O47" s="9">
        <f>O46*(1+'Prod Economic Carrying Charge'!$D$8)</f>
        <v>34.312491789543067</v>
      </c>
      <c r="P47" s="26">
        <f t="shared" si="13"/>
        <v>117.78413310300675</v>
      </c>
      <c r="Q47" s="25">
        <f>1/(1+'Combined WACOC-Tax Table'!$F$13)^A47</f>
        <v>0.30712020779177573</v>
      </c>
      <c r="R47" s="17">
        <f t="shared" si="2"/>
        <v>36.173887433169604</v>
      </c>
      <c r="S47" s="9">
        <f t="shared" si="6"/>
        <v>1467.4965956574961</v>
      </c>
      <c r="T47" s="6">
        <f t="shared" si="7"/>
        <v>0.12385292650158439</v>
      </c>
      <c r="U47" s="16"/>
    </row>
    <row r="48" spans="1:21" x14ac:dyDescent="0.2">
      <c r="A48">
        <v>20</v>
      </c>
      <c r="C48" s="9">
        <f t="shared" si="8"/>
        <v>23.775000000000002</v>
      </c>
      <c r="D48" s="9">
        <f t="shared" si="9"/>
        <v>475.50000000000045</v>
      </c>
      <c r="E48" s="9">
        <f>HLOOKUP($E$10,'Combined WACOC-Tax Table'!$B$17:$E$58,A48+1)*$B$28</f>
        <v>42.424109999999999</v>
      </c>
      <c r="F48" s="9">
        <f t="shared" si="10"/>
        <v>21.216809999999917</v>
      </c>
      <c r="G48" s="9">
        <f t="shared" si="3"/>
        <v>4.6325387729969645</v>
      </c>
      <c r="H48" s="9">
        <f t="shared" si="11"/>
        <v>112.84637666868541</v>
      </c>
      <c r="I48" s="9">
        <f t="shared" si="12"/>
        <v>362.65362333131503</v>
      </c>
      <c r="J48" s="9">
        <f>'Combined WACOC-Tax Table'!$D$10*I48</f>
        <v>2.5401608626264185E-2</v>
      </c>
      <c r="K48" s="9">
        <f>I48*('Combined WACOC-Tax Table'!$D$11+'Combined WACOC-Tax Table'!$D$12)</f>
        <v>24.893309646295734</v>
      </c>
      <c r="L48" s="9">
        <f t="shared" si="4"/>
        <v>3.5034347084732338</v>
      </c>
      <c r="M48" s="9">
        <f t="shared" si="5"/>
        <v>8.2273489184374125</v>
      </c>
      <c r="N48" s="9">
        <f>N47*(1+'Prod Economic Carrying Charge'!$D$8)</f>
        <v>20.782452413439152</v>
      </c>
      <c r="O48" s="9">
        <f>O47*(1+'Prod Economic Carrying Charge'!$D$8)</f>
        <v>35.170304084281639</v>
      </c>
      <c r="P48" s="26">
        <f t="shared" si="13"/>
        <v>116.37725137955344</v>
      </c>
      <c r="Q48" s="25">
        <f>1/(1+'Combined WACOC-Tax Table'!$F$13)^A48</f>
        <v>0.28861880496905035</v>
      </c>
      <c r="R48" s="17">
        <f t="shared" si="2"/>
        <v>33.588663218749481</v>
      </c>
      <c r="S48" s="9">
        <f t="shared" si="6"/>
        <v>1501.0852588762455</v>
      </c>
      <c r="T48" s="6">
        <f t="shared" si="7"/>
        <v>0.12237355560415714</v>
      </c>
      <c r="U48" s="16"/>
    </row>
    <row r="49" spans="1:21" x14ac:dyDescent="0.2">
      <c r="A49">
        <v>21</v>
      </c>
      <c r="C49" s="9">
        <f t="shared" si="8"/>
        <v>23.775000000000002</v>
      </c>
      <c r="D49" s="9">
        <f t="shared" si="9"/>
        <v>451.72500000000048</v>
      </c>
      <c r="E49" s="9">
        <f>HLOOKUP($E$10,'Combined WACOC-Tax Table'!$B$17:$E$58,A49+1)*$B$28</f>
        <v>21.216809999999999</v>
      </c>
      <c r="F49" s="9">
        <f t="shared" si="10"/>
        <v>-8.1712414612411521E-14</v>
      </c>
      <c r="G49" s="9">
        <f t="shared" si="3"/>
        <v>-0.63546809277724903</v>
      </c>
      <c r="H49" s="9">
        <f t="shared" si="11"/>
        <v>112.21090857590816</v>
      </c>
      <c r="I49" s="9">
        <f t="shared" si="12"/>
        <v>339.51409142409233</v>
      </c>
      <c r="J49" s="9">
        <f>'Combined WACOC-Tax Table'!$D$10*I49</f>
        <v>2.3780829746674073E-2</v>
      </c>
      <c r="K49" s="9">
        <f>I49*('Combined WACOC-Tax Table'!$D$11+'Combined WACOC-Tax Table'!$D$12)</f>
        <v>23.304963368253471</v>
      </c>
      <c r="L49" s="9">
        <f t="shared" si="4"/>
        <v>3.3282629730495725</v>
      </c>
      <c r="M49" s="9">
        <f t="shared" si="5"/>
        <v>7.7023934497418436</v>
      </c>
      <c r="N49" s="9">
        <f>N48*(1+'Prod Economic Carrying Charge'!$D$8)</f>
        <v>21.302013723775129</v>
      </c>
      <c r="O49" s="9">
        <f>O48*(1+'Prod Economic Carrying Charge'!$D$8)</f>
        <v>36.049561686388678</v>
      </c>
      <c r="P49" s="26">
        <f t="shared" si="13"/>
        <v>115.48597603095536</v>
      </c>
      <c r="Q49" s="25">
        <f>1/(1+'Combined WACOC-Tax Table'!$F$13)^A49</f>
        <v>0.27123195565900304</v>
      </c>
      <c r="R49" s="17">
        <f t="shared" si="2"/>
        <v>31.323487130064773</v>
      </c>
      <c r="S49" s="9">
        <f t="shared" si="6"/>
        <v>1532.4087460063101</v>
      </c>
      <c r="T49" s="6">
        <f t="shared" si="7"/>
        <v>0.121436357550952</v>
      </c>
      <c r="U49" s="16"/>
    </row>
    <row r="50" spans="1:21" x14ac:dyDescent="0.2">
      <c r="A50">
        <v>22</v>
      </c>
      <c r="C50" s="9">
        <f t="shared" si="8"/>
        <v>23.775000000000002</v>
      </c>
      <c r="D50" s="9">
        <f t="shared" si="9"/>
        <v>427.9500000000005</v>
      </c>
      <c r="E50" s="9">
        <f>HLOOKUP($E$10,'Combined WACOC-Tax Table'!$B$17:$E$58,A50+1)*$B$28</f>
        <v>0</v>
      </c>
      <c r="F50" s="9">
        <f t="shared" si="10"/>
        <v>-8.1712414612411521E-14</v>
      </c>
      <c r="G50" s="9">
        <f>(E50-C50)*$E$11</f>
        <v>-5.9058372934688501</v>
      </c>
      <c r="H50" s="9">
        <f t="shared" si="11"/>
        <v>106.30507128243931</v>
      </c>
      <c r="I50" s="9">
        <f t="shared" si="12"/>
        <v>321.64492871756119</v>
      </c>
      <c r="J50" s="9">
        <f>'Combined WACOC-Tax Table'!$D$10*I50</f>
        <v>2.2529207128428073E-2</v>
      </c>
      <c r="K50" s="9">
        <f>I50*('Combined WACOC-Tax Table'!$D$11+'Combined WACOC-Tax Table'!$D$12)</f>
        <v>22.07838634887171</v>
      </c>
      <c r="L50" s="9">
        <f t="shared" si="4"/>
        <v>3.1530912376259113</v>
      </c>
      <c r="M50" s="9">
        <f t="shared" si="5"/>
        <v>7.297004320808063</v>
      </c>
      <c r="N50" s="9">
        <f>N49*(1+'Prod Economic Carrying Charge'!$D$8)</f>
        <v>21.834564066869504</v>
      </c>
      <c r="O50" s="9">
        <f>O49*(1+'Prod Economic Carrying Charge'!$D$8)</f>
        <v>36.950800728548394</v>
      </c>
      <c r="P50" s="26">
        <f t="shared" si="13"/>
        <v>115.111375909852</v>
      </c>
      <c r="Q50" s="25">
        <f>1/(1+'Combined WACOC-Tax Table'!$F$13)^A50</f>
        <v>0.25489251741062485</v>
      </c>
      <c r="R50" s="17">
        <f t="shared" si="2"/>
        <v>29.341028388262934</v>
      </c>
      <c r="S50" s="9">
        <f t="shared" si="6"/>
        <v>1561.749774394573</v>
      </c>
      <c r="T50" s="6">
        <f t="shared" si="7"/>
        <v>0.12104245626693165</v>
      </c>
      <c r="U50" s="16"/>
    </row>
    <row r="51" spans="1:21" x14ac:dyDescent="0.2">
      <c r="A51">
        <v>23</v>
      </c>
      <c r="C51" s="9">
        <f t="shared" si="8"/>
        <v>23.775000000000002</v>
      </c>
      <c r="D51" s="9">
        <f t="shared" si="9"/>
        <v>404.17500000000052</v>
      </c>
      <c r="E51" s="9">
        <f>HLOOKUP($E$10,'Combined WACOC-Tax Table'!$B$17:$E$58,A51+1)*$B$28</f>
        <v>0</v>
      </c>
      <c r="F51" s="9">
        <f t="shared" si="10"/>
        <v>-8.1712414612411521E-14</v>
      </c>
      <c r="G51" s="9">
        <f t="shared" si="3"/>
        <v>-5.9058372934688501</v>
      </c>
      <c r="H51" s="9">
        <f t="shared" si="11"/>
        <v>100.39923398897047</v>
      </c>
      <c r="I51" s="9">
        <f t="shared" si="12"/>
        <v>303.77576601103004</v>
      </c>
      <c r="J51" s="9">
        <f>'Combined WACOC-Tax Table'!$D$10*I51</f>
        <v>2.1277584510182069E-2</v>
      </c>
      <c r="K51" s="9">
        <f>I51*('Combined WACOC-Tax Table'!$D$11+'Combined WACOC-Tax Table'!$D$12)</f>
        <v>20.851809329489953</v>
      </c>
      <c r="L51" s="9">
        <f t="shared" si="4"/>
        <v>2.97791950220225</v>
      </c>
      <c r="M51" s="9">
        <f t="shared" si="5"/>
        <v>6.8916151918742825</v>
      </c>
      <c r="N51" s="9">
        <f>N50*(1+'Prod Economic Carrying Charge'!$D$8)</f>
        <v>22.38042816854124</v>
      </c>
      <c r="O51" s="9">
        <f>O50*(1+'Prod Economic Carrying Charge'!$D$8)</f>
        <v>37.874570746762103</v>
      </c>
      <c r="P51" s="26">
        <f t="shared" si="13"/>
        <v>114.77262052338001</v>
      </c>
      <c r="Q51" s="25">
        <f>1/(1+'Combined WACOC-Tax Table'!$F$13)^A51</f>
        <v>0.23953739253942194</v>
      </c>
      <c r="R51" s="17">
        <f t="shared" si="2"/>
        <v>27.492334255086991</v>
      </c>
      <c r="S51" s="9">
        <f t="shared" si="6"/>
        <v>1589.2421086496599</v>
      </c>
      <c r="T51" s="6">
        <f t="shared" si="7"/>
        <v>0.12068624660712936</v>
      </c>
      <c r="U51" s="16"/>
    </row>
    <row r="52" spans="1:21" x14ac:dyDescent="0.2">
      <c r="A52">
        <v>24</v>
      </c>
      <c r="C52" s="9">
        <f t="shared" si="8"/>
        <v>23.775000000000002</v>
      </c>
      <c r="D52" s="9">
        <f t="shared" si="9"/>
        <v>380.40000000000055</v>
      </c>
      <c r="E52" s="9">
        <f>HLOOKUP($E$10,'Combined WACOC-Tax Table'!$B$17:$E$58,A52+1)*$B$28</f>
        <v>0</v>
      </c>
      <c r="F52" s="9">
        <f t="shared" si="10"/>
        <v>-8.1712414612411521E-14</v>
      </c>
      <c r="G52" s="9">
        <f t="shared" si="3"/>
        <v>-5.9058372934688501</v>
      </c>
      <c r="H52" s="9">
        <f t="shared" si="11"/>
        <v>94.493396695501616</v>
      </c>
      <c r="I52" s="9">
        <f t="shared" si="12"/>
        <v>285.90660330449896</v>
      </c>
      <c r="J52" s="9">
        <f>'Combined WACOC-Tax Table'!$D$10*I52</f>
        <v>2.0025961891936072E-2</v>
      </c>
      <c r="K52" s="9">
        <f>I52*('Combined WACOC-Tax Table'!$D$11+'Combined WACOC-Tax Table'!$D$12)</f>
        <v>19.625232310108196</v>
      </c>
      <c r="L52" s="9">
        <f t="shared" si="4"/>
        <v>2.8027477667785887</v>
      </c>
      <c r="M52" s="9">
        <f t="shared" si="5"/>
        <v>6.4862260629405029</v>
      </c>
      <c r="N52" s="9">
        <f>N51*(1+'Prod Economic Carrying Charge'!$D$8)</f>
        <v>22.93993887275477</v>
      </c>
      <c r="O52" s="9">
        <f>O51*(1+'Prod Economic Carrying Charge'!$D$8)</f>
        <v>38.821435015431149</v>
      </c>
      <c r="P52" s="26">
        <f t="shared" si="13"/>
        <v>114.47060598990514</v>
      </c>
      <c r="Q52" s="25">
        <f>1/(1+'Combined WACOC-Tax Table'!$F$13)^A52</f>
        <v>0.22510728446433936</v>
      </c>
      <c r="R52" s="17">
        <f t="shared" si="2"/>
        <v>25.768167265374885</v>
      </c>
      <c r="S52" s="9">
        <f t="shared" si="6"/>
        <v>1615.0102759150348</v>
      </c>
      <c r="T52" s="6">
        <f t="shared" si="7"/>
        <v>0.12036867086215051</v>
      </c>
      <c r="U52" s="16"/>
    </row>
    <row r="53" spans="1:21" x14ac:dyDescent="0.2">
      <c r="A53">
        <v>25</v>
      </c>
      <c r="C53" s="9">
        <f t="shared" si="8"/>
        <v>23.775000000000002</v>
      </c>
      <c r="D53" s="9">
        <f t="shared" si="9"/>
        <v>356.62500000000057</v>
      </c>
      <c r="E53" s="9">
        <f>HLOOKUP($E$10,'Combined WACOC-Tax Table'!$B$17:$E$58,A53+1)*$B$28</f>
        <v>0</v>
      </c>
      <c r="F53" s="9">
        <f t="shared" si="10"/>
        <v>-8.1712414612411521E-14</v>
      </c>
      <c r="G53" s="9">
        <f t="shared" si="3"/>
        <v>-5.9058372934688501</v>
      </c>
      <c r="H53" s="9">
        <f t="shared" si="11"/>
        <v>88.587559402032767</v>
      </c>
      <c r="I53" s="9">
        <f t="shared" si="12"/>
        <v>268.03744059796782</v>
      </c>
      <c r="J53" s="9">
        <f>'Combined WACOC-Tax Table'!$D$10*I53</f>
        <v>1.8774339273690072E-2</v>
      </c>
      <c r="K53" s="9">
        <f>I53*('Combined WACOC-Tax Table'!$D$11+'Combined WACOC-Tax Table'!$D$12)</f>
        <v>18.398655290726438</v>
      </c>
      <c r="L53" s="9">
        <f t="shared" si="4"/>
        <v>2.627576031354927</v>
      </c>
      <c r="M53" s="9">
        <f t="shared" si="5"/>
        <v>6.0808369340067232</v>
      </c>
      <c r="N53" s="9">
        <f>N52*(1+'Prod Economic Carrying Charge'!$D$8)</f>
        <v>23.513437344573635</v>
      </c>
      <c r="O53" s="9">
        <f>O52*(1+'Prod Economic Carrying Charge'!$D$8)</f>
        <v>39.791970890816927</v>
      </c>
      <c r="P53" s="26">
        <f t="shared" si="13"/>
        <v>114.20625083075235</v>
      </c>
      <c r="Q53" s="25">
        <f>1/(1+'Combined WACOC-Tax Table'!$F$13)^A53</f>
        <v>0.21154646872333066</v>
      </c>
      <c r="R53" s="17">
        <f t="shared" si="2"/>
        <v>24.159929069376609</v>
      </c>
      <c r="S53" s="9">
        <f t="shared" si="6"/>
        <v>1639.1702049844114</v>
      </c>
      <c r="T53" s="6">
        <f t="shared" si="7"/>
        <v>0.12009069487986578</v>
      </c>
      <c r="U53" s="16"/>
    </row>
    <row r="54" spans="1:21" x14ac:dyDescent="0.2">
      <c r="A54">
        <v>26</v>
      </c>
      <c r="C54" s="9">
        <f t="shared" si="8"/>
        <v>23.775000000000002</v>
      </c>
      <c r="D54" s="9">
        <f t="shared" si="9"/>
        <v>332.85000000000059</v>
      </c>
      <c r="E54" s="9">
        <f>HLOOKUP($E$10,'Combined WACOC-Tax Table'!$B$17:$E$58,A54+1)*$B$28</f>
        <v>0</v>
      </c>
      <c r="F54" s="9">
        <f t="shared" si="10"/>
        <v>-8.1712414612411521E-14</v>
      </c>
      <c r="G54" s="9">
        <f t="shared" si="3"/>
        <v>-5.9058372934688501</v>
      </c>
      <c r="H54" s="9">
        <f t="shared" si="11"/>
        <v>82.681722108563918</v>
      </c>
      <c r="I54" s="9">
        <f t="shared" si="12"/>
        <v>250.16827789143667</v>
      </c>
      <c r="J54" s="9">
        <f>'Combined WACOC-Tax Table'!$D$10*I54</f>
        <v>1.7522716655444068E-2</v>
      </c>
      <c r="K54" s="9">
        <f>I54*('Combined WACOC-Tax Table'!$D$11+'Combined WACOC-Tax Table'!$D$12)</f>
        <v>17.172078271344677</v>
      </c>
      <c r="L54" s="9">
        <f t="shared" si="4"/>
        <v>2.4524042959312657</v>
      </c>
      <c r="M54" s="9">
        <f t="shared" si="5"/>
        <v>5.6754478050729427</v>
      </c>
      <c r="N54" s="9">
        <f>N53*(1+'Prod Economic Carrying Charge'!$D$8)</f>
        <v>24.101273278187975</v>
      </c>
      <c r="O54" s="9">
        <f>O53*(1+'Prod Economic Carrying Charge'!$D$8)</f>
        <v>40.786770163087347</v>
      </c>
      <c r="P54" s="26">
        <f t="shared" si="13"/>
        <v>113.98049653027965</v>
      </c>
      <c r="Q54" s="25">
        <f>1/(1+'Combined WACOC-Tax Table'!$F$13)^A54</f>
        <v>0.19880257778330826</v>
      </c>
      <c r="R54" s="17">
        <f t="shared" si="2"/>
        <v>22.659616527241017</v>
      </c>
      <c r="S54" s="9">
        <f t="shared" si="6"/>
        <v>1661.8298215116524</v>
      </c>
      <c r="T54" s="6">
        <f t="shared" si="7"/>
        <v>0.11985330865434243</v>
      </c>
      <c r="U54" s="16"/>
    </row>
    <row r="55" spans="1:21" x14ac:dyDescent="0.2">
      <c r="A55">
        <v>27</v>
      </c>
      <c r="C55" s="9">
        <f t="shared" si="8"/>
        <v>23.775000000000002</v>
      </c>
      <c r="D55" s="9">
        <f t="shared" si="9"/>
        <v>309.07500000000061</v>
      </c>
      <c r="E55" s="9">
        <f>HLOOKUP($E$10,'Combined WACOC-Tax Table'!$B$17:$E$58,A55+1)*$B$28</f>
        <v>0</v>
      </c>
      <c r="F55" s="9">
        <f t="shared" si="10"/>
        <v>-8.1712414612411521E-14</v>
      </c>
      <c r="G55" s="9">
        <f t="shared" si="3"/>
        <v>-5.9058372934688501</v>
      </c>
      <c r="H55" s="9">
        <f t="shared" si="11"/>
        <v>76.775884815095068</v>
      </c>
      <c r="I55" s="9">
        <f t="shared" si="12"/>
        <v>232.29911518490553</v>
      </c>
      <c r="J55" s="9">
        <f>'Combined WACOC-Tax Table'!$D$10*I55</f>
        <v>1.6271094037198067E-2</v>
      </c>
      <c r="K55" s="9">
        <f>I55*('Combined WACOC-Tax Table'!$D$11+'Combined WACOC-Tax Table'!$D$12)</f>
        <v>15.945501251962918</v>
      </c>
      <c r="L55" s="9">
        <f t="shared" si="4"/>
        <v>2.2772325605076045</v>
      </c>
      <c r="M55" s="9">
        <f t="shared" si="5"/>
        <v>5.2700586761391621</v>
      </c>
      <c r="N55" s="9">
        <f>N54*(1+'Prod Economic Carrying Charge'!$D$8)</f>
        <v>24.703805110142671</v>
      </c>
      <c r="O55" s="9">
        <f>O54*(1+'Prod Economic Carrying Charge'!$D$8)</f>
        <v>41.806439417164526</v>
      </c>
      <c r="P55" s="26">
        <f t="shared" si="13"/>
        <v>113.79430810995409</v>
      </c>
      <c r="Q55" s="25">
        <f>1/(1+'Combined WACOC-Tax Table'!$F$13)^A55</f>
        <v>0.1868263988134799</v>
      </c>
      <c r="R55" s="17">
        <f t="shared" si="2"/>
        <v>21.259780789654293</v>
      </c>
      <c r="S55" s="9">
        <f t="shared" si="6"/>
        <v>1683.0896023013067</v>
      </c>
      <c r="T55" s="6">
        <f t="shared" si="7"/>
        <v>0.11965752692949956</v>
      </c>
      <c r="U55" s="16"/>
    </row>
    <row r="56" spans="1:21" x14ac:dyDescent="0.2">
      <c r="A56">
        <v>28</v>
      </c>
      <c r="C56" s="9">
        <f t="shared" si="8"/>
        <v>23.775000000000002</v>
      </c>
      <c r="D56" s="9">
        <f t="shared" si="9"/>
        <v>285.30000000000064</v>
      </c>
      <c r="E56" s="9">
        <f>HLOOKUP($E$10,'Combined WACOC-Tax Table'!$B$17:$E$58,A56+1)*$B$28</f>
        <v>0</v>
      </c>
      <c r="F56" s="9">
        <f t="shared" si="10"/>
        <v>-8.1712414612411521E-14</v>
      </c>
      <c r="G56" s="9">
        <f t="shared" si="3"/>
        <v>-5.9058372934688501</v>
      </c>
      <c r="H56" s="9">
        <f t="shared" si="11"/>
        <v>70.870047521626219</v>
      </c>
      <c r="I56" s="9">
        <f t="shared" si="12"/>
        <v>214.42995247837442</v>
      </c>
      <c r="J56" s="9">
        <f>'Combined WACOC-Tax Table'!$D$10*I56</f>
        <v>1.5019471418952069E-2</v>
      </c>
      <c r="K56" s="9">
        <f>I56*('Combined WACOC-Tax Table'!$D$11+'Combined WACOC-Tax Table'!$D$12)</f>
        <v>14.718924232581161</v>
      </c>
      <c r="L56" s="9">
        <f t="shared" si="4"/>
        <v>2.1020608250839432</v>
      </c>
      <c r="M56" s="9">
        <f t="shared" si="5"/>
        <v>4.8646695472053825</v>
      </c>
      <c r="N56" s="9">
        <f>N55*(1+'Prod Economic Carrying Charge'!$D$8)</f>
        <v>25.321400237896235</v>
      </c>
      <c r="O56" s="9">
        <f>O55*(1+'Prod Economic Carrying Charge'!$D$8)</f>
        <v>42.851600402593633</v>
      </c>
      <c r="P56" s="26">
        <f t="shared" si="13"/>
        <v>113.64867471677931</v>
      </c>
      <c r="Q56" s="25">
        <f>1/(1+'Combined WACOC-Tax Table'!$F$13)^A56</f>
        <v>0.17557168364113657</v>
      </c>
      <c r="R56" s="17">
        <f t="shared" si="2"/>
        <v>19.953489163608815</v>
      </c>
      <c r="S56" s="9">
        <f t="shared" si="6"/>
        <v>1703.0430914649155</v>
      </c>
      <c r="T56" s="6">
        <f t="shared" si="7"/>
        <v>0.11950438981785416</v>
      </c>
      <c r="U56" s="16"/>
    </row>
    <row r="57" spans="1:21" x14ac:dyDescent="0.2">
      <c r="A57">
        <v>29</v>
      </c>
      <c r="C57" s="9">
        <f t="shared" si="8"/>
        <v>23.775000000000002</v>
      </c>
      <c r="D57" s="9">
        <f t="shared" si="9"/>
        <v>261.52500000000066</v>
      </c>
      <c r="E57" s="9">
        <f>HLOOKUP($E$10,'Combined WACOC-Tax Table'!$B$17:$E$58,A57+1)*$B$28</f>
        <v>0</v>
      </c>
      <c r="F57" s="9">
        <f t="shared" si="10"/>
        <v>-8.1712414612411521E-14</v>
      </c>
      <c r="G57" s="9">
        <f t="shared" si="3"/>
        <v>-5.9058372934688501</v>
      </c>
      <c r="H57" s="9">
        <f t="shared" si="11"/>
        <v>64.96421022815737</v>
      </c>
      <c r="I57" s="9">
        <f t="shared" si="12"/>
        <v>196.5607897718433</v>
      </c>
      <c r="J57" s="9">
        <f>'Combined WACOC-Tax Table'!$D$10*I57</f>
        <v>1.3767848800706068E-2</v>
      </c>
      <c r="K57" s="9">
        <f>I57*('Combined WACOC-Tax Table'!$D$11+'Combined WACOC-Tax Table'!$D$12)</f>
        <v>13.492347213199404</v>
      </c>
      <c r="L57" s="9">
        <f t="shared" si="4"/>
        <v>1.9268890896602817</v>
      </c>
      <c r="M57" s="9">
        <f t="shared" si="5"/>
        <v>4.4592804182716019</v>
      </c>
      <c r="N57" s="9">
        <f>N56*(1+'Prod Economic Carrying Charge'!$D$8)</f>
        <v>25.954435243843637</v>
      </c>
      <c r="O57" s="9">
        <f>O56*(1+'Prod Economic Carrying Charge'!$D$8)</f>
        <v>43.922890412658468</v>
      </c>
      <c r="P57" s="26">
        <f t="shared" si="13"/>
        <v>113.54461022643409</v>
      </c>
      <c r="Q57" s="25">
        <f>1/(1+'Combined WACOC-Tax Table'!$F$13)^A57</f>
        <v>0.16499497015600145</v>
      </c>
      <c r="R57" s="17">
        <f t="shared" si="2"/>
        <v>18.73428957568531</v>
      </c>
      <c r="S57" s="9">
        <f t="shared" si="6"/>
        <v>1721.7773810406009</v>
      </c>
      <c r="T57" s="6">
        <f t="shared" si="7"/>
        <v>0.11939496343473616</v>
      </c>
      <c r="U57" s="16"/>
    </row>
    <row r="58" spans="1:21" x14ac:dyDescent="0.2">
      <c r="A58">
        <v>30</v>
      </c>
      <c r="C58" s="9">
        <f t="shared" si="8"/>
        <v>23.775000000000002</v>
      </c>
      <c r="D58" s="9">
        <f t="shared" si="9"/>
        <v>237.75000000000065</v>
      </c>
      <c r="E58" s="9">
        <f>HLOOKUP($E$10,'Combined WACOC-Tax Table'!$B$17:$E$58,A58+1)*$B$28</f>
        <v>0</v>
      </c>
      <c r="F58" s="9">
        <f t="shared" si="10"/>
        <v>-8.1712414612411521E-14</v>
      </c>
      <c r="G58" s="9">
        <f t="shared" si="3"/>
        <v>-5.9058372934688501</v>
      </c>
      <c r="H58" s="9">
        <f t="shared" si="11"/>
        <v>59.058372934688521</v>
      </c>
      <c r="I58" s="9">
        <f t="shared" si="12"/>
        <v>178.69162706531213</v>
      </c>
      <c r="J58" s="9">
        <f>'Combined WACOC-Tax Table'!$D$10*I58</f>
        <v>1.2516226182460065E-2</v>
      </c>
      <c r="K58" s="9">
        <f>I58*('Combined WACOC-Tax Table'!$D$11+'Combined WACOC-Tax Table'!$D$12)</f>
        <v>12.265770193817643</v>
      </c>
      <c r="L58" s="9">
        <f t="shared" si="4"/>
        <v>1.7517173542366202</v>
      </c>
      <c r="M58" s="9">
        <f t="shared" si="5"/>
        <v>4.0538912893378214</v>
      </c>
      <c r="N58" s="9">
        <f>N57*(1+'Prod Economic Carrying Charge'!$D$8)</f>
        <v>26.603296124939725</v>
      </c>
      <c r="O58" s="9">
        <f>O57*(1+'Prod Economic Carrying Charge'!$D$8)</f>
        <v>45.020962672974925</v>
      </c>
      <c r="P58" s="26">
        <f t="shared" si="13"/>
        <v>113.4831538614892</v>
      </c>
      <c r="Q58" s="25">
        <f>1/(1+'Combined WACOC-Tax Table'!$F$13)^A58</f>
        <v>0.15505541447346108</v>
      </c>
      <c r="R58" s="17">
        <f t="shared" si="2"/>
        <v>17.596177457748762</v>
      </c>
      <c r="S58" s="9">
        <f t="shared" si="6"/>
        <v>1739.3735584983497</v>
      </c>
      <c r="T58" s="6">
        <f t="shared" si="7"/>
        <v>0.11933034054835878</v>
      </c>
      <c r="U58" s="16"/>
    </row>
    <row r="59" spans="1:21" x14ac:dyDescent="0.2">
      <c r="A59">
        <v>31</v>
      </c>
      <c r="C59" s="9">
        <f t="shared" si="8"/>
        <v>23.775000000000002</v>
      </c>
      <c r="D59" s="9">
        <f t="shared" si="9"/>
        <v>213.97500000000065</v>
      </c>
      <c r="E59" s="9">
        <f>HLOOKUP($E$10,'Combined WACOC-Tax Table'!$B$17:$E$58,A59+1)*$B$28</f>
        <v>0</v>
      </c>
      <c r="F59" s="9">
        <f t="shared" si="10"/>
        <v>-8.1712414612411521E-14</v>
      </c>
      <c r="G59" s="9">
        <f t="shared" si="3"/>
        <v>-5.9058372934688501</v>
      </c>
      <c r="H59" s="9">
        <f t="shared" si="11"/>
        <v>53.152535641219671</v>
      </c>
      <c r="I59" s="9">
        <f t="shared" ref="I59:I68" si="14">D59</f>
        <v>213.97500000000065</v>
      </c>
      <c r="J59" s="9">
        <f>'Combined WACOC-Tax Table'!$D$10*I59</f>
        <v>1.4987604855223732E-2</v>
      </c>
      <c r="K59" s="9">
        <f>I59*('Combined WACOC-Tax Table'!$D$11+'Combined WACOC-Tax Table'!$D$12)</f>
        <v>14.687695334839908</v>
      </c>
      <c r="L59" s="9">
        <f t="shared" si="4"/>
        <v>1.5765456188129585</v>
      </c>
      <c r="M59" s="9">
        <f t="shared" si="5"/>
        <v>4.854348258405051</v>
      </c>
      <c r="N59" s="9">
        <f>N58*(1+'Prod Economic Carrying Charge'!$D$8)</f>
        <v>27.268378528063216</v>
      </c>
      <c r="O59" s="9">
        <f>O58*(1+'Prod Economic Carrying Charge'!$D$8)</f>
        <v>46.146486739799293</v>
      </c>
      <c r="P59" s="26">
        <f t="shared" si="13"/>
        <v>118.32344208477565</v>
      </c>
      <c r="Q59" s="25">
        <f>1/(1+'Combined WACOC-Tax Table'!$F$13)^A59</f>
        <v>0.14571463320854633</v>
      </c>
      <c r="R59" s="17">
        <f t="shared" si="2"/>
        <v>17.241456963355759</v>
      </c>
      <c r="S59" s="9">
        <f t="shared" si="6"/>
        <v>1756.6150154617055</v>
      </c>
      <c r="T59" s="6">
        <f t="shared" si="7"/>
        <v>0.12442002322268733</v>
      </c>
      <c r="U59" s="16"/>
    </row>
    <row r="60" spans="1:21" x14ac:dyDescent="0.2">
      <c r="A60">
        <v>32</v>
      </c>
      <c r="C60" s="9">
        <f t="shared" si="8"/>
        <v>23.775000000000002</v>
      </c>
      <c r="D60" s="9">
        <f t="shared" si="9"/>
        <v>190.20000000000064</v>
      </c>
      <c r="E60" s="9">
        <f>HLOOKUP($E$10,'Combined WACOC-Tax Table'!$B$17:$E$58,A60+1)*$B$28</f>
        <v>0</v>
      </c>
      <c r="F60" s="9">
        <f t="shared" si="10"/>
        <v>-8.1712414612411521E-14</v>
      </c>
      <c r="G60" s="9">
        <f t="shared" si="3"/>
        <v>-5.9058372934688501</v>
      </c>
      <c r="H60" s="9">
        <f t="shared" si="11"/>
        <v>47.246698347750822</v>
      </c>
      <c r="I60" s="9">
        <f t="shared" si="14"/>
        <v>190.20000000000064</v>
      </c>
      <c r="J60" s="9">
        <f>'Combined WACOC-Tax Table'!$D$10*I60</f>
        <v>1.3322315426865544E-2</v>
      </c>
      <c r="K60" s="9">
        <f>I60*('Combined WACOC-Tax Table'!$D$11+'Combined WACOC-Tax Table'!$D$12)</f>
        <v>13.055729186524369</v>
      </c>
      <c r="L60" s="9">
        <f t="shared" si="4"/>
        <v>1.401373883389297</v>
      </c>
      <c r="M60" s="9">
        <f t="shared" si="5"/>
        <v>4.3149762296933805</v>
      </c>
      <c r="N60" s="9">
        <f>N59*(1+'Prod Economic Carrying Charge'!$D$8)</f>
        <v>27.950087991264795</v>
      </c>
      <c r="O60" s="9">
        <f>O59*(1+'Prod Economic Carrying Charge'!$D$8)</f>
        <v>47.300148908294268</v>
      </c>
      <c r="P60" s="26">
        <f t="shared" si="13"/>
        <v>117.81063851459297</v>
      </c>
      <c r="Q60" s="25">
        <f>1/(1+'Combined WACOC-Tax Table'!$F$13)^A60</f>
        <v>0.13693655525157644</v>
      </c>
      <c r="R60" s="17">
        <f t="shared" si="2"/>
        <v>16.132583010177058</v>
      </c>
      <c r="S60" s="9">
        <f t="shared" si="6"/>
        <v>1772.7475984718826</v>
      </c>
      <c r="T60" s="6">
        <f t="shared" si="7"/>
        <v>0.12388079759683802</v>
      </c>
      <c r="U60" s="16"/>
    </row>
    <row r="61" spans="1:21" x14ac:dyDescent="0.2">
      <c r="A61">
        <v>33</v>
      </c>
      <c r="C61" s="9">
        <f t="shared" si="8"/>
        <v>23.775000000000002</v>
      </c>
      <c r="D61" s="9">
        <f t="shared" si="9"/>
        <v>166.42500000000064</v>
      </c>
      <c r="E61" s="9">
        <f>HLOOKUP($E$10,'Combined WACOC-Tax Table'!$B$17:$E$58,A61+1)*$B$28</f>
        <v>0</v>
      </c>
      <c r="F61" s="9">
        <f t="shared" si="10"/>
        <v>-8.1712414612411521E-14</v>
      </c>
      <c r="G61" s="9">
        <f t="shared" si="3"/>
        <v>-5.9058372934688501</v>
      </c>
      <c r="H61" s="9">
        <f t="shared" si="11"/>
        <v>41.340861054281973</v>
      </c>
      <c r="I61" s="9">
        <f t="shared" si="14"/>
        <v>166.42500000000064</v>
      </c>
      <c r="J61" s="9">
        <f>'Combined WACOC-Tax Table'!$D$10*I61</f>
        <v>1.1657025998507356E-2</v>
      </c>
      <c r="K61" s="9">
        <f>I61*('Combined WACOC-Tax Table'!$D$11+'Combined WACOC-Tax Table'!$D$12)</f>
        <v>11.423763038208827</v>
      </c>
      <c r="L61" s="9">
        <f t="shared" si="4"/>
        <v>1.2262021479656353</v>
      </c>
      <c r="M61" s="9">
        <f t="shared" si="5"/>
        <v>3.7756042009817095</v>
      </c>
      <c r="N61" s="9">
        <f>N60*(1+'Prod Economic Carrying Charge'!$D$8)</f>
        <v>28.648840191046411</v>
      </c>
      <c r="O61" s="9">
        <f>O60*(1+'Prod Economic Carrying Charge'!$D$8)</f>
        <v>48.482652631001621</v>
      </c>
      <c r="P61" s="26">
        <f t="shared" si="13"/>
        <v>117.34371923520271</v>
      </c>
      <c r="Q61" s="25">
        <f>1/(1+'Combined WACOC-Tax Table'!$F$13)^A61</f>
        <v>0.12868728247307043</v>
      </c>
      <c r="R61" s="17">
        <f t="shared" si="2"/>
        <v>15.1006443436612</v>
      </c>
      <c r="S61" s="9">
        <f t="shared" si="6"/>
        <v>1787.8482428155437</v>
      </c>
      <c r="T61" s="6">
        <f t="shared" si="7"/>
        <v>0.12338982043659591</v>
      </c>
      <c r="U61" s="16"/>
    </row>
    <row r="62" spans="1:21" x14ac:dyDescent="0.2">
      <c r="A62">
        <v>34</v>
      </c>
      <c r="C62" s="9">
        <f t="shared" si="8"/>
        <v>23.775000000000002</v>
      </c>
      <c r="D62" s="9">
        <f t="shared" si="9"/>
        <v>142.65000000000063</v>
      </c>
      <c r="E62" s="9">
        <f>HLOOKUP($E$10,'Combined WACOC-Tax Table'!$B$17:$E$58,A62+1)*$B$28</f>
        <v>0</v>
      </c>
      <c r="F62" s="9">
        <f t="shared" si="10"/>
        <v>-8.1712414612411521E-14</v>
      </c>
      <c r="G62" s="9">
        <f t="shared" si="3"/>
        <v>-5.9058372934688501</v>
      </c>
      <c r="H62" s="9">
        <f t="shared" si="11"/>
        <v>35.435023760813124</v>
      </c>
      <c r="I62" s="9">
        <f t="shared" si="14"/>
        <v>142.65000000000063</v>
      </c>
      <c r="J62" s="9">
        <f>'Combined WACOC-Tax Table'!$D$10*I62</f>
        <v>9.9917365701491685E-3</v>
      </c>
      <c r="K62" s="9">
        <f>I62*('Combined WACOC-Tax Table'!$D$11+'Combined WACOC-Tax Table'!$D$12)</f>
        <v>9.7917968898932859</v>
      </c>
      <c r="L62" s="9">
        <f t="shared" si="4"/>
        <v>1.0510304125419738</v>
      </c>
      <c r="M62" s="9">
        <f t="shared" si="5"/>
        <v>3.2362321722700385</v>
      </c>
      <c r="N62" s="9">
        <f>N61*(1+'Prod Economic Carrying Charge'!$D$8)</f>
        <v>29.36506119582257</v>
      </c>
      <c r="O62" s="9">
        <f>O61*(1+'Prod Economic Carrying Charge'!$D$8)</f>
        <v>49.694718946776653</v>
      </c>
      <c r="P62" s="26">
        <f t="shared" si="13"/>
        <v>116.92383135387468</v>
      </c>
      <c r="Q62" s="25">
        <f>1/(1+'Combined WACOC-Tax Table'!$F$13)^A62</f>
        <v>0.12093495882001291</v>
      </c>
      <c r="R62" s="17">
        <f t="shared" si="2"/>
        <v>14.140178729858969</v>
      </c>
      <c r="S62" s="9">
        <f t="shared" si="6"/>
        <v>1801.9884215454026</v>
      </c>
      <c r="T62" s="6">
        <f t="shared" si="7"/>
        <v>0.12294829795360113</v>
      </c>
      <c r="U62" s="16"/>
    </row>
    <row r="63" spans="1:21" x14ac:dyDescent="0.2">
      <c r="A63">
        <v>35</v>
      </c>
      <c r="C63" s="9">
        <f t="shared" si="8"/>
        <v>23.775000000000002</v>
      </c>
      <c r="D63" s="9">
        <f t="shared" si="9"/>
        <v>118.87500000000063</v>
      </c>
      <c r="E63" s="9">
        <f>HLOOKUP($E$10,'Combined WACOC-Tax Table'!$B$17:$E$58,A63+1)*$B$28</f>
        <v>0</v>
      </c>
      <c r="F63" s="9">
        <f t="shared" si="10"/>
        <v>-8.1712414612411521E-14</v>
      </c>
      <c r="G63" s="9">
        <f t="shared" si="3"/>
        <v>-5.9058372934688501</v>
      </c>
      <c r="H63" s="9">
        <f t="shared" si="11"/>
        <v>29.529186467344275</v>
      </c>
      <c r="I63" s="9">
        <f t="shared" si="14"/>
        <v>118.87500000000063</v>
      </c>
      <c r="J63" s="9">
        <f>'Combined WACOC-Tax Table'!$D$10*I63</f>
        <v>8.3264471417909807E-3</v>
      </c>
      <c r="K63" s="9">
        <f>I63*('Combined WACOC-Tax Table'!$D$11+'Combined WACOC-Tax Table'!$D$12)</f>
        <v>8.1598307415777462</v>
      </c>
      <c r="L63" s="9">
        <f t="shared" si="4"/>
        <v>0.87585867711831222</v>
      </c>
      <c r="M63" s="9">
        <f t="shared" si="5"/>
        <v>2.6968601435583679</v>
      </c>
      <c r="N63" s="9">
        <f>N62*(1+'Prod Economic Carrying Charge'!$D$8)</f>
        <v>30.099187725718132</v>
      </c>
      <c r="O63" s="9">
        <f>O62*(1+'Prod Economic Carrying Charge'!$D$8)</f>
        <v>50.937086920446063</v>
      </c>
      <c r="P63" s="26">
        <f t="shared" si="13"/>
        <v>116.55215065556041</v>
      </c>
      <c r="Q63" s="25">
        <f>1/(1+'Combined WACOC-Tax Table'!$F$13)^A63</f>
        <v>0.11364964729796634</v>
      </c>
      <c r="R63" s="17">
        <f t="shared" si="2"/>
        <v>13.246110813823877</v>
      </c>
      <c r="S63" s="9">
        <f t="shared" si="6"/>
        <v>1815.2345323592265</v>
      </c>
      <c r="T63" s="6">
        <f t="shared" si="7"/>
        <v>0.12255746651478487</v>
      </c>
      <c r="U63" s="16"/>
    </row>
    <row r="64" spans="1:21" x14ac:dyDescent="0.2">
      <c r="A64">
        <v>36</v>
      </c>
      <c r="C64" s="9">
        <f t="shared" si="8"/>
        <v>23.775000000000002</v>
      </c>
      <c r="D64" s="9">
        <f t="shared" si="9"/>
        <v>95.10000000000062</v>
      </c>
      <c r="E64" s="9">
        <f>HLOOKUP($E$10,'Combined WACOC-Tax Table'!$B$17:$E$58,A64+1)*$B$28</f>
        <v>0</v>
      </c>
      <c r="F64" s="9">
        <f t="shared" si="10"/>
        <v>-8.1712414612411521E-14</v>
      </c>
      <c r="G64" s="9">
        <f t="shared" si="3"/>
        <v>-5.9058372934688501</v>
      </c>
      <c r="H64" s="9">
        <f t="shared" si="11"/>
        <v>23.623349173875425</v>
      </c>
      <c r="I64" s="9">
        <f t="shared" si="14"/>
        <v>95.10000000000062</v>
      </c>
      <c r="J64" s="9">
        <f>'Combined WACOC-Tax Table'!$D$10*I64</f>
        <v>6.6611577134327929E-3</v>
      </c>
      <c r="K64" s="9">
        <f>I64*('Combined WACOC-Tax Table'!$D$11+'Combined WACOC-Tax Table'!$D$12)</f>
        <v>6.5278645932622048</v>
      </c>
      <c r="L64" s="9">
        <f t="shared" si="4"/>
        <v>0.70068694169465073</v>
      </c>
      <c r="M64" s="9">
        <f t="shared" si="5"/>
        <v>2.1574881148466969</v>
      </c>
      <c r="N64" s="9">
        <f>N63*(1+'Prod Economic Carrying Charge'!$D$8)</f>
        <v>30.851667418861084</v>
      </c>
      <c r="O64" s="9">
        <f>O63*(1+'Prod Economic Carrying Charge'!$D$8)</f>
        <v>52.210514093457213</v>
      </c>
      <c r="P64" s="26">
        <f t="shared" si="13"/>
        <v>116.2298823198353</v>
      </c>
      <c r="Q64" s="25">
        <f>1/(1+'Combined WACOC-Tax Table'!$F$13)^A64</f>
        <v>0.10680321436397348</v>
      </c>
      <c r="R64" s="17">
        <f t="shared" si="2"/>
        <v>12.413725036904781</v>
      </c>
      <c r="S64" s="9">
        <f t="shared" si="6"/>
        <v>1827.6482573961312</v>
      </c>
      <c r="T64" s="6">
        <f t="shared" si="7"/>
        <v>0.12221859339625163</v>
      </c>
      <c r="U64" s="3"/>
    </row>
    <row r="65" spans="1:21" x14ac:dyDescent="0.2">
      <c r="A65">
        <v>37</v>
      </c>
      <c r="C65" s="9">
        <f t="shared" si="8"/>
        <v>23.775000000000002</v>
      </c>
      <c r="D65" s="9">
        <f t="shared" si="9"/>
        <v>71.325000000000614</v>
      </c>
      <c r="E65" s="9">
        <f>HLOOKUP($E$10,'Combined WACOC-Tax Table'!$B$17:$E$58,A65+1)*$B$28</f>
        <v>0</v>
      </c>
      <c r="F65" s="9">
        <f t="shared" si="10"/>
        <v>-8.1712414612411521E-14</v>
      </c>
      <c r="G65" s="9">
        <f t="shared" si="3"/>
        <v>-5.9058372934688501</v>
      </c>
      <c r="H65" s="9">
        <f t="shared" si="11"/>
        <v>17.717511880406576</v>
      </c>
      <c r="I65" s="9">
        <f t="shared" si="14"/>
        <v>71.325000000000614</v>
      </c>
      <c r="J65" s="9">
        <f>'Combined WACOC-Tax Table'!$D$10*I65</f>
        <v>4.9958682850746051E-3</v>
      </c>
      <c r="K65" s="9">
        <f>I65*('Combined WACOC-Tax Table'!$D$11+'Combined WACOC-Tax Table'!$D$12)</f>
        <v>4.8958984449466634</v>
      </c>
      <c r="L65" s="9">
        <f t="shared" si="4"/>
        <v>0.52551520627098913</v>
      </c>
      <c r="M65" s="9">
        <f t="shared" si="5"/>
        <v>1.6181160861350259</v>
      </c>
      <c r="N65" s="9">
        <f>N64*(1+'Prod Economic Carrying Charge'!$D$8)</f>
        <v>31.622959104332608</v>
      </c>
      <c r="O65" s="9">
        <f>O64*(1+'Prod Economic Carrying Charge'!$D$8)</f>
        <v>53.51577694579364</v>
      </c>
      <c r="P65" s="26">
        <f t="shared" si="13"/>
        <v>115.95826165576401</v>
      </c>
      <c r="Q65" s="25">
        <f>1/(1+'Combined WACOC-Tax Table'!$F$13)^A65</f>
        <v>0.10036922128381291</v>
      </c>
      <c r="R65" s="17">
        <f t="shared" si="2"/>
        <v>11.638640423813655</v>
      </c>
      <c r="S65" s="9">
        <f t="shared" si="6"/>
        <v>1839.2868978199449</v>
      </c>
      <c r="T65" s="6">
        <f t="shared" si="7"/>
        <v>0.12193297755600842</v>
      </c>
      <c r="U65" s="3"/>
    </row>
    <row r="66" spans="1:21" x14ac:dyDescent="0.2">
      <c r="A66">
        <v>38</v>
      </c>
      <c r="C66" s="9">
        <f t="shared" si="8"/>
        <v>23.775000000000002</v>
      </c>
      <c r="D66" s="9">
        <f t="shared" si="9"/>
        <v>47.550000000000608</v>
      </c>
      <c r="E66" s="9">
        <f>HLOOKUP($E$10,'Combined WACOC-Tax Table'!$B$17:$E$58,A66+1)*$B$28</f>
        <v>0</v>
      </c>
      <c r="F66" s="9">
        <f t="shared" si="10"/>
        <v>-8.1712414612411521E-14</v>
      </c>
      <c r="G66" s="9">
        <f t="shared" si="3"/>
        <v>-5.9058372934688501</v>
      </c>
      <c r="H66" s="9">
        <f t="shared" si="11"/>
        <v>11.811674586937727</v>
      </c>
      <c r="I66" s="9">
        <f t="shared" si="14"/>
        <v>47.550000000000608</v>
      </c>
      <c r="J66" s="9">
        <f>'Combined WACOC-Tax Table'!$D$10*I66</f>
        <v>3.3305788567164173E-3</v>
      </c>
      <c r="K66" s="9">
        <f>I66*('Combined WACOC-Tax Table'!$D$11+'Combined WACOC-Tax Table'!$D$12)</f>
        <v>3.2639322966311228</v>
      </c>
      <c r="L66" s="9">
        <f t="shared" si="4"/>
        <v>0.35034347084732753</v>
      </c>
      <c r="M66" s="9">
        <f t="shared" si="5"/>
        <v>1.0787440574233553</v>
      </c>
      <c r="N66" s="9">
        <f>N65*(1+'Prod Economic Carrying Charge'!$D$8)</f>
        <v>32.413533081940919</v>
      </c>
      <c r="O66" s="9">
        <f>O65*(1+'Prod Economic Carrying Charge'!$D$8)</f>
        <v>54.853671369438473</v>
      </c>
      <c r="P66" s="26">
        <f t="shared" si="13"/>
        <v>115.73855485513792</v>
      </c>
      <c r="Q66" s="25">
        <f>1/(1+'Combined WACOC-Tax Table'!$F$13)^A66</f>
        <v>9.4322822034063489E-2</v>
      </c>
      <c r="R66" s="17">
        <f t="shared" si="2"/>
        <v>10.916787112080868</v>
      </c>
      <c r="S66" s="9">
        <f t="shared" si="6"/>
        <v>1850.2036849320257</v>
      </c>
      <c r="T66" s="6">
        <f t="shared" si="7"/>
        <v>0.12170195042601253</v>
      </c>
      <c r="U66" s="3"/>
    </row>
    <row r="67" spans="1:21" x14ac:dyDescent="0.2">
      <c r="A67">
        <v>39</v>
      </c>
      <c r="C67" s="9">
        <f t="shared" si="8"/>
        <v>23.775000000000002</v>
      </c>
      <c r="D67" s="9">
        <f t="shared" si="9"/>
        <v>23.775000000000606</v>
      </c>
      <c r="E67" s="9">
        <f>HLOOKUP($E$10,'Combined WACOC-Tax Table'!$B$17:$E$58,A67+1)*$B$28</f>
        <v>0</v>
      </c>
      <c r="F67" s="9">
        <f t="shared" si="10"/>
        <v>-8.1712414612411521E-14</v>
      </c>
      <c r="G67" s="9">
        <f t="shared" si="3"/>
        <v>-5.9058372934688501</v>
      </c>
      <c r="H67" s="9">
        <f t="shared" si="11"/>
        <v>5.9058372934688768</v>
      </c>
      <c r="I67" s="9">
        <f t="shared" si="14"/>
        <v>23.775000000000606</v>
      </c>
      <c r="J67" s="9">
        <f>'Combined WACOC-Tax Table'!$D$10*I67</f>
        <v>1.6652894283582299E-3</v>
      </c>
      <c r="K67" s="9">
        <f>I67*('Combined WACOC-Tax Table'!$D$11+'Combined WACOC-Tax Table'!$D$12)</f>
        <v>1.6319661483155821</v>
      </c>
      <c r="L67" s="9">
        <f t="shared" si="4"/>
        <v>0.17517173542366599</v>
      </c>
      <c r="M67" s="9">
        <f t="shared" si="5"/>
        <v>0.53937202871168444</v>
      </c>
      <c r="N67" s="9">
        <f>N66*(1+'Prod Economic Carrying Charge'!$D$8)</f>
        <v>33.223871408989439</v>
      </c>
      <c r="O67" s="9">
        <f>O66*(1+'Prod Economic Carrying Charge'!$D$8)</f>
        <v>56.225013153674432</v>
      </c>
      <c r="P67" s="26">
        <f t="shared" si="13"/>
        <v>115.57205976454316</v>
      </c>
      <c r="Q67" s="25">
        <f>1/(1+'Combined WACOC-Tax Table'!$F$13)^A67</f>
        <v>8.8640667354708741E-2</v>
      </c>
      <c r="R67" s="17">
        <f t="shared" si="2"/>
        <v>10.244384505087387</v>
      </c>
      <c r="S67" s="9">
        <f t="shared" si="6"/>
        <v>1860.448069437113</v>
      </c>
      <c r="T67" s="6">
        <f t="shared" si="7"/>
        <v>0.12152687672402014</v>
      </c>
      <c r="U67" s="3"/>
    </row>
    <row r="68" spans="1:21" x14ac:dyDescent="0.2">
      <c r="A68">
        <v>40</v>
      </c>
      <c r="C68" s="9">
        <f t="shared" si="8"/>
        <v>23.775000000000002</v>
      </c>
      <c r="D68" s="9">
        <f t="shared" si="9"/>
        <v>6.0396132539608516E-13</v>
      </c>
      <c r="E68" s="9">
        <f>HLOOKUP($E$10,'Combined WACOC-Tax Table'!$B$17:$E$58,A68+1)*$B$28</f>
        <v>0</v>
      </c>
      <c r="F68" s="9">
        <f t="shared" si="10"/>
        <v>-8.1712414612411521E-14</v>
      </c>
      <c r="G68" s="9">
        <f t="shared" si="3"/>
        <v>-5.9058372934688501</v>
      </c>
      <c r="H68" s="9">
        <f t="shared" si="11"/>
        <v>2.6645352591003757E-14</v>
      </c>
      <c r="I68" s="9">
        <f t="shared" si="14"/>
        <v>6.0396132539608516E-13</v>
      </c>
      <c r="J68" s="9">
        <f>'Combined WACOC-Tax Table'!$D$10*I68</f>
        <v>4.230369759492323E-17</v>
      </c>
      <c r="K68" s="9">
        <f>I68*('Combined WACOC-Tax Table'!$D$11+'Combined WACOC-Tax Table'!$D$12)</f>
        <v>4.1457179303394236E-14</v>
      </c>
      <c r="L68" s="9">
        <f t="shared" si="4"/>
        <v>4.4499244373672757E-15</v>
      </c>
      <c r="M68" s="9">
        <f t="shared" si="5"/>
        <v>1.370178108695167E-14</v>
      </c>
      <c r="N68" s="9">
        <f>N67*(1+'Prod Economic Carrying Charge'!$D$8)</f>
        <v>34.054468194214174</v>
      </c>
      <c r="O68" s="9">
        <f>O67*(1+'Prod Economic Carrying Charge'!$D$8)</f>
        <v>57.630638482516289</v>
      </c>
      <c r="P68" s="26">
        <f t="shared" si="13"/>
        <v>115.46010667673053</v>
      </c>
      <c r="Q68" s="25">
        <f>1/(1+'Combined WACOC-Tax Table'!$F$13)^A68</f>
        <v>8.3300814581762722E-2</v>
      </c>
      <c r="R68" s="17">
        <f t="shared" si="2"/>
        <v>9.6179209378688739</v>
      </c>
      <c r="S68" s="9">
        <f t="shared" si="6"/>
        <v>1870.0659903749818</v>
      </c>
      <c r="T68" s="6">
        <f t="shared" si="7"/>
        <v>0.12140915528573137</v>
      </c>
      <c r="U68" s="3"/>
    </row>
    <row r="70" spans="1:21" x14ac:dyDescent="0.2">
      <c r="I70" s="27" t="s">
        <v>60</v>
      </c>
      <c r="P70" s="14"/>
      <c r="R70" s="14">
        <f>SUM(R29:R69)</f>
        <v>1870.0659903749818</v>
      </c>
      <c r="S70" s="14"/>
    </row>
    <row r="85" spans="9:18" x14ac:dyDescent="0.2">
      <c r="I85" s="27"/>
      <c r="R85" s="14"/>
    </row>
  </sheetData>
  <pageMargins left="0.75" right="0.75" top="0.66" bottom="0.89" header="0.5" footer="0.39"/>
  <pageSetup scale="76" orientation="portrait" verticalDpi="1200" r:id="rId1"/>
  <headerFooter scaleWithDoc="0" alignWithMargins="0">
    <oddFooter>&amp;RAttachment B
Page &amp;P of 5</oddFooter>
    <evenFooter xml:space="preserve">&amp;R&amp;12
</evenFooter>
    <firstFooter>&amp;R&amp;12Attachment 1
Page &amp;P of &amp;N</firstFooter>
  </headerFooter>
  <colBreaks count="2" manualBreakCount="2">
    <brk id="8" max="1048575" man="1"/>
    <brk id="18" max="69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G54"/>
  <sheetViews>
    <sheetView zoomScaleNormal="100" zoomScaleSheetLayoutView="100" workbookViewId="0">
      <selection activeCell="D13" sqref="D13"/>
    </sheetView>
  </sheetViews>
  <sheetFormatPr defaultRowHeight="12.75" x14ac:dyDescent="0.2"/>
  <cols>
    <col min="1" max="1" width="18.5703125" customWidth="1"/>
    <col min="2" max="2" width="13.140625" customWidth="1"/>
    <col min="4" max="4" width="9.7109375" bestFit="1" customWidth="1"/>
    <col min="5" max="5" width="12.5703125" customWidth="1"/>
    <col min="6" max="6" width="10.28515625" customWidth="1"/>
  </cols>
  <sheetData>
    <row r="1" spans="1:7" ht="15" x14ac:dyDescent="0.2">
      <c r="A1" s="13" t="s">
        <v>78</v>
      </c>
      <c r="G1" s="22"/>
    </row>
    <row r="2" spans="1:7" x14ac:dyDescent="0.2">
      <c r="A2" s="2" t="s">
        <v>61</v>
      </c>
      <c r="G2" s="4"/>
    </row>
    <row r="3" spans="1:7" x14ac:dyDescent="0.2">
      <c r="A3" s="2"/>
      <c r="G3" s="23"/>
    </row>
    <row r="4" spans="1:7" x14ac:dyDescent="0.2">
      <c r="F4" s="23"/>
    </row>
    <row r="7" spans="1:7" x14ac:dyDescent="0.2">
      <c r="A7" s="13" t="s">
        <v>12</v>
      </c>
    </row>
    <row r="8" spans="1:7" x14ac:dyDescent="0.2">
      <c r="B8" s="13"/>
      <c r="C8" s="13"/>
      <c r="D8" s="12" t="s">
        <v>11</v>
      </c>
      <c r="F8" s="12" t="s">
        <v>10</v>
      </c>
    </row>
    <row r="9" spans="1:7" x14ac:dyDescent="0.2">
      <c r="B9" s="11" t="s">
        <v>9</v>
      </c>
      <c r="C9" s="11" t="s">
        <v>6</v>
      </c>
      <c r="D9" s="11" t="s">
        <v>8</v>
      </c>
      <c r="E9" s="11" t="s">
        <v>7</v>
      </c>
      <c r="F9" s="11" t="s">
        <v>6</v>
      </c>
    </row>
    <row r="10" spans="1:7" x14ac:dyDescent="0.2">
      <c r="A10" t="s">
        <v>87</v>
      </c>
      <c r="B10" s="35">
        <f>WACOC!B30</f>
        <v>1.5226895518293673E-2</v>
      </c>
      <c r="C10" s="35">
        <f>WACOC!C30</f>
        <v>4.5999999999999999E-3</v>
      </c>
      <c r="D10" s="38">
        <f>B10*C10</f>
        <v>7.0043719384150889E-5</v>
      </c>
      <c r="E10" s="38">
        <f>WACOC!B38</f>
        <v>0.2484053540891209</v>
      </c>
      <c r="F10" s="35">
        <f>D10*(1-E10)</f>
        <v>5.2644484468811869E-5</v>
      </c>
    </row>
    <row r="11" spans="1:7" x14ac:dyDescent="0.2">
      <c r="A11" t="s">
        <v>88</v>
      </c>
      <c r="B11" s="35">
        <f>WACOC!B31</f>
        <v>0.45259077231625627</v>
      </c>
      <c r="C11" s="35">
        <f>WACOC!C31</f>
        <v>4.0840259262312675E-2</v>
      </c>
      <c r="D11" s="35">
        <f>B11*C11</f>
        <v>1.8483924481126231E-2</v>
      </c>
      <c r="E11" s="38">
        <f>E10</f>
        <v>0.2484053540891209</v>
      </c>
      <c r="F11" s="35">
        <f>D11*(1-E11)</f>
        <v>1.3892418675435499E-2</v>
      </c>
    </row>
    <row r="12" spans="1:7" x14ac:dyDescent="0.2">
      <c r="A12" t="s">
        <v>5</v>
      </c>
      <c r="B12" s="37">
        <f>WACOC!B32</f>
        <v>0.53218233216545008</v>
      </c>
      <c r="C12" s="37">
        <f>WACOC!C32</f>
        <v>9.4249999999999987E-2</v>
      </c>
      <c r="D12" s="37">
        <f>B12*C12</f>
        <v>5.0158184806593661E-2</v>
      </c>
      <c r="E12" s="38"/>
      <c r="F12" s="37">
        <f>D12/(1-E12)</f>
        <v>5.0158184806593661E-2</v>
      </c>
    </row>
    <row r="13" spans="1:7" x14ac:dyDescent="0.2">
      <c r="D13" s="3">
        <f>SUM(D10:D12)</f>
        <v>6.8712153007104038E-2</v>
      </c>
      <c r="F13" s="3">
        <f>SUM(F10:F12)</f>
        <v>6.4103247966497967E-2</v>
      </c>
    </row>
    <row r="15" spans="1:7" x14ac:dyDescent="0.2">
      <c r="B15" s="128" t="s">
        <v>4</v>
      </c>
      <c r="C15" s="128"/>
      <c r="D15" s="128"/>
      <c r="E15" s="128"/>
    </row>
    <row r="17" spans="1:6" x14ac:dyDescent="0.2">
      <c r="B17">
        <v>5</v>
      </c>
      <c r="D17">
        <v>15</v>
      </c>
      <c r="E17">
        <v>20</v>
      </c>
    </row>
    <row r="18" spans="1:6" x14ac:dyDescent="0.2">
      <c r="A18">
        <v>1</v>
      </c>
      <c r="B18" s="5">
        <v>0.2</v>
      </c>
      <c r="C18" s="5">
        <v>0.1</v>
      </c>
      <c r="D18" s="5">
        <v>0.05</v>
      </c>
      <c r="E18" s="5">
        <v>3.7499999999999999E-2</v>
      </c>
      <c r="F18" s="6"/>
    </row>
    <row r="19" spans="1:6" x14ac:dyDescent="0.2">
      <c r="A19">
        <v>2</v>
      </c>
      <c r="B19" s="5">
        <v>0.32</v>
      </c>
      <c r="C19" s="5">
        <v>0.18</v>
      </c>
      <c r="D19" s="5">
        <v>9.5000000000000001E-2</v>
      </c>
      <c r="E19" s="5">
        <v>7.2190000000000004E-2</v>
      </c>
      <c r="F19" s="6"/>
    </row>
    <row r="20" spans="1:6" x14ac:dyDescent="0.2">
      <c r="A20">
        <v>3</v>
      </c>
      <c r="B20" s="5">
        <v>0.192</v>
      </c>
      <c r="C20" s="5">
        <v>0.14399999999999999</v>
      </c>
      <c r="D20" s="5">
        <v>8.5500000000000007E-2</v>
      </c>
      <c r="E20" s="5">
        <v>6.6769999999999996E-2</v>
      </c>
      <c r="F20" s="6"/>
    </row>
    <row r="21" spans="1:6" x14ac:dyDescent="0.2">
      <c r="A21">
        <v>4</v>
      </c>
      <c r="B21" s="5">
        <v>0.1152</v>
      </c>
      <c r="C21" s="5">
        <v>0.1152</v>
      </c>
      <c r="D21" s="5">
        <v>7.6999999999999999E-2</v>
      </c>
      <c r="E21" s="5">
        <v>6.1769999999999999E-2</v>
      </c>
      <c r="F21" s="6"/>
    </row>
    <row r="22" spans="1:6" x14ac:dyDescent="0.2">
      <c r="A22">
        <v>5</v>
      </c>
      <c r="B22" s="5">
        <v>0.1152</v>
      </c>
      <c r="C22" s="5">
        <v>9.2200000000000004E-2</v>
      </c>
      <c r="D22" s="5">
        <v>6.93E-2</v>
      </c>
      <c r="E22" s="5">
        <v>5.713E-2</v>
      </c>
      <c r="F22" s="6"/>
    </row>
    <row r="23" spans="1:6" x14ac:dyDescent="0.2">
      <c r="A23">
        <v>6</v>
      </c>
      <c r="B23" s="5">
        <v>0</v>
      </c>
      <c r="C23" s="5">
        <v>7.3700000000000002E-2</v>
      </c>
      <c r="D23" s="5">
        <v>6.2300000000000001E-2</v>
      </c>
      <c r="E23" s="5">
        <v>5.2850000000000001E-2</v>
      </c>
      <c r="F23" s="6"/>
    </row>
    <row r="24" spans="1:6" x14ac:dyDescent="0.2">
      <c r="A24">
        <v>7</v>
      </c>
      <c r="B24" s="5">
        <v>0</v>
      </c>
      <c r="C24" s="5">
        <v>6.5500000000000003E-2</v>
      </c>
      <c r="D24" s="5">
        <v>5.8999999999999997E-2</v>
      </c>
      <c r="E24" s="5">
        <v>4.888E-2</v>
      </c>
      <c r="F24" s="6"/>
    </row>
    <row r="25" spans="1:6" x14ac:dyDescent="0.2">
      <c r="A25">
        <v>8</v>
      </c>
      <c r="B25" s="5">
        <v>0</v>
      </c>
      <c r="C25" s="5">
        <v>6.5500000000000003E-2</v>
      </c>
      <c r="D25" s="5">
        <v>5.8999999999999997E-2</v>
      </c>
      <c r="E25" s="5">
        <v>4.5220000000000003E-2</v>
      </c>
      <c r="F25" s="6"/>
    </row>
    <row r="26" spans="1:6" x14ac:dyDescent="0.2">
      <c r="A26">
        <v>9</v>
      </c>
      <c r="B26" s="5">
        <v>0</v>
      </c>
      <c r="C26" s="5">
        <v>6.5600000000000006E-2</v>
      </c>
      <c r="D26" s="5">
        <v>5.91E-2</v>
      </c>
      <c r="E26" s="5">
        <v>4.462E-2</v>
      </c>
      <c r="F26" s="6"/>
    </row>
    <row r="27" spans="1:6" x14ac:dyDescent="0.2">
      <c r="A27">
        <v>10</v>
      </c>
      <c r="B27" s="5">
        <v>0</v>
      </c>
      <c r="C27" s="5">
        <v>6.5500000000000003E-2</v>
      </c>
      <c r="D27" s="5">
        <v>5.8999999999999997E-2</v>
      </c>
      <c r="E27" s="5">
        <v>4.4609999999999997E-2</v>
      </c>
      <c r="F27" s="6"/>
    </row>
    <row r="28" spans="1:6" x14ac:dyDescent="0.2">
      <c r="A28">
        <v>11</v>
      </c>
      <c r="B28" s="5">
        <v>0</v>
      </c>
      <c r="C28" s="5">
        <v>0</v>
      </c>
      <c r="D28" s="5">
        <v>5.91E-2</v>
      </c>
      <c r="E28" s="5">
        <v>4.462E-2</v>
      </c>
      <c r="F28" s="6"/>
    </row>
    <row r="29" spans="1:6" x14ac:dyDescent="0.2">
      <c r="A29">
        <v>12</v>
      </c>
      <c r="B29" s="5">
        <v>0</v>
      </c>
      <c r="C29" s="5">
        <v>0</v>
      </c>
      <c r="D29" s="5">
        <v>5.8999999999999997E-2</v>
      </c>
      <c r="E29" s="5">
        <v>4.4609999999999997E-2</v>
      </c>
      <c r="F29" s="6"/>
    </row>
    <row r="30" spans="1:6" x14ac:dyDescent="0.2">
      <c r="A30">
        <v>13</v>
      </c>
      <c r="B30" s="5">
        <v>0</v>
      </c>
      <c r="C30" s="5">
        <v>0</v>
      </c>
      <c r="D30" s="5">
        <v>5.91E-2</v>
      </c>
      <c r="E30" s="5">
        <v>4.462E-2</v>
      </c>
      <c r="F30" s="6"/>
    </row>
    <row r="31" spans="1:6" x14ac:dyDescent="0.2">
      <c r="A31">
        <v>14</v>
      </c>
      <c r="B31" s="5">
        <v>0</v>
      </c>
      <c r="C31" s="5">
        <v>0</v>
      </c>
      <c r="D31" s="5">
        <v>5.8999999999999997E-2</v>
      </c>
      <c r="E31" s="5">
        <v>4.4609999999999997E-2</v>
      </c>
      <c r="F31" s="6"/>
    </row>
    <row r="32" spans="1:6" x14ac:dyDescent="0.2">
      <c r="A32">
        <v>15</v>
      </c>
      <c r="B32" s="5">
        <v>0</v>
      </c>
      <c r="C32" s="5">
        <v>0</v>
      </c>
      <c r="D32" s="5">
        <v>5.91E-2</v>
      </c>
      <c r="E32" s="5">
        <v>4.462E-2</v>
      </c>
      <c r="F32" s="6"/>
    </row>
    <row r="33" spans="1:6" x14ac:dyDescent="0.2">
      <c r="A33">
        <v>16</v>
      </c>
      <c r="B33" s="5">
        <v>0</v>
      </c>
      <c r="C33" s="5">
        <v>0</v>
      </c>
      <c r="D33" s="5">
        <v>2.9499999999999998E-2</v>
      </c>
      <c r="E33" s="5">
        <v>4.4609999999999997E-2</v>
      </c>
      <c r="F33" s="6"/>
    </row>
    <row r="34" spans="1:6" x14ac:dyDescent="0.2">
      <c r="A34">
        <v>17</v>
      </c>
      <c r="B34" s="5">
        <v>0</v>
      </c>
      <c r="C34" s="5">
        <v>0</v>
      </c>
      <c r="D34" s="5">
        <v>0</v>
      </c>
      <c r="E34" s="5">
        <v>4.462E-2</v>
      </c>
      <c r="F34" s="6"/>
    </row>
    <row r="35" spans="1:6" x14ac:dyDescent="0.2">
      <c r="A35">
        <v>18</v>
      </c>
      <c r="B35" s="5">
        <v>0</v>
      </c>
      <c r="C35" s="5">
        <v>0</v>
      </c>
      <c r="D35" s="5">
        <v>0</v>
      </c>
      <c r="E35" s="5">
        <v>4.4609999999999997E-2</v>
      </c>
      <c r="F35" s="6"/>
    </row>
    <row r="36" spans="1:6" x14ac:dyDescent="0.2">
      <c r="A36">
        <v>19</v>
      </c>
      <c r="B36" s="5">
        <v>0</v>
      </c>
      <c r="C36" s="5">
        <v>0</v>
      </c>
      <c r="D36" s="5">
        <v>0</v>
      </c>
      <c r="E36" s="5">
        <v>4.462E-2</v>
      </c>
      <c r="F36" s="6"/>
    </row>
    <row r="37" spans="1:6" x14ac:dyDescent="0.2">
      <c r="A37">
        <v>20</v>
      </c>
      <c r="B37" s="5">
        <v>0</v>
      </c>
      <c r="C37" s="5">
        <v>0</v>
      </c>
      <c r="D37" s="5">
        <v>0</v>
      </c>
      <c r="E37" s="5">
        <v>4.4609999999999997E-2</v>
      </c>
      <c r="F37" s="6"/>
    </row>
    <row r="38" spans="1:6" x14ac:dyDescent="0.2">
      <c r="A38">
        <v>21</v>
      </c>
      <c r="B38" s="5">
        <v>0</v>
      </c>
      <c r="C38" s="5">
        <v>0</v>
      </c>
      <c r="D38" s="5">
        <v>0</v>
      </c>
      <c r="E38" s="5">
        <v>2.231E-2</v>
      </c>
      <c r="F38" s="6"/>
    </row>
    <row r="39" spans="1:6" x14ac:dyDescent="0.2">
      <c r="A39">
        <v>22</v>
      </c>
      <c r="B39" s="5">
        <v>0</v>
      </c>
      <c r="C39" s="5">
        <v>0</v>
      </c>
      <c r="D39" s="5">
        <v>0</v>
      </c>
      <c r="E39" s="5">
        <v>0</v>
      </c>
    </row>
    <row r="40" spans="1:6" x14ac:dyDescent="0.2">
      <c r="A40">
        <v>23</v>
      </c>
      <c r="B40" s="5">
        <v>0</v>
      </c>
      <c r="C40" s="5">
        <v>0</v>
      </c>
      <c r="D40" s="5">
        <v>0</v>
      </c>
      <c r="E40" s="5">
        <v>0</v>
      </c>
    </row>
    <row r="41" spans="1:6" x14ac:dyDescent="0.2">
      <c r="A41">
        <v>24</v>
      </c>
      <c r="B41" s="5">
        <v>0</v>
      </c>
      <c r="C41" s="5">
        <v>0</v>
      </c>
      <c r="D41" s="5">
        <v>0</v>
      </c>
      <c r="E41" s="5">
        <v>0</v>
      </c>
    </row>
    <row r="42" spans="1:6" x14ac:dyDescent="0.2">
      <c r="A42">
        <v>25</v>
      </c>
      <c r="B42" s="5">
        <v>0</v>
      </c>
      <c r="C42" s="5">
        <v>0</v>
      </c>
      <c r="D42" s="5">
        <v>0</v>
      </c>
      <c r="E42" s="5">
        <v>0</v>
      </c>
    </row>
    <row r="43" spans="1:6" x14ac:dyDescent="0.2">
      <c r="A43">
        <v>26</v>
      </c>
      <c r="B43" s="5">
        <v>0</v>
      </c>
      <c r="C43" s="5">
        <v>0</v>
      </c>
      <c r="D43" s="5">
        <v>0</v>
      </c>
      <c r="E43" s="5">
        <v>0</v>
      </c>
    </row>
    <row r="44" spans="1:6" x14ac:dyDescent="0.2">
      <c r="A44">
        <v>27</v>
      </c>
      <c r="B44" s="5">
        <v>0</v>
      </c>
      <c r="C44" s="5">
        <v>0</v>
      </c>
      <c r="D44" s="5">
        <v>0</v>
      </c>
      <c r="E44" s="5">
        <v>0</v>
      </c>
    </row>
    <row r="45" spans="1:6" x14ac:dyDescent="0.2">
      <c r="A45">
        <v>28</v>
      </c>
      <c r="B45" s="5">
        <v>0</v>
      </c>
      <c r="C45" s="5">
        <v>0</v>
      </c>
      <c r="D45" s="5">
        <v>0</v>
      </c>
      <c r="E45" s="5">
        <v>0</v>
      </c>
    </row>
    <row r="46" spans="1:6" x14ac:dyDescent="0.2">
      <c r="A46">
        <v>29</v>
      </c>
      <c r="B46" s="5">
        <v>0</v>
      </c>
      <c r="C46" s="5">
        <v>0</v>
      </c>
      <c r="D46" s="5">
        <v>0</v>
      </c>
      <c r="E46" s="5">
        <v>0</v>
      </c>
    </row>
    <row r="47" spans="1:6" x14ac:dyDescent="0.2">
      <c r="A47">
        <v>30</v>
      </c>
      <c r="B47" s="5">
        <v>0</v>
      </c>
      <c r="C47" s="5">
        <v>0</v>
      </c>
      <c r="D47" s="5">
        <v>0</v>
      </c>
      <c r="E47" s="5">
        <v>0</v>
      </c>
    </row>
    <row r="48" spans="1:6" x14ac:dyDescent="0.2">
      <c r="B48" s="5"/>
      <c r="C48" s="5"/>
      <c r="D48" s="5"/>
      <c r="E48" s="5"/>
    </row>
    <row r="49" spans="2:7" x14ac:dyDescent="0.2">
      <c r="B49" s="5"/>
      <c r="C49" s="5"/>
      <c r="D49" s="5"/>
      <c r="E49" s="5"/>
    </row>
    <row r="53" spans="2:7" x14ac:dyDescent="0.2">
      <c r="G53" s="24"/>
    </row>
    <row r="54" spans="2:7" x14ac:dyDescent="0.2">
      <c r="G54" s="24"/>
    </row>
  </sheetData>
  <mergeCells count="1">
    <mergeCell ref="B15:E15"/>
  </mergeCells>
  <pageMargins left="0.7" right="0.7" top="0.75" bottom="0.75" header="0.3" footer="0.3"/>
  <pageSetup orientation="portrait" r:id="rId1"/>
  <headerFooter>
    <oddFooter>&amp;RAttachment B
Page 5 of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54"/>
  <sheetViews>
    <sheetView zoomScaleNormal="100" zoomScaleSheetLayoutView="100" workbookViewId="0"/>
  </sheetViews>
  <sheetFormatPr defaultRowHeight="12.75" x14ac:dyDescent="0.2"/>
  <cols>
    <col min="1" max="1" width="18.5703125" customWidth="1"/>
    <col min="2" max="2" width="13.140625" customWidth="1"/>
    <col min="5" max="5" width="12.5703125" customWidth="1"/>
    <col min="6" max="6" width="10.28515625" customWidth="1"/>
  </cols>
  <sheetData>
    <row r="1" spans="1:7" ht="15" x14ac:dyDescent="0.2">
      <c r="A1" s="13" t="s">
        <v>68</v>
      </c>
      <c r="G1" s="22"/>
    </row>
    <row r="2" spans="1:7" x14ac:dyDescent="0.2">
      <c r="A2" s="2" t="s">
        <v>61</v>
      </c>
      <c r="G2" s="4"/>
    </row>
    <row r="3" spans="1:7" x14ac:dyDescent="0.2">
      <c r="A3" s="2"/>
      <c r="G3" s="23"/>
    </row>
    <row r="4" spans="1:7" x14ac:dyDescent="0.2">
      <c r="F4" s="23"/>
    </row>
    <row r="7" spans="1:7" x14ac:dyDescent="0.2">
      <c r="A7" s="13" t="s">
        <v>12</v>
      </c>
    </row>
    <row r="8" spans="1:7" x14ac:dyDescent="0.2">
      <c r="B8" s="13"/>
      <c r="C8" s="13"/>
      <c r="D8" s="12" t="s">
        <v>11</v>
      </c>
      <c r="F8" s="12" t="s">
        <v>10</v>
      </c>
    </row>
    <row r="9" spans="1:7" x14ac:dyDescent="0.2">
      <c r="B9" s="11" t="s">
        <v>9</v>
      </c>
      <c r="C9" s="11" t="s">
        <v>6</v>
      </c>
      <c r="D9" s="11" t="s">
        <v>8</v>
      </c>
      <c r="E9" s="11" t="s">
        <v>7</v>
      </c>
      <c r="F9" s="11" t="s">
        <v>6</v>
      </c>
    </row>
    <row r="10" spans="1:7" x14ac:dyDescent="0.2">
      <c r="A10" t="s">
        <v>87</v>
      </c>
      <c r="B10" s="6">
        <v>1.26E-2</v>
      </c>
      <c r="C10" s="6">
        <v>4.5999999999999999E-3</v>
      </c>
      <c r="D10" s="6">
        <f>C10*B10</f>
        <v>5.7960000000000001E-5</v>
      </c>
      <c r="E10" s="3">
        <v>0.24849452</v>
      </c>
      <c r="F10" s="6">
        <f>D10*(1-E10)</f>
        <v>4.3557257620800001E-5</v>
      </c>
    </row>
    <row r="11" spans="1:7" x14ac:dyDescent="0.2">
      <c r="A11" t="s">
        <v>88</v>
      </c>
      <c r="B11" s="6">
        <v>0.45550000000000002</v>
      </c>
      <c r="C11" s="6">
        <v>0.04</v>
      </c>
      <c r="D11" s="6">
        <f>B11*C11</f>
        <v>1.822E-2</v>
      </c>
      <c r="E11" s="3">
        <f>E10</f>
        <v>0.24849452</v>
      </c>
      <c r="F11" s="6">
        <f>D11*(1-E11)</f>
        <v>1.36924298456E-2</v>
      </c>
    </row>
    <row r="12" spans="1:7" x14ac:dyDescent="0.2">
      <c r="A12" t="s">
        <v>5</v>
      </c>
      <c r="B12" s="8">
        <v>0.53190000000000004</v>
      </c>
      <c r="C12" s="8">
        <v>9.425E-2</v>
      </c>
      <c r="D12" s="8">
        <f>B12*C12</f>
        <v>5.0131575000000005E-2</v>
      </c>
      <c r="E12" s="3"/>
      <c r="F12" s="7">
        <f>D12/(1-E12)</f>
        <v>5.0131575000000005E-2</v>
      </c>
    </row>
    <row r="13" spans="1:7" x14ac:dyDescent="0.2">
      <c r="D13" s="3">
        <f>SUM(D10:D12)</f>
        <v>6.8409535000000007E-2</v>
      </c>
      <c r="F13" s="3">
        <f>SUM(F10:F12)</f>
        <v>6.386756210322081E-2</v>
      </c>
    </row>
    <row r="15" spans="1:7" x14ac:dyDescent="0.2">
      <c r="B15" s="128" t="s">
        <v>4</v>
      </c>
      <c r="C15" s="128"/>
      <c r="D15" s="128"/>
      <c r="E15" s="128"/>
    </row>
    <row r="17" spans="1:6" x14ac:dyDescent="0.2">
      <c r="B17">
        <v>5</v>
      </c>
      <c r="D17">
        <v>15</v>
      </c>
      <c r="E17">
        <v>20</v>
      </c>
    </row>
    <row r="18" spans="1:6" x14ac:dyDescent="0.2">
      <c r="A18">
        <v>1</v>
      </c>
      <c r="B18" s="5">
        <v>0.2</v>
      </c>
      <c r="C18" s="5">
        <v>0.1</v>
      </c>
      <c r="D18" s="5">
        <v>0.05</v>
      </c>
      <c r="E18" s="5">
        <v>3.7499999999999999E-2</v>
      </c>
      <c r="F18" s="6"/>
    </row>
    <row r="19" spans="1:6" x14ac:dyDescent="0.2">
      <c r="A19">
        <v>2</v>
      </c>
      <c r="B19" s="5">
        <v>0.32</v>
      </c>
      <c r="C19" s="5">
        <v>0.18</v>
      </c>
      <c r="D19" s="5">
        <v>9.5000000000000001E-2</v>
      </c>
      <c r="E19" s="5">
        <v>7.2190000000000004E-2</v>
      </c>
      <c r="F19" s="6"/>
    </row>
    <row r="20" spans="1:6" x14ac:dyDescent="0.2">
      <c r="A20">
        <v>3</v>
      </c>
      <c r="B20" s="5">
        <v>0.192</v>
      </c>
      <c r="C20" s="5">
        <v>0.14399999999999999</v>
      </c>
      <c r="D20" s="5">
        <v>8.5500000000000007E-2</v>
      </c>
      <c r="E20" s="5">
        <v>6.6769999999999996E-2</v>
      </c>
      <c r="F20" s="6"/>
    </row>
    <row r="21" spans="1:6" x14ac:dyDescent="0.2">
      <c r="A21">
        <v>4</v>
      </c>
      <c r="B21" s="5">
        <v>0.1152</v>
      </c>
      <c r="C21" s="5">
        <v>0.1152</v>
      </c>
      <c r="D21" s="5">
        <v>7.6999999999999999E-2</v>
      </c>
      <c r="E21" s="5">
        <v>6.1769999999999999E-2</v>
      </c>
      <c r="F21" s="6"/>
    </row>
    <row r="22" spans="1:6" x14ac:dyDescent="0.2">
      <c r="A22">
        <v>5</v>
      </c>
      <c r="B22" s="5">
        <v>0.1152</v>
      </c>
      <c r="C22" s="5">
        <v>9.2200000000000004E-2</v>
      </c>
      <c r="D22" s="5">
        <v>6.93E-2</v>
      </c>
      <c r="E22" s="5">
        <v>5.713E-2</v>
      </c>
      <c r="F22" s="6"/>
    </row>
    <row r="23" spans="1:6" x14ac:dyDescent="0.2">
      <c r="A23">
        <v>6</v>
      </c>
      <c r="B23" s="5">
        <v>0</v>
      </c>
      <c r="C23" s="5">
        <v>7.3700000000000002E-2</v>
      </c>
      <c r="D23" s="5">
        <v>6.2300000000000001E-2</v>
      </c>
      <c r="E23" s="5">
        <v>5.2850000000000001E-2</v>
      </c>
      <c r="F23" s="6"/>
    </row>
    <row r="24" spans="1:6" x14ac:dyDescent="0.2">
      <c r="A24">
        <v>7</v>
      </c>
      <c r="B24" s="5">
        <v>0</v>
      </c>
      <c r="C24" s="5">
        <v>6.5500000000000003E-2</v>
      </c>
      <c r="D24" s="5">
        <v>5.8999999999999997E-2</v>
      </c>
      <c r="E24" s="5">
        <v>4.888E-2</v>
      </c>
      <c r="F24" s="6"/>
    </row>
    <row r="25" spans="1:6" x14ac:dyDescent="0.2">
      <c r="A25">
        <v>8</v>
      </c>
      <c r="B25" s="5">
        <v>0</v>
      </c>
      <c r="C25" s="5">
        <v>6.5500000000000003E-2</v>
      </c>
      <c r="D25" s="5">
        <v>5.8999999999999997E-2</v>
      </c>
      <c r="E25" s="5">
        <v>4.5220000000000003E-2</v>
      </c>
      <c r="F25" s="6"/>
    </row>
    <row r="26" spans="1:6" x14ac:dyDescent="0.2">
      <c r="A26">
        <v>9</v>
      </c>
      <c r="B26" s="5">
        <v>0</v>
      </c>
      <c r="C26" s="5">
        <v>6.5600000000000006E-2</v>
      </c>
      <c r="D26" s="5">
        <v>5.91E-2</v>
      </c>
      <c r="E26" s="5">
        <v>4.462E-2</v>
      </c>
      <c r="F26" s="6"/>
    </row>
    <row r="27" spans="1:6" x14ac:dyDescent="0.2">
      <c r="A27">
        <v>10</v>
      </c>
      <c r="B27" s="5">
        <v>0</v>
      </c>
      <c r="C27" s="5">
        <v>6.5500000000000003E-2</v>
      </c>
      <c r="D27" s="5">
        <v>5.8999999999999997E-2</v>
      </c>
      <c r="E27" s="5">
        <v>4.4609999999999997E-2</v>
      </c>
      <c r="F27" s="6"/>
    </row>
    <row r="28" spans="1:6" x14ac:dyDescent="0.2">
      <c r="A28">
        <v>11</v>
      </c>
      <c r="B28" s="5">
        <v>0</v>
      </c>
      <c r="C28" s="5">
        <v>0</v>
      </c>
      <c r="D28" s="5">
        <v>5.91E-2</v>
      </c>
      <c r="E28" s="5">
        <v>4.462E-2</v>
      </c>
      <c r="F28" s="6"/>
    </row>
    <row r="29" spans="1:6" x14ac:dyDescent="0.2">
      <c r="A29">
        <v>12</v>
      </c>
      <c r="B29" s="5">
        <v>0</v>
      </c>
      <c r="C29" s="5">
        <v>0</v>
      </c>
      <c r="D29" s="5">
        <v>5.8999999999999997E-2</v>
      </c>
      <c r="E29" s="5">
        <v>4.4609999999999997E-2</v>
      </c>
      <c r="F29" s="6"/>
    </row>
    <row r="30" spans="1:6" x14ac:dyDescent="0.2">
      <c r="A30">
        <v>13</v>
      </c>
      <c r="B30" s="5">
        <v>0</v>
      </c>
      <c r="C30" s="5">
        <v>0</v>
      </c>
      <c r="D30" s="5">
        <v>5.91E-2</v>
      </c>
      <c r="E30" s="5">
        <v>4.462E-2</v>
      </c>
      <c r="F30" s="6"/>
    </row>
    <row r="31" spans="1:6" x14ac:dyDescent="0.2">
      <c r="A31">
        <v>14</v>
      </c>
      <c r="B31" s="5">
        <v>0</v>
      </c>
      <c r="C31" s="5">
        <v>0</v>
      </c>
      <c r="D31" s="5">
        <v>5.8999999999999997E-2</v>
      </c>
      <c r="E31" s="5">
        <v>4.4609999999999997E-2</v>
      </c>
      <c r="F31" s="6"/>
    </row>
    <row r="32" spans="1:6" x14ac:dyDescent="0.2">
      <c r="A32">
        <v>15</v>
      </c>
      <c r="B32" s="5">
        <v>0</v>
      </c>
      <c r="C32" s="5">
        <v>0</v>
      </c>
      <c r="D32" s="5">
        <v>5.91E-2</v>
      </c>
      <c r="E32" s="5">
        <v>4.462E-2</v>
      </c>
      <c r="F32" s="6"/>
    </row>
    <row r="33" spans="1:6" x14ac:dyDescent="0.2">
      <c r="A33">
        <v>16</v>
      </c>
      <c r="B33" s="5">
        <v>0</v>
      </c>
      <c r="C33" s="5">
        <v>0</v>
      </c>
      <c r="D33" s="5">
        <v>2.9499999999999998E-2</v>
      </c>
      <c r="E33" s="5">
        <v>4.4609999999999997E-2</v>
      </c>
      <c r="F33" s="6"/>
    </row>
    <row r="34" spans="1:6" x14ac:dyDescent="0.2">
      <c r="A34">
        <v>17</v>
      </c>
      <c r="B34" s="5">
        <v>0</v>
      </c>
      <c r="C34" s="5">
        <v>0</v>
      </c>
      <c r="D34" s="5">
        <v>0</v>
      </c>
      <c r="E34" s="5">
        <v>4.462E-2</v>
      </c>
      <c r="F34" s="6"/>
    </row>
    <row r="35" spans="1:6" x14ac:dyDescent="0.2">
      <c r="A35">
        <v>18</v>
      </c>
      <c r="B35" s="5">
        <v>0</v>
      </c>
      <c r="C35" s="5">
        <v>0</v>
      </c>
      <c r="D35" s="5">
        <v>0</v>
      </c>
      <c r="E35" s="5">
        <v>4.4609999999999997E-2</v>
      </c>
      <c r="F35" s="6"/>
    </row>
    <row r="36" spans="1:6" x14ac:dyDescent="0.2">
      <c r="A36">
        <v>19</v>
      </c>
      <c r="B36" s="5">
        <v>0</v>
      </c>
      <c r="C36" s="5">
        <v>0</v>
      </c>
      <c r="D36" s="5">
        <v>0</v>
      </c>
      <c r="E36" s="5">
        <v>4.462E-2</v>
      </c>
      <c r="F36" s="6"/>
    </row>
    <row r="37" spans="1:6" x14ac:dyDescent="0.2">
      <c r="A37">
        <v>20</v>
      </c>
      <c r="B37" s="5">
        <v>0</v>
      </c>
      <c r="C37" s="5">
        <v>0</v>
      </c>
      <c r="D37" s="5">
        <v>0</v>
      </c>
      <c r="E37" s="5">
        <v>4.4609999999999997E-2</v>
      </c>
      <c r="F37" s="6"/>
    </row>
    <row r="38" spans="1:6" x14ac:dyDescent="0.2">
      <c r="A38">
        <v>21</v>
      </c>
      <c r="B38" s="5">
        <v>0</v>
      </c>
      <c r="C38" s="5">
        <v>0</v>
      </c>
      <c r="D38" s="5">
        <v>0</v>
      </c>
      <c r="E38" s="5">
        <v>2.231E-2</v>
      </c>
      <c r="F38" s="6"/>
    </row>
    <row r="39" spans="1:6" x14ac:dyDescent="0.2">
      <c r="A39">
        <v>22</v>
      </c>
      <c r="B39" s="5">
        <v>0</v>
      </c>
      <c r="C39" s="5">
        <v>0</v>
      </c>
      <c r="D39" s="5">
        <v>0</v>
      </c>
      <c r="E39" s="5">
        <v>0</v>
      </c>
    </row>
    <row r="40" spans="1:6" x14ac:dyDescent="0.2">
      <c r="A40">
        <v>23</v>
      </c>
      <c r="B40" s="5">
        <v>0</v>
      </c>
      <c r="C40" s="5">
        <v>0</v>
      </c>
      <c r="D40" s="5">
        <v>0</v>
      </c>
      <c r="E40" s="5">
        <v>0</v>
      </c>
    </row>
    <row r="41" spans="1:6" x14ac:dyDescent="0.2">
      <c r="A41">
        <v>24</v>
      </c>
      <c r="B41" s="5">
        <v>0</v>
      </c>
      <c r="C41" s="5">
        <v>0</v>
      </c>
      <c r="D41" s="5">
        <v>0</v>
      </c>
      <c r="E41" s="5">
        <v>0</v>
      </c>
    </row>
    <row r="42" spans="1:6" x14ac:dyDescent="0.2">
      <c r="A42">
        <v>25</v>
      </c>
      <c r="B42" s="5">
        <v>0</v>
      </c>
      <c r="C42" s="5">
        <v>0</v>
      </c>
      <c r="D42" s="5">
        <v>0</v>
      </c>
      <c r="E42" s="5">
        <v>0</v>
      </c>
    </row>
    <row r="43" spans="1:6" x14ac:dyDescent="0.2">
      <c r="A43">
        <v>26</v>
      </c>
      <c r="B43" s="5">
        <v>0</v>
      </c>
      <c r="C43" s="5">
        <v>0</v>
      </c>
      <c r="D43" s="5">
        <v>0</v>
      </c>
      <c r="E43" s="5">
        <v>0</v>
      </c>
    </row>
    <row r="44" spans="1:6" x14ac:dyDescent="0.2">
      <c r="A44">
        <v>27</v>
      </c>
      <c r="B44" s="5">
        <v>0</v>
      </c>
      <c r="C44" s="5">
        <v>0</v>
      </c>
      <c r="D44" s="5">
        <v>0</v>
      </c>
      <c r="E44" s="5">
        <v>0</v>
      </c>
    </row>
    <row r="45" spans="1:6" x14ac:dyDescent="0.2">
      <c r="A45">
        <v>28</v>
      </c>
      <c r="B45" s="5">
        <v>0</v>
      </c>
      <c r="C45" s="5">
        <v>0</v>
      </c>
      <c r="D45" s="5">
        <v>0</v>
      </c>
      <c r="E45" s="5">
        <v>0</v>
      </c>
    </row>
    <row r="46" spans="1:6" x14ac:dyDescent="0.2">
      <c r="A46">
        <v>29</v>
      </c>
      <c r="B46" s="5">
        <v>0</v>
      </c>
      <c r="C46" s="5">
        <v>0</v>
      </c>
      <c r="D46" s="5">
        <v>0</v>
      </c>
      <c r="E46" s="5">
        <v>0</v>
      </c>
    </row>
    <row r="47" spans="1:6" x14ac:dyDescent="0.2">
      <c r="A47">
        <v>30</v>
      </c>
      <c r="B47" s="5">
        <v>0</v>
      </c>
      <c r="C47" s="5">
        <v>0</v>
      </c>
      <c r="D47" s="5">
        <v>0</v>
      </c>
      <c r="E47" s="5">
        <v>0</v>
      </c>
    </row>
    <row r="48" spans="1:6" x14ac:dyDescent="0.2">
      <c r="B48" s="5"/>
      <c r="C48" s="5"/>
      <c r="D48" s="5"/>
      <c r="E48" s="5"/>
    </row>
    <row r="49" spans="2:7" x14ac:dyDescent="0.2">
      <c r="B49" s="5"/>
      <c r="C49" s="5"/>
      <c r="D49" s="5"/>
      <c r="E49" s="5"/>
    </row>
    <row r="53" spans="2:7" x14ac:dyDescent="0.2">
      <c r="G53" s="24"/>
    </row>
    <row r="54" spans="2:7" x14ac:dyDescent="0.2">
      <c r="G54" s="24"/>
    </row>
  </sheetData>
  <dataConsolidate/>
  <mergeCells count="1">
    <mergeCell ref="B15:E15"/>
  </mergeCells>
  <pageMargins left="0.75" right="0.75" top="1" bottom="1" header="0.5" footer="0.5"/>
  <pageSetup scale="96" orientation="portrait" verticalDpi="1200" r:id="rId1"/>
  <headerFooter scaleWithDoc="0" alignWithMargins="0">
    <oddFooter>&amp;RAttachment E
Page 5 of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G54"/>
  <sheetViews>
    <sheetView zoomScaleNormal="100" zoomScaleSheetLayoutView="100" workbookViewId="0">
      <selection activeCell="I11" sqref="I11"/>
    </sheetView>
  </sheetViews>
  <sheetFormatPr defaultRowHeight="12.75" x14ac:dyDescent="0.2"/>
  <cols>
    <col min="1" max="1" width="18.5703125" customWidth="1"/>
    <col min="2" max="2" width="13.140625" customWidth="1"/>
    <col min="5" max="5" width="12.5703125" customWidth="1"/>
    <col min="6" max="6" width="10.28515625" customWidth="1"/>
  </cols>
  <sheetData>
    <row r="1" spans="1:7" ht="15" x14ac:dyDescent="0.2">
      <c r="A1" s="13" t="s">
        <v>69</v>
      </c>
      <c r="G1" s="22"/>
    </row>
    <row r="2" spans="1:7" x14ac:dyDescent="0.2">
      <c r="A2" s="2" t="s">
        <v>61</v>
      </c>
      <c r="G2" s="4"/>
    </row>
    <row r="3" spans="1:7" x14ac:dyDescent="0.2">
      <c r="A3" s="2"/>
      <c r="G3" s="23"/>
    </row>
    <row r="4" spans="1:7" x14ac:dyDescent="0.2">
      <c r="F4" s="23"/>
    </row>
    <row r="7" spans="1:7" x14ac:dyDescent="0.2">
      <c r="A7" s="13" t="s">
        <v>12</v>
      </c>
    </row>
    <row r="8" spans="1:7" x14ac:dyDescent="0.2">
      <c r="B8" s="13"/>
      <c r="C8" s="13"/>
      <c r="D8" s="12" t="s">
        <v>11</v>
      </c>
      <c r="F8" s="12" t="s">
        <v>10</v>
      </c>
    </row>
    <row r="9" spans="1:7" x14ac:dyDescent="0.2">
      <c r="B9" s="11" t="s">
        <v>9</v>
      </c>
      <c r="C9" s="11" t="s">
        <v>6</v>
      </c>
      <c r="D9" s="11" t="s">
        <v>8</v>
      </c>
      <c r="E9" s="11" t="s">
        <v>7</v>
      </c>
      <c r="F9" s="11" t="s">
        <v>6</v>
      </c>
    </row>
    <row r="10" spans="1:7" x14ac:dyDescent="0.2">
      <c r="A10" t="s">
        <v>87</v>
      </c>
      <c r="B10" s="6">
        <v>1.6899999999999998E-2</v>
      </c>
      <c r="C10" s="6">
        <v>4.5999999999999999E-3</v>
      </c>
      <c r="D10" s="6">
        <f>C10*B10</f>
        <v>7.7739999999999998E-5</v>
      </c>
      <c r="E10" s="3">
        <v>0.24826996500000001</v>
      </c>
      <c r="F10" s="55">
        <f>D10*(1-E10)</f>
        <v>5.84394929209E-5</v>
      </c>
    </row>
    <row r="11" spans="1:7" x14ac:dyDescent="0.2">
      <c r="A11" t="s">
        <v>88</v>
      </c>
      <c r="B11" s="6">
        <v>0.45069999999999999</v>
      </c>
      <c r="C11" s="6">
        <v>4.1399999999999999E-2</v>
      </c>
      <c r="D11" s="6">
        <f>B11*C11</f>
        <v>1.8658979999999999E-2</v>
      </c>
      <c r="E11" s="3">
        <f>E10</f>
        <v>0.24826996500000001</v>
      </c>
      <c r="F11" s="6">
        <f>D11*(1-E11)</f>
        <v>1.4026515688464299E-2</v>
      </c>
    </row>
    <row r="12" spans="1:7" x14ac:dyDescent="0.2">
      <c r="A12" t="s">
        <v>5</v>
      </c>
      <c r="B12" s="8">
        <v>0.53239999999999998</v>
      </c>
      <c r="C12" s="8">
        <v>9.425E-2</v>
      </c>
      <c r="D12" s="8">
        <f>B12*C12</f>
        <v>5.01787E-2</v>
      </c>
      <c r="E12" s="3"/>
      <c r="F12" s="7">
        <f>D12/(1-E12)</f>
        <v>5.01787E-2</v>
      </c>
    </row>
    <row r="13" spans="1:7" x14ac:dyDescent="0.2">
      <c r="D13" s="3">
        <f>SUM(D10:D12)</f>
        <v>6.8915420000000005E-2</v>
      </c>
      <c r="F13" s="3">
        <f>SUM(F10:F12)</f>
        <v>6.4263655181385201E-2</v>
      </c>
    </row>
    <row r="15" spans="1:7" x14ac:dyDescent="0.2">
      <c r="B15" s="128" t="s">
        <v>4</v>
      </c>
      <c r="C15" s="128"/>
      <c r="D15" s="128"/>
      <c r="E15" s="128"/>
    </row>
    <row r="17" spans="1:6" x14ac:dyDescent="0.2">
      <c r="B17">
        <v>5</v>
      </c>
      <c r="D17">
        <v>15</v>
      </c>
      <c r="E17">
        <v>20</v>
      </c>
    </row>
    <row r="18" spans="1:6" x14ac:dyDescent="0.2">
      <c r="A18">
        <v>1</v>
      </c>
      <c r="B18" s="5">
        <v>0.2</v>
      </c>
      <c r="C18" s="5">
        <v>0.1</v>
      </c>
      <c r="D18" s="5">
        <v>0.05</v>
      </c>
      <c r="E18" s="5">
        <v>3.7499999999999999E-2</v>
      </c>
      <c r="F18" s="6"/>
    </row>
    <row r="19" spans="1:6" x14ac:dyDescent="0.2">
      <c r="A19">
        <v>2</v>
      </c>
      <c r="B19" s="5">
        <v>0.32</v>
      </c>
      <c r="C19" s="5">
        <v>0.18</v>
      </c>
      <c r="D19" s="5">
        <v>9.5000000000000001E-2</v>
      </c>
      <c r="E19" s="5">
        <v>7.2190000000000004E-2</v>
      </c>
      <c r="F19" s="6"/>
    </row>
    <row r="20" spans="1:6" x14ac:dyDescent="0.2">
      <c r="A20">
        <v>3</v>
      </c>
      <c r="B20" s="5">
        <v>0.192</v>
      </c>
      <c r="C20" s="5">
        <v>0.14399999999999999</v>
      </c>
      <c r="D20" s="5">
        <v>8.5500000000000007E-2</v>
      </c>
      <c r="E20" s="5">
        <v>6.6769999999999996E-2</v>
      </c>
      <c r="F20" s="6"/>
    </row>
    <row r="21" spans="1:6" x14ac:dyDescent="0.2">
      <c r="A21">
        <v>4</v>
      </c>
      <c r="B21" s="5">
        <v>0.1152</v>
      </c>
      <c r="C21" s="5">
        <v>0.1152</v>
      </c>
      <c r="D21" s="5">
        <v>7.6999999999999999E-2</v>
      </c>
      <c r="E21" s="5">
        <v>6.1769999999999999E-2</v>
      </c>
      <c r="F21" s="6"/>
    </row>
    <row r="22" spans="1:6" x14ac:dyDescent="0.2">
      <c r="A22">
        <v>5</v>
      </c>
      <c r="B22" s="5">
        <v>0.1152</v>
      </c>
      <c r="C22" s="5">
        <v>9.2200000000000004E-2</v>
      </c>
      <c r="D22" s="5">
        <v>6.93E-2</v>
      </c>
      <c r="E22" s="5">
        <v>5.713E-2</v>
      </c>
      <c r="F22" s="6"/>
    </row>
    <row r="23" spans="1:6" x14ac:dyDescent="0.2">
      <c r="A23">
        <v>6</v>
      </c>
      <c r="B23" s="5">
        <v>0</v>
      </c>
      <c r="C23" s="5">
        <v>7.3700000000000002E-2</v>
      </c>
      <c r="D23" s="5">
        <v>6.2300000000000001E-2</v>
      </c>
      <c r="E23" s="5">
        <v>5.2850000000000001E-2</v>
      </c>
      <c r="F23" s="6"/>
    </row>
    <row r="24" spans="1:6" x14ac:dyDescent="0.2">
      <c r="A24">
        <v>7</v>
      </c>
      <c r="B24" s="5">
        <v>0</v>
      </c>
      <c r="C24" s="5">
        <v>6.5500000000000003E-2</v>
      </c>
      <c r="D24" s="5">
        <v>5.8999999999999997E-2</v>
      </c>
      <c r="E24" s="5">
        <v>4.888E-2</v>
      </c>
      <c r="F24" s="6"/>
    </row>
    <row r="25" spans="1:6" x14ac:dyDescent="0.2">
      <c r="A25">
        <v>8</v>
      </c>
      <c r="B25" s="5">
        <v>0</v>
      </c>
      <c r="C25" s="5">
        <v>6.5500000000000003E-2</v>
      </c>
      <c r="D25" s="5">
        <v>5.8999999999999997E-2</v>
      </c>
      <c r="E25" s="5">
        <v>4.5220000000000003E-2</v>
      </c>
      <c r="F25" s="6"/>
    </row>
    <row r="26" spans="1:6" x14ac:dyDescent="0.2">
      <c r="A26">
        <v>9</v>
      </c>
      <c r="B26" s="5">
        <v>0</v>
      </c>
      <c r="C26" s="5">
        <v>6.5600000000000006E-2</v>
      </c>
      <c r="D26" s="5">
        <v>5.91E-2</v>
      </c>
      <c r="E26" s="5">
        <v>4.462E-2</v>
      </c>
      <c r="F26" s="6"/>
    </row>
    <row r="27" spans="1:6" x14ac:dyDescent="0.2">
      <c r="A27">
        <v>10</v>
      </c>
      <c r="B27" s="5">
        <v>0</v>
      </c>
      <c r="C27" s="5">
        <v>6.5500000000000003E-2</v>
      </c>
      <c r="D27" s="5">
        <v>5.8999999999999997E-2</v>
      </c>
      <c r="E27" s="5">
        <v>4.4609999999999997E-2</v>
      </c>
      <c r="F27" s="6"/>
    </row>
    <row r="28" spans="1:6" x14ac:dyDescent="0.2">
      <c r="A28">
        <v>11</v>
      </c>
      <c r="B28" s="5">
        <v>0</v>
      </c>
      <c r="C28" s="5">
        <v>0</v>
      </c>
      <c r="D28" s="5">
        <v>5.91E-2</v>
      </c>
      <c r="E28" s="5">
        <v>4.462E-2</v>
      </c>
      <c r="F28" s="6"/>
    </row>
    <row r="29" spans="1:6" x14ac:dyDescent="0.2">
      <c r="A29">
        <v>12</v>
      </c>
      <c r="B29" s="5">
        <v>0</v>
      </c>
      <c r="C29" s="5">
        <v>0</v>
      </c>
      <c r="D29" s="5">
        <v>5.8999999999999997E-2</v>
      </c>
      <c r="E29" s="5">
        <v>4.4609999999999997E-2</v>
      </c>
      <c r="F29" s="6"/>
    </row>
    <row r="30" spans="1:6" x14ac:dyDescent="0.2">
      <c r="A30">
        <v>13</v>
      </c>
      <c r="B30" s="5">
        <v>0</v>
      </c>
      <c r="C30" s="5">
        <v>0</v>
      </c>
      <c r="D30" s="5">
        <v>5.91E-2</v>
      </c>
      <c r="E30" s="5">
        <v>4.462E-2</v>
      </c>
      <c r="F30" s="6"/>
    </row>
    <row r="31" spans="1:6" x14ac:dyDescent="0.2">
      <c r="A31">
        <v>14</v>
      </c>
      <c r="B31" s="5">
        <v>0</v>
      </c>
      <c r="C31" s="5">
        <v>0</v>
      </c>
      <c r="D31" s="5">
        <v>5.8999999999999997E-2</v>
      </c>
      <c r="E31" s="5">
        <v>4.4609999999999997E-2</v>
      </c>
      <c r="F31" s="6"/>
    </row>
    <row r="32" spans="1:6" x14ac:dyDescent="0.2">
      <c r="A32">
        <v>15</v>
      </c>
      <c r="B32" s="5">
        <v>0</v>
      </c>
      <c r="C32" s="5">
        <v>0</v>
      </c>
      <c r="D32" s="5">
        <v>5.91E-2</v>
      </c>
      <c r="E32" s="5">
        <v>4.462E-2</v>
      </c>
      <c r="F32" s="6"/>
    </row>
    <row r="33" spans="1:6" x14ac:dyDescent="0.2">
      <c r="A33">
        <v>16</v>
      </c>
      <c r="B33" s="5">
        <v>0</v>
      </c>
      <c r="C33" s="5">
        <v>0</v>
      </c>
      <c r="D33" s="5">
        <v>2.9499999999999998E-2</v>
      </c>
      <c r="E33" s="5">
        <v>4.4609999999999997E-2</v>
      </c>
      <c r="F33" s="6"/>
    </row>
    <row r="34" spans="1:6" x14ac:dyDescent="0.2">
      <c r="A34">
        <v>17</v>
      </c>
      <c r="B34" s="5">
        <v>0</v>
      </c>
      <c r="C34" s="5">
        <v>0</v>
      </c>
      <c r="D34" s="5">
        <v>0</v>
      </c>
      <c r="E34" s="5">
        <v>4.462E-2</v>
      </c>
      <c r="F34" s="6"/>
    </row>
    <row r="35" spans="1:6" x14ac:dyDescent="0.2">
      <c r="A35">
        <v>18</v>
      </c>
      <c r="B35" s="5">
        <v>0</v>
      </c>
      <c r="C35" s="5">
        <v>0</v>
      </c>
      <c r="D35" s="5">
        <v>0</v>
      </c>
      <c r="E35" s="5">
        <v>4.4609999999999997E-2</v>
      </c>
      <c r="F35" s="6"/>
    </row>
    <row r="36" spans="1:6" x14ac:dyDescent="0.2">
      <c r="A36">
        <v>19</v>
      </c>
      <c r="B36" s="5">
        <v>0</v>
      </c>
      <c r="C36" s="5">
        <v>0</v>
      </c>
      <c r="D36" s="5">
        <v>0</v>
      </c>
      <c r="E36" s="5">
        <v>4.462E-2</v>
      </c>
      <c r="F36" s="6"/>
    </row>
    <row r="37" spans="1:6" x14ac:dyDescent="0.2">
      <c r="A37">
        <v>20</v>
      </c>
      <c r="B37" s="5">
        <v>0</v>
      </c>
      <c r="C37" s="5">
        <v>0</v>
      </c>
      <c r="D37" s="5">
        <v>0</v>
      </c>
      <c r="E37" s="5">
        <v>4.4609999999999997E-2</v>
      </c>
      <c r="F37" s="6"/>
    </row>
    <row r="38" spans="1:6" x14ac:dyDescent="0.2">
      <c r="A38">
        <v>21</v>
      </c>
      <c r="B38" s="5">
        <v>0</v>
      </c>
      <c r="C38" s="5">
        <v>0</v>
      </c>
      <c r="D38" s="5">
        <v>0</v>
      </c>
      <c r="E38" s="5">
        <v>2.231E-2</v>
      </c>
      <c r="F38" s="6"/>
    </row>
    <row r="39" spans="1:6" x14ac:dyDescent="0.2">
      <c r="A39">
        <v>22</v>
      </c>
      <c r="B39" s="5">
        <v>0</v>
      </c>
      <c r="C39" s="5">
        <v>0</v>
      </c>
      <c r="D39" s="5">
        <v>0</v>
      </c>
      <c r="E39" s="5">
        <v>0</v>
      </c>
    </row>
    <row r="40" spans="1:6" x14ac:dyDescent="0.2">
      <c r="A40">
        <v>23</v>
      </c>
      <c r="B40" s="5">
        <v>0</v>
      </c>
      <c r="C40" s="5">
        <v>0</v>
      </c>
      <c r="D40" s="5">
        <v>0</v>
      </c>
      <c r="E40" s="5">
        <v>0</v>
      </c>
    </row>
    <row r="41" spans="1:6" x14ac:dyDescent="0.2">
      <c r="A41">
        <v>24</v>
      </c>
      <c r="B41" s="5">
        <v>0</v>
      </c>
      <c r="C41" s="5">
        <v>0</v>
      </c>
      <c r="D41" s="5">
        <v>0</v>
      </c>
      <c r="E41" s="5">
        <v>0</v>
      </c>
    </row>
    <row r="42" spans="1:6" x14ac:dyDescent="0.2">
      <c r="A42">
        <v>25</v>
      </c>
      <c r="B42" s="5">
        <v>0</v>
      </c>
      <c r="C42" s="5">
        <v>0</v>
      </c>
      <c r="D42" s="5">
        <v>0</v>
      </c>
      <c r="E42" s="5">
        <v>0</v>
      </c>
    </row>
    <row r="43" spans="1:6" x14ac:dyDescent="0.2">
      <c r="A43">
        <v>26</v>
      </c>
      <c r="B43" s="5">
        <v>0</v>
      </c>
      <c r="C43" s="5">
        <v>0</v>
      </c>
      <c r="D43" s="5">
        <v>0</v>
      </c>
      <c r="E43" s="5">
        <v>0</v>
      </c>
    </row>
    <row r="44" spans="1:6" x14ac:dyDescent="0.2">
      <c r="A44">
        <v>27</v>
      </c>
      <c r="B44" s="5">
        <v>0</v>
      </c>
      <c r="C44" s="5">
        <v>0</v>
      </c>
      <c r="D44" s="5">
        <v>0</v>
      </c>
      <c r="E44" s="5">
        <v>0</v>
      </c>
    </row>
    <row r="45" spans="1:6" x14ac:dyDescent="0.2">
      <c r="A45">
        <v>28</v>
      </c>
      <c r="B45" s="5">
        <v>0</v>
      </c>
      <c r="C45" s="5">
        <v>0</v>
      </c>
      <c r="D45" s="5">
        <v>0</v>
      </c>
      <c r="E45" s="5">
        <v>0</v>
      </c>
    </row>
    <row r="46" spans="1:6" x14ac:dyDescent="0.2">
      <c r="A46">
        <v>29</v>
      </c>
      <c r="B46" s="5">
        <v>0</v>
      </c>
      <c r="C46" s="5">
        <v>0</v>
      </c>
      <c r="D46" s="5">
        <v>0</v>
      </c>
      <c r="E46" s="5">
        <v>0</v>
      </c>
    </row>
    <row r="47" spans="1:6" x14ac:dyDescent="0.2">
      <c r="A47">
        <v>30</v>
      </c>
      <c r="B47" s="5">
        <v>0</v>
      </c>
      <c r="C47" s="5">
        <v>0</v>
      </c>
      <c r="D47" s="5">
        <v>0</v>
      </c>
      <c r="E47" s="5">
        <v>0</v>
      </c>
    </row>
    <row r="48" spans="1:6" x14ac:dyDescent="0.2">
      <c r="B48" s="5"/>
      <c r="C48" s="5"/>
      <c r="D48" s="5"/>
      <c r="E48" s="5"/>
    </row>
    <row r="49" spans="2:7" x14ac:dyDescent="0.2">
      <c r="B49" s="5"/>
      <c r="C49" s="5"/>
      <c r="D49" s="5"/>
      <c r="E49" s="5"/>
    </row>
    <row r="53" spans="2:7" x14ac:dyDescent="0.2">
      <c r="G53" s="24"/>
    </row>
    <row r="54" spans="2:7" x14ac:dyDescent="0.2">
      <c r="G54" s="24"/>
    </row>
  </sheetData>
  <dataConsolidate/>
  <mergeCells count="1">
    <mergeCell ref="B15:E15"/>
  </mergeCells>
  <pageMargins left="0.75" right="0.75" top="1" bottom="1" header="0.5" footer="0.5"/>
  <pageSetup scale="96" orientation="portrait" verticalDpi="1200" r:id="rId1"/>
  <headerFooter scaleWithDoc="0" alignWithMargins="0">
    <oddFooter>&amp;RAttachment D
Page 5 of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1C3F-63DB-4DA8-8BD6-60B98029BCBF}">
  <sheetPr>
    <tabColor rgb="FF00B050"/>
    <pageSetUpPr fitToPage="1"/>
  </sheetPr>
  <dimension ref="A1:J38"/>
  <sheetViews>
    <sheetView zoomScaleNormal="100" workbookViewId="0">
      <selection activeCell="B38" sqref="B38"/>
    </sheetView>
  </sheetViews>
  <sheetFormatPr defaultColWidth="8.85546875" defaultRowHeight="15" x14ac:dyDescent="0.25"/>
  <cols>
    <col min="1" max="1" width="24.140625" style="40" customWidth="1"/>
    <col min="2" max="4" width="17.5703125" style="40" customWidth="1"/>
    <col min="5" max="5" width="8.85546875" style="40"/>
    <col min="6" max="6" width="15.140625" style="40" bestFit="1" customWidth="1"/>
    <col min="7" max="7" width="16.7109375" style="40" customWidth="1"/>
    <col min="8" max="8" width="17.85546875" style="40" bestFit="1" customWidth="1"/>
    <col min="9" max="16384" width="8.85546875" style="40"/>
  </cols>
  <sheetData>
    <row r="1" spans="1:8" ht="15.75" x14ac:dyDescent="0.25">
      <c r="A1" s="129" t="s">
        <v>90</v>
      </c>
      <c r="B1" s="129"/>
      <c r="C1" s="129"/>
      <c r="D1" s="129"/>
    </row>
    <row r="2" spans="1:8" ht="15.75" x14ac:dyDescent="0.25">
      <c r="A2" s="130" t="s">
        <v>91</v>
      </c>
      <c r="B2" s="130"/>
      <c r="C2" s="130"/>
      <c r="D2" s="130"/>
    </row>
    <row r="3" spans="1:8" ht="15.75" x14ac:dyDescent="0.25">
      <c r="A3" s="41"/>
      <c r="B3" s="41"/>
      <c r="C3" s="41"/>
      <c r="D3" s="41"/>
    </row>
    <row r="4" spans="1:8" ht="15.75" x14ac:dyDescent="0.25">
      <c r="A4" s="41"/>
      <c r="B4" s="41"/>
      <c r="C4" s="41"/>
      <c r="D4" s="41"/>
    </row>
    <row r="5" spans="1:8" ht="16.5" thickBot="1" x14ac:dyDescent="0.3">
      <c r="A5" s="41"/>
      <c r="B5" s="41"/>
      <c r="C5" s="41"/>
      <c r="D5" s="41"/>
    </row>
    <row r="6" spans="1:8" ht="15.75" thickBot="1" x14ac:dyDescent="0.3">
      <c r="A6" s="131" t="s">
        <v>92</v>
      </c>
      <c r="B6" s="132"/>
      <c r="C6" s="132"/>
      <c r="D6" s="133"/>
    </row>
    <row r="7" spans="1:8" x14ac:dyDescent="0.25">
      <c r="A7" s="42"/>
      <c r="D7" s="43" t="s">
        <v>11</v>
      </c>
    </row>
    <row r="8" spans="1:8" x14ac:dyDescent="0.25">
      <c r="B8" s="42"/>
      <c r="C8" s="42"/>
      <c r="D8" s="43" t="s">
        <v>93</v>
      </c>
    </row>
    <row r="9" spans="1:8" ht="15.75" thickBot="1" x14ac:dyDescent="0.3">
      <c r="A9" s="44" t="s">
        <v>94</v>
      </c>
      <c r="B9" s="45" t="s">
        <v>9</v>
      </c>
      <c r="C9" s="45" t="s">
        <v>6</v>
      </c>
      <c r="D9" s="45" t="s">
        <v>95</v>
      </c>
    </row>
    <row r="10" spans="1:8" x14ac:dyDescent="0.25">
      <c r="A10" s="40" t="s">
        <v>101</v>
      </c>
      <c r="B10" s="46">
        <f>'KU WACOC-Tax Table'!B10</f>
        <v>1.6899999999999998E-2</v>
      </c>
      <c r="C10" s="46">
        <f>'KU WACOC-Tax Table'!C10</f>
        <v>4.5999999999999999E-3</v>
      </c>
      <c r="D10" s="52">
        <f>C10*B10</f>
        <v>7.7739999999999998E-5</v>
      </c>
      <c r="F10" s="57">
        <v>88669692.967399269</v>
      </c>
      <c r="G10" s="47">
        <f>F10*C10</f>
        <v>407880.58765003661</v>
      </c>
      <c r="H10" s="47"/>
    </row>
    <row r="11" spans="1:8" x14ac:dyDescent="0.25">
      <c r="A11" s="40" t="s">
        <v>96</v>
      </c>
      <c r="B11" s="46">
        <f>'KU WACOC-Tax Table'!B11</f>
        <v>0.45069999999999999</v>
      </c>
      <c r="C11" s="46">
        <f>'KU WACOC-Tax Table'!C11</f>
        <v>4.1399999999999999E-2</v>
      </c>
      <c r="D11" s="52">
        <f>B11*C11</f>
        <v>1.8658979999999999E-2</v>
      </c>
      <c r="F11" s="57">
        <v>2358597444.1902695</v>
      </c>
      <c r="G11" s="47">
        <f t="shared" ref="G11:G12" si="0">F11*C11</f>
        <v>97645934.189477161</v>
      </c>
      <c r="H11" s="47"/>
    </row>
    <row r="12" spans="1:8" ht="15.75" thickBot="1" x14ac:dyDescent="0.3">
      <c r="A12" s="40" t="s">
        <v>5</v>
      </c>
      <c r="B12" s="48">
        <f>'KU WACOC-Tax Table'!B12</f>
        <v>0.53239999999999998</v>
      </c>
      <c r="C12" s="48">
        <f>'KU WACOC-Tax Table'!C12</f>
        <v>9.425E-2</v>
      </c>
      <c r="D12" s="53">
        <f>B12*C12</f>
        <v>5.01787E-2</v>
      </c>
      <c r="F12" s="57">
        <v>2786020096.9871111</v>
      </c>
      <c r="G12" s="47">
        <f t="shared" si="0"/>
        <v>262582394.14103523</v>
      </c>
      <c r="H12" s="47"/>
    </row>
    <row r="13" spans="1:8" x14ac:dyDescent="0.25">
      <c r="D13" s="52">
        <f>SUM(D10:D12)</f>
        <v>6.8915420000000005E-2</v>
      </c>
      <c r="F13" s="49">
        <f>SUM(F10:F12)</f>
        <v>5233287234.1447792</v>
      </c>
      <c r="G13" s="40">
        <f>((F13)/($F$13+$F$23))*D13</f>
        <v>4.1536330229229416E-2</v>
      </c>
      <c r="H13" s="40">
        <f>((F12)/($F$12+$F$22))*B37</f>
        <v>0.14982274593902928</v>
      </c>
    </row>
    <row r="15" spans="1:8" ht="15.75" thickBot="1" x14ac:dyDescent="0.3"/>
    <row r="16" spans="1:8" ht="15.75" thickBot="1" x14ac:dyDescent="0.3">
      <c r="A16" s="131" t="s">
        <v>97</v>
      </c>
      <c r="B16" s="132"/>
      <c r="C16" s="132"/>
      <c r="D16" s="133"/>
    </row>
    <row r="17" spans="1:10" x14ac:dyDescent="0.25">
      <c r="A17" s="42"/>
      <c r="D17" s="43" t="s">
        <v>11</v>
      </c>
    </row>
    <row r="18" spans="1:10" x14ac:dyDescent="0.25">
      <c r="B18" s="42"/>
      <c r="C18" s="42"/>
      <c r="D18" s="43" t="s">
        <v>93</v>
      </c>
    </row>
    <row r="19" spans="1:10" ht="15.75" thickBot="1" x14ac:dyDescent="0.3">
      <c r="A19" s="44" t="s">
        <v>94</v>
      </c>
      <c r="B19" s="45" t="s">
        <v>9</v>
      </c>
      <c r="C19" s="45" t="s">
        <v>6</v>
      </c>
      <c r="D19" s="45" t="s">
        <v>95</v>
      </c>
    </row>
    <row r="20" spans="1:10" x14ac:dyDescent="0.25">
      <c r="A20" s="40" t="s">
        <v>101</v>
      </c>
      <c r="B20" s="46">
        <f>'LGE WACOC-Tax Table'!B10</f>
        <v>1.26E-2</v>
      </c>
      <c r="C20" s="46">
        <f>'LGE WACOC-Tax Table'!C10</f>
        <v>4.5999999999999999E-3</v>
      </c>
      <c r="D20" s="46">
        <f>B20*C20</f>
        <v>5.7960000000000001E-5</v>
      </c>
      <c r="F20" s="57">
        <v>43543326.439146273</v>
      </c>
      <c r="G20" s="49">
        <f>F20*C20</f>
        <v>200299.30162007286</v>
      </c>
      <c r="H20" s="47"/>
    </row>
    <row r="21" spans="1:10" x14ac:dyDescent="0.25">
      <c r="A21" s="40" t="s">
        <v>96</v>
      </c>
      <c r="B21" s="46">
        <f>'LGE WACOC-Tax Table'!B11</f>
        <v>0.45550000000000002</v>
      </c>
      <c r="C21" s="46">
        <f>'LGE WACOC-Tax Table'!C11</f>
        <v>0.04</v>
      </c>
      <c r="D21" s="46">
        <f>B21*C21</f>
        <v>1.822E-2</v>
      </c>
      <c r="F21" s="57">
        <v>1571185385.9068089</v>
      </c>
      <c r="G21" s="49">
        <f t="shared" ref="G21:G22" si="1">F21*C21</f>
        <v>62847415.436272353</v>
      </c>
      <c r="H21" s="47"/>
    </row>
    <row r="22" spans="1:10" ht="15.75" thickBot="1" x14ac:dyDescent="0.3">
      <c r="A22" s="40" t="s">
        <v>5</v>
      </c>
      <c r="B22" s="48">
        <f>'LGE WACOC-Tax Table'!B12</f>
        <v>0.53190000000000004</v>
      </c>
      <c r="C22" s="48">
        <f>'LGE WACOC-Tax Table'!C12</f>
        <v>9.425E-2</v>
      </c>
      <c r="D22" s="48">
        <f>B22*C22</f>
        <v>5.0131575000000005E-2</v>
      </c>
      <c r="F22" s="57">
        <v>1834845195.3424194</v>
      </c>
      <c r="G22" s="49">
        <f t="shared" si="1"/>
        <v>172934159.66102302</v>
      </c>
      <c r="H22" s="47"/>
    </row>
    <row r="23" spans="1:10" x14ac:dyDescent="0.25">
      <c r="D23" s="50">
        <f>SUM(D20:D22)</f>
        <v>6.8409535000000007E-2</v>
      </c>
      <c r="F23" s="49">
        <f>SUM(F20:F22)</f>
        <v>3449573907.6883745</v>
      </c>
      <c r="G23" s="40">
        <f>((F23)/($F$13+$F$23))*D23</f>
        <v>2.7178109049348798E-2</v>
      </c>
      <c r="H23" s="40">
        <f>((F22)/($F$12+$F$22))*B36</f>
        <v>9.8582608150091608E-2</v>
      </c>
    </row>
    <row r="24" spans="1:10" x14ac:dyDescent="0.25">
      <c r="G24" s="51"/>
    </row>
    <row r="25" spans="1:10" ht="15.75" thickBot="1" x14ac:dyDescent="0.3"/>
    <row r="26" spans="1:10" ht="15.75" thickBot="1" x14ac:dyDescent="0.3">
      <c r="A26" s="131" t="s">
        <v>98</v>
      </c>
      <c r="B26" s="132"/>
      <c r="C26" s="132"/>
      <c r="D26" s="133"/>
    </row>
    <row r="27" spans="1:10" x14ac:dyDescent="0.25">
      <c r="A27" s="42"/>
      <c r="D27" s="43" t="s">
        <v>11</v>
      </c>
    </row>
    <row r="28" spans="1:10" x14ac:dyDescent="0.25">
      <c r="B28" s="42"/>
      <c r="C28" s="42"/>
      <c r="D28" s="43" t="s">
        <v>93</v>
      </c>
    </row>
    <row r="29" spans="1:10" ht="15.75" thickBot="1" x14ac:dyDescent="0.3">
      <c r="A29" s="44" t="s">
        <v>94</v>
      </c>
      <c r="B29" s="45" t="s">
        <v>9</v>
      </c>
      <c r="C29" s="45" t="s">
        <v>6</v>
      </c>
      <c r="D29" s="45" t="s">
        <v>95</v>
      </c>
    </row>
    <row r="30" spans="1:10" x14ac:dyDescent="0.25">
      <c r="A30" s="40" t="s">
        <v>101</v>
      </c>
      <c r="B30" s="52">
        <f>F30/$F$33</f>
        <v>1.5226895518293673E-2</v>
      </c>
      <c r="C30" s="52">
        <f>H30/F30</f>
        <v>4.5999999999999999E-3</v>
      </c>
      <c r="D30" s="46">
        <f>B30*C30</f>
        <v>7.0043719384150889E-5</v>
      </c>
      <c r="F30" s="49">
        <f>F20+F10</f>
        <v>132213019.40654555</v>
      </c>
      <c r="G30" s="40">
        <f>F30/$F$33</f>
        <v>1.5226895518293673E-2</v>
      </c>
      <c r="H30" s="49">
        <f>G10+G20</f>
        <v>608179.88927010947</v>
      </c>
      <c r="I30" s="40">
        <f>H30/F30</f>
        <v>4.5999999999999999E-3</v>
      </c>
      <c r="J30" s="40">
        <f>G30*I30</f>
        <v>7.0043719384150889E-5</v>
      </c>
    </row>
    <row r="31" spans="1:10" x14ac:dyDescent="0.25">
      <c r="A31" s="40" t="s">
        <v>96</v>
      </c>
      <c r="B31" s="52">
        <f>F31/$F$33</f>
        <v>0.45259077231625627</v>
      </c>
      <c r="C31" s="52">
        <f>H31/F31</f>
        <v>4.0840259262312675E-2</v>
      </c>
      <c r="D31" s="46">
        <f>B31*C31</f>
        <v>1.8483924481126231E-2</v>
      </c>
      <c r="F31" s="49">
        <f t="shared" ref="F31:F32" si="2">F21+F11</f>
        <v>3929782830.0970783</v>
      </c>
      <c r="G31" s="40">
        <f t="shared" ref="G31:G32" si="3">F31/$F$33</f>
        <v>0.45259077231625627</v>
      </c>
      <c r="H31" s="49">
        <f t="shared" ref="H31:H32" si="4">G11+G21</f>
        <v>160493349.62574953</v>
      </c>
      <c r="I31" s="40">
        <f t="shared" ref="I31:I32" si="5">H31/F31</f>
        <v>4.0840259262312675E-2</v>
      </c>
      <c r="J31" s="40">
        <f t="shared" ref="J31:J32" si="6">G31*I31</f>
        <v>1.8483924481126231E-2</v>
      </c>
    </row>
    <row r="32" spans="1:10" ht="15.75" thickBot="1" x14ac:dyDescent="0.3">
      <c r="A32" s="40" t="s">
        <v>5</v>
      </c>
      <c r="B32" s="53">
        <f>F32/$F$33</f>
        <v>0.53218233216545008</v>
      </c>
      <c r="C32" s="53">
        <f>H32/F32</f>
        <v>9.4249999999999987E-2</v>
      </c>
      <c r="D32" s="48">
        <f>B32*C32</f>
        <v>5.0158184806593661E-2</v>
      </c>
      <c r="F32" s="49">
        <f t="shared" si="2"/>
        <v>4620865292.3295307</v>
      </c>
      <c r="G32" s="40">
        <f t="shared" si="3"/>
        <v>0.53218233216545008</v>
      </c>
      <c r="H32" s="49">
        <f t="shared" si="4"/>
        <v>435516553.80205822</v>
      </c>
      <c r="I32" s="40">
        <f t="shared" si="5"/>
        <v>9.4249999999999987E-2</v>
      </c>
      <c r="J32" s="40">
        <f t="shared" si="6"/>
        <v>5.0158184806593661E-2</v>
      </c>
    </row>
    <row r="33" spans="1:10" x14ac:dyDescent="0.25">
      <c r="B33" s="50">
        <f>SUM(B30:B32)</f>
        <v>1</v>
      </c>
      <c r="D33" s="50">
        <f>SUM(D30:D32)</f>
        <v>6.8712153007104038E-2</v>
      </c>
      <c r="F33" s="49">
        <f>SUM(F30:F32)</f>
        <v>8682861141.8331547</v>
      </c>
      <c r="G33" s="54">
        <f>SUM(G30:G32)</f>
        <v>1</v>
      </c>
      <c r="J33" s="40">
        <f>SUM(J30:J32)</f>
        <v>6.8712153007104038E-2</v>
      </c>
    </row>
    <row r="35" spans="1:10" x14ac:dyDescent="0.25">
      <c r="A35" s="40" t="s">
        <v>99</v>
      </c>
    </row>
    <row r="36" spans="1:10" x14ac:dyDescent="0.25">
      <c r="A36" s="40" t="s">
        <v>70</v>
      </c>
      <c r="B36" s="52">
        <f>'KU WACOC-Tax Table'!E10</f>
        <v>0.24826996500000001</v>
      </c>
    </row>
    <row r="37" spans="1:10" x14ac:dyDescent="0.25">
      <c r="A37" s="40" t="s">
        <v>71</v>
      </c>
      <c r="B37" s="52">
        <f>'LGE WACOC-Tax Table'!E10</f>
        <v>0.24849452</v>
      </c>
    </row>
    <row r="38" spans="1:10" x14ac:dyDescent="0.25">
      <c r="A38" s="40" t="s">
        <v>100</v>
      </c>
      <c r="B38" s="52">
        <f>SUM(H13:H23)</f>
        <v>0.2484053540891209</v>
      </c>
    </row>
  </sheetData>
  <mergeCells count="5">
    <mergeCell ref="A1:D1"/>
    <mergeCell ref="A2:D2"/>
    <mergeCell ref="A6:D6"/>
    <mergeCell ref="A16:D16"/>
    <mergeCell ref="A26:D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EBE2AC83CBF4DBDD768E1B572F6C5" ma:contentTypeVersion="22" ma:contentTypeDescription="Create a new document." ma:contentTypeScope="" ma:versionID="4bffbf025570108a8d028dbe3291b700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c6fedcf7c2c0918743fe259a7913fb6d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2" ma:format="Dropdown" ma:internalName="Year">
      <xsd:simpleType>
        <xsd:restriction base="dms:Choice">
          <xsd:enumeration value="2022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Testimony, Orders, Motions, Notices, and Briefs"/>
          <xsd:enumeration value="First Round Data Requests"/>
          <xsd:enumeration value="Second Round Data Requests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Bevington, John"/>
          <xsd:enumeration value="Conroy, Robert"/>
          <xsd:enumeration value="Hornung, Mike"/>
          <xsd:enumeration value="Multipl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Public Service Commission"/>
          <xsd:enumeration value="Attorney General"/>
          <xsd:enumeration value="Ky. Industrial Utility Cust."/>
          <xsd:enumeration value="Assoc. of Community Ministries"/>
          <xsd:enumeration value="Lex.-Fay. Urban Co. Gov’t."/>
          <xsd:enumeration value="Comm. Act. Council for Lex.-Fay., Bourb., Harr., &amp; Nich. Cos."/>
          <xsd:enumeration value="Kroger"/>
          <xsd:enumeration value="Ky. Cable Telecomm. Assoc."/>
          <xsd:enumeration value="Sierra Club"/>
          <xsd:enumeration value="Walmart"/>
          <xsd:enumeration value="Ky. School Boards Assoc."/>
          <xsd:enumeration value="U.S. Dept. of Defense"/>
          <xsd:enumeration value="Metro. Housing Coali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2022</Year>
    <Review_x0020_Case_x0020_Doc_x0020_Types xmlns="65bfb563-8fe2-4d34-a09f-38a217d8feea">First Round Data Requests</Review_x0020_Case_x0020_Doc_x0020_Types>
    <Case_x0020__x0023_ xmlns="f789fa03-9022-4931-acb2-79f11ac92edf" xsi:nil="true"/>
    <Data_x0020_Request_x0020_Party xmlns="f789fa03-9022-4931-acb2-79f11ac92edf" xsi:nil="true"/>
    <Status_x0020__x0028_Internal_x0020_Use_x0020_Only_x0029_ xmlns="2ad705b9-adad-42ba-803b-2580de5ca47a"/>
    <Company xmlns="65bfb563-8fe2-4d34-a09f-38a217d8feea">
      <Value>KU</Value>
    </Company>
  </documentManagement>
</p:properties>
</file>

<file path=customXml/itemProps1.xml><?xml version="1.0" encoding="utf-8"?>
<ds:datastoreItem xmlns:ds="http://schemas.openxmlformats.org/officeDocument/2006/customXml" ds:itemID="{529573F5-4993-42EA-B998-1A4F7460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A90EAD-B769-413A-98C0-42ADE0CEA4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EF516-6CC1-410F-94B6-BF183918FDEC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a97646d-5e46-4532-99d2-95b688ae3204"/>
    <ds:schemaRef ds:uri="2b9e1b56-1bc3-4bb6-83f9-6df8fea7da23"/>
    <ds:schemaRef ds:uri="7e1690bc-552b-4878-9693-ea0d85c5988a"/>
    <ds:schemaRef ds:uri="65bfb563-8fe2-4d34-a09f-38a217d8feea"/>
    <ds:schemaRef ds:uri="f789fa03-9022-4931-acb2-79f11ac92edf"/>
    <ds:schemaRef ds:uri="2ad705b9-adad-42ba-803b-2580de5ca4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</vt:lpstr>
      <vt:lpstr>Prod Economic Carrying Charge</vt:lpstr>
      <vt:lpstr>Prod PVRR</vt:lpstr>
      <vt:lpstr>Combined WACOC-Tax Table</vt:lpstr>
      <vt:lpstr>LGE WACOC-Tax Table</vt:lpstr>
      <vt:lpstr>KU WACOC-Tax Table</vt:lpstr>
      <vt:lpstr>WACOC</vt:lpstr>
      <vt:lpstr>'KU WACOC-Tax Table'!Print_Area</vt:lpstr>
      <vt:lpstr>'LGE WACOC-Tax Table'!Print_Area</vt:lpstr>
      <vt:lpstr>'Prod Economic Carrying Charge'!Print_Area</vt:lpstr>
      <vt:lpstr>'Prod PVRR'!Print_Area</vt:lpstr>
      <vt:lpstr>Summary!Print_Area</vt:lpstr>
      <vt:lpstr>WACOC!Print_Area</vt:lpstr>
      <vt:lpstr>'Prod PVRR'!Print_Titles</vt:lpstr>
    </vt:vector>
  </TitlesOfParts>
  <Company>The Prime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Steve Seelye</dc:creator>
  <cp:lastModifiedBy>SKO</cp:lastModifiedBy>
  <cp:lastPrinted>2022-08-12T18:49:49Z</cp:lastPrinted>
  <dcterms:created xsi:type="dcterms:W3CDTF">2008-07-02T22:21:05Z</dcterms:created>
  <dcterms:modified xsi:type="dcterms:W3CDTF">2023-05-25T19:37:19Z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0x010100E5CEBE2AC83CBF4DBDD768E1B572F6C5</vt:lpwstr>
  </property>
  <property fmtid="{D5CDD505-2E9C-101B-9397-08002B2CF9AE}" pid="3" name="MediaServiceImageTags">
    <vt:lpwstr/>
  </property>
  <property fmtid="{D5CDD505-2E9C-101B-9397-08002B2CF9AE}" pid="4" name="eDOCS AutoSave">
    <vt:lpwstr/>
  </property>
</Properties>
</file>