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8_{7BABE55E-3419-49C1-8D2E-F10EF23584EE}" xr6:coauthVersionLast="47" xr6:coauthVersionMax="47" xr10:uidLastSave="{00000000-0000-0000-0000-000000000000}"/>
  <bookViews>
    <workbookView xWindow="-120" yWindow="-120" windowWidth="29040" windowHeight="15840" xr2:uid="{B3B0AF5A-6610-465E-9CE0-9DCEF0FFCF4A}"/>
  </bookViews>
  <sheets>
    <sheet name="Sheet1" sheetId="1" r:id="rId1"/>
  </sheets>
  <definedNames>
    <definedName name="_xlnm.Print_Area" localSheetId="0">Sheet1!$A$1:$H$131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1" i="1" l="1"/>
  <c r="C110" i="1"/>
  <c r="C109" i="1"/>
  <c r="C108" i="1"/>
  <c r="B124" i="1"/>
  <c r="B88" i="1"/>
  <c r="B89" i="1"/>
  <c r="B108" i="1"/>
  <c r="B109" i="1"/>
  <c r="B70" i="1"/>
  <c r="B71" i="1"/>
  <c r="B38" i="1"/>
  <c r="B39" i="1"/>
  <c r="B77" i="1"/>
  <c r="B45" i="1"/>
  <c r="B20" i="1"/>
  <c r="B11" i="1"/>
  <c r="B64" i="1"/>
  <c r="B31" i="1"/>
  <c r="B32" i="1"/>
  <c r="B4" i="1"/>
  <c r="B57" i="1"/>
  <c r="B25" i="1"/>
  <c r="C112" i="1" l="1"/>
  <c r="C126" i="1"/>
  <c r="C125" i="1"/>
  <c r="C124" i="1"/>
  <c r="B126" i="1"/>
  <c r="D126" i="1" s="1"/>
  <c r="B125" i="1"/>
  <c r="D125" i="1" s="1"/>
  <c r="D111" i="1"/>
  <c r="B111" i="1"/>
  <c r="D110" i="1"/>
  <c r="D109" i="1"/>
  <c r="E109" i="1" s="1"/>
  <c r="H109" i="1" s="1"/>
  <c r="B110" i="1"/>
  <c r="E110" i="1" s="1"/>
  <c r="C84" i="1"/>
  <c r="C83" i="1"/>
  <c r="B84" i="1"/>
  <c r="D84" i="1" s="1"/>
  <c r="B83" i="1"/>
  <c r="C103" i="1"/>
  <c r="C102" i="1"/>
  <c r="D102" i="1" s="1"/>
  <c r="B103" i="1"/>
  <c r="D103" i="1" s="1"/>
  <c r="B102" i="1"/>
  <c r="C52" i="1"/>
  <c r="C51" i="1"/>
  <c r="D51" i="1" s="1"/>
  <c r="B52" i="1"/>
  <c r="D52" i="1" s="1"/>
  <c r="B51" i="1"/>
  <c r="C78" i="1"/>
  <c r="B78" i="1"/>
  <c r="D78" i="1" s="1"/>
  <c r="C46" i="1"/>
  <c r="C45" i="1"/>
  <c r="D45" i="1" s="1"/>
  <c r="G45" i="1" s="1"/>
  <c r="B46" i="1"/>
  <c r="D46" i="1" s="1"/>
  <c r="C72" i="1"/>
  <c r="C71" i="1"/>
  <c r="D71" i="1" s="1"/>
  <c r="B72" i="1"/>
  <c r="D72" i="1" s="1"/>
  <c r="C97" i="1"/>
  <c r="C96" i="1"/>
  <c r="D96" i="1" s="1"/>
  <c r="B97" i="1"/>
  <c r="D97" i="1" s="1"/>
  <c r="B96" i="1"/>
  <c r="C40" i="1"/>
  <c r="C39" i="1"/>
  <c r="D39" i="1" s="1"/>
  <c r="B40" i="1"/>
  <c r="B41" i="1" s="1"/>
  <c r="C77" i="1"/>
  <c r="D77" i="1" s="1"/>
  <c r="G77" i="1" s="1"/>
  <c r="C19" i="1"/>
  <c r="C18" i="1"/>
  <c r="D19" i="1"/>
  <c r="C90" i="1"/>
  <c r="C89" i="1"/>
  <c r="D89" i="1" s="1"/>
  <c r="B90" i="1"/>
  <c r="D90" i="1" s="1"/>
  <c r="C13" i="1"/>
  <c r="C12" i="1"/>
  <c r="C11" i="1"/>
  <c r="D11" i="1" s="1"/>
  <c r="B13" i="1"/>
  <c r="D13" i="1" s="1"/>
  <c r="B12" i="1"/>
  <c r="D12" i="1" s="1"/>
  <c r="C66" i="1"/>
  <c r="C65" i="1"/>
  <c r="C64" i="1"/>
  <c r="D64" i="1" s="1"/>
  <c r="G64" i="1" s="1"/>
  <c r="B66" i="1"/>
  <c r="E66" i="1" s="1"/>
  <c r="B65" i="1"/>
  <c r="D65" i="1" s="1"/>
  <c r="C34" i="1"/>
  <c r="C33" i="1"/>
  <c r="C32" i="1"/>
  <c r="D32" i="1" s="1"/>
  <c r="B34" i="1"/>
  <c r="D34" i="1" s="1"/>
  <c r="B33" i="1"/>
  <c r="D33" i="1" s="1"/>
  <c r="C5" i="1"/>
  <c r="C4" i="1"/>
  <c r="B6" i="1"/>
  <c r="E6" i="1" s="1"/>
  <c r="B5" i="1"/>
  <c r="D5" i="1" s="1"/>
  <c r="D57" i="1"/>
  <c r="G57" i="1" s="1"/>
  <c r="C60" i="1"/>
  <c r="B59" i="1"/>
  <c r="D59" i="1" s="1"/>
  <c r="B58" i="1"/>
  <c r="D58" i="1" s="1"/>
  <c r="C27" i="1"/>
  <c r="C26" i="1"/>
  <c r="C25" i="1"/>
  <c r="D25" i="1" s="1"/>
  <c r="G25" i="1" s="1"/>
  <c r="B27" i="1"/>
  <c r="D27" i="1" s="1"/>
  <c r="B26" i="1"/>
  <c r="D26" i="1" s="1"/>
  <c r="B104" i="1" l="1"/>
  <c r="B85" i="1"/>
  <c r="B112" i="1"/>
  <c r="B73" i="1"/>
  <c r="B127" i="1"/>
  <c r="B47" i="1"/>
  <c r="B60" i="1"/>
  <c r="B79" i="1"/>
  <c r="B14" i="1"/>
  <c r="B91" i="1"/>
  <c r="B67" i="1"/>
  <c r="B7" i="1"/>
  <c r="B28" i="1"/>
  <c r="B35" i="1"/>
  <c r="B98" i="1"/>
  <c r="C7" i="1"/>
  <c r="E26" i="1"/>
  <c r="G26" i="1" s="1"/>
  <c r="B53" i="1"/>
  <c r="E84" i="1"/>
  <c r="E85" i="1" s="1"/>
  <c r="C85" i="1"/>
  <c r="E103" i="1"/>
  <c r="E104" i="1" s="1"/>
  <c r="C79" i="1"/>
  <c r="D83" i="1"/>
  <c r="D85" i="1" s="1"/>
  <c r="C127" i="1"/>
  <c r="E97" i="1"/>
  <c r="E98" i="1" s="1"/>
  <c r="G96" i="1"/>
  <c r="D98" i="1"/>
  <c r="G102" i="1"/>
  <c r="D104" i="1"/>
  <c r="E13" i="1"/>
  <c r="F13" i="1" s="1"/>
  <c r="F14" i="1" s="1"/>
  <c r="C98" i="1"/>
  <c r="C104" i="1"/>
  <c r="C20" i="1"/>
  <c r="E125" i="1"/>
  <c r="G125" i="1" s="1"/>
  <c r="E126" i="1"/>
  <c r="F126" i="1" s="1"/>
  <c r="F127" i="1" s="1"/>
  <c r="D124" i="1"/>
  <c r="E52" i="1"/>
  <c r="E53" i="1" s="1"/>
  <c r="G51" i="1"/>
  <c r="D53" i="1"/>
  <c r="C53" i="1"/>
  <c r="E78" i="1"/>
  <c r="E79" i="1" s="1"/>
  <c r="D79" i="1"/>
  <c r="E46" i="1"/>
  <c r="E47" i="1" s="1"/>
  <c r="C47" i="1"/>
  <c r="D47" i="1"/>
  <c r="C91" i="1"/>
  <c r="E72" i="1"/>
  <c r="E73" i="1" s="1"/>
  <c r="E59" i="1"/>
  <c r="F59" i="1" s="1"/>
  <c r="D6" i="1"/>
  <c r="F6" i="1" s="1"/>
  <c r="F7" i="1" s="1"/>
  <c r="C67" i="1"/>
  <c r="E90" i="1"/>
  <c r="E91" i="1" s="1"/>
  <c r="D91" i="1"/>
  <c r="G89" i="1"/>
  <c r="D73" i="1"/>
  <c r="G71" i="1"/>
  <c r="E19" i="1"/>
  <c r="E20" i="1" s="1"/>
  <c r="G39" i="1"/>
  <c r="C41" i="1"/>
  <c r="E27" i="1"/>
  <c r="E33" i="1"/>
  <c r="G33" i="1" s="1"/>
  <c r="D18" i="1"/>
  <c r="D40" i="1"/>
  <c r="D41" i="1" s="1"/>
  <c r="C73" i="1"/>
  <c r="E5" i="1"/>
  <c r="E7" i="1" s="1"/>
  <c r="E12" i="1"/>
  <c r="G32" i="1"/>
  <c r="D35" i="1"/>
  <c r="E58" i="1"/>
  <c r="D14" i="1"/>
  <c r="G11" i="1"/>
  <c r="D60" i="1"/>
  <c r="D4" i="1"/>
  <c r="C35" i="1"/>
  <c r="E65" i="1"/>
  <c r="E67" i="1" s="1"/>
  <c r="D66" i="1"/>
  <c r="C14" i="1"/>
  <c r="E34" i="1"/>
  <c r="F34" i="1" s="1"/>
  <c r="C28" i="1"/>
  <c r="D112" i="1"/>
  <c r="E111" i="1"/>
  <c r="E112" i="1" s="1"/>
  <c r="F111" i="1"/>
  <c r="F110" i="1"/>
  <c r="H110" i="1" s="1"/>
  <c r="D28" i="1"/>
  <c r="E28" i="1" l="1"/>
  <c r="G84" i="1"/>
  <c r="G46" i="1"/>
  <c r="G47" i="1" s="1"/>
  <c r="G90" i="1"/>
  <c r="G91" i="1" s="1"/>
  <c r="G103" i="1"/>
  <c r="G104" i="1" s="1"/>
  <c r="G97" i="1"/>
  <c r="G98" i="1" s="1"/>
  <c r="G19" i="1"/>
  <c r="G83" i="1"/>
  <c r="E14" i="1"/>
  <c r="E60" i="1"/>
  <c r="G72" i="1"/>
  <c r="G73" i="1" s="1"/>
  <c r="G126" i="1"/>
  <c r="D127" i="1"/>
  <c r="G124" i="1"/>
  <c r="E127" i="1"/>
  <c r="G52" i="1"/>
  <c r="G53" i="1" s="1"/>
  <c r="G78" i="1"/>
  <c r="G79" i="1" s="1"/>
  <c r="F60" i="1"/>
  <c r="G59" i="1"/>
  <c r="F27" i="1"/>
  <c r="F28" i="1" s="1"/>
  <c r="E40" i="1"/>
  <c r="E41" i="1" s="1"/>
  <c r="G65" i="1"/>
  <c r="G40" i="1"/>
  <c r="G41" i="1" s="1"/>
  <c r="D20" i="1"/>
  <c r="G18" i="1"/>
  <c r="G6" i="1"/>
  <c r="F35" i="1"/>
  <c r="G34" i="1"/>
  <c r="G35" i="1" s="1"/>
  <c r="D7" i="1"/>
  <c r="G4" i="1"/>
  <c r="G13" i="1"/>
  <c r="G12" i="1"/>
  <c r="D67" i="1"/>
  <c r="E35" i="1"/>
  <c r="F66" i="1"/>
  <c r="F67" i="1" s="1"/>
  <c r="G58" i="1"/>
  <c r="G5" i="1"/>
  <c r="F112" i="1"/>
  <c r="G111" i="1"/>
  <c r="G112" i="1" s="1"/>
  <c r="G85" i="1" l="1"/>
  <c r="G27" i="1"/>
  <c r="G28" i="1" s="1"/>
  <c r="G60" i="1"/>
  <c r="G127" i="1"/>
  <c r="G20" i="1"/>
  <c r="G7" i="1"/>
  <c r="G14" i="1"/>
  <c r="G66" i="1"/>
  <c r="G67" i="1" s="1"/>
  <c r="H111" i="1"/>
  <c r="H112" i="1" s="1"/>
</calcChain>
</file>

<file path=xl/sharedStrings.xml><?xml version="1.0" encoding="utf-8"?>
<sst xmlns="http://schemas.openxmlformats.org/spreadsheetml/2006/main" count="208" uniqueCount="71">
  <si>
    <t>RESIDENTIAL 3/4-INCH METER</t>
  </si>
  <si>
    <t>BILLS</t>
  </si>
  <si>
    <t>GALLONS</t>
  </si>
  <si>
    <t>FIRST 2,000</t>
  </si>
  <si>
    <t>NEXT 8,000</t>
  </si>
  <si>
    <t>OVER 10,000</t>
  </si>
  <si>
    <t>TOTAL</t>
  </si>
  <si>
    <t>NEXT 8,000 GALLONS</t>
  </si>
  <si>
    <t>OVER 10,000 GALLONS</t>
  </si>
  <si>
    <t>COMMERCIAL 3/4-INCH METER</t>
  </si>
  <si>
    <t>COMMERCIAL 1-INCH METER</t>
  </si>
  <si>
    <t>NEXT 5,000 GALLONS</t>
  </si>
  <si>
    <t>COMMERCIAL 2-INCH METER</t>
  </si>
  <si>
    <t>OVER 20,000 GALLONS</t>
  </si>
  <si>
    <t>COMMERCIAL 3-INCH METER</t>
  </si>
  <si>
    <t>OVER 30,000 GALLONS</t>
  </si>
  <si>
    <t>COMMERCIAL 4-INCH METER</t>
  </si>
  <si>
    <t>PUBLIC AUTHORITY 3/4-INCH METER</t>
  </si>
  <si>
    <t>PUBLIC AUTHORITY 1-INCH METER</t>
  </si>
  <si>
    <t>PUBLIC AUTHORITY 2-INCH METER</t>
  </si>
  <si>
    <t>PUBLIC AUTHORITY 3-INCH METER</t>
  </si>
  <si>
    <t>PUBLIC AUTHORITY 4-INCH METER</t>
  </si>
  <si>
    <t>PUBLIC AUTHORITY 6-INCH METER</t>
  </si>
  <si>
    <t>INDUSTRIAL 2-INCH METER</t>
  </si>
  <si>
    <t>INDUSTRIAL 4-INCH METER</t>
  </si>
  <si>
    <t>MULTIPLE METERS BILLED AT 3/4-INCH METER</t>
  </si>
  <si>
    <t>WHOLESALE CUSTOMERS</t>
  </si>
  <si>
    <t>MARTIN COUNTY WATER DISTRICT</t>
  </si>
  <si>
    <t>MINGO COUNTY PUBLIC SERVICE DISTRICT</t>
  </si>
  <si>
    <t>NOLIN PUBLIC SERVICE DISTRICT</t>
  </si>
  <si>
    <t xml:space="preserve">ELKHORN CITY </t>
  </si>
  <si>
    <t>OVER 50,000 GALLONS</t>
  </si>
  <si>
    <t>OVER 100,000 GALLONS</t>
  </si>
  <si>
    <t>Gallons</t>
  </si>
  <si>
    <t>FIRST 5,000</t>
  </si>
  <si>
    <t>NEXT 5,000</t>
  </si>
  <si>
    <t>FIRST 20,000</t>
  </si>
  <si>
    <t>OVER 20,000</t>
  </si>
  <si>
    <t>FIRST 30,000</t>
  </si>
  <si>
    <t>OVER 30,000</t>
  </si>
  <si>
    <t>FIRST 50,000</t>
  </si>
  <si>
    <t>OVER 50,000</t>
  </si>
  <si>
    <t>FIRST 100,000</t>
  </si>
  <si>
    <t>OVER 100,000</t>
  </si>
  <si>
    <t>RESIDENTIAL 1-INCH METER</t>
  </si>
  <si>
    <t>RESIDENTIAL 2-INCH METER</t>
  </si>
  <si>
    <t>Mountain Water District Usage</t>
  </si>
  <si>
    <t>ZERO USAGE BILLS</t>
  </si>
  <si>
    <t>*NOT BILLED</t>
  </si>
  <si>
    <t>FIRST 2,000 MINIMUM BILL</t>
  </si>
  <si>
    <t>FIRST 5,000 MINIMUM BILL</t>
  </si>
  <si>
    <t>FIRST 20,000 MINIMUM BILL</t>
  </si>
  <si>
    <t>FIRST 30,000 MINIMUM BILL</t>
  </si>
  <si>
    <t>FIRST 50,000 MINIMUM BILL</t>
  </si>
  <si>
    <t>FIRST 100,000 MINIMUM BILL</t>
  </si>
  <si>
    <t>TOTAL  (ALL SUBJECT TO CUSTOMER CHARGE OF $7.76)</t>
  </si>
  <si>
    <t>TOTAL (ALL SUBJECT TO CUSTOMER CHARGE OF $7.76)</t>
  </si>
  <si>
    <t>ZERO USAGE BILLS (SUBJECT ONLY TO CUSTOMER CHARGE OF $7.76)</t>
  </si>
  <si>
    <t>TOTAL  (ALL SUBJECT TO CUSTOMER CHARGE OF $12.94)</t>
  </si>
  <si>
    <t>TOTAL (ALL SUBJECT TO CUSTOMER CHARGE OF $12.94)</t>
  </si>
  <si>
    <t>TOTAL  (ALL SUBJECT TO CUSTOMER CHARGE OF $28.75)</t>
  </si>
  <si>
    <t>TOTAL (ALL SUBJECT TO CUSTOMER CHARGE OF $50.03)</t>
  </si>
  <si>
    <t>TOTAL (EACH SERVICE SUBJECT TO METER CHARGE OF $7.76)</t>
  </si>
  <si>
    <t>ZERO USAGE BILLS (EACH SERVICE SUBJECT TO METER CHARGE OF $7.76)</t>
  </si>
  <si>
    <t>ZERO USAGE BILLS (SUBJECT ONLY TO CUSTOMER CHARGE OF $12.94)</t>
  </si>
  <si>
    <t>ZERO USAGE BILLS (SUBJECT ONLY TO CUSTOMER CHARGE OF $28.75)</t>
  </si>
  <si>
    <t>ZERO USAGE BILLS (SUBJECT ONLY TO CUSTOMER CHARGE OF $50.03)</t>
  </si>
  <si>
    <t>*MWD Usage is for tracking purposes only; it is not billed</t>
  </si>
  <si>
    <t xml:space="preserve">**Total Bills for each class and meter size would receive a customer charge if such a charge is proposed and authorized </t>
  </si>
  <si>
    <t>***First Usage Block for each customer class does not include bills for which no usage was recorded for the billing period; for total number of bills assessed a minimum bill, add zero usage block and First Usage Block (Minimum Bill)</t>
  </si>
  <si>
    <t>SERVICES
BILLED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</si>
</sst>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/>
    <xf numFmtId="3" fontId="0" fillId="0" borderId="2" xfId="0" applyNumberFormat="1" applyBorder="1"/>
    <xf numFmtId="3" fontId="0" fillId="0" borderId="0" xfId="0" applyNumberFormat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2" xfId="0" applyFill="1" applyBorder="1" applyAlignment="1">
      <alignment horizontal="center" wrapText="1"/>
    </xf>
    <xf numFmtId="3" fontId="1" fillId="0" borderId="1" xfId="0" applyNumberFormat="1" applyFont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2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0" fillId="0" borderId="1" xfId="1" applyNumberFormat="1" applyFont="1" applyBorder="1"/>
    <xf numFmtId="164" fontId="1" fillId="0" borderId="1" xfId="1" applyNumberFormat="1" applyFont="1" applyBorder="1"/>
    <xf numFmtId="164" fontId="0" fillId="2" borderId="1" xfId="1" applyNumberFormat="1" applyFont="1" applyFill="1" applyBorder="1" applyAlignment="1">
      <alignment horizontal="center"/>
    </xf>
    <xf numFmtId="164" fontId="0" fillId="2" borderId="1" xfId="1" applyNumberFormat="1" applyFont="1" applyFill="1" applyBorder="1"/>
    <xf numFmtId="0" fontId="0" fillId="0" borderId="0" xfId="0" applyFill="1" applyBorder="1"/>
    <xf numFmtId="0" fontId="0" fillId="0" borderId="0" xfId="0" applyBorder="1"/>
    <xf numFmtId="0" fontId="0" fillId="0" borderId="4" xfId="0" applyBorder="1"/>
    <xf numFmtId="164" fontId="0" fillId="0" borderId="5" xfId="1" applyNumberFormat="1" applyFont="1" applyBorder="1"/>
    <xf numFmtId="3" fontId="0" fillId="0" borderId="5" xfId="0" applyNumberFormat="1" applyBorder="1"/>
    <xf numFmtId="0" fontId="0" fillId="2" borderId="5" xfId="0" applyFill="1" applyBorder="1"/>
    <xf numFmtId="3" fontId="1" fillId="0" borderId="6" xfId="0" applyNumberFormat="1" applyFont="1" applyBorder="1"/>
    <xf numFmtId="164" fontId="0" fillId="2" borderId="5" xfId="1" applyNumberFormat="1" applyFont="1" applyFill="1" applyBorder="1"/>
    <xf numFmtId="164" fontId="1" fillId="0" borderId="6" xfId="1" applyNumberFormat="1" applyFont="1" applyBorder="1"/>
    <xf numFmtId="0" fontId="0" fillId="0" borderId="3" xfId="0" applyBorder="1"/>
    <xf numFmtId="164" fontId="0" fillId="0" borderId="3" xfId="1" applyNumberFormat="1" applyFont="1" applyBorder="1"/>
    <xf numFmtId="3" fontId="0" fillId="0" borderId="3" xfId="0" applyNumberFormat="1" applyBorder="1"/>
    <xf numFmtId="3" fontId="1" fillId="0" borderId="3" xfId="0" applyNumberFormat="1" applyFont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Fill="1" applyBorder="1"/>
    <xf numFmtId="0" fontId="0" fillId="0" borderId="0" xfId="0" applyFill="1" applyBorder="1"/>
    <xf numFmtId="0" fontId="0" fillId="0" borderId="0" xfId="0" applyFill="1" applyBorder="1" applyAlignment="1">
      <alignment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46C7E-99D2-4D2D-AD4C-A969F2BB0A55}">
  <dimension ref="A1:N132"/>
  <sheetViews>
    <sheetView tabSelected="1" topLeftCell="A25" workbookViewId="0">
      <selection activeCell="A120" sqref="A120:G120"/>
    </sheetView>
  </sheetViews>
  <sheetFormatPr defaultRowHeight="15" x14ac:dyDescent="0.25"/>
  <cols>
    <col min="1" max="1" width="63.42578125" customWidth="1"/>
    <col min="2" max="2" width="12" customWidth="1"/>
    <col min="3" max="3" width="13.140625" customWidth="1"/>
    <col min="4" max="4" width="12.28515625" customWidth="1"/>
    <col min="5" max="5" width="12.85546875" customWidth="1"/>
    <col min="6" max="6" width="11.42578125" customWidth="1"/>
    <col min="7" max="7" width="12.5703125" customWidth="1"/>
    <col min="8" max="8" width="12.28515625" customWidth="1"/>
  </cols>
  <sheetData>
    <row r="1" spans="1:7" x14ac:dyDescent="0.25">
      <c r="A1" s="43" t="s">
        <v>0</v>
      </c>
      <c r="B1" s="44"/>
      <c r="C1" s="44"/>
      <c r="D1" s="44"/>
      <c r="E1" s="44"/>
      <c r="F1" s="44"/>
      <c r="G1" s="45"/>
    </row>
    <row r="2" spans="1:7" ht="30" x14ac:dyDescent="0.25">
      <c r="A2" s="2"/>
      <c r="B2" s="20" t="s">
        <v>1</v>
      </c>
      <c r="C2" s="20" t="s">
        <v>2</v>
      </c>
      <c r="D2" s="20" t="s">
        <v>3</v>
      </c>
      <c r="E2" s="20" t="s">
        <v>4</v>
      </c>
      <c r="F2" s="19" t="s">
        <v>5</v>
      </c>
      <c r="G2" s="20" t="s">
        <v>6</v>
      </c>
    </row>
    <row r="3" spans="1:7" x14ac:dyDescent="0.25">
      <c r="A3" s="14" t="s">
        <v>57</v>
      </c>
      <c r="B3" s="26">
        <v>9278</v>
      </c>
      <c r="C3" s="26">
        <v>0</v>
      </c>
      <c r="D3" s="26">
        <v>0</v>
      </c>
      <c r="E3" s="26">
        <v>0</v>
      </c>
      <c r="F3" s="26">
        <v>0</v>
      </c>
      <c r="G3" s="26">
        <v>0</v>
      </c>
    </row>
    <row r="4" spans="1:7" x14ac:dyDescent="0.25">
      <c r="A4" s="1" t="s">
        <v>49</v>
      </c>
      <c r="B4" s="26">
        <f>65559</f>
        <v>65559</v>
      </c>
      <c r="C4" s="26">
        <f>73293660</f>
        <v>73293660</v>
      </c>
      <c r="D4" s="26">
        <f>C4</f>
        <v>73293660</v>
      </c>
      <c r="E4" s="26">
        <v>0</v>
      </c>
      <c r="F4" s="26">
        <v>0</v>
      </c>
      <c r="G4" s="26">
        <f>SUM(D4:F4)</f>
        <v>73293660</v>
      </c>
    </row>
    <row r="5" spans="1:7" x14ac:dyDescent="0.25">
      <c r="A5" s="1" t="s">
        <v>7</v>
      </c>
      <c r="B5" s="26">
        <f>107785</f>
        <v>107785</v>
      </c>
      <c r="C5" s="26">
        <f>426219270</f>
        <v>426219270</v>
      </c>
      <c r="D5" s="26">
        <f>B5*2000</f>
        <v>215570000</v>
      </c>
      <c r="E5" s="26">
        <f>C5-D5</f>
        <v>210649270</v>
      </c>
      <c r="F5" s="26">
        <v>0</v>
      </c>
      <c r="G5" s="26">
        <f>SUM(D5:F5)</f>
        <v>426219270</v>
      </c>
    </row>
    <row r="6" spans="1:7" x14ac:dyDescent="0.25">
      <c r="A6" s="1" t="s">
        <v>8</v>
      </c>
      <c r="B6" s="26">
        <f>4695</f>
        <v>4695</v>
      </c>
      <c r="C6" s="26">
        <v>84456760</v>
      </c>
      <c r="D6" s="26">
        <f>B6*2000</f>
        <v>9390000</v>
      </c>
      <c r="E6" s="26">
        <f>B6*8000</f>
        <v>37560000</v>
      </c>
      <c r="F6" s="26">
        <f>C6-D6-E6</f>
        <v>37506760</v>
      </c>
      <c r="G6" s="26">
        <f>SUM(D6:F6)</f>
        <v>84456760</v>
      </c>
    </row>
    <row r="7" spans="1:7" x14ac:dyDescent="0.25">
      <c r="A7" s="1" t="s">
        <v>55</v>
      </c>
      <c r="B7" s="26">
        <f>SUM(B3:B6)</f>
        <v>187317</v>
      </c>
      <c r="C7" s="26">
        <f>SUM(C4:C6)</f>
        <v>583969690</v>
      </c>
      <c r="D7" s="26">
        <f>SUM(D4:D6)</f>
        <v>298253660</v>
      </c>
      <c r="E7" s="26">
        <f>SUM(E4:E6)</f>
        <v>248209270</v>
      </c>
      <c r="F7" s="26">
        <f>SUM(F4:F6)</f>
        <v>37506760</v>
      </c>
      <c r="G7" s="27">
        <f>SUM(G4:G6)</f>
        <v>583969690</v>
      </c>
    </row>
    <row r="8" spans="1:7" x14ac:dyDescent="0.25">
      <c r="A8" s="43" t="s">
        <v>44</v>
      </c>
      <c r="B8" s="44"/>
      <c r="C8" s="44"/>
      <c r="D8" s="44"/>
      <c r="E8" s="44"/>
      <c r="F8" s="44"/>
      <c r="G8" s="45"/>
    </row>
    <row r="9" spans="1:7" ht="30" x14ac:dyDescent="0.25">
      <c r="A9" s="2"/>
      <c r="B9" s="20" t="s">
        <v>1</v>
      </c>
      <c r="C9" s="20" t="s">
        <v>2</v>
      </c>
      <c r="D9" s="20" t="s">
        <v>3</v>
      </c>
      <c r="E9" s="20" t="s">
        <v>4</v>
      </c>
      <c r="F9" s="19" t="s">
        <v>5</v>
      </c>
      <c r="G9" s="20" t="s">
        <v>6</v>
      </c>
    </row>
    <row r="10" spans="1:7" x14ac:dyDescent="0.25">
      <c r="A10" s="14" t="s">
        <v>57</v>
      </c>
      <c r="B10" s="26">
        <v>10</v>
      </c>
      <c r="C10" s="26">
        <v>0</v>
      </c>
      <c r="D10" s="26">
        <v>0</v>
      </c>
      <c r="E10" s="26">
        <v>0</v>
      </c>
      <c r="F10" s="26">
        <v>0</v>
      </c>
      <c r="G10" s="26">
        <v>0</v>
      </c>
    </row>
    <row r="11" spans="1:7" x14ac:dyDescent="0.25">
      <c r="A11" s="1" t="s">
        <v>50</v>
      </c>
      <c r="B11" s="26">
        <f>57</f>
        <v>57</v>
      </c>
      <c r="C11" s="26">
        <f>142090</f>
        <v>142090</v>
      </c>
      <c r="D11" s="26">
        <f>C11</f>
        <v>142090</v>
      </c>
      <c r="E11" s="26">
        <v>0</v>
      </c>
      <c r="F11" s="26">
        <v>0</v>
      </c>
      <c r="G11" s="26">
        <f>SUM(D11:F11)</f>
        <v>142090</v>
      </c>
    </row>
    <row r="12" spans="1:7" x14ac:dyDescent="0.25">
      <c r="A12" s="1" t="s">
        <v>11</v>
      </c>
      <c r="B12" s="26">
        <f>12</f>
        <v>12</v>
      </c>
      <c r="C12" s="26">
        <f>78550</f>
        <v>78550</v>
      </c>
      <c r="D12" s="26">
        <f>B12*5000</f>
        <v>60000</v>
      </c>
      <c r="E12" s="26">
        <f>C12-D12</f>
        <v>18550</v>
      </c>
      <c r="F12" s="26">
        <v>0</v>
      </c>
      <c r="G12" s="26">
        <f>SUM(D12:F12)</f>
        <v>78550</v>
      </c>
    </row>
    <row r="13" spans="1:7" x14ac:dyDescent="0.25">
      <c r="A13" s="1" t="s">
        <v>8</v>
      </c>
      <c r="B13" s="26">
        <f>9</f>
        <v>9</v>
      </c>
      <c r="C13" s="26">
        <f>175090</f>
        <v>175090</v>
      </c>
      <c r="D13" s="26">
        <f>B13*5000</f>
        <v>45000</v>
      </c>
      <c r="E13" s="26">
        <f>B13*5000</f>
        <v>45000</v>
      </c>
      <c r="F13" s="26">
        <f>C13-D13-E13</f>
        <v>85090</v>
      </c>
      <c r="G13" s="26">
        <f>SUM(D13:F13)</f>
        <v>175090</v>
      </c>
    </row>
    <row r="14" spans="1:7" x14ac:dyDescent="0.25">
      <c r="A14" s="1" t="s">
        <v>56</v>
      </c>
      <c r="B14" s="26">
        <f>SUM(B10:B13)</f>
        <v>88</v>
      </c>
      <c r="C14" s="26">
        <f>SUM(C11:C13)</f>
        <v>395730</v>
      </c>
      <c r="D14" s="26">
        <f>SUM(D11:D13)</f>
        <v>247090</v>
      </c>
      <c r="E14" s="26">
        <f>SUM(E11:E13)</f>
        <v>63550</v>
      </c>
      <c r="F14" s="26">
        <f>SUM(F11:F13)</f>
        <v>85090</v>
      </c>
      <c r="G14" s="27">
        <f>SUM(G11:G13)</f>
        <v>395730</v>
      </c>
    </row>
    <row r="15" spans="1:7" x14ac:dyDescent="0.25">
      <c r="A15" s="43" t="s">
        <v>45</v>
      </c>
      <c r="B15" s="44"/>
      <c r="C15" s="44"/>
      <c r="D15" s="44"/>
      <c r="E15" s="44"/>
      <c r="F15" s="44"/>
      <c r="G15" s="45"/>
    </row>
    <row r="16" spans="1:7" ht="30" x14ac:dyDescent="0.25">
      <c r="A16" s="2"/>
      <c r="B16" s="20" t="s">
        <v>1</v>
      </c>
      <c r="C16" s="20" t="s">
        <v>2</v>
      </c>
      <c r="D16" s="19" t="s">
        <v>36</v>
      </c>
      <c r="E16" s="19" t="s">
        <v>37</v>
      </c>
      <c r="F16" s="21"/>
      <c r="G16" s="20" t="s">
        <v>6</v>
      </c>
    </row>
    <row r="17" spans="1:8" x14ac:dyDescent="0.25">
      <c r="A17" s="14" t="s">
        <v>57</v>
      </c>
      <c r="B17" s="26">
        <v>13</v>
      </c>
      <c r="C17" s="6">
        <v>0</v>
      </c>
      <c r="D17" s="6">
        <v>0</v>
      </c>
      <c r="E17" s="6">
        <v>0</v>
      </c>
      <c r="F17" s="11"/>
      <c r="G17" s="6">
        <v>0</v>
      </c>
    </row>
    <row r="18" spans="1:8" x14ac:dyDescent="0.25">
      <c r="A18" s="1" t="s">
        <v>51</v>
      </c>
      <c r="B18" s="26">
        <v>0</v>
      </c>
      <c r="C18" s="6">
        <f>0</f>
        <v>0</v>
      </c>
      <c r="D18" s="6">
        <f>C18</f>
        <v>0</v>
      </c>
      <c r="E18" s="1">
        <v>0</v>
      </c>
      <c r="F18" s="10"/>
      <c r="G18" s="6">
        <f>SUM(D18:F18)</f>
        <v>0</v>
      </c>
    </row>
    <row r="19" spans="1:8" x14ac:dyDescent="0.25">
      <c r="A19" s="1" t="s">
        <v>13</v>
      </c>
      <c r="B19" s="26">
        <v>0</v>
      </c>
      <c r="C19" s="1">
        <f>0</f>
        <v>0</v>
      </c>
      <c r="D19" s="1">
        <f>B19*5000</f>
        <v>0</v>
      </c>
      <c r="E19" s="1">
        <f>C19-D19</f>
        <v>0</v>
      </c>
      <c r="F19" s="10"/>
      <c r="G19" s="1">
        <f>SUM(D19:F19)</f>
        <v>0</v>
      </c>
    </row>
    <row r="20" spans="1:8" x14ac:dyDescent="0.25">
      <c r="A20" s="1" t="s">
        <v>55</v>
      </c>
      <c r="B20" s="26">
        <f>SUM(B17:B19)</f>
        <v>13</v>
      </c>
      <c r="C20" s="6">
        <f>SUM(C18:C19)</f>
        <v>0</v>
      </c>
      <c r="D20" s="6">
        <f>SUM(D18:D19)</f>
        <v>0</v>
      </c>
      <c r="E20" s="1">
        <f>SUM(E18:E19)</f>
        <v>0</v>
      </c>
      <c r="F20" s="10"/>
      <c r="G20" s="12">
        <f>SUM(G18:G19)</f>
        <v>0</v>
      </c>
    </row>
    <row r="21" spans="1:8" x14ac:dyDescent="0.25">
      <c r="A21" s="32"/>
      <c r="B21" s="33"/>
      <c r="C21" s="34"/>
      <c r="D21" s="34"/>
      <c r="E21" s="3"/>
      <c r="F21" s="35"/>
      <c r="G21" s="36"/>
    </row>
    <row r="22" spans="1:8" x14ac:dyDescent="0.25">
      <c r="A22" s="43" t="s">
        <v>9</v>
      </c>
      <c r="B22" s="44"/>
      <c r="C22" s="44"/>
      <c r="D22" s="44"/>
      <c r="E22" s="44"/>
      <c r="F22" s="44"/>
      <c r="G22" s="45"/>
    </row>
    <row r="23" spans="1:8" ht="30" x14ac:dyDescent="0.25">
      <c r="A23" s="5"/>
      <c r="B23" s="22" t="s">
        <v>1</v>
      </c>
      <c r="C23" s="22" t="s">
        <v>2</v>
      </c>
      <c r="D23" s="22" t="s">
        <v>3</v>
      </c>
      <c r="E23" s="22" t="s">
        <v>4</v>
      </c>
      <c r="F23" s="19" t="s">
        <v>5</v>
      </c>
      <c r="G23" s="22" t="s">
        <v>6</v>
      </c>
    </row>
    <row r="24" spans="1:8" x14ac:dyDescent="0.25">
      <c r="A24" s="14" t="s">
        <v>64</v>
      </c>
      <c r="B24" s="6">
        <v>1396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</row>
    <row r="25" spans="1:8" x14ac:dyDescent="0.25">
      <c r="A25" s="1" t="s">
        <v>49</v>
      </c>
      <c r="B25" s="15">
        <f>5959</f>
        <v>5959</v>
      </c>
      <c r="C25" s="7">
        <f>4888000</f>
        <v>4888000</v>
      </c>
      <c r="D25" s="7">
        <f>C25</f>
        <v>4888000</v>
      </c>
      <c r="E25" s="7">
        <v>0</v>
      </c>
      <c r="F25" s="7">
        <v>0</v>
      </c>
      <c r="G25" s="7">
        <f>D25</f>
        <v>4888000</v>
      </c>
    </row>
    <row r="26" spans="1:8" x14ac:dyDescent="0.25">
      <c r="A26" s="1" t="s">
        <v>7</v>
      </c>
      <c r="B26" s="16">
        <f>5234</f>
        <v>5234</v>
      </c>
      <c r="C26" s="6">
        <f>21689010</f>
        <v>21689010</v>
      </c>
      <c r="D26" s="6">
        <f>B26*2000</f>
        <v>10468000</v>
      </c>
      <c r="E26" s="6">
        <f>C26-D26</f>
        <v>11221010</v>
      </c>
      <c r="F26" s="6">
        <v>0</v>
      </c>
      <c r="G26" s="6">
        <f>D26+E26</f>
        <v>21689010</v>
      </c>
    </row>
    <row r="27" spans="1:8" x14ac:dyDescent="0.25">
      <c r="A27" s="1" t="s">
        <v>8</v>
      </c>
      <c r="B27" s="16">
        <f>537</f>
        <v>537</v>
      </c>
      <c r="C27" s="6">
        <f>13301650</f>
        <v>13301650</v>
      </c>
      <c r="D27" s="6">
        <f>B27*2000</f>
        <v>1074000</v>
      </c>
      <c r="E27" s="6">
        <f>B27*8000</f>
        <v>4296000</v>
      </c>
      <c r="F27" s="6">
        <f>C27-D27-E27</f>
        <v>7931650</v>
      </c>
      <c r="G27" s="6">
        <f>SUM(D27:F27)</f>
        <v>13301650</v>
      </c>
    </row>
    <row r="28" spans="1:8" x14ac:dyDescent="0.25">
      <c r="A28" s="1" t="s">
        <v>58</v>
      </c>
      <c r="B28" s="16">
        <f>SUM(B24:B27)</f>
        <v>13126</v>
      </c>
      <c r="C28" s="6">
        <f>SUM(C25:C27)</f>
        <v>39878660</v>
      </c>
      <c r="D28" s="6">
        <f>SUM(D25:D27)</f>
        <v>16430000</v>
      </c>
      <c r="E28" s="6">
        <f>SUM(E25:E27)</f>
        <v>15517010</v>
      </c>
      <c r="F28" s="6">
        <f>SUM(F25:F27)</f>
        <v>7931650</v>
      </c>
      <c r="G28" s="12">
        <f>SUM(G25:G27)</f>
        <v>39878660</v>
      </c>
      <c r="H28" s="8"/>
    </row>
    <row r="29" spans="1:8" x14ac:dyDescent="0.25">
      <c r="A29" s="43" t="s">
        <v>10</v>
      </c>
      <c r="B29" s="44"/>
      <c r="C29" s="44"/>
      <c r="D29" s="44"/>
      <c r="E29" s="44"/>
      <c r="F29" s="44"/>
      <c r="G29" s="45"/>
    </row>
    <row r="30" spans="1:8" ht="30" x14ac:dyDescent="0.25">
      <c r="A30" s="5"/>
      <c r="B30" s="22" t="s">
        <v>1</v>
      </c>
      <c r="C30" s="22" t="s">
        <v>2</v>
      </c>
      <c r="D30" s="22" t="s">
        <v>34</v>
      </c>
      <c r="E30" s="22" t="s">
        <v>35</v>
      </c>
      <c r="F30" s="19" t="s">
        <v>5</v>
      </c>
      <c r="G30" s="22" t="s">
        <v>6</v>
      </c>
    </row>
    <row r="31" spans="1:8" x14ac:dyDescent="0.25">
      <c r="A31" s="14" t="s">
        <v>64</v>
      </c>
      <c r="B31" s="26">
        <f>80</f>
        <v>80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</row>
    <row r="32" spans="1:8" x14ac:dyDescent="0.25">
      <c r="A32" s="1" t="s">
        <v>50</v>
      </c>
      <c r="B32" s="26">
        <f>152</f>
        <v>152</v>
      </c>
      <c r="C32" s="26">
        <f>295350</f>
        <v>295350</v>
      </c>
      <c r="D32" s="26">
        <f>C32</f>
        <v>295350</v>
      </c>
      <c r="E32" s="26">
        <v>0</v>
      </c>
      <c r="F32" s="26">
        <v>0</v>
      </c>
      <c r="G32" s="26">
        <f>SUM(D32:F32)</f>
        <v>295350</v>
      </c>
    </row>
    <row r="33" spans="1:14" x14ac:dyDescent="0.25">
      <c r="A33" s="1" t="s">
        <v>11</v>
      </c>
      <c r="B33" s="26">
        <f>86</f>
        <v>86</v>
      </c>
      <c r="C33" s="26">
        <f>665860</f>
        <v>665860</v>
      </c>
      <c r="D33" s="26">
        <f>B33*5000</f>
        <v>430000</v>
      </c>
      <c r="E33" s="26">
        <f>C33-D33</f>
        <v>235860</v>
      </c>
      <c r="F33" s="26">
        <v>0</v>
      </c>
      <c r="G33" s="26">
        <f>SUM(D33:F33)</f>
        <v>665860</v>
      </c>
    </row>
    <row r="34" spans="1:14" x14ac:dyDescent="0.25">
      <c r="A34" s="1" t="s">
        <v>8</v>
      </c>
      <c r="B34" s="26">
        <f>143</f>
        <v>143</v>
      </c>
      <c r="C34" s="26">
        <f>2744830</f>
        <v>2744830</v>
      </c>
      <c r="D34" s="26">
        <f>B34*5000</f>
        <v>715000</v>
      </c>
      <c r="E34" s="26">
        <f>B34*5000</f>
        <v>715000</v>
      </c>
      <c r="F34" s="26">
        <f>C34-D34-E34</f>
        <v>1314830</v>
      </c>
      <c r="G34" s="26">
        <f>SUM(D34:F34)</f>
        <v>2744830</v>
      </c>
    </row>
    <row r="35" spans="1:14" x14ac:dyDescent="0.25">
      <c r="A35" s="1" t="s">
        <v>58</v>
      </c>
      <c r="B35" s="26">
        <f>SUM(B31:B34)</f>
        <v>461</v>
      </c>
      <c r="C35" s="26">
        <f>SUM(C32:C34)</f>
        <v>3706040</v>
      </c>
      <c r="D35" s="26">
        <f>SUM(D32:D34)</f>
        <v>1440350</v>
      </c>
      <c r="E35" s="26">
        <f>SUM(E32:E34)</f>
        <v>950860</v>
      </c>
      <c r="F35" s="26">
        <f>SUM(F32:F34)</f>
        <v>1314830</v>
      </c>
      <c r="G35" s="27">
        <f>SUM(G32:G34)</f>
        <v>3706040</v>
      </c>
    </row>
    <row r="36" spans="1:14" x14ac:dyDescent="0.25">
      <c r="A36" s="43" t="s">
        <v>12</v>
      </c>
      <c r="B36" s="44"/>
      <c r="C36" s="44"/>
      <c r="D36" s="44"/>
      <c r="E36" s="44"/>
      <c r="F36" s="44"/>
      <c r="G36" s="45"/>
    </row>
    <row r="37" spans="1:14" ht="30" x14ac:dyDescent="0.25">
      <c r="A37" s="5"/>
      <c r="B37" s="22" t="s">
        <v>1</v>
      </c>
      <c r="C37" s="22" t="s">
        <v>2</v>
      </c>
      <c r="D37" s="19" t="s">
        <v>36</v>
      </c>
      <c r="E37" s="19" t="s">
        <v>37</v>
      </c>
      <c r="F37" s="23"/>
      <c r="G37" s="22" t="s">
        <v>6</v>
      </c>
    </row>
    <row r="38" spans="1:14" x14ac:dyDescent="0.25">
      <c r="A38" s="14" t="s">
        <v>64</v>
      </c>
      <c r="B38" s="26">
        <f>13+42</f>
        <v>55</v>
      </c>
      <c r="C38" s="26">
        <v>0</v>
      </c>
      <c r="D38" s="26">
        <v>0</v>
      </c>
      <c r="E38" s="26">
        <v>0</v>
      </c>
      <c r="F38" s="28"/>
      <c r="G38" s="26">
        <v>0</v>
      </c>
      <c r="J38" s="17"/>
      <c r="K38" s="18"/>
      <c r="L38" s="18"/>
      <c r="M38" s="17"/>
      <c r="N38" s="17"/>
    </row>
    <row r="39" spans="1:14" x14ac:dyDescent="0.25">
      <c r="A39" s="1" t="s">
        <v>51</v>
      </c>
      <c r="B39" s="26">
        <f>62+151</f>
        <v>213</v>
      </c>
      <c r="C39" s="26">
        <f>538810+1318900</f>
        <v>1857710</v>
      </c>
      <c r="D39" s="26">
        <f>C39</f>
        <v>1857710</v>
      </c>
      <c r="E39" s="26">
        <v>0</v>
      </c>
      <c r="F39" s="29"/>
      <c r="G39" s="26">
        <f>SUM(D39:F39)</f>
        <v>1857710</v>
      </c>
    </row>
    <row r="40" spans="1:14" x14ac:dyDescent="0.25">
      <c r="A40" s="1" t="s">
        <v>13</v>
      </c>
      <c r="B40" s="26">
        <f>66+70</f>
        <v>136</v>
      </c>
      <c r="C40" s="26">
        <f>8858120+7964100</f>
        <v>16822220</v>
      </c>
      <c r="D40" s="26">
        <f>B40*20000</f>
        <v>2720000</v>
      </c>
      <c r="E40" s="26">
        <f>C40-D40</f>
        <v>14102220</v>
      </c>
      <c r="F40" s="29"/>
      <c r="G40" s="26">
        <f>SUM(D40:F40)</f>
        <v>16822220</v>
      </c>
    </row>
    <row r="41" spans="1:14" x14ac:dyDescent="0.25">
      <c r="A41" s="1" t="s">
        <v>58</v>
      </c>
      <c r="B41" s="26">
        <f>SUM(B38:B40)</f>
        <v>404</v>
      </c>
      <c r="C41" s="26">
        <f>SUM(C39:C40)</f>
        <v>18679930</v>
      </c>
      <c r="D41" s="26">
        <f>SUM(D39:D40)</f>
        <v>4577710</v>
      </c>
      <c r="E41" s="26">
        <f>SUM(E39:E40)</f>
        <v>14102220</v>
      </c>
      <c r="F41" s="29"/>
      <c r="G41" s="27">
        <f>SUM(G39:G40)</f>
        <v>18679930</v>
      </c>
    </row>
    <row r="42" spans="1:14" x14ac:dyDescent="0.25">
      <c r="A42" s="43" t="s">
        <v>14</v>
      </c>
      <c r="B42" s="44"/>
      <c r="C42" s="44"/>
      <c r="D42" s="44"/>
      <c r="E42" s="44"/>
      <c r="F42" s="44"/>
      <c r="G42" s="45"/>
    </row>
    <row r="43" spans="1:14" ht="30" x14ac:dyDescent="0.25">
      <c r="A43" s="13"/>
      <c r="B43" s="20" t="s">
        <v>1</v>
      </c>
      <c r="C43" s="20" t="s">
        <v>2</v>
      </c>
      <c r="D43" s="19" t="s">
        <v>38</v>
      </c>
      <c r="E43" s="19" t="s">
        <v>39</v>
      </c>
      <c r="F43" s="24"/>
      <c r="G43" s="20" t="s">
        <v>6</v>
      </c>
    </row>
    <row r="44" spans="1:14" x14ac:dyDescent="0.25">
      <c r="A44" s="14" t="s">
        <v>64</v>
      </c>
      <c r="B44" s="26">
        <v>11</v>
      </c>
      <c r="C44" s="26">
        <v>0</v>
      </c>
      <c r="D44" s="26">
        <v>0</v>
      </c>
      <c r="E44" s="26">
        <v>0</v>
      </c>
      <c r="F44" s="28"/>
      <c r="G44" s="26">
        <v>0</v>
      </c>
    </row>
    <row r="45" spans="1:14" x14ac:dyDescent="0.25">
      <c r="A45" s="1" t="s">
        <v>52</v>
      </c>
      <c r="B45" s="26">
        <f>1+14</f>
        <v>15</v>
      </c>
      <c r="C45" s="26">
        <f>130+56100</f>
        <v>56230</v>
      </c>
      <c r="D45" s="26">
        <f>C45</f>
        <v>56230</v>
      </c>
      <c r="E45" s="26">
        <v>0</v>
      </c>
      <c r="F45" s="29"/>
      <c r="G45" s="26">
        <f>SUM(D45:F45)</f>
        <v>56230</v>
      </c>
    </row>
    <row r="46" spans="1:14" x14ac:dyDescent="0.25">
      <c r="A46" s="1" t="s">
        <v>15</v>
      </c>
      <c r="B46" s="26">
        <f>26+23</f>
        <v>49</v>
      </c>
      <c r="C46" s="26">
        <f>13732790+1948400</f>
        <v>15681190</v>
      </c>
      <c r="D46" s="26">
        <f>B46*30000</f>
        <v>1470000</v>
      </c>
      <c r="E46" s="26">
        <f>C46-D46</f>
        <v>14211190</v>
      </c>
      <c r="F46" s="29"/>
      <c r="G46" s="26">
        <f>SUM(D46:F46)</f>
        <v>15681190</v>
      </c>
    </row>
    <row r="47" spans="1:14" x14ac:dyDescent="0.25">
      <c r="A47" s="1" t="s">
        <v>58</v>
      </c>
      <c r="B47" s="26">
        <f>SUM(B44:B46)</f>
        <v>75</v>
      </c>
      <c r="C47" s="26">
        <f>SUM(C45:C46)</f>
        <v>15737420</v>
      </c>
      <c r="D47" s="26">
        <f>SUM(D45:D46)</f>
        <v>1526230</v>
      </c>
      <c r="E47" s="26">
        <f>SUM(E45:E46)</f>
        <v>14211190</v>
      </c>
      <c r="F47" s="29"/>
      <c r="G47" s="27">
        <f>SUM(G45:G46)</f>
        <v>15737420</v>
      </c>
    </row>
    <row r="48" spans="1:14" x14ac:dyDescent="0.25">
      <c r="A48" s="43" t="s">
        <v>16</v>
      </c>
      <c r="B48" s="44"/>
      <c r="C48" s="44"/>
      <c r="D48" s="44"/>
      <c r="E48" s="44"/>
      <c r="F48" s="44"/>
      <c r="G48" s="45"/>
    </row>
    <row r="49" spans="1:7" ht="30" x14ac:dyDescent="0.25">
      <c r="A49" s="5"/>
      <c r="B49" s="22" t="s">
        <v>1</v>
      </c>
      <c r="C49" s="22" t="s">
        <v>2</v>
      </c>
      <c r="D49" s="19" t="s">
        <v>40</v>
      </c>
      <c r="E49" s="19" t="s">
        <v>41</v>
      </c>
      <c r="F49" s="23"/>
      <c r="G49" s="22" t="s">
        <v>6</v>
      </c>
    </row>
    <row r="50" spans="1:7" x14ac:dyDescent="0.25">
      <c r="A50" s="14" t="s">
        <v>64</v>
      </c>
      <c r="B50" s="26">
        <v>0</v>
      </c>
      <c r="C50" s="26">
        <v>0</v>
      </c>
      <c r="D50" s="26">
        <v>0</v>
      </c>
      <c r="E50" s="26">
        <v>0</v>
      </c>
      <c r="F50" s="28"/>
      <c r="G50" s="26">
        <v>0</v>
      </c>
    </row>
    <row r="51" spans="1:7" x14ac:dyDescent="0.25">
      <c r="A51" s="1" t="s">
        <v>53</v>
      </c>
      <c r="B51" s="26">
        <f>0+12+3</f>
        <v>15</v>
      </c>
      <c r="C51" s="26">
        <f>0+11800+138000</f>
        <v>149800</v>
      </c>
      <c r="D51" s="26">
        <f>C51</f>
        <v>149800</v>
      </c>
      <c r="E51" s="26">
        <v>0</v>
      </c>
      <c r="F51" s="29"/>
      <c r="G51" s="26">
        <f>SUM(D51:F51)</f>
        <v>149800</v>
      </c>
    </row>
    <row r="52" spans="1:7" x14ac:dyDescent="0.25">
      <c r="A52" s="1" t="s">
        <v>31</v>
      </c>
      <c r="B52" s="26">
        <f>12+9</f>
        <v>21</v>
      </c>
      <c r="C52" s="26">
        <f>4025710+1461000</f>
        <v>5486710</v>
      </c>
      <c r="D52" s="26">
        <f>B52*50000</f>
        <v>1050000</v>
      </c>
      <c r="E52" s="26">
        <f>C52-D52</f>
        <v>4436710</v>
      </c>
      <c r="F52" s="29"/>
      <c r="G52" s="26">
        <f>SUM(D52:F52)</f>
        <v>5486710</v>
      </c>
    </row>
    <row r="53" spans="1:7" x14ac:dyDescent="0.25">
      <c r="A53" s="1" t="s">
        <v>59</v>
      </c>
      <c r="B53" s="26">
        <f>SUM(B51:B52)</f>
        <v>36</v>
      </c>
      <c r="C53" s="26">
        <f>SUM(C51:C52)</f>
        <v>5636510</v>
      </c>
      <c r="D53" s="26">
        <f>SUM(D51:D52)</f>
        <v>1199800</v>
      </c>
      <c r="E53" s="26">
        <f>SUM(E51:E52)</f>
        <v>4436710</v>
      </c>
      <c r="F53" s="29"/>
      <c r="G53" s="27">
        <f>SUM(G51:G52)</f>
        <v>5636510</v>
      </c>
    </row>
    <row r="54" spans="1:7" x14ac:dyDescent="0.25">
      <c r="A54" s="43" t="s">
        <v>17</v>
      </c>
      <c r="B54" s="44"/>
      <c r="C54" s="44"/>
      <c r="D54" s="44"/>
      <c r="E54" s="44"/>
      <c r="F54" s="44"/>
      <c r="G54" s="45"/>
    </row>
    <row r="55" spans="1:7" ht="30" x14ac:dyDescent="0.25">
      <c r="A55" s="5"/>
      <c r="B55" s="22" t="s">
        <v>1</v>
      </c>
      <c r="C55" s="22" t="s">
        <v>2</v>
      </c>
      <c r="D55" s="22" t="s">
        <v>3</v>
      </c>
      <c r="E55" s="22" t="s">
        <v>4</v>
      </c>
      <c r="F55" s="19" t="s">
        <v>5</v>
      </c>
      <c r="G55" s="22" t="s">
        <v>6</v>
      </c>
    </row>
    <row r="56" spans="1:7" x14ac:dyDescent="0.25">
      <c r="A56" s="14" t="s">
        <v>65</v>
      </c>
      <c r="B56" s="26">
        <v>126</v>
      </c>
      <c r="C56" s="26">
        <v>0</v>
      </c>
      <c r="D56" s="26">
        <v>0</v>
      </c>
      <c r="E56" s="26">
        <v>0</v>
      </c>
      <c r="F56" s="26">
        <v>0</v>
      </c>
      <c r="G56" s="26">
        <v>0</v>
      </c>
    </row>
    <row r="57" spans="1:7" x14ac:dyDescent="0.25">
      <c r="A57" s="1" t="s">
        <v>49</v>
      </c>
      <c r="B57" s="26">
        <f>678</f>
        <v>678</v>
      </c>
      <c r="C57" s="26">
        <v>335310</v>
      </c>
      <c r="D57" s="26">
        <f>C57</f>
        <v>335310</v>
      </c>
      <c r="E57" s="26">
        <v>0</v>
      </c>
      <c r="F57" s="26">
        <v>0</v>
      </c>
      <c r="G57" s="26">
        <f>SUM(D57:F57)</f>
        <v>335310</v>
      </c>
    </row>
    <row r="58" spans="1:7" x14ac:dyDescent="0.25">
      <c r="A58" s="1" t="s">
        <v>7</v>
      </c>
      <c r="B58" s="26">
        <f>175</f>
        <v>175</v>
      </c>
      <c r="C58" s="26">
        <v>722460</v>
      </c>
      <c r="D58" s="26">
        <f>B58*2000</f>
        <v>350000</v>
      </c>
      <c r="E58" s="26">
        <f>C58-D58</f>
        <v>372460</v>
      </c>
      <c r="F58" s="26">
        <v>0</v>
      </c>
      <c r="G58" s="26">
        <f>SUM(D58:F58)</f>
        <v>722460</v>
      </c>
    </row>
    <row r="59" spans="1:7" x14ac:dyDescent="0.25">
      <c r="A59" s="1" t="s">
        <v>8</v>
      </c>
      <c r="B59" s="26">
        <f>23</f>
        <v>23</v>
      </c>
      <c r="C59" s="26">
        <v>567290</v>
      </c>
      <c r="D59" s="26">
        <f>B59*2000</f>
        <v>46000</v>
      </c>
      <c r="E59" s="26">
        <f>B59*8000</f>
        <v>184000</v>
      </c>
      <c r="F59" s="26">
        <f>C59-D59-E59</f>
        <v>337290</v>
      </c>
      <c r="G59" s="26">
        <f>SUM(D59:F59)</f>
        <v>567290</v>
      </c>
    </row>
    <row r="60" spans="1:7" x14ac:dyDescent="0.25">
      <c r="A60" s="1" t="s">
        <v>60</v>
      </c>
      <c r="B60" s="26">
        <f>SUM(B56:B59)</f>
        <v>1002</v>
      </c>
      <c r="C60" s="26">
        <f>SUM(C57:C59)</f>
        <v>1625060</v>
      </c>
      <c r="D60" s="26">
        <f>SUM(D57:D59)</f>
        <v>731310</v>
      </c>
      <c r="E60" s="26">
        <f>SUM(E57:E59)</f>
        <v>556460</v>
      </c>
      <c r="F60" s="26">
        <f>SUM(F57:F59)</f>
        <v>337290</v>
      </c>
      <c r="G60" s="27">
        <f>SUM(G57:G59)</f>
        <v>1625060</v>
      </c>
    </row>
    <row r="61" spans="1:7" x14ac:dyDescent="0.25">
      <c r="A61" s="43" t="s">
        <v>18</v>
      </c>
      <c r="B61" s="44"/>
      <c r="C61" s="44"/>
      <c r="D61" s="44"/>
      <c r="E61" s="44"/>
      <c r="F61" s="44"/>
      <c r="G61" s="45"/>
    </row>
    <row r="62" spans="1:7" ht="30" x14ac:dyDescent="0.25">
      <c r="A62" s="5"/>
      <c r="B62" s="22" t="s">
        <v>1</v>
      </c>
      <c r="C62" s="22" t="s">
        <v>2</v>
      </c>
      <c r="D62" s="22" t="s">
        <v>34</v>
      </c>
      <c r="E62" s="22" t="s">
        <v>35</v>
      </c>
      <c r="F62" s="19" t="s">
        <v>5</v>
      </c>
      <c r="G62" s="22" t="s">
        <v>6</v>
      </c>
    </row>
    <row r="63" spans="1:7" x14ac:dyDescent="0.25">
      <c r="A63" s="14" t="s">
        <v>65</v>
      </c>
      <c r="B63" s="26">
        <v>15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</row>
    <row r="64" spans="1:7" x14ac:dyDescent="0.25">
      <c r="A64" s="1" t="s">
        <v>50</v>
      </c>
      <c r="B64" s="26">
        <f>69</f>
        <v>69</v>
      </c>
      <c r="C64" s="26">
        <f>150820</f>
        <v>150820</v>
      </c>
      <c r="D64" s="26">
        <f>C64</f>
        <v>150820</v>
      </c>
      <c r="E64" s="26">
        <v>0</v>
      </c>
      <c r="F64" s="26">
        <v>0</v>
      </c>
      <c r="G64" s="26">
        <f>SUM(D64:F64)</f>
        <v>150820</v>
      </c>
    </row>
    <row r="65" spans="1:7" x14ac:dyDescent="0.25">
      <c r="A65" s="1" t="s">
        <v>11</v>
      </c>
      <c r="B65" s="26">
        <f>32</f>
        <v>32</v>
      </c>
      <c r="C65" s="26">
        <f>227200</f>
        <v>227200</v>
      </c>
      <c r="D65" s="26">
        <f>B65*5000</f>
        <v>160000</v>
      </c>
      <c r="E65" s="26">
        <f>C65-D65</f>
        <v>67200</v>
      </c>
      <c r="F65" s="26">
        <v>0</v>
      </c>
      <c r="G65" s="26">
        <f>SUM(D65:F65)</f>
        <v>227200</v>
      </c>
    </row>
    <row r="66" spans="1:7" x14ac:dyDescent="0.25">
      <c r="A66" s="1" t="s">
        <v>8</v>
      </c>
      <c r="B66" s="26">
        <f>35</f>
        <v>35</v>
      </c>
      <c r="C66" s="26">
        <f>1382950</f>
        <v>1382950</v>
      </c>
      <c r="D66" s="26">
        <f>B66*5000</f>
        <v>175000</v>
      </c>
      <c r="E66" s="26">
        <f>B66*5000</f>
        <v>175000</v>
      </c>
      <c r="F66" s="26">
        <f>C66-D66-E66</f>
        <v>1032950</v>
      </c>
      <c r="G66" s="26">
        <f>SUM(D66:F66)</f>
        <v>1382950</v>
      </c>
    </row>
    <row r="67" spans="1:7" x14ac:dyDescent="0.25">
      <c r="A67" s="1" t="s">
        <v>60</v>
      </c>
      <c r="B67" s="26">
        <f>SUM(B63:B66)</f>
        <v>151</v>
      </c>
      <c r="C67" s="26">
        <f>SUM(C64:C66)</f>
        <v>1760970</v>
      </c>
      <c r="D67" s="26">
        <f>SUM(D64:D66)</f>
        <v>485820</v>
      </c>
      <c r="E67" s="26">
        <f>SUM(E64:E66)</f>
        <v>242200</v>
      </c>
      <c r="F67" s="26">
        <f>SUM(F64:F66)</f>
        <v>1032950</v>
      </c>
      <c r="G67" s="27">
        <f>SUM(G64:G66)</f>
        <v>1760970</v>
      </c>
    </row>
    <row r="68" spans="1:7" x14ac:dyDescent="0.25">
      <c r="A68" s="43" t="s">
        <v>19</v>
      </c>
      <c r="B68" s="44"/>
      <c r="C68" s="44"/>
      <c r="D68" s="44"/>
      <c r="E68" s="44"/>
      <c r="F68" s="44"/>
      <c r="G68" s="45"/>
    </row>
    <row r="69" spans="1:7" x14ac:dyDescent="0.25">
      <c r="A69" s="5"/>
      <c r="B69" s="22" t="s">
        <v>1</v>
      </c>
      <c r="C69" s="22" t="s">
        <v>2</v>
      </c>
      <c r="D69" s="19" t="s">
        <v>36</v>
      </c>
      <c r="E69" s="19" t="s">
        <v>37</v>
      </c>
      <c r="F69" s="23"/>
      <c r="G69" s="22" t="s">
        <v>6</v>
      </c>
    </row>
    <row r="70" spans="1:7" x14ac:dyDescent="0.25">
      <c r="A70" s="14" t="s">
        <v>65</v>
      </c>
      <c r="B70" s="26">
        <f>1+9</f>
        <v>10</v>
      </c>
      <c r="C70" s="26">
        <v>0</v>
      </c>
      <c r="D70" s="26">
        <v>0</v>
      </c>
      <c r="E70" s="26">
        <v>0</v>
      </c>
      <c r="F70" s="28"/>
      <c r="G70" s="26">
        <v>0</v>
      </c>
    </row>
    <row r="71" spans="1:7" x14ac:dyDescent="0.25">
      <c r="A71" s="1" t="s">
        <v>51</v>
      </c>
      <c r="B71" s="26">
        <f>32+66</f>
        <v>98</v>
      </c>
      <c r="C71" s="26">
        <f>281670+302600</f>
        <v>584270</v>
      </c>
      <c r="D71" s="26">
        <f>C71</f>
        <v>584270</v>
      </c>
      <c r="E71" s="26">
        <v>0</v>
      </c>
      <c r="F71" s="29"/>
      <c r="G71" s="26">
        <f>SUM(D71:F71)</f>
        <v>584270</v>
      </c>
    </row>
    <row r="72" spans="1:7" x14ac:dyDescent="0.25">
      <c r="A72" s="1" t="s">
        <v>13</v>
      </c>
      <c r="B72" s="26">
        <f>41+82</f>
        <v>123</v>
      </c>
      <c r="C72" s="26">
        <f>2970780+6252700</f>
        <v>9223480</v>
      </c>
      <c r="D72" s="26">
        <f>B72*20000</f>
        <v>2460000</v>
      </c>
      <c r="E72" s="26">
        <f>C72-D72</f>
        <v>6763480</v>
      </c>
      <c r="F72" s="29"/>
      <c r="G72" s="26">
        <f>SUM(D72:F72)</f>
        <v>9223480</v>
      </c>
    </row>
    <row r="73" spans="1:7" x14ac:dyDescent="0.25">
      <c r="A73" s="1" t="s">
        <v>60</v>
      </c>
      <c r="B73" s="26">
        <f>SUM(B70:B72)</f>
        <v>231</v>
      </c>
      <c r="C73" s="26">
        <f>SUM(C71:C72)</f>
        <v>9807750</v>
      </c>
      <c r="D73" s="26">
        <f>SUM(D71:D72)</f>
        <v>3044270</v>
      </c>
      <c r="E73" s="26">
        <f>SUM(E71:E72)</f>
        <v>6763480</v>
      </c>
      <c r="F73" s="29"/>
      <c r="G73" s="27">
        <f>SUM(G71:G72)</f>
        <v>9807750</v>
      </c>
    </row>
    <row r="74" spans="1:7" x14ac:dyDescent="0.25">
      <c r="A74" s="43" t="s">
        <v>20</v>
      </c>
      <c r="B74" s="44"/>
      <c r="C74" s="44"/>
      <c r="D74" s="44"/>
      <c r="E74" s="44"/>
      <c r="F74" s="44"/>
      <c r="G74" s="45"/>
    </row>
    <row r="75" spans="1:7" x14ac:dyDescent="0.25">
      <c r="A75" s="5"/>
      <c r="B75" s="22" t="s">
        <v>1</v>
      </c>
      <c r="C75" s="22" t="s">
        <v>2</v>
      </c>
      <c r="D75" s="19" t="s">
        <v>38</v>
      </c>
      <c r="E75" s="19" t="s">
        <v>39</v>
      </c>
      <c r="F75" s="23"/>
      <c r="G75" s="22" t="s">
        <v>6</v>
      </c>
    </row>
    <row r="76" spans="1:7" x14ac:dyDescent="0.25">
      <c r="A76" s="14" t="s">
        <v>65</v>
      </c>
      <c r="B76" s="26">
        <v>12</v>
      </c>
      <c r="C76" s="26">
        <v>0</v>
      </c>
      <c r="D76" s="26">
        <v>0</v>
      </c>
      <c r="E76" s="26">
        <v>0</v>
      </c>
      <c r="F76" s="28"/>
      <c r="G76" s="26">
        <v>0</v>
      </c>
    </row>
    <row r="77" spans="1:7" x14ac:dyDescent="0.25">
      <c r="A77" s="1" t="s">
        <v>52</v>
      </c>
      <c r="B77" s="26">
        <f>9+0</f>
        <v>9</v>
      </c>
      <c r="C77" s="26">
        <f>167010</f>
        <v>167010</v>
      </c>
      <c r="D77" s="26">
        <f>C77</f>
        <v>167010</v>
      </c>
      <c r="E77" s="26">
        <v>0</v>
      </c>
      <c r="F77" s="29"/>
      <c r="G77" s="26">
        <f>SUM(D77:F77)</f>
        <v>167010</v>
      </c>
    </row>
    <row r="78" spans="1:7" x14ac:dyDescent="0.25">
      <c r="A78" s="1" t="s">
        <v>15</v>
      </c>
      <c r="B78" s="26">
        <f>3+12</f>
        <v>15</v>
      </c>
      <c r="C78" s="26">
        <f>102750+1254500</f>
        <v>1357250</v>
      </c>
      <c r="D78" s="26">
        <f>B78*30000</f>
        <v>450000</v>
      </c>
      <c r="E78" s="26">
        <f>C78-D78</f>
        <v>907250</v>
      </c>
      <c r="F78" s="29"/>
      <c r="G78" s="26">
        <f>SUM(D78:F78)</f>
        <v>1357250</v>
      </c>
    </row>
    <row r="79" spans="1:7" x14ac:dyDescent="0.25">
      <c r="A79" s="1" t="s">
        <v>60</v>
      </c>
      <c r="B79" s="26">
        <f>SUM(B76:B78)</f>
        <v>36</v>
      </c>
      <c r="C79" s="26">
        <f>SUM(C77:C78)</f>
        <v>1524260</v>
      </c>
      <c r="D79" s="26">
        <f>SUM(D77:D78)</f>
        <v>617010</v>
      </c>
      <c r="E79" s="26">
        <f>SUM(E77:E78)</f>
        <v>907250</v>
      </c>
      <c r="F79" s="29"/>
      <c r="G79" s="27">
        <f>SUM(G77:G78)</f>
        <v>1524260</v>
      </c>
    </row>
    <row r="80" spans="1:7" x14ac:dyDescent="0.25">
      <c r="A80" s="43" t="s">
        <v>21</v>
      </c>
      <c r="B80" s="44"/>
      <c r="C80" s="44"/>
      <c r="D80" s="44"/>
      <c r="E80" s="44"/>
      <c r="F80" s="44"/>
      <c r="G80" s="45"/>
    </row>
    <row r="81" spans="1:7" x14ac:dyDescent="0.25">
      <c r="A81" s="5"/>
      <c r="B81" s="22" t="s">
        <v>1</v>
      </c>
      <c r="C81" s="22" t="s">
        <v>2</v>
      </c>
      <c r="D81" s="19" t="s">
        <v>40</v>
      </c>
      <c r="E81" s="19" t="s">
        <v>41</v>
      </c>
      <c r="F81" s="23"/>
      <c r="G81" s="22" t="s">
        <v>6</v>
      </c>
    </row>
    <row r="82" spans="1:7" x14ac:dyDescent="0.25">
      <c r="A82" s="14" t="s">
        <v>65</v>
      </c>
      <c r="B82" s="26">
        <v>0</v>
      </c>
      <c r="C82" s="26">
        <v>0</v>
      </c>
      <c r="D82" s="26">
        <v>0</v>
      </c>
      <c r="E82" s="26">
        <v>0</v>
      </c>
      <c r="F82" s="28"/>
      <c r="G82" s="26">
        <v>0</v>
      </c>
    </row>
    <row r="83" spans="1:7" x14ac:dyDescent="0.25">
      <c r="A83" s="1" t="s">
        <v>53</v>
      </c>
      <c r="B83" s="26">
        <f>17</f>
        <v>17</v>
      </c>
      <c r="C83" s="26">
        <f>350000</f>
        <v>350000</v>
      </c>
      <c r="D83" s="26">
        <f>C83</f>
        <v>350000</v>
      </c>
      <c r="E83" s="26">
        <v>0</v>
      </c>
      <c r="F83" s="29"/>
      <c r="G83" s="26">
        <f>SUM(D83:F83)</f>
        <v>350000</v>
      </c>
    </row>
    <row r="84" spans="1:7" x14ac:dyDescent="0.25">
      <c r="A84" s="1" t="s">
        <v>31</v>
      </c>
      <c r="B84" s="26">
        <f>7</f>
        <v>7</v>
      </c>
      <c r="C84" s="26">
        <f>482000</f>
        <v>482000</v>
      </c>
      <c r="D84" s="26">
        <f>B84*50000</f>
        <v>350000</v>
      </c>
      <c r="E84" s="26">
        <f>C84-D84</f>
        <v>132000</v>
      </c>
      <c r="F84" s="29"/>
      <c r="G84" s="26">
        <f>SUM(D84:F84)</f>
        <v>482000</v>
      </c>
    </row>
    <row r="85" spans="1:7" x14ac:dyDescent="0.25">
      <c r="A85" s="1" t="s">
        <v>60</v>
      </c>
      <c r="B85" s="26">
        <f>SUM(B83:B84)</f>
        <v>24</v>
      </c>
      <c r="C85" s="26">
        <f>SUM(C83:C84)</f>
        <v>832000</v>
      </c>
      <c r="D85" s="26">
        <f>SUM(D83:D84)</f>
        <v>700000</v>
      </c>
      <c r="E85" s="26">
        <f>SUM(E83:E84)</f>
        <v>132000</v>
      </c>
      <c r="F85" s="29"/>
      <c r="G85" s="27">
        <f>SUM(G83:G84)</f>
        <v>832000</v>
      </c>
    </row>
    <row r="86" spans="1:7" x14ac:dyDescent="0.25">
      <c r="A86" s="43" t="s">
        <v>22</v>
      </c>
      <c r="B86" s="44"/>
      <c r="C86" s="44"/>
      <c r="D86" s="44"/>
      <c r="E86" s="44"/>
      <c r="F86" s="44"/>
      <c r="G86" s="45"/>
    </row>
    <row r="87" spans="1:7" ht="30" x14ac:dyDescent="0.25">
      <c r="A87" s="5"/>
      <c r="B87" s="22" t="s">
        <v>1</v>
      </c>
      <c r="C87" s="22" t="s">
        <v>2</v>
      </c>
      <c r="D87" s="19" t="s">
        <v>42</v>
      </c>
      <c r="E87" s="19" t="s">
        <v>43</v>
      </c>
      <c r="F87" s="23"/>
      <c r="G87" s="22" t="s">
        <v>6</v>
      </c>
    </row>
    <row r="88" spans="1:7" x14ac:dyDescent="0.25">
      <c r="A88" s="14" t="s">
        <v>65</v>
      </c>
      <c r="B88" s="26">
        <f>13</f>
        <v>13</v>
      </c>
      <c r="C88" s="26">
        <v>0</v>
      </c>
      <c r="D88" s="26">
        <v>0</v>
      </c>
      <c r="E88" s="26">
        <v>0</v>
      </c>
      <c r="F88" s="28"/>
      <c r="G88" s="26">
        <v>0</v>
      </c>
    </row>
    <row r="89" spans="1:7" x14ac:dyDescent="0.25">
      <c r="A89" s="1" t="s">
        <v>54</v>
      </c>
      <c r="B89" s="26">
        <f>33</f>
        <v>33</v>
      </c>
      <c r="C89" s="26">
        <f>1516000</f>
        <v>1516000</v>
      </c>
      <c r="D89" s="26">
        <f>C89</f>
        <v>1516000</v>
      </c>
      <c r="E89" s="26">
        <v>0</v>
      </c>
      <c r="F89" s="29"/>
      <c r="G89" s="26">
        <f>SUM(D89:F89)</f>
        <v>1516000</v>
      </c>
    </row>
    <row r="90" spans="1:7" x14ac:dyDescent="0.25">
      <c r="A90" s="1" t="s">
        <v>32</v>
      </c>
      <c r="B90" s="26">
        <f>3</f>
        <v>3</v>
      </c>
      <c r="C90" s="26">
        <f>330000</f>
        <v>330000</v>
      </c>
      <c r="D90" s="26">
        <f>B90*100000</f>
        <v>300000</v>
      </c>
      <c r="E90" s="26">
        <f>C90-D90</f>
        <v>30000</v>
      </c>
      <c r="F90" s="29"/>
      <c r="G90" s="26">
        <f>SUM(D90:F90)</f>
        <v>330000</v>
      </c>
    </row>
    <row r="91" spans="1:7" x14ac:dyDescent="0.25">
      <c r="A91" s="1" t="s">
        <v>60</v>
      </c>
      <c r="B91" s="26">
        <f>SUM(B88:B90)</f>
        <v>49</v>
      </c>
      <c r="C91" s="26">
        <f>SUM(C89:C90)</f>
        <v>1846000</v>
      </c>
      <c r="D91" s="26">
        <f>SUM(D89:D90)</f>
        <v>1816000</v>
      </c>
      <c r="E91" s="26">
        <f>SUM(E89:E90)</f>
        <v>30000</v>
      </c>
      <c r="F91" s="29"/>
      <c r="G91" s="27">
        <f>SUM(G89:G90)</f>
        <v>1846000</v>
      </c>
    </row>
    <row r="92" spans="1:7" x14ac:dyDescent="0.25">
      <c r="A92" s="32"/>
      <c r="B92" s="33"/>
      <c r="C92" s="33"/>
      <c r="D92" s="33"/>
      <c r="E92" s="33"/>
      <c r="F92" s="37"/>
      <c r="G92" s="38"/>
    </row>
    <row r="93" spans="1:7" x14ac:dyDescent="0.25">
      <c r="A93" s="43" t="s">
        <v>23</v>
      </c>
      <c r="B93" s="44"/>
      <c r="C93" s="44"/>
      <c r="D93" s="44"/>
      <c r="E93" s="44"/>
      <c r="F93" s="44"/>
      <c r="G93" s="45"/>
    </row>
    <row r="94" spans="1:7" x14ac:dyDescent="0.25">
      <c r="A94" s="5"/>
      <c r="B94" s="22" t="s">
        <v>1</v>
      </c>
      <c r="C94" s="22" t="s">
        <v>2</v>
      </c>
      <c r="D94" s="19" t="s">
        <v>36</v>
      </c>
      <c r="E94" s="19" t="s">
        <v>37</v>
      </c>
      <c r="F94" s="23"/>
      <c r="G94" s="22" t="s">
        <v>6</v>
      </c>
    </row>
    <row r="95" spans="1:7" x14ac:dyDescent="0.25">
      <c r="A95" s="14" t="s">
        <v>66</v>
      </c>
      <c r="B95" s="26">
        <v>0</v>
      </c>
      <c r="C95" s="26">
        <v>0</v>
      </c>
      <c r="D95" s="26">
        <v>0</v>
      </c>
      <c r="E95" s="26">
        <v>0</v>
      </c>
      <c r="F95" s="28"/>
      <c r="G95" s="26">
        <v>0</v>
      </c>
    </row>
    <row r="96" spans="1:7" x14ac:dyDescent="0.25">
      <c r="A96" s="1" t="s">
        <v>51</v>
      </c>
      <c r="B96" s="26">
        <f>12</f>
        <v>12</v>
      </c>
      <c r="C96" s="26">
        <f>102000</f>
        <v>102000</v>
      </c>
      <c r="D96" s="26">
        <f>C96</f>
        <v>102000</v>
      </c>
      <c r="E96" s="26">
        <v>0</v>
      </c>
      <c r="F96" s="29"/>
      <c r="G96" s="26">
        <f>SUM(D96:F96)</f>
        <v>102000</v>
      </c>
    </row>
    <row r="97" spans="1:8" x14ac:dyDescent="0.25">
      <c r="A97" s="1" t="s">
        <v>13</v>
      </c>
      <c r="B97" s="26">
        <f>0</f>
        <v>0</v>
      </c>
      <c r="C97" s="26">
        <f>0</f>
        <v>0</v>
      </c>
      <c r="D97" s="26">
        <f>B97*20000</f>
        <v>0</v>
      </c>
      <c r="E97" s="26">
        <f>C97-D97</f>
        <v>0</v>
      </c>
      <c r="F97" s="29"/>
      <c r="G97" s="26">
        <f>SUM(D97:F97)</f>
        <v>0</v>
      </c>
    </row>
    <row r="98" spans="1:8" x14ac:dyDescent="0.25">
      <c r="A98" s="1" t="s">
        <v>61</v>
      </c>
      <c r="B98" s="26">
        <f>SUM(B96:B97)</f>
        <v>12</v>
      </c>
      <c r="C98" s="26">
        <f>SUM(C96:C97)</f>
        <v>102000</v>
      </c>
      <c r="D98" s="26">
        <f>SUM(D96:D97)</f>
        <v>102000</v>
      </c>
      <c r="E98" s="26">
        <f>SUM(E96:E97)</f>
        <v>0</v>
      </c>
      <c r="F98" s="29"/>
      <c r="G98" s="27">
        <f>SUM(G96:G97)</f>
        <v>102000</v>
      </c>
    </row>
    <row r="99" spans="1:8" x14ac:dyDescent="0.25">
      <c r="A99" s="43" t="s">
        <v>24</v>
      </c>
      <c r="B99" s="44"/>
      <c r="C99" s="44"/>
      <c r="D99" s="44"/>
      <c r="E99" s="44"/>
      <c r="F99" s="44"/>
      <c r="G99" s="45"/>
    </row>
    <row r="100" spans="1:8" x14ac:dyDescent="0.25">
      <c r="A100" s="5"/>
      <c r="B100" s="22" t="s">
        <v>1</v>
      </c>
      <c r="C100" s="22" t="s">
        <v>2</v>
      </c>
      <c r="D100" s="19" t="s">
        <v>40</v>
      </c>
      <c r="E100" s="19" t="s">
        <v>41</v>
      </c>
      <c r="F100" s="23"/>
      <c r="G100" s="22" t="s">
        <v>6</v>
      </c>
    </row>
    <row r="101" spans="1:8" x14ac:dyDescent="0.25">
      <c r="A101" s="14" t="s">
        <v>66</v>
      </c>
      <c r="B101" s="26">
        <v>0</v>
      </c>
      <c r="C101" s="26">
        <v>0</v>
      </c>
      <c r="D101" s="26">
        <v>0</v>
      </c>
      <c r="E101" s="26">
        <v>0</v>
      </c>
      <c r="F101" s="28"/>
      <c r="G101" s="26">
        <v>0</v>
      </c>
    </row>
    <row r="102" spans="1:8" x14ac:dyDescent="0.25">
      <c r="A102" s="1" t="s">
        <v>53</v>
      </c>
      <c r="B102" s="26">
        <f>0</f>
        <v>0</v>
      </c>
      <c r="C102" s="26">
        <f>0</f>
        <v>0</v>
      </c>
      <c r="D102" s="26">
        <f>C102</f>
        <v>0</v>
      </c>
      <c r="E102" s="26">
        <v>0</v>
      </c>
      <c r="F102" s="29"/>
      <c r="G102" s="26">
        <f>SUM(D102:F102)</f>
        <v>0</v>
      </c>
    </row>
    <row r="103" spans="1:8" x14ac:dyDescent="0.25">
      <c r="A103" s="1" t="s">
        <v>31</v>
      </c>
      <c r="B103" s="26">
        <f>12</f>
        <v>12</v>
      </c>
      <c r="C103" s="26">
        <f>8139000</f>
        <v>8139000</v>
      </c>
      <c r="D103" s="26">
        <f>B103*50000</f>
        <v>600000</v>
      </c>
      <c r="E103" s="26">
        <f>C103-D103</f>
        <v>7539000</v>
      </c>
      <c r="F103" s="29"/>
      <c r="G103" s="26">
        <f>SUM(D103:F103)</f>
        <v>8139000</v>
      </c>
    </row>
    <row r="104" spans="1:8" x14ac:dyDescent="0.25">
      <c r="A104" s="1" t="s">
        <v>61</v>
      </c>
      <c r="B104" s="26">
        <f>SUM(B102:B103)</f>
        <v>12</v>
      </c>
      <c r="C104" s="26">
        <f>SUM(C102:C103)</f>
        <v>8139000</v>
      </c>
      <c r="D104" s="26">
        <f>SUM(D102:D103)</f>
        <v>600000</v>
      </c>
      <c r="E104" s="26">
        <f>SUM(E102:E103)</f>
        <v>7539000</v>
      </c>
      <c r="F104" s="29"/>
      <c r="G104" s="27">
        <f>SUM(G102:G103)</f>
        <v>8139000</v>
      </c>
    </row>
    <row r="105" spans="1:8" x14ac:dyDescent="0.25">
      <c r="A105" s="50"/>
      <c r="B105" s="51"/>
      <c r="C105" s="51"/>
      <c r="D105" s="51"/>
      <c r="E105" s="51"/>
      <c r="F105" s="51"/>
      <c r="G105" s="52"/>
    </row>
    <row r="106" spans="1:8" x14ac:dyDescent="0.25">
      <c r="A106" s="46" t="s">
        <v>25</v>
      </c>
      <c r="B106" s="46"/>
      <c r="C106" s="46"/>
      <c r="D106" s="46"/>
      <c r="E106" s="46"/>
      <c r="F106" s="46"/>
      <c r="G106" s="46"/>
      <c r="H106" s="46"/>
    </row>
    <row r="107" spans="1:8" ht="30" x14ac:dyDescent="0.25">
      <c r="A107" s="5"/>
      <c r="B107" s="22" t="s">
        <v>1</v>
      </c>
      <c r="C107" s="25" t="s">
        <v>70</v>
      </c>
      <c r="D107" s="22" t="s">
        <v>2</v>
      </c>
      <c r="E107" s="22" t="s">
        <v>3</v>
      </c>
      <c r="F107" s="22" t="s">
        <v>4</v>
      </c>
      <c r="G107" s="19" t="s">
        <v>5</v>
      </c>
      <c r="H107" s="22" t="s">
        <v>6</v>
      </c>
    </row>
    <row r="108" spans="1:8" x14ac:dyDescent="0.25">
      <c r="A108" s="14" t="s">
        <v>63</v>
      </c>
      <c r="B108" s="26">
        <f>2+21+6+67+17+3+2</f>
        <v>118</v>
      </c>
      <c r="C108" s="26">
        <f>4+42+24+134+34+9+10</f>
        <v>257</v>
      </c>
      <c r="D108" s="26">
        <v>0</v>
      </c>
      <c r="E108" s="26">
        <v>0</v>
      </c>
      <c r="F108" s="26">
        <v>0</v>
      </c>
      <c r="G108" s="26">
        <v>0</v>
      </c>
      <c r="H108" s="26">
        <v>0</v>
      </c>
    </row>
    <row r="109" spans="1:8" x14ac:dyDescent="0.25">
      <c r="A109" s="1" t="s">
        <v>49</v>
      </c>
      <c r="B109" s="26">
        <f>29+14+1+8+11+142+4+118+1+11+2</f>
        <v>341</v>
      </c>
      <c r="C109" s="26">
        <f>58+28+2+32+22+284+8+236+159+3+44+12</f>
        <v>888</v>
      </c>
      <c r="D109" s="26">
        <f>43620+8900+1210+4030+11200+137670+6390+148650+780+17630+3940</f>
        <v>384020</v>
      </c>
      <c r="E109" s="26">
        <f>D109</f>
        <v>384020</v>
      </c>
      <c r="F109" s="26">
        <v>0</v>
      </c>
      <c r="G109" s="26">
        <v>0</v>
      </c>
      <c r="H109" s="26">
        <f>SUM(E109:G109)</f>
        <v>384020</v>
      </c>
    </row>
    <row r="110" spans="1:8" x14ac:dyDescent="0.25">
      <c r="A110" s="1" t="s">
        <v>7</v>
      </c>
      <c r="B110" s="26">
        <f>67+34+1+1+29+783+96+492+53+9+100+12+2+12+1+10</f>
        <v>1702</v>
      </c>
      <c r="C110" s="26">
        <f>134+68+2+2+58+1566+192+984+27+300+48+8+48+560</f>
        <v>3997</v>
      </c>
      <c r="D110" s="26">
        <f>331080+129600+2920+9340+148770+3912030+481530+2566790+296640+58760+607950+59900+5780+80780+8350+28010</f>
        <v>8728230</v>
      </c>
      <c r="E110" s="26">
        <f>B110*2000</f>
        <v>3404000</v>
      </c>
      <c r="F110" s="26">
        <f>D110-E110</f>
        <v>5324230</v>
      </c>
      <c r="G110" s="26">
        <v>0</v>
      </c>
      <c r="H110" s="26">
        <f>SUM(E110:G110)</f>
        <v>8728230</v>
      </c>
    </row>
    <row r="111" spans="1:8" x14ac:dyDescent="0.25">
      <c r="A111" s="1" t="s">
        <v>8</v>
      </c>
      <c r="B111" s="26">
        <f>1+5+11+25+13+13+13+8+120+13+81+19+3+15+12+24+25+12+12</f>
        <v>425</v>
      </c>
      <c r="C111" s="26">
        <f>2+10+22+125+884+1092+16+240+26+162+57+9+45+48+96+200+192+624</f>
        <v>3850</v>
      </c>
      <c r="D111" s="26">
        <f>16730+205740+176530+576530+2496720+4309000+4271000+113040+1845010+205520+1198930+233610+42920+221160+241830+1311960+1189390+245500+1775600</f>
        <v>20676720</v>
      </c>
      <c r="E111" s="26">
        <f>B111*2000</f>
        <v>850000</v>
      </c>
      <c r="F111" s="26">
        <f>B111*8000</f>
        <v>3400000</v>
      </c>
      <c r="G111" s="26">
        <f>D111-E111-F111</f>
        <v>16426720</v>
      </c>
      <c r="H111" s="26">
        <f>SUM(E111:G111)</f>
        <v>20676720</v>
      </c>
    </row>
    <row r="112" spans="1:8" x14ac:dyDescent="0.25">
      <c r="A112" s="1" t="s">
        <v>62</v>
      </c>
      <c r="B112" s="26">
        <f>SUM(B108:B111)</f>
        <v>2586</v>
      </c>
      <c r="C112" s="26">
        <f>SUM(C108:C111)</f>
        <v>8992</v>
      </c>
      <c r="D112" s="26">
        <f>SUM(D109:D111)</f>
        <v>29788970</v>
      </c>
      <c r="E112" s="26">
        <f>SUM(E109:E111)</f>
        <v>4638020</v>
      </c>
      <c r="F112" s="26">
        <f>SUM(F109:F111)</f>
        <v>8724230</v>
      </c>
      <c r="G112" s="26">
        <f>SUM(G109:G111)</f>
        <v>16426720</v>
      </c>
      <c r="H112" s="27">
        <f>SUM(H109:H111)</f>
        <v>29788970</v>
      </c>
    </row>
    <row r="113" spans="1:7" x14ac:dyDescent="0.25">
      <c r="A113" s="43" t="s">
        <v>26</v>
      </c>
      <c r="B113" s="44"/>
      <c r="C113" s="44"/>
      <c r="D113" s="44"/>
      <c r="E113" s="44"/>
      <c r="F113" s="44"/>
      <c r="G113" s="45"/>
    </row>
    <row r="114" spans="1:7" x14ac:dyDescent="0.25">
      <c r="A114" s="5"/>
      <c r="B114" s="5" t="s">
        <v>33</v>
      </c>
      <c r="C114" s="9"/>
      <c r="D114" s="9"/>
      <c r="E114" s="9"/>
      <c r="F114" s="9"/>
      <c r="G114" s="9"/>
    </row>
    <row r="115" spans="1:7" x14ac:dyDescent="0.25">
      <c r="A115" s="1" t="s">
        <v>27</v>
      </c>
      <c r="B115" s="26">
        <v>127600</v>
      </c>
      <c r="C115" s="10"/>
      <c r="D115" s="10"/>
      <c r="E115" s="10"/>
      <c r="F115" s="10"/>
      <c r="G115" s="10"/>
    </row>
    <row r="116" spans="1:7" x14ac:dyDescent="0.25">
      <c r="A116" s="1" t="s">
        <v>28</v>
      </c>
      <c r="B116" s="26">
        <v>2216900</v>
      </c>
      <c r="C116" s="10"/>
      <c r="D116" s="10"/>
      <c r="E116" s="10"/>
      <c r="F116" s="10"/>
      <c r="G116" s="10"/>
    </row>
    <row r="117" spans="1:7" x14ac:dyDescent="0.25">
      <c r="A117" s="1" t="s">
        <v>29</v>
      </c>
      <c r="B117" s="26">
        <v>0</v>
      </c>
      <c r="C117" s="10"/>
      <c r="D117" s="10"/>
      <c r="E117" s="10"/>
      <c r="F117" s="10"/>
      <c r="G117" s="10"/>
    </row>
    <row r="118" spans="1:7" x14ac:dyDescent="0.25">
      <c r="A118" s="1" t="s">
        <v>30</v>
      </c>
      <c r="B118" s="26">
        <v>55526900</v>
      </c>
      <c r="C118" s="10"/>
      <c r="D118" s="10"/>
      <c r="E118" s="10"/>
      <c r="F118" s="10"/>
      <c r="G118" s="10"/>
    </row>
    <row r="119" spans="1:7" x14ac:dyDescent="0.25">
      <c r="A119" s="1" t="s">
        <v>6</v>
      </c>
      <c r="B119" s="27">
        <v>57871400</v>
      </c>
      <c r="C119" s="10"/>
      <c r="D119" s="10"/>
      <c r="E119" s="10"/>
      <c r="F119" s="10"/>
      <c r="G119" s="10"/>
    </row>
    <row r="120" spans="1:7" x14ac:dyDescent="0.25">
      <c r="A120" s="53"/>
      <c r="B120" s="53"/>
      <c r="C120" s="53"/>
      <c r="D120" s="53"/>
      <c r="E120" s="53"/>
      <c r="F120" s="53"/>
      <c r="G120" s="53"/>
    </row>
    <row r="121" spans="1:7" x14ac:dyDescent="0.25">
      <c r="A121" s="43" t="s">
        <v>46</v>
      </c>
      <c r="B121" s="44"/>
      <c r="C121" s="44"/>
      <c r="D121" s="44"/>
      <c r="E121" s="44"/>
      <c r="F121" s="44"/>
      <c r="G121" s="45"/>
    </row>
    <row r="122" spans="1:7" ht="30" x14ac:dyDescent="0.25">
      <c r="A122" s="5" t="s">
        <v>48</v>
      </c>
      <c r="B122" s="5" t="s">
        <v>1</v>
      </c>
      <c r="C122" s="5" t="s">
        <v>2</v>
      </c>
      <c r="D122" s="5" t="s">
        <v>3</v>
      </c>
      <c r="E122" s="5" t="s">
        <v>4</v>
      </c>
      <c r="F122" s="4" t="s">
        <v>5</v>
      </c>
      <c r="G122" s="5" t="s">
        <v>6</v>
      </c>
    </row>
    <row r="123" spans="1:7" x14ac:dyDescent="0.25">
      <c r="A123" s="14" t="s">
        <v>47</v>
      </c>
      <c r="B123" s="26">
        <v>131</v>
      </c>
      <c r="C123" s="6">
        <v>0</v>
      </c>
      <c r="D123" s="6">
        <v>0</v>
      </c>
      <c r="E123" s="6">
        <v>0</v>
      </c>
      <c r="F123" s="6">
        <v>0</v>
      </c>
      <c r="G123" s="6">
        <v>0</v>
      </c>
    </row>
    <row r="124" spans="1:7" x14ac:dyDescent="0.25">
      <c r="A124" s="1" t="s">
        <v>49</v>
      </c>
      <c r="B124" s="26">
        <f>103</f>
        <v>103</v>
      </c>
      <c r="C124" s="6">
        <f>55870</f>
        <v>55870</v>
      </c>
      <c r="D124" s="6">
        <f>C124</f>
        <v>55870</v>
      </c>
      <c r="E124" s="6">
        <v>0</v>
      </c>
      <c r="F124" s="6">
        <v>0</v>
      </c>
      <c r="G124" s="6">
        <f>SUM(D124:F124)</f>
        <v>55870</v>
      </c>
    </row>
    <row r="125" spans="1:7" x14ac:dyDescent="0.25">
      <c r="A125" s="1" t="s">
        <v>7</v>
      </c>
      <c r="B125" s="26">
        <f>12</f>
        <v>12</v>
      </c>
      <c r="C125" s="6">
        <f>43310</f>
        <v>43310</v>
      </c>
      <c r="D125" s="6">
        <f>B125*2000</f>
        <v>24000</v>
      </c>
      <c r="E125" s="6">
        <f>C125-D125</f>
        <v>19310</v>
      </c>
      <c r="F125" s="6">
        <v>0</v>
      </c>
      <c r="G125" s="6">
        <f>SUM(D125:F125)</f>
        <v>43310</v>
      </c>
    </row>
    <row r="126" spans="1:7" x14ac:dyDescent="0.25">
      <c r="A126" s="1" t="s">
        <v>8</v>
      </c>
      <c r="B126" s="26">
        <f>49</f>
        <v>49</v>
      </c>
      <c r="C126" s="6">
        <f>2664390</f>
        <v>2664390</v>
      </c>
      <c r="D126" s="6">
        <f>B126*2000</f>
        <v>98000</v>
      </c>
      <c r="E126" s="6">
        <f>B126*8000</f>
        <v>392000</v>
      </c>
      <c r="F126" s="6">
        <f>C126-D126-E126</f>
        <v>2174390</v>
      </c>
      <c r="G126" s="6">
        <f>SUM(D126:F126)</f>
        <v>2664390</v>
      </c>
    </row>
    <row r="127" spans="1:7" x14ac:dyDescent="0.25">
      <c r="A127" s="1" t="s">
        <v>6</v>
      </c>
      <c r="B127" s="26">
        <f>SUM(B123:B126)</f>
        <v>295</v>
      </c>
      <c r="C127" s="6">
        <f>SUM(C124:C126)</f>
        <v>2763570</v>
      </c>
      <c r="D127" s="6">
        <f>SUM(D124:D126)</f>
        <v>177870</v>
      </c>
      <c r="E127" s="6">
        <f>SUM(E124:E126)</f>
        <v>411310</v>
      </c>
      <c r="F127" s="6">
        <f>SUM(F124:F126)</f>
        <v>2174390</v>
      </c>
      <c r="G127" s="12">
        <f>SUM(G124:G126)</f>
        <v>2763570</v>
      </c>
    </row>
    <row r="128" spans="1:7" x14ac:dyDescent="0.25">
      <c r="A128" s="39"/>
      <c r="B128" s="40"/>
      <c r="C128" s="41"/>
      <c r="D128" s="41"/>
      <c r="E128" s="41"/>
      <c r="F128" s="41"/>
      <c r="G128" s="42"/>
    </row>
    <row r="129" spans="1:7" s="30" customFormat="1" x14ac:dyDescent="0.25">
      <c r="A129" s="47" t="s">
        <v>67</v>
      </c>
      <c r="B129" s="47"/>
      <c r="C129" s="47"/>
      <c r="D129" s="47"/>
      <c r="E129" s="47"/>
      <c r="F129" s="47"/>
      <c r="G129" s="47"/>
    </row>
    <row r="130" spans="1:7" s="30" customFormat="1" x14ac:dyDescent="0.25">
      <c r="A130" s="48" t="s">
        <v>68</v>
      </c>
      <c r="B130" s="48"/>
      <c r="C130" s="48"/>
      <c r="D130" s="48"/>
      <c r="E130" s="48"/>
      <c r="F130" s="48"/>
      <c r="G130" s="48"/>
    </row>
    <row r="131" spans="1:7" s="30" customFormat="1" ht="30" customHeight="1" x14ac:dyDescent="0.25">
      <c r="A131" s="49" t="s">
        <v>69</v>
      </c>
      <c r="B131" s="49"/>
      <c r="C131" s="49"/>
      <c r="D131" s="49"/>
      <c r="E131" s="49"/>
      <c r="F131" s="49"/>
      <c r="G131" s="49"/>
    </row>
    <row r="132" spans="1:7" s="31" customFormat="1" x14ac:dyDescent="0.25">
      <c r="A132" s="30"/>
    </row>
  </sheetData>
  <mergeCells count="24">
    <mergeCell ref="A129:G129"/>
    <mergeCell ref="A130:G130"/>
    <mergeCell ref="A131:G131"/>
    <mergeCell ref="A105:G105"/>
    <mergeCell ref="A120:G120"/>
    <mergeCell ref="A113:G113"/>
    <mergeCell ref="A48:G48"/>
    <mergeCell ref="A54:G54"/>
    <mergeCell ref="A61:G61"/>
    <mergeCell ref="A68:G68"/>
    <mergeCell ref="A42:G42"/>
    <mergeCell ref="A121:G121"/>
    <mergeCell ref="A74:G74"/>
    <mergeCell ref="A80:G80"/>
    <mergeCell ref="A86:G86"/>
    <mergeCell ref="A93:G93"/>
    <mergeCell ref="A99:G99"/>
    <mergeCell ref="A106:H106"/>
    <mergeCell ref="A1:G1"/>
    <mergeCell ref="A22:G22"/>
    <mergeCell ref="A29:G29"/>
    <mergeCell ref="A36:G36"/>
    <mergeCell ref="A8:G8"/>
    <mergeCell ref="A15:G15"/>
  </mergeCells>
  <pageMargins left="0.5" right="0.25" top="1" bottom="0.75" header="0.55000000000000004" footer="0.3"/>
  <pageSetup scale="65" orientation="portrait" r:id="rId1"/>
  <headerFooter>
    <oddHeader>&amp;C&amp;"-,Bold"&amp;18USAGE ANALYSIS</oddHeader>
    <oddFooter>Page &amp;P of &amp;N</oddFooter>
  </headerFooter>
  <rowBreaks count="2" manualBreakCount="2">
    <brk id="53" max="7" man="1"/>
    <brk id="11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2023-07-13T19:18:35Z</dcterms:created>
  <dcterms:modified xsi:type="dcterms:W3CDTF">2023-07-14T20:23:37Z</dcterms:modified>
</cp:coreProperties>
</file>