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05" firstSheet="5" activeTab="13"/>
  </bookViews>
  <sheets>
    <sheet name="2009WS" sheetId="1" r:id="rId1"/>
    <sheet name="2010WS" sheetId="2" r:id="rId2"/>
    <sheet name="2011WS" sheetId="3" r:id="rId3"/>
    <sheet name="2012 ws" sheetId="4" r:id="rId4"/>
    <sheet name="2013ws" sheetId="5" r:id="rId5"/>
    <sheet name="2014" sheetId="6" r:id="rId6"/>
    <sheet name="2015" sheetId="7" r:id="rId7"/>
    <sheet name="xxx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</sheets>
  <definedNames>
    <definedName name="_xlfn._FV" hidden="1">#NAME?</definedName>
    <definedName name="_xlnm.Print_Area" localSheetId="2">'2011WS'!$A$1:$J$122</definedName>
    <definedName name="_xlnm.Print_Area" localSheetId="3">'2012 ws'!$A$99:$K$144</definedName>
  </definedNames>
  <calcPr fullCalcOnLoad="1"/>
</workbook>
</file>

<file path=xl/sharedStrings.xml><?xml version="1.0" encoding="utf-8"?>
<sst xmlns="http://schemas.openxmlformats.org/spreadsheetml/2006/main" count="2145" uniqueCount="132">
  <si>
    <t>City of Harrodsburg</t>
  </si>
  <si>
    <t>Debt</t>
  </si>
  <si>
    <t>Principal</t>
  </si>
  <si>
    <t>Fiscal Year</t>
  </si>
  <si>
    <t>Water tower</t>
  </si>
  <si>
    <t>Water Meter</t>
  </si>
  <si>
    <t>Backhoe 2</t>
  </si>
  <si>
    <t>Bonds</t>
  </si>
  <si>
    <t>KIA</t>
  </si>
  <si>
    <t>2004A</t>
  </si>
  <si>
    <t>2004B</t>
  </si>
  <si>
    <t>Total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</si>
  <si>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</si>
  <si>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</si>
  <si>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</si>
  <si>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</si>
  <si>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</si>
  <si>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</si>
  <si>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</si>
  <si>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</si>
  <si>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</si>
  <si>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</si>
  <si>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</si>
  <si>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</si>
  <si>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</si>
  <si>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</si>
  <si>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</si>
  <si>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</si>
  <si>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</si>
  <si>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</si>
  <si>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</si>
  <si>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</si>
  <si>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</si>
  <si>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</si>
  <si>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</si>
  <si>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</si>
  <si>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</si>
  <si>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</si>
  <si>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</si>
  <si>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</si>
  <si>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</si>
  <si>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</si>
  <si>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</si>
  <si>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</si>
  <si>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</si>
  <si>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</si>
  <si>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</si>
  <si>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Interest</t>
  </si>
  <si>
    <t>Principal and interest</t>
  </si>
  <si>
    <t>RUS Sewer</t>
  </si>
  <si>
    <t>RUS Water</t>
  </si>
  <si>
    <t>max debt on bonds</t>
  </si>
  <si>
    <t>MY 6/25/2010</t>
  </si>
  <si>
    <t>Note</t>
  </si>
  <si>
    <t>Whittier</t>
  </si>
  <si>
    <t>LH 7/13/11</t>
  </si>
  <si>
    <t>Whitaker #2</t>
  </si>
  <si>
    <t>Plant</t>
  </si>
  <si>
    <t>Treatment</t>
  </si>
  <si>
    <t>x</t>
  </si>
  <si>
    <t>my 7/23/2012</t>
  </si>
  <si>
    <t>2046</t>
  </si>
  <si>
    <t>2047</t>
  </si>
  <si>
    <t>2048</t>
  </si>
  <si>
    <t>2049</t>
  </si>
  <si>
    <t>2050</t>
  </si>
  <si>
    <t>2051</t>
  </si>
  <si>
    <t>2013B</t>
  </si>
  <si>
    <t xml:space="preserve">Note - have not included new KIA loans since we do not know the amortization of these loans at present time.  </t>
  </si>
  <si>
    <t xml:space="preserve">  This will be established after the loan proceeds have been received in full.</t>
  </si>
  <si>
    <t>updated 7/10/14</t>
  </si>
  <si>
    <t>KIA F-11-17</t>
  </si>
  <si>
    <t>2052</t>
  </si>
  <si>
    <t>KIA A-11-21</t>
  </si>
  <si>
    <t>Note - have recorded Whitaker bank loan based on amortization schedule of new bond</t>
  </si>
  <si>
    <t xml:space="preserve">  issue that will refinance this loan</t>
  </si>
  <si>
    <t>2014 a</t>
  </si>
  <si>
    <t>2014b</t>
  </si>
  <si>
    <t>Whitaker</t>
  </si>
  <si>
    <t>this loan is off</t>
  </si>
  <si>
    <t>Balance</t>
  </si>
  <si>
    <t>Paid</t>
  </si>
  <si>
    <t>Interest on 2011 Series</t>
  </si>
  <si>
    <t>2053</t>
  </si>
  <si>
    <t>2054</t>
  </si>
  <si>
    <t>KIA F-13-002</t>
  </si>
  <si>
    <t>A12-07</t>
  </si>
  <si>
    <t>A15-074</t>
  </si>
  <si>
    <t>agreed to tb</t>
  </si>
  <si>
    <t>F15-031</t>
  </si>
  <si>
    <t>A15-046</t>
  </si>
  <si>
    <t>A15-075</t>
  </si>
  <si>
    <t>A-15.075</t>
  </si>
  <si>
    <t>2055</t>
  </si>
  <si>
    <t>2056</t>
  </si>
  <si>
    <t>2057</t>
  </si>
  <si>
    <t>2058</t>
  </si>
  <si>
    <t>2059</t>
  </si>
  <si>
    <t>2060</t>
  </si>
  <si>
    <t>2061</t>
  </si>
  <si>
    <t>05-108-5615</t>
  </si>
  <si>
    <t>05-108-5655</t>
  </si>
  <si>
    <t>05-108-5720</t>
  </si>
  <si>
    <t>05-108-5680</t>
  </si>
  <si>
    <t>05-108-5760</t>
  </si>
  <si>
    <t>05-108-5730</t>
  </si>
  <si>
    <t>05-108-5710</t>
  </si>
  <si>
    <t>05-108-5625</t>
  </si>
  <si>
    <t>05-108-5670</t>
  </si>
  <si>
    <t>05-108-5630</t>
  </si>
  <si>
    <t>05-108-5635</t>
  </si>
  <si>
    <t>05-108-5640</t>
  </si>
  <si>
    <t>05-108-5610</t>
  </si>
  <si>
    <t>05-108-5660</t>
  </si>
  <si>
    <t>05-108-5600</t>
  </si>
  <si>
    <t>F16-049</t>
  </si>
  <si>
    <t>Interest (and service fees where applicable)</t>
  </si>
  <si>
    <t>05-108-5685</t>
  </si>
  <si>
    <t>05-108-5695</t>
  </si>
  <si>
    <t>KIA A15-074</t>
  </si>
  <si>
    <t>05-108-5740</t>
  </si>
  <si>
    <t xml:space="preserve">Truck </t>
  </si>
  <si>
    <t>Lease</t>
  </si>
  <si>
    <t>WS-LL-1</t>
  </si>
  <si>
    <t>Loan</t>
  </si>
  <si>
    <t>Repay</t>
  </si>
  <si>
    <t xml:space="preserve">Water </t>
  </si>
  <si>
    <t>Meters</t>
  </si>
  <si>
    <t>Chevy</t>
  </si>
  <si>
    <t>Silverado</t>
  </si>
  <si>
    <t>A16-033</t>
  </si>
  <si>
    <t>Per Shelby, no amortization schedule for A16-033 yet; updated to reflect A16-033 5/19/21 by KH.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</si>
</sst>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  <numFmt numFmtId="167" formatCode="[$-409]dddd\,\ mmmm\ d\,\ yyyy"/>
    <numFmt numFmtId="168" formatCode="[$-409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2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2" fillId="0" borderId="11" xfId="42" applyNumberFormat="1" applyFont="1" applyBorder="1" applyAlignment="1">
      <alignment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42" applyNumberFormat="1" applyFont="1" applyAlignment="1" quotePrefix="1">
      <alignment horizontal="center"/>
    </xf>
    <xf numFmtId="3" fontId="27" fillId="0" borderId="0" xfId="55" applyNumberFormat="1">
      <alignment/>
      <protection/>
    </xf>
    <xf numFmtId="0" fontId="27" fillId="0" borderId="0" xfId="55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44" fillId="0" borderId="0" xfId="42" applyNumberFormat="1" applyFont="1" applyAlignment="1">
      <alignment/>
    </xf>
    <xf numFmtId="3" fontId="43" fillId="0" borderId="0" xfId="55" applyNumberFormat="1" applyFont="1">
      <alignment/>
      <protection/>
    </xf>
    <xf numFmtId="0" fontId="44" fillId="0" borderId="0" xfId="0" applyFont="1" applyAlignment="1">
      <alignment/>
    </xf>
    <xf numFmtId="164" fontId="45" fillId="0" borderId="10" xfId="42" applyNumberFormat="1" applyFont="1" applyBorder="1" applyAlignment="1">
      <alignment/>
    </xf>
    <xf numFmtId="3" fontId="23" fillId="0" borderId="0" xfId="55" applyNumberFormat="1" applyFont="1">
      <alignment/>
      <protection/>
    </xf>
    <xf numFmtId="43" fontId="2" fillId="0" borderId="0" xfId="0" applyNumberFormat="1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2" fillId="0" borderId="0" xfId="42" applyFont="1" applyFill="1" applyAlignment="1" quotePrefix="1">
      <alignment horizontal="center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43" fontId="2" fillId="0" borderId="0" xfId="0" applyNumberFormat="1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45" fillId="0" borderId="0" xfId="42" applyNumberFormat="1" applyFont="1" applyFill="1" applyAlignment="1">
      <alignment/>
    </xf>
    <xf numFmtId="164" fontId="45" fillId="0" borderId="10" xfId="42" applyNumberFormat="1" applyFont="1" applyFill="1" applyBorder="1" applyAlignment="1">
      <alignment/>
    </xf>
    <xf numFmtId="3" fontId="2" fillId="0" borderId="0" xfId="55" applyNumberFormat="1" applyFont="1" applyFill="1">
      <alignment/>
      <protection/>
    </xf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166" fontId="2" fillId="0" borderId="0" xfId="42" applyNumberFormat="1" applyFont="1" applyFill="1" applyAlignment="1" quotePrefix="1">
      <alignment horizontal="center"/>
    </xf>
    <xf numFmtId="0" fontId="4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4" fillId="0" borderId="0" xfId="42" applyNumberFormat="1" applyFont="1" applyFill="1" applyAlignment="1">
      <alignment/>
    </xf>
    <xf numFmtId="0" fontId="47" fillId="33" borderId="11" xfId="0" applyFont="1" applyFill="1" applyBorder="1" applyAlignment="1">
      <alignment horizontal="center"/>
    </xf>
    <xf numFmtId="164" fontId="3" fillId="0" borderId="0" xfId="42" applyNumberFormat="1" applyFont="1" applyFill="1" applyAlignment="1">
      <alignment horizontal="center"/>
    </xf>
    <xf numFmtId="164" fontId="3" fillId="0" borderId="0" xfId="42" applyNumberFormat="1" applyFont="1" applyFill="1" applyAlignment="1" quotePrefix="1">
      <alignment horizontal="center"/>
    </xf>
    <xf numFmtId="164" fontId="48" fillId="0" borderId="0" xfId="42" applyNumberFormat="1" applyFont="1" applyFill="1" applyAlignment="1">
      <alignment/>
    </xf>
    <xf numFmtId="164" fontId="44" fillId="0" borderId="0" xfId="42" applyNumberFormat="1" applyFont="1" applyFill="1" applyBorder="1" applyAlignment="1">
      <alignment/>
    </xf>
    <xf numFmtId="166" fontId="3" fillId="0" borderId="0" xfId="42" applyNumberFormat="1" applyFont="1" applyFill="1" applyAlignment="1" quotePrefix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164" fontId="46" fillId="0" borderId="0" xfId="42" applyNumberFormat="1" applyFont="1" applyFill="1" applyAlignment="1">
      <alignment horizontal="center"/>
    </xf>
    <xf numFmtId="166" fontId="46" fillId="0" borderId="0" xfId="42" applyNumberFormat="1" applyFont="1" applyFill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9" width="10.7109375" style="0" customWidth="1"/>
    <col min="10" max="10" width="10.7109375" style="2" customWidth="1"/>
    <col min="11" max="11" width="13.281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2</v>
      </c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5" t="s">
        <v>54</v>
      </c>
      <c r="E5" s="2"/>
      <c r="F5" s="2"/>
      <c r="G5" s="2"/>
      <c r="H5" s="2"/>
      <c r="I5" s="2"/>
    </row>
    <row r="6" spans="1:10" ht="12.75">
      <c r="A6" s="4" t="s">
        <v>3</v>
      </c>
      <c r="B6" s="5" t="s">
        <v>4</v>
      </c>
      <c r="C6" s="5" t="s">
        <v>5</v>
      </c>
      <c r="D6" s="5" t="s">
        <v>53</v>
      </c>
      <c r="E6" s="5" t="s">
        <v>7</v>
      </c>
      <c r="F6" s="5" t="s">
        <v>8</v>
      </c>
      <c r="G6" s="5">
        <v>2005</v>
      </c>
      <c r="H6" s="5" t="s">
        <v>9</v>
      </c>
      <c r="I6" s="5" t="s">
        <v>10</v>
      </c>
      <c r="J6" s="5" t="s">
        <v>11</v>
      </c>
    </row>
    <row r="7" spans="1:10" ht="12.75">
      <c r="A7" s="6" t="s">
        <v>13</v>
      </c>
      <c r="B7" s="7">
        <v>30000</v>
      </c>
      <c r="C7" s="7">
        <f>25106.68+25385.77+25667.97+25953.31</f>
        <v>102113.73</v>
      </c>
      <c r="D7" s="7"/>
      <c r="E7" s="7">
        <v>140000</v>
      </c>
      <c r="F7" s="7">
        <v>162306</v>
      </c>
      <c r="G7" s="7">
        <v>32500</v>
      </c>
      <c r="H7" s="7">
        <v>12000</v>
      </c>
      <c r="I7" s="7">
        <v>3000</v>
      </c>
      <c r="J7" s="7">
        <f aca="true" t="shared" si="0" ref="J7:J39">SUM(B7:I7)</f>
        <v>481919.73</v>
      </c>
    </row>
    <row r="8" spans="1:10" ht="12.75">
      <c r="A8" s="6" t="s">
        <v>14</v>
      </c>
      <c r="B8" s="7">
        <v>30000</v>
      </c>
      <c r="C8" s="7">
        <f>26241.82+26533.53+26828.49+27126.73</f>
        <v>106730.56999999999</v>
      </c>
      <c r="D8" s="7"/>
      <c r="E8" s="7">
        <v>144000</v>
      </c>
      <c r="F8" s="7">
        <v>163933</v>
      </c>
      <c r="G8" s="7">
        <v>34000</v>
      </c>
      <c r="H8" s="7">
        <v>13000</v>
      </c>
      <c r="I8" s="7">
        <v>3000</v>
      </c>
      <c r="J8" s="7">
        <f t="shared" si="0"/>
        <v>494663.57</v>
      </c>
    </row>
    <row r="9" spans="1:10" ht="12.75">
      <c r="A9" s="6" t="s">
        <v>15</v>
      </c>
      <c r="B9" s="7">
        <v>30000</v>
      </c>
      <c r="C9" s="7">
        <f>27428.28+27733.19+28041.48+28353.21</f>
        <v>111556.16</v>
      </c>
      <c r="D9" s="7"/>
      <c r="E9" s="7">
        <v>147000</v>
      </c>
      <c r="F9" s="7">
        <v>165576</v>
      </c>
      <c r="G9" s="7">
        <v>35500</v>
      </c>
      <c r="H9" s="7">
        <v>13000</v>
      </c>
      <c r="I9" s="7">
        <v>3000</v>
      </c>
      <c r="J9" s="7">
        <f t="shared" si="0"/>
        <v>505632.16000000003</v>
      </c>
    </row>
    <row r="10" spans="1:10" ht="12.75">
      <c r="A10" s="6" t="s">
        <v>16</v>
      </c>
      <c r="B10" s="7">
        <v>30000</v>
      </c>
      <c r="C10" s="7">
        <f>28668.39+28987.08+29309.32+29635.13</f>
        <v>116599.92000000001</v>
      </c>
      <c r="D10" s="7"/>
      <c r="E10" s="7">
        <v>151000</v>
      </c>
      <c r="F10" s="7">
        <v>167236</v>
      </c>
      <c r="G10" s="7">
        <v>37000</v>
      </c>
      <c r="H10" s="7">
        <v>14000</v>
      </c>
      <c r="I10" s="7">
        <v>4000</v>
      </c>
      <c r="J10" s="7">
        <f t="shared" si="0"/>
        <v>519835.92000000004</v>
      </c>
    </row>
    <row r="11" spans="1:10" ht="12.75">
      <c r="A11" s="6" t="s">
        <v>17</v>
      </c>
      <c r="B11" s="7">
        <v>30000</v>
      </c>
      <c r="C11" s="7">
        <f>29964.57+30297.67+30634.47+30975.02</f>
        <v>121871.73</v>
      </c>
      <c r="D11" s="7"/>
      <c r="E11" s="7">
        <v>159000</v>
      </c>
      <c r="F11" s="7">
        <v>168913</v>
      </c>
      <c r="G11" s="7">
        <v>38500</v>
      </c>
      <c r="H11" s="7">
        <v>15000</v>
      </c>
      <c r="I11" s="7">
        <v>4000</v>
      </c>
      <c r="J11" s="7">
        <f t="shared" si="0"/>
        <v>537284.73</v>
      </c>
    </row>
    <row r="12" spans="1:10" ht="12.75">
      <c r="A12" s="6" t="s">
        <v>18</v>
      </c>
      <c r="B12" s="7">
        <v>40000</v>
      </c>
      <c r="C12" s="7">
        <f>31319.35+31667.51+32019.54+32375.49</f>
        <v>127381.89</v>
      </c>
      <c r="D12" s="7"/>
      <c r="E12" s="7">
        <v>163000</v>
      </c>
      <c r="F12" s="7">
        <v>170606</v>
      </c>
      <c r="G12" s="7">
        <v>40500</v>
      </c>
      <c r="H12" s="7">
        <v>15000</v>
      </c>
      <c r="I12" s="7">
        <v>4000</v>
      </c>
      <c r="J12" s="7">
        <f t="shared" si="0"/>
        <v>560487.89</v>
      </c>
    </row>
    <row r="13" spans="1:10" ht="12.75">
      <c r="A13" s="6" t="s">
        <v>19</v>
      </c>
      <c r="B13" s="7">
        <v>40000</v>
      </c>
      <c r="C13" s="7">
        <f>32735.39+33099.29+33467.24+33839.28</f>
        <v>133141.19999999998</v>
      </c>
      <c r="D13" s="7"/>
      <c r="E13" s="7">
        <v>171000</v>
      </c>
      <c r="F13" s="7">
        <v>172316</v>
      </c>
      <c r="G13" s="8">
        <v>42000</v>
      </c>
      <c r="H13" s="7">
        <v>16000</v>
      </c>
      <c r="I13" s="7">
        <v>4000</v>
      </c>
      <c r="J13" s="7">
        <f t="shared" si="0"/>
        <v>578457.2</v>
      </c>
    </row>
    <row r="14" spans="1:10" ht="12.75">
      <c r="A14" s="6" t="s">
        <v>20</v>
      </c>
      <c r="B14" s="8">
        <v>15000</v>
      </c>
      <c r="C14" s="8">
        <f>34215.45+34595.8+34980.39+35369.24</f>
        <v>139160.88</v>
      </c>
      <c r="D14" s="8"/>
      <c r="E14" s="8">
        <v>175000</v>
      </c>
      <c r="F14" s="8">
        <v>174044</v>
      </c>
      <c r="G14" s="8">
        <v>44000</v>
      </c>
      <c r="H14" s="8">
        <v>17000</v>
      </c>
      <c r="I14" s="8">
        <v>4000</v>
      </c>
      <c r="J14" s="8">
        <f t="shared" si="0"/>
        <v>568204.88</v>
      </c>
    </row>
    <row r="15" spans="1:10" ht="12.75">
      <c r="A15" s="6" t="s">
        <v>21</v>
      </c>
      <c r="B15" s="8"/>
      <c r="C15" s="8">
        <f>35762.42+36159.98+36561.95+36968.39</f>
        <v>145452.74</v>
      </c>
      <c r="D15" s="8"/>
      <c r="E15" s="8">
        <v>184000</v>
      </c>
      <c r="F15" s="8">
        <v>175789</v>
      </c>
      <c r="G15" s="8">
        <v>46000</v>
      </c>
      <c r="H15" s="8">
        <v>17000</v>
      </c>
      <c r="I15" s="8">
        <v>5000</v>
      </c>
      <c r="J15" s="8">
        <f t="shared" si="0"/>
        <v>573241.74</v>
      </c>
    </row>
    <row r="16" spans="1:10" ht="12.75">
      <c r="A16" s="6" t="s">
        <v>22</v>
      </c>
      <c r="B16" s="8"/>
      <c r="C16" s="8">
        <f>37379.34+37794.87+38215.01+38639.83</f>
        <v>152029.05</v>
      </c>
      <c r="D16" s="8"/>
      <c r="E16" s="8">
        <v>30000</v>
      </c>
      <c r="F16" s="8">
        <v>177551</v>
      </c>
      <c r="G16" s="8">
        <v>48000</v>
      </c>
      <c r="H16" s="8">
        <v>18000</v>
      </c>
      <c r="I16" s="8">
        <v>5000</v>
      </c>
      <c r="J16" s="7">
        <f t="shared" si="0"/>
        <v>430580.05</v>
      </c>
    </row>
    <row r="17" spans="1:10" ht="12.75">
      <c r="A17" s="6" t="s">
        <v>23</v>
      </c>
      <c r="B17" s="8"/>
      <c r="C17" s="8">
        <f>39069.37+39503.68+39942.82+40386.85</f>
        <v>158902.72</v>
      </c>
      <c r="D17" s="8"/>
      <c r="E17" s="8"/>
      <c r="F17" s="8">
        <v>179331</v>
      </c>
      <c r="G17" s="8">
        <v>50500</v>
      </c>
      <c r="H17" s="8">
        <v>19000</v>
      </c>
      <c r="I17" s="8">
        <v>5000</v>
      </c>
      <c r="J17" s="7">
        <f t="shared" si="0"/>
        <v>412733.72</v>
      </c>
    </row>
    <row r="18" spans="1:10" ht="12.75">
      <c r="A18" s="6" t="s">
        <v>24</v>
      </c>
      <c r="B18" s="8"/>
      <c r="C18" s="8">
        <f>40835.8+41289.81</f>
        <v>82125.61</v>
      </c>
      <c r="D18" s="8"/>
      <c r="E18" s="8"/>
      <c r="F18" s="8">
        <v>181129</v>
      </c>
      <c r="G18" s="8">
        <v>52500</v>
      </c>
      <c r="H18" s="8">
        <v>20000</v>
      </c>
      <c r="I18" s="8">
        <v>5000</v>
      </c>
      <c r="J18" s="8">
        <f t="shared" si="0"/>
        <v>340754.61</v>
      </c>
    </row>
    <row r="19" spans="1:10" ht="12.75">
      <c r="A19" s="6" t="s">
        <v>25</v>
      </c>
      <c r="B19" s="8"/>
      <c r="C19" s="8"/>
      <c r="D19" s="8"/>
      <c r="E19" s="8"/>
      <c r="F19" s="8">
        <v>91243</v>
      </c>
      <c r="G19" s="8">
        <v>55000</v>
      </c>
      <c r="H19" s="8">
        <v>21000</v>
      </c>
      <c r="I19" s="8">
        <v>5000</v>
      </c>
      <c r="J19" s="7">
        <f t="shared" si="0"/>
        <v>172243</v>
      </c>
    </row>
    <row r="20" spans="1:10" ht="12.75">
      <c r="A20" s="6" t="s">
        <v>26</v>
      </c>
      <c r="B20" s="8"/>
      <c r="C20" s="8"/>
      <c r="D20" s="8"/>
      <c r="E20" s="8"/>
      <c r="F20" s="8"/>
      <c r="G20" s="8">
        <v>57500</v>
      </c>
      <c r="H20" s="8">
        <v>22000</v>
      </c>
      <c r="I20" s="8">
        <v>6000</v>
      </c>
      <c r="J20" s="7">
        <f t="shared" si="0"/>
        <v>85500</v>
      </c>
    </row>
    <row r="21" spans="1:10" ht="12.75">
      <c r="A21" s="6" t="s">
        <v>27</v>
      </c>
      <c r="B21" s="8"/>
      <c r="C21" s="8"/>
      <c r="D21" s="8"/>
      <c r="E21" s="8"/>
      <c r="F21" s="8"/>
      <c r="G21" s="8">
        <v>60000</v>
      </c>
      <c r="H21" s="8">
        <v>23000</v>
      </c>
      <c r="I21" s="8">
        <v>6000</v>
      </c>
      <c r="J21" s="7">
        <f t="shared" si="0"/>
        <v>89000</v>
      </c>
    </row>
    <row r="22" spans="1:10" ht="12.75">
      <c r="A22" s="6" t="s">
        <v>28</v>
      </c>
      <c r="B22" s="8"/>
      <c r="C22" s="8"/>
      <c r="D22" s="8"/>
      <c r="E22" s="8"/>
      <c r="F22" s="8"/>
      <c r="G22" s="8">
        <v>62500</v>
      </c>
      <c r="H22" s="8">
        <v>24000</v>
      </c>
      <c r="I22" s="8">
        <v>6000</v>
      </c>
      <c r="J22" s="7">
        <f t="shared" si="0"/>
        <v>92500</v>
      </c>
    </row>
    <row r="23" spans="1:10" ht="12.75">
      <c r="A23" s="6" t="s">
        <v>29</v>
      </c>
      <c r="B23" s="8"/>
      <c r="C23" s="8"/>
      <c r="D23" s="8"/>
      <c r="E23" s="8"/>
      <c r="F23" s="8"/>
      <c r="G23" s="8">
        <v>65500</v>
      </c>
      <c r="H23" s="8">
        <v>25000</v>
      </c>
      <c r="I23" s="8">
        <v>6000</v>
      </c>
      <c r="J23" s="7">
        <f t="shared" si="0"/>
        <v>96500</v>
      </c>
    </row>
    <row r="24" spans="1:10" ht="12.75">
      <c r="A24" s="6" t="s">
        <v>30</v>
      </c>
      <c r="B24" s="8"/>
      <c r="C24" s="8"/>
      <c r="D24" s="8"/>
      <c r="E24" s="8"/>
      <c r="F24" s="8"/>
      <c r="G24" s="8">
        <v>68500</v>
      </c>
      <c r="H24" s="8">
        <v>26000</v>
      </c>
      <c r="I24" s="8">
        <v>7000</v>
      </c>
      <c r="J24" s="7">
        <f t="shared" si="0"/>
        <v>101500</v>
      </c>
    </row>
    <row r="25" spans="1:10" ht="12.75">
      <c r="A25" s="6" t="s">
        <v>31</v>
      </c>
      <c r="B25" s="8"/>
      <c r="C25" s="8"/>
      <c r="D25" s="8"/>
      <c r="E25" s="8"/>
      <c r="F25" s="8"/>
      <c r="G25" s="8">
        <v>71500</v>
      </c>
      <c r="H25" s="8">
        <v>27000</v>
      </c>
      <c r="I25" s="8">
        <v>7000</v>
      </c>
      <c r="J25" s="7">
        <f t="shared" si="0"/>
        <v>105500</v>
      </c>
    </row>
    <row r="26" spans="1:10" ht="12.75">
      <c r="A26" s="6" t="s">
        <v>32</v>
      </c>
      <c r="B26" s="8"/>
      <c r="C26" s="8"/>
      <c r="D26" s="8"/>
      <c r="E26" s="8"/>
      <c r="F26" s="8"/>
      <c r="G26" s="8">
        <v>75000</v>
      </c>
      <c r="H26" s="8">
        <v>28000</v>
      </c>
      <c r="I26" s="8">
        <v>7000</v>
      </c>
      <c r="J26" s="7">
        <f t="shared" si="0"/>
        <v>110000</v>
      </c>
    </row>
    <row r="27" spans="1:10" ht="12.75">
      <c r="A27" s="6" t="s">
        <v>33</v>
      </c>
      <c r="B27" s="8"/>
      <c r="C27" s="8"/>
      <c r="D27" s="8"/>
      <c r="E27" s="8"/>
      <c r="F27" s="8"/>
      <c r="G27" s="8">
        <v>78000</v>
      </c>
      <c r="H27" s="8">
        <v>30000</v>
      </c>
      <c r="I27" s="8">
        <v>8000</v>
      </c>
      <c r="J27" s="7">
        <f t="shared" si="0"/>
        <v>116000</v>
      </c>
    </row>
    <row r="28" spans="1:10" ht="12.75">
      <c r="A28" s="6" t="s">
        <v>34</v>
      </c>
      <c r="B28" s="8"/>
      <c r="C28" s="8"/>
      <c r="D28" s="8"/>
      <c r="E28" s="8"/>
      <c r="F28" s="8"/>
      <c r="G28" s="8">
        <v>81500</v>
      </c>
      <c r="H28" s="8">
        <v>31000</v>
      </c>
      <c r="I28" s="8">
        <v>8000</v>
      </c>
      <c r="J28" s="7">
        <f t="shared" si="0"/>
        <v>120500</v>
      </c>
    </row>
    <row r="29" spans="1:10" ht="12.75">
      <c r="A29" s="6" t="s">
        <v>35</v>
      </c>
      <c r="B29" s="8"/>
      <c r="C29" s="8"/>
      <c r="D29" s="8"/>
      <c r="E29" s="8"/>
      <c r="F29" s="8"/>
      <c r="G29" s="8">
        <v>85500</v>
      </c>
      <c r="H29" s="8">
        <v>32000</v>
      </c>
      <c r="I29" s="8">
        <v>8000</v>
      </c>
      <c r="J29" s="7">
        <f t="shared" si="0"/>
        <v>125500</v>
      </c>
    </row>
    <row r="30" spans="1:10" ht="12.75">
      <c r="A30" s="6" t="s">
        <v>36</v>
      </c>
      <c r="B30" s="8"/>
      <c r="C30" s="8"/>
      <c r="D30" s="8"/>
      <c r="E30" s="8"/>
      <c r="F30" s="8"/>
      <c r="G30" s="8">
        <v>89000</v>
      </c>
      <c r="H30" s="8">
        <v>34000</v>
      </c>
      <c r="I30" s="8">
        <v>9000</v>
      </c>
      <c r="J30" s="7">
        <f t="shared" si="0"/>
        <v>132000</v>
      </c>
    </row>
    <row r="31" spans="1:10" ht="12.75">
      <c r="A31" s="6" t="s">
        <v>37</v>
      </c>
      <c r="B31" s="8"/>
      <c r="C31" s="8"/>
      <c r="D31" s="8"/>
      <c r="E31" s="8"/>
      <c r="F31" s="8"/>
      <c r="G31" s="8">
        <v>93000</v>
      </c>
      <c r="H31" s="8">
        <v>35000</v>
      </c>
      <c r="I31" s="8">
        <v>9000</v>
      </c>
      <c r="J31" s="7">
        <f t="shared" si="0"/>
        <v>137000</v>
      </c>
    </row>
    <row r="32" spans="1:10" ht="12.75">
      <c r="A32" s="6" t="s">
        <v>38</v>
      </c>
      <c r="B32" s="8"/>
      <c r="C32" s="8"/>
      <c r="D32" s="8"/>
      <c r="E32" s="8"/>
      <c r="F32" s="8"/>
      <c r="G32" s="8">
        <v>97500</v>
      </c>
      <c r="H32" s="8">
        <v>37000</v>
      </c>
      <c r="I32" s="8">
        <v>10000</v>
      </c>
      <c r="J32" s="7">
        <f t="shared" si="0"/>
        <v>144500</v>
      </c>
    </row>
    <row r="33" spans="1:10" ht="12.75">
      <c r="A33" s="6" t="s">
        <v>39</v>
      </c>
      <c r="B33" s="8"/>
      <c r="C33" s="8"/>
      <c r="D33" s="8"/>
      <c r="E33" s="8"/>
      <c r="F33" s="8"/>
      <c r="G33" s="8">
        <v>102000</v>
      </c>
      <c r="H33" s="8">
        <v>38000</v>
      </c>
      <c r="I33" s="8">
        <v>10000</v>
      </c>
      <c r="J33" s="7">
        <f t="shared" si="0"/>
        <v>150000</v>
      </c>
    </row>
    <row r="34" spans="1:10" ht="12.75">
      <c r="A34" s="6" t="s">
        <v>40</v>
      </c>
      <c r="B34" s="8"/>
      <c r="C34" s="8"/>
      <c r="D34" s="8"/>
      <c r="E34" s="8"/>
      <c r="F34" s="8"/>
      <c r="G34" s="8">
        <v>106500</v>
      </c>
      <c r="H34" s="8">
        <v>39000</v>
      </c>
      <c r="I34" s="8">
        <v>10000</v>
      </c>
      <c r="J34" s="7">
        <f t="shared" si="0"/>
        <v>155500</v>
      </c>
    </row>
    <row r="35" spans="1:10" ht="12.75">
      <c r="A35" s="6" t="s">
        <v>41</v>
      </c>
      <c r="B35" s="8"/>
      <c r="C35" s="8"/>
      <c r="D35" s="8"/>
      <c r="E35" s="8"/>
      <c r="F35" s="8"/>
      <c r="G35" s="8">
        <v>111000</v>
      </c>
      <c r="H35" s="8">
        <v>41000</v>
      </c>
      <c r="I35" s="8">
        <v>11000</v>
      </c>
      <c r="J35" s="7">
        <f t="shared" si="0"/>
        <v>163000</v>
      </c>
    </row>
    <row r="36" spans="1:10" ht="12.75">
      <c r="A36" s="6" t="s">
        <v>42</v>
      </c>
      <c r="B36" s="8"/>
      <c r="C36" s="8"/>
      <c r="D36" s="8"/>
      <c r="E36" s="8"/>
      <c r="F36" s="8"/>
      <c r="G36" s="8">
        <v>116000</v>
      </c>
      <c r="H36" s="8">
        <v>43000</v>
      </c>
      <c r="I36" s="8">
        <v>11000</v>
      </c>
      <c r="J36" s="7">
        <f t="shared" si="0"/>
        <v>170000</v>
      </c>
    </row>
    <row r="37" spans="1:10" ht="12.75">
      <c r="A37" s="6" t="s">
        <v>43</v>
      </c>
      <c r="B37" s="8"/>
      <c r="C37" s="8"/>
      <c r="D37" s="8"/>
      <c r="E37" s="8"/>
      <c r="F37" s="8"/>
      <c r="G37" s="8">
        <v>121500</v>
      </c>
      <c r="H37" s="8">
        <v>45000</v>
      </c>
      <c r="I37" s="8">
        <v>12000</v>
      </c>
      <c r="J37" s="7">
        <f t="shared" si="0"/>
        <v>178500</v>
      </c>
    </row>
    <row r="38" spans="1:10" ht="12.75">
      <c r="A38" s="6" t="s">
        <v>44</v>
      </c>
      <c r="B38" s="8"/>
      <c r="C38" s="8"/>
      <c r="D38" s="8"/>
      <c r="E38" s="8"/>
      <c r="F38" s="8"/>
      <c r="G38" s="8">
        <v>127000</v>
      </c>
      <c r="H38" s="8">
        <v>47000</v>
      </c>
      <c r="I38" s="8">
        <v>13000</v>
      </c>
      <c r="J38" s="7">
        <f t="shared" si="0"/>
        <v>187000</v>
      </c>
    </row>
    <row r="39" spans="1:10" ht="12.75">
      <c r="A39" s="6" t="s">
        <v>45</v>
      </c>
      <c r="B39" s="8"/>
      <c r="C39" s="8"/>
      <c r="D39" s="8"/>
      <c r="E39" s="8"/>
      <c r="F39" s="8"/>
      <c r="G39" s="8">
        <v>133000</v>
      </c>
      <c r="H39" s="8"/>
      <c r="I39" s="8"/>
      <c r="J39" s="7">
        <f t="shared" si="0"/>
        <v>133000</v>
      </c>
    </row>
    <row r="40" spans="1:10" ht="12.75">
      <c r="A40" s="6" t="s">
        <v>46</v>
      </c>
      <c r="B40" s="8"/>
      <c r="C40" s="8"/>
      <c r="D40" s="8"/>
      <c r="E40" s="8"/>
      <c r="F40" s="8"/>
      <c r="H40" s="8"/>
      <c r="I40" s="8"/>
      <c r="J40" s="7"/>
    </row>
    <row r="41" spans="1:10" ht="13.5" thickBot="1">
      <c r="A41" s="6"/>
      <c r="B41" s="9">
        <f>SUM(B7:B40)</f>
        <v>245000</v>
      </c>
      <c r="C41" s="9">
        <f>SUM(C7:C40)</f>
        <v>1497066.2</v>
      </c>
      <c r="D41" s="9">
        <f>SUM(D7:D40)</f>
        <v>0</v>
      </c>
      <c r="E41" s="9">
        <f>SUM(E7:E40)</f>
        <v>1464000</v>
      </c>
      <c r="F41" s="9">
        <f>SUM(F7:F40)</f>
        <v>2149973</v>
      </c>
      <c r="G41" s="9">
        <f>SUM(G7:G39)</f>
        <v>2358000</v>
      </c>
      <c r="H41" s="9">
        <f>SUM(H7:H40)</f>
        <v>837000</v>
      </c>
      <c r="I41" s="9">
        <f>SUM(I7:I40)</f>
        <v>218000</v>
      </c>
      <c r="J41" s="9">
        <f>SUM(J7:J40)</f>
        <v>8769039.2</v>
      </c>
    </row>
    <row r="42" ht="13.5" thickTop="1"/>
    <row r="43" spans="1:10" ht="12.75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3" t="s">
        <v>47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>
        <v>2005</v>
      </c>
      <c r="H47" s="5" t="s">
        <v>9</v>
      </c>
      <c r="I47" s="5" t="s">
        <v>10</v>
      </c>
      <c r="J47" s="5" t="s">
        <v>11</v>
      </c>
    </row>
    <row r="48" spans="1:10" ht="12.75">
      <c r="A48" s="6" t="s">
        <v>13</v>
      </c>
      <c r="B48" s="7">
        <v>7746</v>
      </c>
      <c r="C48" s="7">
        <f>16642.07+16362.98+16080.78+15795.44</f>
        <v>64881.270000000004</v>
      </c>
      <c r="D48" s="7"/>
      <c r="E48" s="7">
        <v>53496</v>
      </c>
      <c r="F48" s="7">
        <v>25314</v>
      </c>
      <c r="G48" s="7">
        <v>96597</v>
      </c>
      <c r="H48" s="7">
        <v>37395</v>
      </c>
      <c r="I48" s="7">
        <v>9742</v>
      </c>
      <c r="J48" s="7">
        <f aca="true" t="shared" si="1" ref="J48:J80">SUM(B48:I48)</f>
        <v>295171.27</v>
      </c>
    </row>
    <row r="49" spans="1:10" ht="12.75">
      <c r="A49" s="6" t="s">
        <v>14</v>
      </c>
      <c r="B49" s="7">
        <v>6703</v>
      </c>
      <c r="C49" s="7">
        <f>15506.93+15215.22+14920.26+14622.02</f>
        <v>60264.43000000001</v>
      </c>
      <c r="D49" s="7"/>
      <c r="E49" s="7">
        <v>49296</v>
      </c>
      <c r="F49" s="7">
        <v>23361</v>
      </c>
      <c r="G49" s="7">
        <v>95226</v>
      </c>
      <c r="H49" s="7">
        <v>36833</v>
      </c>
      <c r="I49" s="7">
        <v>9607</v>
      </c>
      <c r="J49" s="7">
        <f t="shared" si="1"/>
        <v>281290.43</v>
      </c>
    </row>
    <row r="50" spans="1:10" ht="12.75">
      <c r="A50" s="6" t="s">
        <v>15</v>
      </c>
      <c r="B50" s="7">
        <v>5694</v>
      </c>
      <c r="C50" s="7">
        <f>14320.47+14015.56+13707.27+13395.54</f>
        <v>55438.840000000004</v>
      </c>
      <c r="D50" s="7"/>
      <c r="E50" s="7">
        <v>44796</v>
      </c>
      <c r="F50" s="7">
        <v>21389</v>
      </c>
      <c r="G50" s="7">
        <v>93792</v>
      </c>
      <c r="H50" s="7">
        <v>36247</v>
      </c>
      <c r="I50" s="7">
        <v>9472</v>
      </c>
      <c r="J50" s="7">
        <f t="shared" si="1"/>
        <v>266828.83999999997</v>
      </c>
    </row>
    <row r="51" spans="1:10" ht="12.75">
      <c r="A51" s="6" t="s">
        <v>16</v>
      </c>
      <c r="B51" s="7">
        <v>4674</v>
      </c>
      <c r="C51" s="7">
        <f>13080.36+12761.67+12439.43+12113.62</f>
        <v>50395.08</v>
      </c>
      <c r="D51" s="7"/>
      <c r="E51" s="7">
        <v>39835</v>
      </c>
      <c r="F51" s="7">
        <v>19397</v>
      </c>
      <c r="G51" s="7">
        <v>92297</v>
      </c>
      <c r="H51" s="7">
        <v>35640</v>
      </c>
      <c r="I51" s="7">
        <v>9315</v>
      </c>
      <c r="J51" s="7">
        <f t="shared" si="1"/>
        <v>251553.08000000002</v>
      </c>
    </row>
    <row r="52" spans="1:10" ht="12.75">
      <c r="A52" s="6" t="s">
        <v>17</v>
      </c>
      <c r="B52" s="7">
        <v>3661</v>
      </c>
      <c r="C52" s="7">
        <f>11784.18+11451.08+11114.28+10773.73</f>
        <v>45123.270000000004</v>
      </c>
      <c r="D52" s="7"/>
      <c r="E52" s="7">
        <v>34550</v>
      </c>
      <c r="F52" s="7">
        <v>17386</v>
      </c>
      <c r="G52" s="7">
        <v>90740</v>
      </c>
      <c r="H52" s="7">
        <v>34988</v>
      </c>
      <c r="I52" s="7">
        <v>9135</v>
      </c>
      <c r="J52" s="7">
        <f t="shared" si="1"/>
        <v>235583.27000000002</v>
      </c>
    </row>
    <row r="53" spans="1:10" ht="12.75">
      <c r="A53" s="6" t="s">
        <v>18</v>
      </c>
      <c r="B53" s="7">
        <v>2433</v>
      </c>
      <c r="C53" s="7">
        <f>10429.4+10081.24+9729.21+9373.26</f>
        <v>39613.11</v>
      </c>
      <c r="D53" s="7"/>
      <c r="E53" s="7">
        <v>28786</v>
      </c>
      <c r="F53" s="7">
        <v>15354</v>
      </c>
      <c r="G53" s="8">
        <v>89110</v>
      </c>
      <c r="H53" s="7">
        <v>34312</v>
      </c>
      <c r="I53" s="7">
        <v>8955</v>
      </c>
      <c r="J53" s="7">
        <f t="shared" si="1"/>
        <v>218563.11</v>
      </c>
    </row>
    <row r="54" spans="1:10" ht="12.75">
      <c r="A54" s="6" t="s">
        <v>19</v>
      </c>
      <c r="B54" s="7">
        <v>1078</v>
      </c>
      <c r="C54" s="7">
        <f>9013.36+8649.46+8281.51+7909.47</f>
        <v>33853.8</v>
      </c>
      <c r="D54" s="7"/>
      <c r="E54" s="7">
        <v>22674</v>
      </c>
      <c r="F54" s="7">
        <v>13301</v>
      </c>
      <c r="G54" s="8">
        <v>87409</v>
      </c>
      <c r="H54" s="7">
        <v>33615</v>
      </c>
      <c r="I54" s="7">
        <v>8775</v>
      </c>
      <c r="J54" s="7">
        <f t="shared" si="1"/>
        <v>200705.8</v>
      </c>
    </row>
    <row r="55" spans="1:10" ht="12.75">
      <c r="A55" s="6" t="s">
        <v>20</v>
      </c>
      <c r="B55" s="8">
        <v>86</v>
      </c>
      <c r="C55" s="8">
        <f>7533.3+7152.95+6768.36+6379.51</f>
        <v>27834.120000000003</v>
      </c>
      <c r="D55" s="8"/>
      <c r="E55" s="8">
        <v>16048</v>
      </c>
      <c r="F55" s="8">
        <v>11228</v>
      </c>
      <c r="G55" s="8">
        <v>85635</v>
      </c>
      <c r="H55" s="8">
        <v>32872</v>
      </c>
      <c r="I55" s="8">
        <v>8595</v>
      </c>
      <c r="J55" s="7">
        <f t="shared" si="1"/>
        <v>182298.12</v>
      </c>
    </row>
    <row r="56" spans="1:10" ht="12.75">
      <c r="A56" s="6" t="s">
        <v>21</v>
      </c>
      <c r="B56" s="8"/>
      <c r="C56" s="8">
        <f>5986.33+5588.77+5186.8+4780.36</f>
        <v>21542.260000000002</v>
      </c>
      <c r="D56" s="8"/>
      <c r="E56" s="8">
        <v>9048</v>
      </c>
      <c r="F56" s="8">
        <v>9136</v>
      </c>
      <c r="G56" s="8">
        <v>83779</v>
      </c>
      <c r="H56" s="8">
        <v>32108</v>
      </c>
      <c r="I56" s="8">
        <v>8392</v>
      </c>
      <c r="J56" s="7">
        <f t="shared" si="1"/>
        <v>164005.26</v>
      </c>
    </row>
    <row r="57" spans="1:10" ht="12.75">
      <c r="A57" s="6" t="s">
        <v>22</v>
      </c>
      <c r="B57" s="8"/>
      <c r="C57" s="8">
        <f>4369.41+3953.88+3533.74+3108.92</f>
        <v>14965.95</v>
      </c>
      <c r="D57" s="8"/>
      <c r="E57" s="8">
        <v>1687</v>
      </c>
      <c r="F57" s="8">
        <v>7020</v>
      </c>
      <c r="G57" s="8">
        <v>81840</v>
      </c>
      <c r="H57" s="8">
        <v>31320</v>
      </c>
      <c r="I57" s="8">
        <v>8167</v>
      </c>
      <c r="J57" s="7">
        <f t="shared" si="1"/>
        <v>144999.95</v>
      </c>
    </row>
    <row r="58" spans="1:10" ht="12.75">
      <c r="A58" s="6" t="s">
        <v>23</v>
      </c>
      <c r="B58" s="8"/>
      <c r="C58" s="8">
        <f>2679.38+2245.07+1805.93+1361.9</f>
        <v>8092.280000000001</v>
      </c>
      <c r="D58" s="8"/>
      <c r="E58" s="8"/>
      <c r="F58" s="8">
        <v>4884</v>
      </c>
      <c r="G58" s="8">
        <v>79808</v>
      </c>
      <c r="H58" s="8">
        <v>30488</v>
      </c>
      <c r="I58" s="8">
        <v>7943</v>
      </c>
      <c r="J58" s="7">
        <f t="shared" si="1"/>
        <v>131215.28</v>
      </c>
    </row>
    <row r="59" spans="1:10" ht="12.75">
      <c r="A59" s="6" t="s">
        <v>24</v>
      </c>
      <c r="B59" s="8"/>
      <c r="C59" s="8">
        <f>912.95+458.94</f>
        <v>1371.89</v>
      </c>
      <c r="D59" s="8"/>
      <c r="E59" s="8"/>
      <c r="F59" s="8">
        <v>2726</v>
      </c>
      <c r="G59" s="8">
        <v>77684</v>
      </c>
      <c r="H59" s="8">
        <v>29610</v>
      </c>
      <c r="I59" s="8">
        <v>7718</v>
      </c>
      <c r="J59" s="7">
        <f t="shared" si="1"/>
        <v>119109.89</v>
      </c>
    </row>
    <row r="60" spans="1:10" ht="12.75">
      <c r="A60" s="6" t="s">
        <v>25</v>
      </c>
      <c r="B60" s="8"/>
      <c r="C60" s="8"/>
      <c r="D60" s="8"/>
      <c r="E60" s="8"/>
      <c r="F60" s="8">
        <v>547</v>
      </c>
      <c r="G60" s="8">
        <v>75467</v>
      </c>
      <c r="H60" s="8">
        <v>28687</v>
      </c>
      <c r="I60" s="8">
        <v>7493</v>
      </c>
      <c r="J60" s="7">
        <f t="shared" si="1"/>
        <v>112194</v>
      </c>
    </row>
    <row r="61" spans="1:10" ht="12.75">
      <c r="A61" s="6" t="s">
        <v>26</v>
      </c>
      <c r="B61" s="8"/>
      <c r="C61" s="8"/>
      <c r="D61" s="8"/>
      <c r="E61" s="8"/>
      <c r="F61" s="8"/>
      <c r="G61" s="8">
        <v>73147</v>
      </c>
      <c r="H61" s="8">
        <v>27720</v>
      </c>
      <c r="I61" s="8">
        <v>7245</v>
      </c>
      <c r="J61" s="7">
        <f t="shared" si="1"/>
        <v>108112</v>
      </c>
    </row>
    <row r="62" spans="1:10" ht="12.75">
      <c r="A62" s="6" t="s">
        <v>27</v>
      </c>
      <c r="B62" s="8"/>
      <c r="C62" s="8"/>
      <c r="D62" s="8"/>
      <c r="E62" s="8"/>
      <c r="F62" s="8"/>
      <c r="G62" s="8">
        <v>70723</v>
      </c>
      <c r="H62" s="8">
        <v>26708</v>
      </c>
      <c r="I62" s="8">
        <v>6975</v>
      </c>
      <c r="J62" s="7">
        <f t="shared" si="1"/>
        <v>104406</v>
      </c>
    </row>
    <row r="63" spans="1:10" ht="12.75">
      <c r="A63" s="6" t="s">
        <v>28</v>
      </c>
      <c r="B63" s="8"/>
      <c r="C63" s="8"/>
      <c r="D63" s="8"/>
      <c r="E63" s="8"/>
      <c r="F63" s="8"/>
      <c r="G63" s="8">
        <v>68197</v>
      </c>
      <c r="H63" s="8">
        <v>25650</v>
      </c>
      <c r="I63" s="8">
        <v>6705</v>
      </c>
      <c r="J63" s="7">
        <f t="shared" si="1"/>
        <v>100552</v>
      </c>
    </row>
    <row r="64" spans="1:10" ht="12.75">
      <c r="A64" s="6" t="s">
        <v>29</v>
      </c>
      <c r="B64" s="8"/>
      <c r="C64" s="8"/>
      <c r="D64" s="8"/>
      <c r="E64" s="8"/>
      <c r="F64" s="8"/>
      <c r="G64" s="8">
        <v>65557</v>
      </c>
      <c r="H64" s="8">
        <v>24548</v>
      </c>
      <c r="I64" s="8">
        <v>6435</v>
      </c>
      <c r="J64" s="7">
        <f t="shared" si="1"/>
        <v>96540</v>
      </c>
    </row>
    <row r="65" spans="1:10" ht="12.75">
      <c r="A65" s="6" t="s">
        <v>30</v>
      </c>
      <c r="B65" s="8"/>
      <c r="C65" s="8"/>
      <c r="D65" s="8"/>
      <c r="E65" s="8"/>
      <c r="F65" s="8"/>
      <c r="G65" s="8">
        <v>62793</v>
      </c>
      <c r="H65" s="8">
        <v>23400</v>
      </c>
      <c r="I65" s="8">
        <v>6143</v>
      </c>
      <c r="J65" s="7">
        <f t="shared" si="1"/>
        <v>92336</v>
      </c>
    </row>
    <row r="66" spans="1:10" ht="12.75">
      <c r="A66" s="6" t="s">
        <v>31</v>
      </c>
      <c r="B66" s="8"/>
      <c r="C66" s="8"/>
      <c r="D66" s="8"/>
      <c r="E66" s="8"/>
      <c r="F66" s="8"/>
      <c r="G66" s="8">
        <v>59905</v>
      </c>
      <c r="H66" s="8">
        <v>22208</v>
      </c>
      <c r="I66" s="8">
        <v>5827</v>
      </c>
      <c r="J66" s="7">
        <f t="shared" si="1"/>
        <v>87940</v>
      </c>
    </row>
    <row r="67" spans="1:10" ht="12.75">
      <c r="A67" s="6" t="s">
        <v>32</v>
      </c>
      <c r="B67" s="8"/>
      <c r="C67" s="8"/>
      <c r="D67" s="8"/>
      <c r="E67" s="8"/>
      <c r="F67" s="8"/>
      <c r="G67" s="8">
        <v>56884</v>
      </c>
      <c r="H67" s="8">
        <v>20970</v>
      </c>
      <c r="I67" s="8">
        <v>5513</v>
      </c>
      <c r="J67" s="7">
        <f t="shared" si="1"/>
        <v>83367</v>
      </c>
    </row>
    <row r="68" spans="1:10" ht="12.75">
      <c r="A68" s="6" t="s">
        <v>33</v>
      </c>
      <c r="B68" s="8"/>
      <c r="C68" s="8"/>
      <c r="D68" s="8"/>
      <c r="E68" s="8"/>
      <c r="F68" s="8"/>
      <c r="G68" s="8">
        <v>53728</v>
      </c>
      <c r="H68" s="8">
        <v>19665</v>
      </c>
      <c r="I68" s="8">
        <v>5175</v>
      </c>
      <c r="J68" s="7">
        <f t="shared" si="1"/>
        <v>78568</v>
      </c>
    </row>
    <row r="69" spans="1:10" ht="12.75">
      <c r="A69" s="6" t="s">
        <v>34</v>
      </c>
      <c r="B69" s="8"/>
      <c r="C69" s="8"/>
      <c r="D69" s="8"/>
      <c r="E69" s="8"/>
      <c r="F69" s="8"/>
      <c r="G69" s="8">
        <v>50438</v>
      </c>
      <c r="H69" s="8">
        <v>18293</v>
      </c>
      <c r="I69" s="8">
        <v>4815</v>
      </c>
      <c r="J69" s="7">
        <f t="shared" si="1"/>
        <v>73546</v>
      </c>
    </row>
    <row r="70" spans="1:10" ht="12.75">
      <c r="A70" s="6" t="s">
        <v>35</v>
      </c>
      <c r="B70" s="8"/>
      <c r="C70" s="8"/>
      <c r="D70" s="8"/>
      <c r="E70" s="8"/>
      <c r="F70" s="8"/>
      <c r="G70" s="8">
        <v>46994</v>
      </c>
      <c r="H70" s="8">
        <v>16875</v>
      </c>
      <c r="I70" s="8">
        <v>4455</v>
      </c>
      <c r="J70" s="7">
        <f t="shared" si="1"/>
        <v>68324</v>
      </c>
    </row>
    <row r="71" spans="1:10" ht="12.75">
      <c r="A71" s="6" t="s">
        <v>36</v>
      </c>
      <c r="B71" s="8"/>
      <c r="C71" s="8"/>
      <c r="D71" s="8"/>
      <c r="E71" s="8"/>
      <c r="F71" s="8"/>
      <c r="G71" s="8">
        <v>43395</v>
      </c>
      <c r="H71" s="8">
        <v>15390</v>
      </c>
      <c r="I71" s="8">
        <v>4073</v>
      </c>
      <c r="J71" s="7">
        <f t="shared" si="1"/>
        <v>62858</v>
      </c>
    </row>
    <row r="72" spans="1:10" ht="12.75">
      <c r="A72" s="6" t="s">
        <v>37</v>
      </c>
      <c r="B72" s="8"/>
      <c r="C72" s="8"/>
      <c r="D72" s="8"/>
      <c r="E72" s="8"/>
      <c r="F72" s="8"/>
      <c r="G72" s="8">
        <v>39641</v>
      </c>
      <c r="H72" s="8">
        <v>13838</v>
      </c>
      <c r="I72" s="8">
        <v>3667</v>
      </c>
      <c r="J72" s="7">
        <f t="shared" si="1"/>
        <v>57146</v>
      </c>
    </row>
    <row r="73" spans="1:10" ht="12.75">
      <c r="A73" s="6" t="s">
        <v>38</v>
      </c>
      <c r="B73" s="8"/>
      <c r="C73" s="8"/>
      <c r="D73" s="8"/>
      <c r="E73" s="8"/>
      <c r="F73" s="8"/>
      <c r="G73" s="8">
        <v>35712</v>
      </c>
      <c r="H73" s="8">
        <v>12217</v>
      </c>
      <c r="I73" s="8">
        <v>3240</v>
      </c>
      <c r="J73" s="7">
        <f t="shared" si="1"/>
        <v>51169</v>
      </c>
    </row>
    <row r="74" spans="1:10" ht="12.75">
      <c r="A74" s="6" t="s">
        <v>39</v>
      </c>
      <c r="B74" s="8"/>
      <c r="C74" s="8"/>
      <c r="D74" s="8"/>
      <c r="E74" s="8"/>
      <c r="F74" s="8"/>
      <c r="G74" s="8">
        <v>31597</v>
      </c>
      <c r="H74" s="8">
        <v>10530</v>
      </c>
      <c r="I74" s="8">
        <v>2790</v>
      </c>
      <c r="J74" s="7">
        <f t="shared" si="1"/>
        <v>44917</v>
      </c>
    </row>
    <row r="75" spans="1:10" ht="12.75">
      <c r="A75" s="6" t="s">
        <v>40</v>
      </c>
      <c r="B75" s="8"/>
      <c r="C75" s="8"/>
      <c r="D75" s="8"/>
      <c r="E75" s="8"/>
      <c r="F75" s="8"/>
      <c r="G75" s="8">
        <v>27297</v>
      </c>
      <c r="H75" s="8">
        <v>8797</v>
      </c>
      <c r="I75" s="8">
        <v>2340</v>
      </c>
      <c r="J75" s="7">
        <f t="shared" si="1"/>
        <v>38434</v>
      </c>
    </row>
    <row r="76" spans="1:10" ht="12.75">
      <c r="A76" s="6" t="s">
        <v>41</v>
      </c>
      <c r="B76" s="8"/>
      <c r="C76" s="8"/>
      <c r="D76" s="8"/>
      <c r="E76" s="8"/>
      <c r="F76" s="8"/>
      <c r="G76" s="8">
        <v>22811</v>
      </c>
      <c r="H76" s="8">
        <v>6997</v>
      </c>
      <c r="I76" s="8">
        <v>1868</v>
      </c>
      <c r="J76" s="7">
        <f t="shared" si="1"/>
        <v>31676</v>
      </c>
    </row>
    <row r="77" spans="1:10" ht="12.75">
      <c r="A77" s="6" t="s">
        <v>42</v>
      </c>
      <c r="B77" s="8"/>
      <c r="C77" s="8"/>
      <c r="D77" s="8"/>
      <c r="E77" s="8"/>
      <c r="F77" s="8"/>
      <c r="G77" s="8">
        <v>18130</v>
      </c>
      <c r="H77" s="8">
        <v>5107</v>
      </c>
      <c r="I77" s="8">
        <v>1372</v>
      </c>
      <c r="J77" s="7">
        <f t="shared" si="1"/>
        <v>24609</v>
      </c>
    </row>
    <row r="78" spans="1:10" ht="12.75">
      <c r="A78" s="6" t="s">
        <v>43</v>
      </c>
      <c r="B78" s="8"/>
      <c r="C78" s="8"/>
      <c r="D78" s="8"/>
      <c r="E78" s="8"/>
      <c r="F78" s="8"/>
      <c r="G78" s="8">
        <v>13231</v>
      </c>
      <c r="H78" s="8">
        <v>3127</v>
      </c>
      <c r="I78" s="8">
        <v>855</v>
      </c>
      <c r="J78" s="7">
        <f t="shared" si="1"/>
        <v>17213</v>
      </c>
    </row>
    <row r="79" spans="1:10" ht="12.75">
      <c r="A79" s="6" t="s">
        <v>44</v>
      </c>
      <c r="B79" s="8"/>
      <c r="C79" s="8"/>
      <c r="D79" s="8"/>
      <c r="E79" s="8"/>
      <c r="F79" s="8"/>
      <c r="G79" s="8">
        <v>8105</v>
      </c>
      <c r="H79" s="8">
        <v>1057</v>
      </c>
      <c r="I79" s="8">
        <v>292</v>
      </c>
      <c r="J79" s="7">
        <f t="shared" si="1"/>
        <v>9454</v>
      </c>
    </row>
    <row r="80" spans="1:10" ht="12.75">
      <c r="A80" s="6" t="s">
        <v>45</v>
      </c>
      <c r="B80" s="8"/>
      <c r="C80" s="8"/>
      <c r="D80" s="8"/>
      <c r="E80" s="8"/>
      <c r="F80" s="8"/>
      <c r="G80" s="10">
        <v>2743</v>
      </c>
      <c r="H80" s="8"/>
      <c r="I80" s="8"/>
      <c r="J80" s="7">
        <f t="shared" si="1"/>
        <v>2743</v>
      </c>
    </row>
    <row r="81" spans="1:10" ht="12.75">
      <c r="A81" s="6" t="s">
        <v>46</v>
      </c>
      <c r="B81" s="8"/>
      <c r="C81" s="8"/>
      <c r="D81" s="8"/>
      <c r="E81" s="8"/>
      <c r="F81" s="8"/>
      <c r="H81" s="8"/>
      <c r="I81" s="8"/>
      <c r="J81" s="7"/>
    </row>
    <row r="82" spans="1:10" ht="13.5" thickBot="1">
      <c r="A82" s="6"/>
      <c r="B82" s="9">
        <f>SUM(B48:B80)</f>
        <v>32075</v>
      </c>
      <c r="C82" s="9">
        <f>SUM(C48:C80)</f>
        <v>423376.30000000005</v>
      </c>
      <c r="D82" s="9">
        <f>SUM(D48:D80)</f>
        <v>0</v>
      </c>
      <c r="E82" s="9">
        <f>SUM(E48:E80)</f>
        <v>300216</v>
      </c>
      <c r="F82" s="9">
        <f>SUM(F48:F80)</f>
        <v>171043</v>
      </c>
      <c r="G82" s="9">
        <f>SUM(G48:G81)</f>
        <v>1980412</v>
      </c>
      <c r="H82" s="9">
        <f>SUM(H48:H80)</f>
        <v>737212</v>
      </c>
      <c r="I82" s="9">
        <f>SUM(I48:I80)</f>
        <v>193094</v>
      </c>
      <c r="J82" s="9">
        <f>SUM(J48:J80)</f>
        <v>3837428.3</v>
      </c>
    </row>
    <row r="83" ht="13.5" thickTop="1"/>
    <row r="84" spans="1:10" ht="12.75">
      <c r="A84" s="1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1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3" t="s">
        <v>48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1"/>
      <c r="B87" s="7"/>
      <c r="C87" s="7"/>
      <c r="D87" s="7"/>
      <c r="E87" s="7"/>
      <c r="F87" s="7"/>
      <c r="G87" s="7"/>
      <c r="H87" s="7"/>
      <c r="I87" s="7"/>
      <c r="J87" s="7"/>
    </row>
    <row r="88" spans="1:11" ht="12.75">
      <c r="A88" s="4" t="s">
        <v>3</v>
      </c>
      <c r="B88" s="5" t="s">
        <v>4</v>
      </c>
      <c r="C88" s="5" t="s">
        <v>5</v>
      </c>
      <c r="D88" s="5" t="s">
        <v>6</v>
      </c>
      <c r="E88" s="5" t="s">
        <v>7</v>
      </c>
      <c r="F88" s="5" t="s">
        <v>8</v>
      </c>
      <c r="G88" s="5">
        <v>2005</v>
      </c>
      <c r="H88" s="5" t="s">
        <v>49</v>
      </c>
      <c r="I88" s="5" t="s">
        <v>50</v>
      </c>
      <c r="J88" s="5" t="s">
        <v>11</v>
      </c>
      <c r="K88" s="5" t="s">
        <v>51</v>
      </c>
    </row>
    <row r="89" spans="1:11" ht="12.75">
      <c r="A89" s="6" t="s">
        <v>13</v>
      </c>
      <c r="B89" s="7">
        <v>37746</v>
      </c>
      <c r="C89" s="7">
        <f aca="true" t="shared" si="2" ref="C89:C99">41748.75*4</f>
        <v>166995</v>
      </c>
      <c r="D89" s="7"/>
      <c r="E89" s="7">
        <v>193496</v>
      </c>
      <c r="F89" s="7">
        <v>187620</v>
      </c>
      <c r="G89" s="7">
        <f aca="true" t="shared" si="3" ref="G89:I108">+G7+G48</f>
        <v>129097</v>
      </c>
      <c r="H89" s="7">
        <f t="shared" si="3"/>
        <v>49395</v>
      </c>
      <c r="I89" s="7">
        <f t="shared" si="3"/>
        <v>12742</v>
      </c>
      <c r="J89" s="7">
        <f aca="true" t="shared" si="4" ref="J89:J121">SUM(B89:I89)</f>
        <v>777091</v>
      </c>
      <c r="K89" s="11">
        <f aca="true" t="shared" si="5" ref="K89:K121">+E89+H89+I89</f>
        <v>255633</v>
      </c>
    </row>
    <row r="90" spans="1:11" ht="12.75">
      <c r="A90" s="6" t="s">
        <v>14</v>
      </c>
      <c r="B90" s="7">
        <v>36703</v>
      </c>
      <c r="C90" s="7">
        <f t="shared" si="2"/>
        <v>166995</v>
      </c>
      <c r="D90" s="7"/>
      <c r="E90" s="7">
        <v>193296</v>
      </c>
      <c r="F90" s="7">
        <v>187294</v>
      </c>
      <c r="G90" s="7">
        <f t="shared" si="3"/>
        <v>129226</v>
      </c>
      <c r="H90" s="7">
        <f t="shared" si="3"/>
        <v>49833</v>
      </c>
      <c r="I90" s="7">
        <f t="shared" si="3"/>
        <v>12607</v>
      </c>
      <c r="J90" s="7">
        <f t="shared" si="4"/>
        <v>775954</v>
      </c>
      <c r="K90" s="11">
        <f t="shared" si="5"/>
        <v>255736</v>
      </c>
    </row>
    <row r="91" spans="1:11" ht="12.75">
      <c r="A91" s="6" t="s">
        <v>15</v>
      </c>
      <c r="B91" s="7">
        <v>35694</v>
      </c>
      <c r="C91" s="7">
        <f t="shared" si="2"/>
        <v>166995</v>
      </c>
      <c r="D91" s="7"/>
      <c r="E91" s="7">
        <v>191796</v>
      </c>
      <c r="F91" s="7">
        <v>186965</v>
      </c>
      <c r="G91" s="7">
        <f t="shared" si="3"/>
        <v>129292</v>
      </c>
      <c r="H91" s="7">
        <f t="shared" si="3"/>
        <v>49247</v>
      </c>
      <c r="I91" s="7">
        <f t="shared" si="3"/>
        <v>12472</v>
      </c>
      <c r="J91" s="7">
        <f t="shared" si="4"/>
        <v>772461</v>
      </c>
      <c r="K91" s="11">
        <f t="shared" si="5"/>
        <v>253515</v>
      </c>
    </row>
    <row r="92" spans="1:11" ht="12.75">
      <c r="A92" s="6" t="s">
        <v>16</v>
      </c>
      <c r="B92" s="7">
        <v>34674</v>
      </c>
      <c r="C92" s="7">
        <f t="shared" si="2"/>
        <v>166995</v>
      </c>
      <c r="D92" s="7"/>
      <c r="E92" s="7">
        <v>190835</v>
      </c>
      <c r="F92" s="7">
        <v>186633</v>
      </c>
      <c r="G92" s="7">
        <f t="shared" si="3"/>
        <v>129297</v>
      </c>
      <c r="H92" s="7">
        <f t="shared" si="3"/>
        <v>49640</v>
      </c>
      <c r="I92" s="7">
        <f t="shared" si="3"/>
        <v>13315</v>
      </c>
      <c r="J92" s="7">
        <f t="shared" si="4"/>
        <v>771389</v>
      </c>
      <c r="K92" s="11">
        <f t="shared" si="5"/>
        <v>253790</v>
      </c>
    </row>
    <row r="93" spans="1:11" ht="12.75">
      <c r="A93" s="6" t="s">
        <v>17</v>
      </c>
      <c r="B93" s="7">
        <v>33661</v>
      </c>
      <c r="C93" s="7">
        <f t="shared" si="2"/>
        <v>166995</v>
      </c>
      <c r="D93" s="7"/>
      <c r="E93" s="7">
        <v>193550</v>
      </c>
      <c r="F93" s="7">
        <v>186299</v>
      </c>
      <c r="G93" s="7">
        <f t="shared" si="3"/>
        <v>129240</v>
      </c>
      <c r="H93" s="7">
        <f t="shared" si="3"/>
        <v>49988</v>
      </c>
      <c r="I93" s="7">
        <f t="shared" si="3"/>
        <v>13135</v>
      </c>
      <c r="J93" s="7">
        <f t="shared" si="4"/>
        <v>772868</v>
      </c>
      <c r="K93" s="11">
        <f t="shared" si="5"/>
        <v>256673</v>
      </c>
    </row>
    <row r="94" spans="1:11" ht="12.75">
      <c r="A94" s="6" t="s">
        <v>18</v>
      </c>
      <c r="B94" s="7">
        <v>42433</v>
      </c>
      <c r="C94" s="7">
        <f t="shared" si="2"/>
        <v>166995</v>
      </c>
      <c r="D94" s="7"/>
      <c r="E94" s="7">
        <v>191786</v>
      </c>
      <c r="F94" s="7">
        <v>185960</v>
      </c>
      <c r="G94" s="7">
        <f t="shared" si="3"/>
        <v>129610</v>
      </c>
      <c r="H94" s="7">
        <f t="shared" si="3"/>
        <v>49312</v>
      </c>
      <c r="I94" s="7">
        <f t="shared" si="3"/>
        <v>12955</v>
      </c>
      <c r="J94" s="7">
        <f t="shared" si="4"/>
        <v>779051</v>
      </c>
      <c r="K94" s="11">
        <f t="shared" si="5"/>
        <v>254053</v>
      </c>
    </row>
    <row r="95" spans="1:11" ht="12.75">
      <c r="A95" s="6" t="s">
        <v>19</v>
      </c>
      <c r="B95" s="7">
        <v>41078</v>
      </c>
      <c r="C95" s="7">
        <f t="shared" si="2"/>
        <v>166995</v>
      </c>
      <c r="D95" s="7"/>
      <c r="E95" s="7">
        <v>193674</v>
      </c>
      <c r="F95" s="7">
        <v>185617</v>
      </c>
      <c r="G95" s="7">
        <f t="shared" si="3"/>
        <v>129409</v>
      </c>
      <c r="H95" s="7">
        <f t="shared" si="3"/>
        <v>49615</v>
      </c>
      <c r="I95" s="7">
        <f t="shared" si="3"/>
        <v>12775</v>
      </c>
      <c r="J95" s="7">
        <f t="shared" si="4"/>
        <v>779163</v>
      </c>
      <c r="K95" s="11">
        <f t="shared" si="5"/>
        <v>256064</v>
      </c>
    </row>
    <row r="96" spans="1:11" ht="12.75">
      <c r="A96" s="6" t="s">
        <v>20</v>
      </c>
      <c r="B96" s="8">
        <v>15086</v>
      </c>
      <c r="C96" s="7">
        <f t="shared" si="2"/>
        <v>166995</v>
      </c>
      <c r="D96" s="8"/>
      <c r="E96" s="8">
        <v>191048</v>
      </c>
      <c r="F96" s="8">
        <v>185272</v>
      </c>
      <c r="G96" s="7">
        <f t="shared" si="3"/>
        <v>129635</v>
      </c>
      <c r="H96" s="7">
        <f t="shared" si="3"/>
        <v>49872</v>
      </c>
      <c r="I96" s="7">
        <f t="shared" si="3"/>
        <v>12595</v>
      </c>
      <c r="J96" s="8">
        <f t="shared" si="4"/>
        <v>750503</v>
      </c>
      <c r="K96" s="11">
        <f t="shared" si="5"/>
        <v>253515</v>
      </c>
    </row>
    <row r="97" spans="1:11" ht="12.75">
      <c r="A97" s="6" t="s">
        <v>21</v>
      </c>
      <c r="B97" s="8"/>
      <c r="C97" s="7">
        <f t="shared" si="2"/>
        <v>166995</v>
      </c>
      <c r="D97" s="8"/>
      <c r="E97" s="8">
        <v>193048</v>
      </c>
      <c r="F97" s="8">
        <v>184925</v>
      </c>
      <c r="G97" s="7">
        <f t="shared" si="3"/>
        <v>129779</v>
      </c>
      <c r="H97" s="7">
        <f t="shared" si="3"/>
        <v>49108</v>
      </c>
      <c r="I97" s="7">
        <f t="shared" si="3"/>
        <v>13392</v>
      </c>
      <c r="J97" s="8">
        <f t="shared" si="4"/>
        <v>737247</v>
      </c>
      <c r="K97" s="11">
        <f t="shared" si="5"/>
        <v>255548</v>
      </c>
    </row>
    <row r="98" spans="1:11" ht="12.75">
      <c r="A98" s="6" t="s">
        <v>22</v>
      </c>
      <c r="B98" s="8"/>
      <c r="C98" s="7">
        <f t="shared" si="2"/>
        <v>166995</v>
      </c>
      <c r="D98" s="8"/>
      <c r="E98" s="8">
        <v>31687</v>
      </c>
      <c r="F98" s="8">
        <v>184571</v>
      </c>
      <c r="G98" s="7">
        <f t="shared" si="3"/>
        <v>129840</v>
      </c>
      <c r="H98" s="7">
        <f t="shared" si="3"/>
        <v>49320</v>
      </c>
      <c r="I98" s="7">
        <f t="shared" si="3"/>
        <v>13167</v>
      </c>
      <c r="J98" s="7">
        <f t="shared" si="4"/>
        <v>575580</v>
      </c>
      <c r="K98" s="11">
        <f t="shared" si="5"/>
        <v>94174</v>
      </c>
    </row>
    <row r="99" spans="1:11" ht="12.75">
      <c r="A99" s="6" t="s">
        <v>23</v>
      </c>
      <c r="B99" s="8"/>
      <c r="C99" s="7">
        <f t="shared" si="2"/>
        <v>166995</v>
      </c>
      <c r="D99" s="8"/>
      <c r="E99" s="8"/>
      <c r="F99" s="8">
        <v>184215</v>
      </c>
      <c r="G99" s="7">
        <f t="shared" si="3"/>
        <v>130308</v>
      </c>
      <c r="H99" s="7">
        <f t="shared" si="3"/>
        <v>49488</v>
      </c>
      <c r="I99" s="7">
        <f t="shared" si="3"/>
        <v>12943</v>
      </c>
      <c r="J99" s="7">
        <f t="shared" si="4"/>
        <v>543949</v>
      </c>
      <c r="K99" s="11">
        <f t="shared" si="5"/>
        <v>62431</v>
      </c>
    </row>
    <row r="100" spans="1:11" ht="12.75">
      <c r="A100" s="6" t="s">
        <v>24</v>
      </c>
      <c r="B100" s="8"/>
      <c r="C100" s="8">
        <f>41748.75*2</f>
        <v>83497.5</v>
      </c>
      <c r="D100" s="8"/>
      <c r="E100" s="8"/>
      <c r="F100" s="8">
        <v>183855</v>
      </c>
      <c r="G100" s="7">
        <f t="shared" si="3"/>
        <v>130184</v>
      </c>
      <c r="H100" s="7">
        <f t="shared" si="3"/>
        <v>49610</v>
      </c>
      <c r="I100" s="7">
        <f t="shared" si="3"/>
        <v>12718</v>
      </c>
      <c r="J100" s="7">
        <f t="shared" si="4"/>
        <v>459864.5</v>
      </c>
      <c r="K100" s="11">
        <f t="shared" si="5"/>
        <v>62328</v>
      </c>
    </row>
    <row r="101" spans="1:11" ht="12.75">
      <c r="A101" s="6" t="s">
        <v>25</v>
      </c>
      <c r="B101" s="8"/>
      <c r="C101" s="8"/>
      <c r="D101" s="8"/>
      <c r="E101" s="8"/>
      <c r="F101" s="8">
        <v>91790</v>
      </c>
      <c r="G101" s="7">
        <f t="shared" si="3"/>
        <v>130467</v>
      </c>
      <c r="H101" s="7">
        <f t="shared" si="3"/>
        <v>49687</v>
      </c>
      <c r="I101" s="7">
        <f t="shared" si="3"/>
        <v>12493</v>
      </c>
      <c r="J101" s="7">
        <f t="shared" si="4"/>
        <v>284437</v>
      </c>
      <c r="K101" s="11">
        <f t="shared" si="5"/>
        <v>62180</v>
      </c>
    </row>
    <row r="102" spans="1:11" ht="12.75">
      <c r="A102" s="6" t="s">
        <v>26</v>
      </c>
      <c r="G102" s="7">
        <f t="shared" si="3"/>
        <v>130647</v>
      </c>
      <c r="H102" s="7">
        <f t="shared" si="3"/>
        <v>49720</v>
      </c>
      <c r="I102" s="7">
        <f t="shared" si="3"/>
        <v>13245</v>
      </c>
      <c r="J102" s="7">
        <f t="shared" si="4"/>
        <v>193612</v>
      </c>
      <c r="K102" s="11">
        <f t="shared" si="5"/>
        <v>62965</v>
      </c>
    </row>
    <row r="103" spans="1:11" ht="12.75">
      <c r="A103" s="6" t="s">
        <v>27</v>
      </c>
      <c r="G103" s="7">
        <f t="shared" si="3"/>
        <v>130723</v>
      </c>
      <c r="H103" s="7">
        <f t="shared" si="3"/>
        <v>49708</v>
      </c>
      <c r="I103" s="7">
        <f t="shared" si="3"/>
        <v>12975</v>
      </c>
      <c r="J103" s="7">
        <f t="shared" si="4"/>
        <v>193406</v>
      </c>
      <c r="K103" s="11">
        <f t="shared" si="5"/>
        <v>62683</v>
      </c>
    </row>
    <row r="104" spans="1:11" ht="12.75">
      <c r="A104" s="6" t="s">
        <v>28</v>
      </c>
      <c r="G104" s="7">
        <f t="shared" si="3"/>
        <v>130697</v>
      </c>
      <c r="H104" s="7">
        <f t="shared" si="3"/>
        <v>49650</v>
      </c>
      <c r="I104" s="7">
        <f t="shared" si="3"/>
        <v>12705</v>
      </c>
      <c r="J104" s="7">
        <f t="shared" si="4"/>
        <v>193052</v>
      </c>
      <c r="K104" s="11">
        <f t="shared" si="5"/>
        <v>62355</v>
      </c>
    </row>
    <row r="105" spans="1:11" ht="12.75">
      <c r="A105" s="6" t="s">
        <v>29</v>
      </c>
      <c r="G105" s="7">
        <f t="shared" si="3"/>
        <v>131057</v>
      </c>
      <c r="H105" s="7">
        <f t="shared" si="3"/>
        <v>49548</v>
      </c>
      <c r="I105" s="7">
        <f t="shared" si="3"/>
        <v>12435</v>
      </c>
      <c r="J105" s="7">
        <f t="shared" si="4"/>
        <v>193040</v>
      </c>
      <c r="K105" s="11">
        <f t="shared" si="5"/>
        <v>61983</v>
      </c>
    </row>
    <row r="106" spans="1:11" ht="12.75">
      <c r="A106" s="6" t="s">
        <v>30</v>
      </c>
      <c r="G106" s="7">
        <f t="shared" si="3"/>
        <v>131293</v>
      </c>
      <c r="H106" s="7">
        <f t="shared" si="3"/>
        <v>49400</v>
      </c>
      <c r="I106" s="7">
        <f t="shared" si="3"/>
        <v>13143</v>
      </c>
      <c r="J106" s="7">
        <f t="shared" si="4"/>
        <v>193836</v>
      </c>
      <c r="K106" s="11">
        <f t="shared" si="5"/>
        <v>62543</v>
      </c>
    </row>
    <row r="107" spans="1:11" ht="12.75">
      <c r="A107" s="6" t="s">
        <v>31</v>
      </c>
      <c r="G107" s="7">
        <f t="shared" si="3"/>
        <v>131405</v>
      </c>
      <c r="H107" s="7">
        <f t="shared" si="3"/>
        <v>49208</v>
      </c>
      <c r="I107" s="7">
        <f t="shared" si="3"/>
        <v>12827</v>
      </c>
      <c r="J107" s="7">
        <f t="shared" si="4"/>
        <v>193440</v>
      </c>
      <c r="K107" s="11">
        <f t="shared" si="5"/>
        <v>62035</v>
      </c>
    </row>
    <row r="108" spans="1:11" ht="12.75">
      <c r="A108" s="6" t="s">
        <v>32</v>
      </c>
      <c r="G108" s="7">
        <f t="shared" si="3"/>
        <v>131884</v>
      </c>
      <c r="H108" s="7">
        <f t="shared" si="3"/>
        <v>48970</v>
      </c>
      <c r="I108" s="7">
        <f t="shared" si="3"/>
        <v>12513</v>
      </c>
      <c r="J108" s="7">
        <f t="shared" si="4"/>
        <v>193367</v>
      </c>
      <c r="K108" s="11">
        <f t="shared" si="5"/>
        <v>61483</v>
      </c>
    </row>
    <row r="109" spans="1:11" ht="12.75">
      <c r="A109" s="6" t="s">
        <v>33</v>
      </c>
      <c r="G109" s="7">
        <f aca="true" t="shared" si="6" ref="G109:I121">+G27+G68</f>
        <v>131728</v>
      </c>
      <c r="H109" s="7">
        <f t="shared" si="6"/>
        <v>49665</v>
      </c>
      <c r="I109" s="7">
        <f t="shared" si="6"/>
        <v>13175</v>
      </c>
      <c r="J109" s="7">
        <f t="shared" si="4"/>
        <v>194568</v>
      </c>
      <c r="K109" s="11">
        <f t="shared" si="5"/>
        <v>62840</v>
      </c>
    </row>
    <row r="110" spans="1:11" ht="12.75">
      <c r="A110" s="6" t="s">
        <v>34</v>
      </c>
      <c r="G110" s="7">
        <f t="shared" si="6"/>
        <v>131938</v>
      </c>
      <c r="H110" s="7">
        <f t="shared" si="6"/>
        <v>49293</v>
      </c>
      <c r="I110" s="7">
        <f t="shared" si="6"/>
        <v>12815</v>
      </c>
      <c r="J110" s="7">
        <f t="shared" si="4"/>
        <v>194046</v>
      </c>
      <c r="K110" s="11">
        <f t="shared" si="5"/>
        <v>62108</v>
      </c>
    </row>
    <row r="111" spans="1:11" ht="12.75">
      <c r="A111" s="6" t="s">
        <v>35</v>
      </c>
      <c r="G111" s="7">
        <f t="shared" si="6"/>
        <v>132494</v>
      </c>
      <c r="H111" s="7">
        <f t="shared" si="6"/>
        <v>48875</v>
      </c>
      <c r="I111" s="7">
        <f t="shared" si="6"/>
        <v>12455</v>
      </c>
      <c r="J111" s="7">
        <f t="shared" si="4"/>
        <v>193824</v>
      </c>
      <c r="K111" s="11">
        <f t="shared" si="5"/>
        <v>61330</v>
      </c>
    </row>
    <row r="112" spans="1:11" ht="12.75">
      <c r="A112" s="6" t="s">
        <v>36</v>
      </c>
      <c r="G112" s="7">
        <f t="shared" si="6"/>
        <v>132395</v>
      </c>
      <c r="H112" s="7">
        <f t="shared" si="6"/>
        <v>49390</v>
      </c>
      <c r="I112" s="7">
        <f t="shared" si="6"/>
        <v>13073</v>
      </c>
      <c r="J112" s="7">
        <f t="shared" si="4"/>
        <v>194858</v>
      </c>
      <c r="K112" s="11">
        <f t="shared" si="5"/>
        <v>62463</v>
      </c>
    </row>
    <row r="113" spans="1:11" ht="12.75">
      <c r="A113" s="6" t="s">
        <v>37</v>
      </c>
      <c r="G113" s="7">
        <f t="shared" si="6"/>
        <v>132641</v>
      </c>
      <c r="H113" s="7">
        <f t="shared" si="6"/>
        <v>48838</v>
      </c>
      <c r="I113" s="7">
        <f t="shared" si="6"/>
        <v>12667</v>
      </c>
      <c r="J113" s="7">
        <f t="shared" si="4"/>
        <v>194146</v>
      </c>
      <c r="K113" s="11">
        <f t="shared" si="5"/>
        <v>61505</v>
      </c>
    </row>
    <row r="114" spans="1:11" ht="12.75">
      <c r="A114" s="6" t="s">
        <v>38</v>
      </c>
      <c r="G114" s="7">
        <f t="shared" si="6"/>
        <v>133212</v>
      </c>
      <c r="H114" s="7">
        <f t="shared" si="6"/>
        <v>49217</v>
      </c>
      <c r="I114" s="7">
        <f t="shared" si="6"/>
        <v>13240</v>
      </c>
      <c r="J114" s="7">
        <f t="shared" si="4"/>
        <v>195669</v>
      </c>
      <c r="K114" s="11">
        <f t="shared" si="5"/>
        <v>62457</v>
      </c>
    </row>
    <row r="115" spans="1:11" ht="12.75">
      <c r="A115" s="6" t="s">
        <v>39</v>
      </c>
      <c r="G115" s="7">
        <f t="shared" si="6"/>
        <v>133597</v>
      </c>
      <c r="H115" s="7">
        <f t="shared" si="6"/>
        <v>48530</v>
      </c>
      <c r="I115" s="7">
        <f t="shared" si="6"/>
        <v>12790</v>
      </c>
      <c r="J115" s="7">
        <f t="shared" si="4"/>
        <v>194917</v>
      </c>
      <c r="K115" s="11">
        <f t="shared" si="5"/>
        <v>61320</v>
      </c>
    </row>
    <row r="116" spans="1:11" ht="12.75">
      <c r="A116" s="6" t="s">
        <v>40</v>
      </c>
      <c r="G116" s="7">
        <f t="shared" si="6"/>
        <v>133797</v>
      </c>
      <c r="H116" s="7">
        <f t="shared" si="6"/>
        <v>47797</v>
      </c>
      <c r="I116" s="7">
        <f t="shared" si="6"/>
        <v>12340</v>
      </c>
      <c r="J116" s="7">
        <f t="shared" si="4"/>
        <v>193934</v>
      </c>
      <c r="K116" s="11">
        <f t="shared" si="5"/>
        <v>60137</v>
      </c>
    </row>
    <row r="117" spans="1:11" ht="12.75">
      <c r="A117" s="6" t="s">
        <v>41</v>
      </c>
      <c r="G117" s="7">
        <f t="shared" si="6"/>
        <v>133811</v>
      </c>
      <c r="H117" s="7">
        <f t="shared" si="6"/>
        <v>47997</v>
      </c>
      <c r="I117" s="7">
        <f t="shared" si="6"/>
        <v>12868</v>
      </c>
      <c r="J117" s="7">
        <f t="shared" si="4"/>
        <v>194676</v>
      </c>
      <c r="K117" s="11">
        <f t="shared" si="5"/>
        <v>60865</v>
      </c>
    </row>
    <row r="118" spans="1:11" ht="12.75">
      <c r="A118" s="6" t="s">
        <v>42</v>
      </c>
      <c r="G118" s="7">
        <f t="shared" si="6"/>
        <v>134130</v>
      </c>
      <c r="H118" s="7">
        <f t="shared" si="6"/>
        <v>48107</v>
      </c>
      <c r="I118" s="7">
        <f t="shared" si="6"/>
        <v>12372</v>
      </c>
      <c r="J118" s="7">
        <f t="shared" si="4"/>
        <v>194609</v>
      </c>
      <c r="K118" s="11">
        <f t="shared" si="5"/>
        <v>60479</v>
      </c>
    </row>
    <row r="119" spans="1:11" ht="12.75">
      <c r="A119" s="6" t="s">
        <v>43</v>
      </c>
      <c r="G119" s="7">
        <f t="shared" si="6"/>
        <v>134731</v>
      </c>
      <c r="H119" s="7">
        <f t="shared" si="6"/>
        <v>48127</v>
      </c>
      <c r="I119" s="7">
        <f t="shared" si="6"/>
        <v>12855</v>
      </c>
      <c r="J119" s="7">
        <f t="shared" si="4"/>
        <v>195713</v>
      </c>
      <c r="K119" s="11">
        <f t="shared" si="5"/>
        <v>60982</v>
      </c>
    </row>
    <row r="120" spans="1:11" ht="12.75">
      <c r="A120" s="6" t="s">
        <v>44</v>
      </c>
      <c r="G120" s="7">
        <f t="shared" si="6"/>
        <v>135105</v>
      </c>
      <c r="H120" s="7">
        <f t="shared" si="6"/>
        <v>48057</v>
      </c>
      <c r="I120" s="7">
        <f t="shared" si="6"/>
        <v>13292</v>
      </c>
      <c r="J120" s="7">
        <f t="shared" si="4"/>
        <v>196454</v>
      </c>
      <c r="K120" s="11">
        <f t="shared" si="5"/>
        <v>61349</v>
      </c>
    </row>
    <row r="121" spans="1:11" ht="12.75">
      <c r="A121" s="6" t="s">
        <v>45</v>
      </c>
      <c r="G121" s="12">
        <f t="shared" si="6"/>
        <v>135743</v>
      </c>
      <c r="H121" s="7">
        <f t="shared" si="6"/>
        <v>0</v>
      </c>
      <c r="I121" s="7">
        <f t="shared" si="6"/>
        <v>0</v>
      </c>
      <c r="J121" s="7">
        <f t="shared" si="4"/>
        <v>135743</v>
      </c>
      <c r="K121" s="11">
        <f t="shared" si="5"/>
        <v>0</v>
      </c>
    </row>
    <row r="122" spans="2:10" ht="13.5" thickBot="1">
      <c r="B122" s="9">
        <f>SUM(B89:B101)</f>
        <v>277075</v>
      </c>
      <c r="C122" s="9">
        <f>SUM(C89:C101)</f>
        <v>1920442.5</v>
      </c>
      <c r="D122" s="9">
        <f>SUM(D89:D101)</f>
        <v>0</v>
      </c>
      <c r="E122" s="9">
        <f>SUM(E89:E101)</f>
        <v>1764216</v>
      </c>
      <c r="F122" s="9">
        <f>SUM(F89:F101)</f>
        <v>2321016</v>
      </c>
      <c r="G122" s="9">
        <f>SUM(G89:G121)</f>
        <v>4338412</v>
      </c>
      <c r="H122" s="9">
        <f>SUM(H89:H101)</f>
        <v>644115</v>
      </c>
      <c r="I122" s="9">
        <f>SUM(I89:I101)</f>
        <v>167309</v>
      </c>
      <c r="J122" s="9">
        <f>SUM(J89:J121)</f>
        <v>12606467.5</v>
      </c>
    </row>
    <row r="123" ht="13.5" thickTop="1">
      <c r="J123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  <row r="323" ht="12.75">
      <c r="J323"/>
    </row>
    <row r="324" ht="12.75">
      <c r="J324"/>
    </row>
    <row r="325" ht="12.75">
      <c r="J325"/>
    </row>
    <row r="326" ht="12.75">
      <c r="J326"/>
    </row>
    <row r="327" ht="12.75">
      <c r="J327"/>
    </row>
    <row r="328" ht="12.75">
      <c r="J328"/>
    </row>
    <row r="329" ht="12.75">
      <c r="J329"/>
    </row>
    <row r="330" ht="12.75">
      <c r="J330"/>
    </row>
    <row r="331" ht="12.75">
      <c r="J331"/>
    </row>
    <row r="332" ht="12.75">
      <c r="J332"/>
    </row>
    <row r="333" ht="12.75">
      <c r="J333"/>
    </row>
    <row r="334" ht="12.75">
      <c r="J334"/>
    </row>
    <row r="335" ht="12.75">
      <c r="J335"/>
    </row>
    <row r="336" ht="12.75">
      <c r="J336"/>
    </row>
    <row r="337" ht="12.75">
      <c r="J337"/>
    </row>
  </sheetData>
  <sheetProtection/>
  <printOptions/>
  <pageMargins left="0.75" right="0.75" top="1" bottom="1" header="0.5" footer="0.5"/>
  <pageSetup fitToHeight="2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zoomScalePageLayoutView="0" workbookViewId="0" topLeftCell="A1">
      <selection activeCell="B103" sqref="B103"/>
    </sheetView>
  </sheetViews>
  <sheetFormatPr defaultColWidth="11.7109375" defaultRowHeight="12.75"/>
  <cols>
    <col min="1" max="18" width="11.7109375" style="2" customWidth="1"/>
    <col min="19" max="19" width="14.140625" style="2" customWidth="1"/>
    <col min="20" max="20" width="15.57421875" style="2" bestFit="1" customWidth="1"/>
    <col min="21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3" t="s">
        <v>2</v>
      </c>
    </row>
    <row r="10" spans="1:18" ht="12.75">
      <c r="A10" s="1"/>
      <c r="Q10" s="67"/>
      <c r="R10" s="67"/>
    </row>
    <row r="11" spans="1:19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71</v>
      </c>
      <c r="K11" s="14" t="s">
        <v>73</v>
      </c>
      <c r="L11" s="14" t="s">
        <v>85</v>
      </c>
      <c r="M11" s="14" t="s">
        <v>86</v>
      </c>
      <c r="N11" s="14" t="s">
        <v>89</v>
      </c>
      <c r="O11" s="14" t="s">
        <v>90</v>
      </c>
      <c r="P11" s="14" t="s">
        <v>78</v>
      </c>
      <c r="Q11" s="14" t="s">
        <v>76</v>
      </c>
      <c r="R11" s="14" t="s">
        <v>77</v>
      </c>
      <c r="S11" s="14" t="s">
        <v>11</v>
      </c>
    </row>
    <row r="12" spans="1:19" ht="12.75">
      <c r="A12" s="6"/>
      <c r="B12" s="7"/>
      <c r="C12" s="7"/>
      <c r="D12" s="7"/>
      <c r="E12" s="7"/>
      <c r="F12" s="7"/>
      <c r="G12" s="7"/>
      <c r="S12" s="7"/>
    </row>
    <row r="13" spans="1:19" ht="15">
      <c r="A13" s="6" t="s">
        <v>18</v>
      </c>
      <c r="B13" s="7">
        <f>31319.35+31667.51+32019.54+32375.49</f>
        <v>127381.89</v>
      </c>
      <c r="C13" s="7"/>
      <c r="D13" s="7">
        <v>170606</v>
      </c>
      <c r="E13" s="7">
        <v>40500</v>
      </c>
      <c r="F13" s="7">
        <v>15000</v>
      </c>
      <c r="G13" s="7">
        <v>4000</v>
      </c>
      <c r="H13" s="19">
        <v>112500</v>
      </c>
      <c r="I13" s="19">
        <v>165000</v>
      </c>
      <c r="J13" s="19">
        <f>7817.28+7856.37</f>
        <v>15673.65</v>
      </c>
      <c r="K13" s="19">
        <f>8744.81+8788.83</f>
        <v>17533.64</v>
      </c>
      <c r="L13" s="19">
        <f>51476.02+51926.44</f>
        <v>103402.45999999999</v>
      </c>
      <c r="M13" s="2">
        <f>14112.32+14182.89+17566</f>
        <v>45861.21</v>
      </c>
      <c r="N13" s="19">
        <v>7584.59</v>
      </c>
      <c r="O13" s="19">
        <v>32970.43</v>
      </c>
      <c r="P13" s="19"/>
      <c r="Q13" s="19">
        <v>10000</v>
      </c>
      <c r="R13" s="19">
        <v>15000</v>
      </c>
      <c r="S13" s="7">
        <f aca="true" t="shared" si="0" ref="S13:S50">SUM(B13:R13)</f>
        <v>883013.87</v>
      </c>
    </row>
    <row r="14" spans="1:19" ht="15">
      <c r="A14" s="6" t="s">
        <v>19</v>
      </c>
      <c r="B14" s="7">
        <f>32735.39+33099.29+33467.24+33839.28</f>
        <v>133141.19999999998</v>
      </c>
      <c r="C14" s="7"/>
      <c r="D14" s="7">
        <v>172316</v>
      </c>
      <c r="E14" s="8">
        <v>42000</v>
      </c>
      <c r="F14" s="7">
        <v>16000</v>
      </c>
      <c r="G14" s="7">
        <v>4000</v>
      </c>
      <c r="H14" s="19">
        <v>116000</v>
      </c>
      <c r="I14" s="19">
        <v>170000</v>
      </c>
      <c r="J14" s="19">
        <f>7895.65+7935.13</f>
        <v>15830.779999999999</v>
      </c>
      <c r="K14" s="19">
        <f>8832.48+8876.64</f>
        <v>17709.12</v>
      </c>
      <c r="L14" s="19">
        <f>52380.8+52839.13</f>
        <v>105219.93</v>
      </c>
      <c r="M14" s="19">
        <f>14253.79+14325.06</f>
        <v>28578.85</v>
      </c>
      <c r="N14" s="19">
        <f>7613.04+7641.59</f>
        <v>15254.630000000001</v>
      </c>
      <c r="O14" s="19">
        <f>33094.07+33218.17</f>
        <v>66312.23999999999</v>
      </c>
      <c r="P14" s="19"/>
      <c r="Q14" s="19">
        <v>10500</v>
      </c>
      <c r="R14" s="19">
        <v>15500</v>
      </c>
      <c r="S14" s="7">
        <f t="shared" si="0"/>
        <v>928362.75</v>
      </c>
    </row>
    <row r="15" spans="1:19" ht="15">
      <c r="A15" s="6" t="s">
        <v>20</v>
      </c>
      <c r="B15" s="8">
        <f>34215.45+34595.8+34980.39+35369.24</f>
        <v>139160.88</v>
      </c>
      <c r="C15" s="8"/>
      <c r="D15" s="8">
        <v>174044</v>
      </c>
      <c r="E15" s="8">
        <v>44000</v>
      </c>
      <c r="F15" s="8">
        <v>17000</v>
      </c>
      <c r="G15" s="8">
        <v>4000</v>
      </c>
      <c r="H15" s="19">
        <v>120000</v>
      </c>
      <c r="I15" s="19">
        <v>170000</v>
      </c>
      <c r="J15" s="19">
        <f>7974.81+8014.68</f>
        <v>15989.490000000002</v>
      </c>
      <c r="K15" s="19">
        <f>8921.02+8965.63</f>
        <v>17886.65</v>
      </c>
      <c r="L15" s="19">
        <f>53301.47+53767.86</f>
        <v>107069.33</v>
      </c>
      <c r="M15" s="19">
        <f>14396.69+14468.67</f>
        <v>28865.36</v>
      </c>
      <c r="N15" s="19">
        <f>7670.24+7699.01</f>
        <v>15369.25</v>
      </c>
      <c r="O15" s="19">
        <f>33342.74+33467.78</f>
        <v>66810.51999999999</v>
      </c>
      <c r="P15" s="19">
        <v>3240707</v>
      </c>
      <c r="Q15" s="19">
        <v>10500</v>
      </c>
      <c r="R15" s="19">
        <v>16000</v>
      </c>
      <c r="S15" s="7">
        <f t="shared" si="0"/>
        <v>4187402.48</v>
      </c>
    </row>
    <row r="16" spans="1:19" ht="15">
      <c r="A16" s="6" t="s">
        <v>21</v>
      </c>
      <c r="B16" s="8">
        <f>35762.42+36159.98+36561.95+36968.39</f>
        <v>145452.74</v>
      </c>
      <c r="C16" s="8"/>
      <c r="D16" s="8">
        <v>175789</v>
      </c>
      <c r="E16" s="8">
        <v>46000</v>
      </c>
      <c r="F16" s="8">
        <v>17000</v>
      </c>
      <c r="G16" s="8">
        <v>5000</v>
      </c>
      <c r="H16" s="19">
        <v>124000</v>
      </c>
      <c r="I16" s="19">
        <v>175000</v>
      </c>
      <c r="J16" s="19">
        <f>8054.75+8095.03</f>
        <v>16149.779999999999</v>
      </c>
      <c r="K16" s="19">
        <f>9010.45+9055.51</f>
        <v>18065.96</v>
      </c>
      <c r="L16" s="19">
        <f>54238.33+54712.91</f>
        <v>108951.24</v>
      </c>
      <c r="M16" s="19">
        <f>14541.01+14613.73</f>
        <v>29154.739999999998</v>
      </c>
      <c r="N16" s="19">
        <f>7727.88+7756.86</f>
        <v>15484.74</v>
      </c>
      <c r="O16" s="19">
        <f>33593.28+33719.25</f>
        <v>67312.53</v>
      </c>
      <c r="P16" s="19"/>
      <c r="Q16" s="19">
        <v>11000</v>
      </c>
      <c r="R16" s="19">
        <v>16500</v>
      </c>
      <c r="S16" s="7">
        <f t="shared" si="0"/>
        <v>970860.73</v>
      </c>
    </row>
    <row r="17" spans="1:19" ht="15">
      <c r="A17" s="6" t="s">
        <v>22</v>
      </c>
      <c r="B17" s="8">
        <f>37379.34+37794.87+38215.01+38639.83</f>
        <v>152029.05</v>
      </c>
      <c r="C17" s="8"/>
      <c r="D17" s="8">
        <v>177551</v>
      </c>
      <c r="E17" s="8">
        <v>48000</v>
      </c>
      <c r="F17" s="8">
        <v>18000</v>
      </c>
      <c r="G17" s="8">
        <v>5000</v>
      </c>
      <c r="H17" s="19">
        <v>128000</v>
      </c>
      <c r="I17" s="19">
        <v>15000</v>
      </c>
      <c r="J17" s="19">
        <f>8135.5+8176.18</f>
        <v>16311.68</v>
      </c>
      <c r="K17" s="19">
        <f>9100.78+9146.29</f>
        <v>18247.07</v>
      </c>
      <c r="L17" s="19">
        <f>55191.65+55674.58</f>
        <v>110866.23000000001</v>
      </c>
      <c r="M17" s="19">
        <f>14686.79+14760.23</f>
        <v>29447.02</v>
      </c>
      <c r="N17" s="19">
        <f>7785.94+7815.14</f>
        <v>15601.08</v>
      </c>
      <c r="O17" s="19">
        <f>33845.7+33972.62</f>
        <v>67818.32</v>
      </c>
      <c r="P17" s="19"/>
      <c r="Q17" s="19">
        <v>11500</v>
      </c>
      <c r="R17" s="19">
        <v>17000</v>
      </c>
      <c r="S17" s="7">
        <f t="shared" si="0"/>
        <v>830371.45</v>
      </c>
    </row>
    <row r="18" spans="1:19" ht="15">
      <c r="A18" s="6" t="s">
        <v>23</v>
      </c>
      <c r="B18" s="8">
        <f>39069.37+39503.68+39942.82+40386.85</f>
        <v>158902.72</v>
      </c>
      <c r="C18" s="8"/>
      <c r="D18" s="8">
        <v>179331</v>
      </c>
      <c r="E18" s="8">
        <v>50500</v>
      </c>
      <c r="F18" s="8">
        <v>19000</v>
      </c>
      <c r="G18" s="8">
        <v>5000</v>
      </c>
      <c r="H18" s="19">
        <v>132000</v>
      </c>
      <c r="I18" s="19"/>
      <c r="J18" s="19">
        <f>8217.06+8258.15</f>
        <v>16475.21</v>
      </c>
      <c r="K18" s="19">
        <f>9192.02+9237.98</f>
        <v>18430</v>
      </c>
      <c r="L18" s="19">
        <f>56161.73+56653.14</f>
        <v>112814.87</v>
      </c>
      <c r="M18" s="19">
        <f>14834.03+14908.19</f>
        <v>29742.22</v>
      </c>
      <c r="N18" s="19">
        <f>7844.45+7873.87</f>
        <v>15718.32</v>
      </c>
      <c r="O18" s="19">
        <f>34100.02+34227.9</f>
        <v>68327.92</v>
      </c>
      <c r="P18" s="19"/>
      <c r="Q18" s="19">
        <v>11500</v>
      </c>
      <c r="R18" s="19">
        <v>17500</v>
      </c>
      <c r="S18" s="7">
        <f t="shared" si="0"/>
        <v>835242.2599999999</v>
      </c>
    </row>
    <row r="19" spans="1:19" ht="15">
      <c r="A19" s="6" t="s">
        <v>24</v>
      </c>
      <c r="B19" s="8">
        <f>40835.8+41289.81</f>
        <v>82125.61</v>
      </c>
      <c r="C19" s="8"/>
      <c r="D19" s="8">
        <v>181129</v>
      </c>
      <c r="E19" s="8">
        <v>52500</v>
      </c>
      <c r="F19" s="8">
        <v>20000</v>
      </c>
      <c r="G19" s="8">
        <v>5000</v>
      </c>
      <c r="H19" s="19">
        <v>136500</v>
      </c>
      <c r="I19" s="19"/>
      <c r="J19" s="19">
        <f>8299.44+8340.93</f>
        <v>16640.370000000003</v>
      </c>
      <c r="K19" s="19">
        <f>9284.17+9330.59</f>
        <v>18614.760000000002</v>
      </c>
      <c r="L19" s="19">
        <f>57148.86+57648.91</f>
        <v>114797.77</v>
      </c>
      <c r="M19" s="19">
        <f>14982.74+15057.65</f>
        <v>30040.39</v>
      </c>
      <c r="N19" s="19">
        <f>7903.39+7933.03</f>
        <v>15836.42</v>
      </c>
      <c r="O19" s="19">
        <f>34356.25+34485.09</f>
        <v>68841.34</v>
      </c>
      <c r="P19" s="19"/>
      <c r="Q19" s="19">
        <v>12000</v>
      </c>
      <c r="R19" s="19">
        <v>18000</v>
      </c>
      <c r="S19" s="7">
        <f t="shared" si="0"/>
        <v>772025.66</v>
      </c>
    </row>
    <row r="20" spans="1:19" ht="15">
      <c r="A20" s="6" t="s">
        <v>25</v>
      </c>
      <c r="B20" s="8"/>
      <c r="C20" s="8"/>
      <c r="D20" s="8">
        <v>91243</v>
      </c>
      <c r="E20" s="8">
        <v>55000</v>
      </c>
      <c r="F20" s="8">
        <v>21000</v>
      </c>
      <c r="G20" s="8">
        <v>5000</v>
      </c>
      <c r="H20" s="19">
        <v>141000</v>
      </c>
      <c r="I20" s="19"/>
      <c r="J20" s="19">
        <f>8382.64+8424.55</f>
        <v>16807.19</v>
      </c>
      <c r="K20" s="19">
        <f>9377.24+9424.13</f>
        <v>18801.37</v>
      </c>
      <c r="L20" s="19">
        <f>58153.34+58662.18</f>
        <v>116815.51999999999</v>
      </c>
      <c r="M20" s="19">
        <f>15132.94+15208.6</f>
        <v>30341.54</v>
      </c>
      <c r="N20" s="19">
        <f>7962.78+7992.64</f>
        <v>15955.42</v>
      </c>
      <c r="O20" s="19">
        <f>34614.4+34744.21</f>
        <v>69358.61</v>
      </c>
      <c r="P20" s="19"/>
      <c r="Q20" s="19">
        <v>12500</v>
      </c>
      <c r="R20" s="19">
        <v>18500</v>
      </c>
      <c r="S20" s="7">
        <f t="shared" si="0"/>
        <v>612322.6499999999</v>
      </c>
    </row>
    <row r="21" spans="1:19" ht="15">
      <c r="A21" s="6" t="s">
        <v>26</v>
      </c>
      <c r="B21" s="8"/>
      <c r="C21" s="8"/>
      <c r="D21" s="8"/>
      <c r="E21" s="8">
        <v>57500</v>
      </c>
      <c r="F21" s="8">
        <v>22000</v>
      </c>
      <c r="G21" s="8">
        <v>6000</v>
      </c>
      <c r="H21" s="19">
        <v>145500</v>
      </c>
      <c r="I21" s="19"/>
      <c r="J21" s="19">
        <f>8466.68+8509.01</f>
        <v>16975.690000000002</v>
      </c>
      <c r="K21" s="19">
        <f>9471.25+9518.61</f>
        <v>18989.86</v>
      </c>
      <c r="L21" s="19">
        <f>59175.48+59693.26</f>
        <v>118868.74</v>
      </c>
      <c r="M21" s="19">
        <f>15284.65+15361.07</f>
        <v>30645.72</v>
      </c>
      <c r="N21" s="19">
        <f>8022.61+8052.7</f>
        <v>16075.31</v>
      </c>
      <c r="O21" s="19">
        <f>34874.5+35005.28</f>
        <v>69879.78</v>
      </c>
      <c r="P21" s="19"/>
      <c r="Q21" s="19">
        <v>13000</v>
      </c>
      <c r="R21" s="19">
        <v>19000</v>
      </c>
      <c r="S21" s="7">
        <f t="shared" si="0"/>
        <v>534435.1</v>
      </c>
    </row>
    <row r="22" spans="1:19" ht="15">
      <c r="A22" s="6" t="s">
        <v>27</v>
      </c>
      <c r="B22" s="8"/>
      <c r="C22" s="8"/>
      <c r="D22" s="8"/>
      <c r="E22" s="8">
        <v>60000</v>
      </c>
      <c r="F22" s="8">
        <v>23000</v>
      </c>
      <c r="G22" s="8">
        <v>6000</v>
      </c>
      <c r="H22" s="19">
        <v>150000</v>
      </c>
      <c r="I22" s="19"/>
      <c r="J22" s="19">
        <f>8551.55+8594.31</f>
        <v>17145.86</v>
      </c>
      <c r="K22" s="19">
        <f>9566.25+9614.03</f>
        <v>19180.28</v>
      </c>
      <c r="L22" s="19">
        <f>60215.58+60742.46</f>
        <v>120958.04000000001</v>
      </c>
      <c r="M22" s="19">
        <f>15437.88+15515.06</f>
        <v>30952.94</v>
      </c>
      <c r="N22" s="19">
        <f>8082.89+8113.2</f>
        <v>16196.09</v>
      </c>
      <c r="O22" s="19">
        <f>35136.55+35268.31</f>
        <v>70404.86</v>
      </c>
      <c r="P22" s="19"/>
      <c r="Q22" s="19">
        <v>13500</v>
      </c>
      <c r="R22" s="19">
        <v>19500</v>
      </c>
      <c r="S22" s="7">
        <f t="shared" si="0"/>
        <v>546838.0700000001</v>
      </c>
    </row>
    <row r="23" spans="1:19" ht="15">
      <c r="A23" s="6" t="s">
        <v>28</v>
      </c>
      <c r="B23" s="8"/>
      <c r="C23" s="8"/>
      <c r="D23" s="8"/>
      <c r="E23" s="8">
        <v>62500</v>
      </c>
      <c r="F23" s="8">
        <v>24000</v>
      </c>
      <c r="G23" s="8">
        <v>6000</v>
      </c>
      <c r="H23" s="19">
        <v>155000</v>
      </c>
      <c r="I23" s="19"/>
      <c r="J23" s="19">
        <f>8637.28+8680.47</f>
        <v>17317.75</v>
      </c>
      <c r="K23" s="19">
        <f>9662.1+9710.41</f>
        <v>19372.510000000002</v>
      </c>
      <c r="L23" s="19">
        <f>61273.96+61810.11</f>
        <v>123084.07</v>
      </c>
      <c r="M23" s="19">
        <f>15592.64+15670.61</f>
        <v>31263.25</v>
      </c>
      <c r="N23" s="19">
        <f>8143.63+8174.17</f>
        <v>16317.8</v>
      </c>
      <c r="O23" s="19">
        <f>35400.57+35533.32</f>
        <v>70933.89</v>
      </c>
      <c r="P23" s="19"/>
      <c r="Q23" s="19">
        <v>14000</v>
      </c>
      <c r="R23" s="19">
        <v>20000</v>
      </c>
      <c r="S23" s="7">
        <f t="shared" si="0"/>
        <v>559789.27</v>
      </c>
    </row>
    <row r="24" spans="1:19" ht="15">
      <c r="A24" s="6" t="s">
        <v>29</v>
      </c>
      <c r="B24" s="8"/>
      <c r="C24" s="8"/>
      <c r="D24" s="8"/>
      <c r="E24" s="8">
        <v>65500</v>
      </c>
      <c r="F24" s="8">
        <v>25000</v>
      </c>
      <c r="G24" s="8">
        <v>6000</v>
      </c>
      <c r="H24" s="19">
        <v>160000</v>
      </c>
      <c r="I24" s="19"/>
      <c r="J24" s="19">
        <f>8723.87+8767.49</f>
        <v>17491.36</v>
      </c>
      <c r="K24" s="19">
        <f>9758.96+9807.76</f>
        <v>19566.72</v>
      </c>
      <c r="L24" s="19">
        <f>62350.95+62896.52</f>
        <v>125247.47</v>
      </c>
      <c r="M24" s="19">
        <f>15748.96+15827.7</f>
        <v>31576.66</v>
      </c>
      <c r="N24" s="19">
        <f>8204.82+8235.59</f>
        <v>16440.41</v>
      </c>
      <c r="O24" s="19">
        <f>35666.57+35800.32</f>
        <v>71466.89</v>
      </c>
      <c r="P24" s="19"/>
      <c r="Q24" s="19">
        <v>14500</v>
      </c>
      <c r="R24" s="19">
        <v>20500</v>
      </c>
      <c r="S24" s="7">
        <f t="shared" si="0"/>
        <v>573289.5099999999</v>
      </c>
    </row>
    <row r="25" spans="1:19" ht="15">
      <c r="A25" s="6" t="s">
        <v>30</v>
      </c>
      <c r="B25" s="8"/>
      <c r="C25" s="8"/>
      <c r="D25" s="8"/>
      <c r="E25" s="8">
        <v>68500</v>
      </c>
      <c r="F25" s="8">
        <v>26000</v>
      </c>
      <c r="G25" s="8">
        <v>7000</v>
      </c>
      <c r="H25" s="19">
        <v>165000</v>
      </c>
      <c r="I25" s="19"/>
      <c r="J25" s="19">
        <f>8811.33+8855.39</f>
        <v>17666.72</v>
      </c>
      <c r="K25" s="19">
        <f>9856.8+9906.08</f>
        <v>19762.879999999997</v>
      </c>
      <c r="L25" s="19">
        <f>63446.86+64002.02</f>
        <v>127448.88</v>
      </c>
      <c r="M25" s="19">
        <f>15906.84+15986.38</f>
        <v>31893.22</v>
      </c>
      <c r="N25" s="19">
        <f>8266.47+8297.47</f>
        <v>16563.94</v>
      </c>
      <c r="O25" s="19">
        <f>35934.57+36069.32</f>
        <v>72003.89</v>
      </c>
      <c r="P25" s="19"/>
      <c r="Q25" s="19">
        <v>15000</v>
      </c>
      <c r="R25" s="19">
        <v>21000</v>
      </c>
      <c r="S25" s="7">
        <f t="shared" si="0"/>
        <v>587839.5299999999</v>
      </c>
    </row>
    <row r="26" spans="1:19" ht="15">
      <c r="A26" s="6" t="s">
        <v>31</v>
      </c>
      <c r="B26" s="8"/>
      <c r="C26" s="8"/>
      <c r="D26" s="8"/>
      <c r="E26" s="8">
        <v>71500</v>
      </c>
      <c r="F26" s="8">
        <v>27000</v>
      </c>
      <c r="G26" s="8">
        <v>7000</v>
      </c>
      <c r="H26" s="19">
        <v>170500</v>
      </c>
      <c r="I26" s="19"/>
      <c r="J26" s="19">
        <f>8899.66+8944.16</f>
        <v>17843.82</v>
      </c>
      <c r="K26" s="19">
        <f>9955.61+10005.39</f>
        <v>19961</v>
      </c>
      <c r="L26" s="19">
        <f>64562.04+65126.96</f>
        <v>129689</v>
      </c>
      <c r="M26" s="19">
        <f>16066.3+16146.64</f>
        <v>32212.94</v>
      </c>
      <c r="N26" s="19">
        <f>8328.59+8359.82</f>
        <v>16688.41</v>
      </c>
      <c r="O26" s="19">
        <f>36204.58+36340.35</f>
        <v>72544.93</v>
      </c>
      <c r="P26" s="19"/>
      <c r="Q26" s="19">
        <v>15500</v>
      </c>
      <c r="R26" s="19">
        <v>21500</v>
      </c>
      <c r="S26" s="7">
        <f t="shared" si="0"/>
        <v>601940.1</v>
      </c>
    </row>
    <row r="27" spans="1:19" ht="15">
      <c r="A27" s="6" t="s">
        <v>32</v>
      </c>
      <c r="B27" s="8"/>
      <c r="C27" s="8"/>
      <c r="D27" s="8"/>
      <c r="E27" s="8">
        <v>75000</v>
      </c>
      <c r="F27" s="8">
        <v>28000</v>
      </c>
      <c r="G27" s="8">
        <v>7000</v>
      </c>
      <c r="H27" s="19">
        <v>176000</v>
      </c>
      <c r="I27" s="19"/>
      <c r="J27" s="19">
        <f>8988.88+9033.83</f>
        <v>18022.71</v>
      </c>
      <c r="K27" s="19">
        <f>10055.42+10105.69</f>
        <v>20161.11</v>
      </c>
      <c r="L27" s="19">
        <f>65696.82+66271.66</f>
        <v>131968.48</v>
      </c>
      <c r="M27" s="19">
        <f>16227.37+16308.51</f>
        <v>32535.88</v>
      </c>
      <c r="N27" s="19">
        <f>8391.17+8422.64</f>
        <v>16813.809999999998</v>
      </c>
      <c r="O27" s="19">
        <f>36476.63+36613.42</f>
        <v>73090.04999999999</v>
      </c>
      <c r="P27" s="19"/>
      <c r="Q27" s="19">
        <v>16000</v>
      </c>
      <c r="R27" s="19">
        <v>22500</v>
      </c>
      <c r="S27" s="7">
        <f t="shared" si="0"/>
        <v>617092.04</v>
      </c>
    </row>
    <row r="28" spans="1:19" ht="15">
      <c r="A28" s="6" t="s">
        <v>33</v>
      </c>
      <c r="B28" s="8"/>
      <c r="C28" s="8"/>
      <c r="D28" s="8"/>
      <c r="E28" s="8">
        <v>78000</v>
      </c>
      <c r="F28" s="8">
        <v>30000</v>
      </c>
      <c r="G28" s="8">
        <v>8000</v>
      </c>
      <c r="H28" s="19">
        <v>182000</v>
      </c>
      <c r="I28" s="19"/>
      <c r="J28" s="19">
        <f>9078.99+9124.39</f>
        <v>18203.379999999997</v>
      </c>
      <c r="K28" s="19">
        <f>10156.22+10207</f>
        <v>20363.22</v>
      </c>
      <c r="L28" s="19">
        <f>66851.54+67436.49</f>
        <v>134288.03</v>
      </c>
      <c r="M28" s="19">
        <f>16390.05+16471.99</f>
        <v>32862.04</v>
      </c>
      <c r="N28" s="19">
        <f>8454.22+8485.92</f>
        <v>16940.14</v>
      </c>
      <c r="O28" s="19">
        <f>36750.72+36888.53</f>
        <v>73639.25</v>
      </c>
      <c r="P28" s="19"/>
      <c r="Q28" s="19">
        <v>16500</v>
      </c>
      <c r="R28" s="19">
        <v>23000</v>
      </c>
      <c r="S28" s="7">
        <f t="shared" si="0"/>
        <v>633796.06</v>
      </c>
    </row>
    <row r="29" spans="1:19" ht="15">
      <c r="A29" s="6" t="s">
        <v>34</v>
      </c>
      <c r="B29" s="8"/>
      <c r="C29" s="8"/>
      <c r="D29" s="8"/>
      <c r="E29" s="8">
        <v>81500</v>
      </c>
      <c r="F29" s="8">
        <v>31000</v>
      </c>
      <c r="G29" s="8">
        <v>8000</v>
      </c>
      <c r="H29" s="19">
        <v>187500</v>
      </c>
      <c r="I29" s="19"/>
      <c r="J29" s="19">
        <f>9170.01+9215.86</f>
        <v>18385.870000000003</v>
      </c>
      <c r="K29" s="19">
        <f>10258.04+10309.33</f>
        <v>20567.370000000003</v>
      </c>
      <c r="L29" s="19">
        <f>68026.56+68621.79</f>
        <v>136648.34999999998</v>
      </c>
      <c r="M29" s="19">
        <f>16554.36+16637.13</f>
        <v>33191.490000000005</v>
      </c>
      <c r="N29" s="19">
        <f>8517.75+8549.69</f>
        <v>17067.440000000002</v>
      </c>
      <c r="O29" s="19">
        <f>37026.86+37165.71</f>
        <v>74192.57</v>
      </c>
      <c r="P29" s="19"/>
      <c r="Q29" s="19">
        <v>17000</v>
      </c>
      <c r="R29" s="19">
        <v>23500</v>
      </c>
      <c r="S29" s="7">
        <f t="shared" si="0"/>
        <v>648553.0900000001</v>
      </c>
    </row>
    <row r="30" spans="1:19" ht="15">
      <c r="A30" s="6" t="s">
        <v>35</v>
      </c>
      <c r="B30" s="8"/>
      <c r="C30" s="8"/>
      <c r="D30" s="8"/>
      <c r="E30" s="8">
        <v>85500</v>
      </c>
      <c r="F30" s="8">
        <v>32000</v>
      </c>
      <c r="G30" s="8">
        <v>8000</v>
      </c>
      <c r="H30" s="19">
        <v>194000</v>
      </c>
      <c r="I30" s="19"/>
      <c r="J30" s="19">
        <v>9261.8</v>
      </c>
      <c r="K30" s="19">
        <v>10361.07</v>
      </c>
      <c r="L30" s="19">
        <f>69222.23+69827.93</f>
        <v>139050.15999999997</v>
      </c>
      <c r="M30" s="19">
        <f>16720.32+16803.91</f>
        <v>33524.229999999996</v>
      </c>
      <c r="N30" s="19">
        <f>8581.75+8613.93</f>
        <v>17195.68</v>
      </c>
      <c r="O30" s="19">
        <f>37305.09+37444.98</f>
        <v>74750.07</v>
      </c>
      <c r="P30" s="19"/>
      <c r="Q30" s="19">
        <v>17500</v>
      </c>
      <c r="R30" s="19">
        <v>24000</v>
      </c>
      <c r="S30" s="7">
        <f t="shared" si="0"/>
        <v>645143.01</v>
      </c>
    </row>
    <row r="31" spans="1:19" ht="15">
      <c r="A31" s="6" t="s">
        <v>36</v>
      </c>
      <c r="B31" s="8"/>
      <c r="C31" s="8"/>
      <c r="D31" s="8"/>
      <c r="E31" s="8">
        <v>89000</v>
      </c>
      <c r="F31" s="8">
        <v>34000</v>
      </c>
      <c r="G31" s="8">
        <v>9000</v>
      </c>
      <c r="H31" s="19">
        <v>200000</v>
      </c>
      <c r="I31" s="19"/>
      <c r="J31" s="19"/>
      <c r="K31" s="19"/>
      <c r="L31" s="19">
        <f>70438.92+71055.26</f>
        <v>141494.18</v>
      </c>
      <c r="M31" s="19">
        <f>16887.94+16972.54</f>
        <v>33860.479999999996</v>
      </c>
      <c r="N31" s="19">
        <f>8646.23+8678.66</f>
        <v>17324.89</v>
      </c>
      <c r="O31" s="19">
        <f>37585.4+37726.34</f>
        <v>75311.73999999999</v>
      </c>
      <c r="P31" s="19"/>
      <c r="Q31" s="19">
        <v>18000</v>
      </c>
      <c r="R31" s="19">
        <v>25000</v>
      </c>
      <c r="S31" s="7">
        <f t="shared" si="0"/>
        <v>642991.2899999999</v>
      </c>
    </row>
    <row r="32" spans="1:19" ht="15">
      <c r="A32" s="6" t="s">
        <v>37</v>
      </c>
      <c r="B32" s="8"/>
      <c r="C32" s="8"/>
      <c r="D32" s="8"/>
      <c r="E32" s="8">
        <v>93000</v>
      </c>
      <c r="F32" s="8">
        <v>35000</v>
      </c>
      <c r="G32" s="8">
        <v>9000</v>
      </c>
      <c r="H32" s="19">
        <v>206500</v>
      </c>
      <c r="I32" s="19"/>
      <c r="J32" s="19"/>
      <c r="K32" s="19"/>
      <c r="L32" s="19">
        <v>71676.82</v>
      </c>
      <c r="N32" s="19">
        <f>8711.2+8743.87</f>
        <v>17455.07</v>
      </c>
      <c r="O32" s="19">
        <f>37867.82+38009.82</f>
        <v>75877.64</v>
      </c>
      <c r="P32" s="19"/>
      <c r="Q32" s="19">
        <v>18500</v>
      </c>
      <c r="R32" s="19">
        <v>25500</v>
      </c>
      <c r="S32" s="7">
        <f t="shared" si="0"/>
        <v>552509.53</v>
      </c>
    </row>
    <row r="33" spans="1:19" ht="15">
      <c r="A33" s="6" t="s">
        <v>38</v>
      </c>
      <c r="B33" s="8"/>
      <c r="C33" s="8"/>
      <c r="D33" s="8"/>
      <c r="E33" s="8">
        <v>97500</v>
      </c>
      <c r="F33" s="8">
        <v>37000</v>
      </c>
      <c r="G33" s="8">
        <v>10000</v>
      </c>
      <c r="H33" s="19">
        <v>213500</v>
      </c>
      <c r="I33" s="19"/>
      <c r="J33" s="19"/>
      <c r="K33" s="19"/>
      <c r="L33" s="19"/>
      <c r="M33" s="19"/>
      <c r="N33" s="19">
        <v>8776.56</v>
      </c>
      <c r="O33" s="19">
        <v>38152.53</v>
      </c>
      <c r="P33" s="19"/>
      <c r="Q33" s="19">
        <v>19500</v>
      </c>
      <c r="R33" s="19">
        <v>26000</v>
      </c>
      <c r="S33" s="7">
        <f t="shared" si="0"/>
        <v>450429.08999999997</v>
      </c>
    </row>
    <row r="34" spans="1:19" ht="15">
      <c r="A34" s="6" t="s">
        <v>39</v>
      </c>
      <c r="B34" s="8"/>
      <c r="C34" s="8"/>
      <c r="D34" s="8"/>
      <c r="E34" s="8">
        <v>102000</v>
      </c>
      <c r="F34" s="8">
        <v>38000</v>
      </c>
      <c r="G34" s="8">
        <v>10000</v>
      </c>
      <c r="H34" s="19">
        <v>220500</v>
      </c>
      <c r="I34" s="19"/>
      <c r="J34" s="19"/>
      <c r="K34" s="19"/>
      <c r="L34" s="19"/>
      <c r="M34" s="19"/>
      <c r="N34" s="19"/>
      <c r="O34" s="19"/>
      <c r="P34" s="19"/>
      <c r="Q34" s="19">
        <v>20000</v>
      </c>
      <c r="R34" s="19">
        <v>27000</v>
      </c>
      <c r="S34" s="7">
        <f t="shared" si="0"/>
        <v>417500</v>
      </c>
    </row>
    <row r="35" spans="1:19" ht="15">
      <c r="A35" s="6" t="s">
        <v>40</v>
      </c>
      <c r="B35" s="8"/>
      <c r="C35" s="8"/>
      <c r="D35" s="8"/>
      <c r="E35" s="8">
        <v>106500</v>
      </c>
      <c r="F35" s="8">
        <v>39000</v>
      </c>
      <c r="G35" s="8">
        <v>10000</v>
      </c>
      <c r="H35" s="19">
        <v>227500</v>
      </c>
      <c r="I35" s="19"/>
      <c r="J35" s="19"/>
      <c r="K35" s="19"/>
      <c r="L35" s="19"/>
      <c r="M35" s="19"/>
      <c r="N35" s="19"/>
      <c r="O35" s="19"/>
      <c r="P35" s="19"/>
      <c r="Q35" s="19">
        <v>20500</v>
      </c>
      <c r="R35" s="19">
        <v>27500</v>
      </c>
      <c r="S35" s="7">
        <f t="shared" si="0"/>
        <v>431000</v>
      </c>
    </row>
    <row r="36" spans="1:19" ht="15">
      <c r="A36" s="6" t="s">
        <v>41</v>
      </c>
      <c r="B36" s="8"/>
      <c r="C36" s="8"/>
      <c r="D36" s="8"/>
      <c r="E36" s="8">
        <v>111000</v>
      </c>
      <c r="F36" s="8">
        <v>41000</v>
      </c>
      <c r="G36" s="8">
        <v>11000</v>
      </c>
      <c r="H36" s="19">
        <v>235000</v>
      </c>
      <c r="I36" s="19"/>
      <c r="J36" s="19"/>
      <c r="K36" s="19"/>
      <c r="L36" s="19"/>
      <c r="M36" s="19"/>
      <c r="N36" s="19"/>
      <c r="O36" s="19"/>
      <c r="P36" s="19"/>
      <c r="Q36" s="19">
        <v>21500</v>
      </c>
      <c r="R36" s="19">
        <v>28500</v>
      </c>
      <c r="S36" s="7">
        <f t="shared" si="0"/>
        <v>448000</v>
      </c>
    </row>
    <row r="37" spans="1:19" ht="15">
      <c r="A37" s="6" t="s">
        <v>42</v>
      </c>
      <c r="B37" s="8"/>
      <c r="C37" s="8"/>
      <c r="D37" s="8"/>
      <c r="E37" s="8">
        <v>116000</v>
      </c>
      <c r="F37" s="8">
        <v>43000</v>
      </c>
      <c r="G37" s="8">
        <v>11000</v>
      </c>
      <c r="H37" s="19">
        <v>242500</v>
      </c>
      <c r="I37" s="19"/>
      <c r="J37" s="19"/>
      <c r="K37" s="19"/>
      <c r="L37" s="19"/>
      <c r="M37" s="19"/>
      <c r="N37" s="19"/>
      <c r="O37" s="19"/>
      <c r="P37" s="19"/>
      <c r="Q37" s="19">
        <v>22000</v>
      </c>
      <c r="R37" s="19">
        <v>29000</v>
      </c>
      <c r="S37" s="7">
        <f t="shared" si="0"/>
        <v>463500</v>
      </c>
    </row>
    <row r="38" spans="1:19" ht="15">
      <c r="A38" s="6" t="s">
        <v>43</v>
      </c>
      <c r="B38" s="8"/>
      <c r="C38" s="8"/>
      <c r="D38" s="8"/>
      <c r="E38" s="8">
        <v>121500</v>
      </c>
      <c r="F38" s="8">
        <v>45000</v>
      </c>
      <c r="G38" s="8">
        <v>12000</v>
      </c>
      <c r="H38" s="19">
        <v>250500</v>
      </c>
      <c r="I38" s="19"/>
      <c r="J38" s="19"/>
      <c r="K38" s="19"/>
      <c r="L38" s="19"/>
      <c r="M38" s="19"/>
      <c r="N38" s="19"/>
      <c r="O38" s="19"/>
      <c r="P38" s="19"/>
      <c r="Q38" s="19">
        <v>23000</v>
      </c>
      <c r="R38" s="19">
        <v>30000</v>
      </c>
      <c r="S38" s="7">
        <f t="shared" si="0"/>
        <v>482000</v>
      </c>
    </row>
    <row r="39" spans="1:19" ht="15">
      <c r="A39" s="6" t="s">
        <v>44</v>
      </c>
      <c r="B39" s="8"/>
      <c r="C39" s="8"/>
      <c r="D39" s="8"/>
      <c r="E39" s="8">
        <v>127000</v>
      </c>
      <c r="F39" s="8">
        <v>47000</v>
      </c>
      <c r="G39" s="8">
        <v>13000</v>
      </c>
      <c r="H39" s="19">
        <v>258500</v>
      </c>
      <c r="I39" s="19"/>
      <c r="J39" s="19"/>
      <c r="K39" s="19"/>
      <c r="L39" s="19"/>
      <c r="M39" s="19"/>
      <c r="N39" s="19"/>
      <c r="O39" s="19"/>
      <c r="P39" s="19"/>
      <c r="Q39" s="19">
        <v>23500</v>
      </c>
      <c r="R39" s="19">
        <v>31000</v>
      </c>
      <c r="S39" s="7">
        <f t="shared" si="0"/>
        <v>500000</v>
      </c>
    </row>
    <row r="40" spans="1:19" ht="15">
      <c r="A40" s="6" t="s">
        <v>45</v>
      </c>
      <c r="B40" s="8"/>
      <c r="C40" s="8"/>
      <c r="D40" s="8"/>
      <c r="E40" s="8">
        <v>133000</v>
      </c>
      <c r="F40" s="8"/>
      <c r="G40" s="8"/>
      <c r="H40" s="19">
        <v>267000</v>
      </c>
      <c r="I40" s="19"/>
      <c r="J40" s="19"/>
      <c r="K40" s="19"/>
      <c r="L40" s="19"/>
      <c r="M40" s="19"/>
      <c r="N40" s="19"/>
      <c r="O40" s="19"/>
      <c r="P40" s="19"/>
      <c r="Q40" s="19">
        <v>24500</v>
      </c>
      <c r="R40" s="19">
        <v>31500</v>
      </c>
      <c r="S40" s="7">
        <f t="shared" si="0"/>
        <v>456000</v>
      </c>
    </row>
    <row r="41" spans="1:19" ht="15">
      <c r="A41" s="17">
        <v>2045</v>
      </c>
      <c r="B41" s="8"/>
      <c r="C41" s="8"/>
      <c r="D41" s="8"/>
      <c r="E41" s="8"/>
      <c r="F41" s="8"/>
      <c r="G41" s="8"/>
      <c r="H41" s="19">
        <v>275500</v>
      </c>
      <c r="I41" s="19"/>
      <c r="J41" s="19"/>
      <c r="K41" s="19"/>
      <c r="L41" s="19"/>
      <c r="M41" s="19"/>
      <c r="N41" s="19"/>
      <c r="O41" s="19"/>
      <c r="P41" s="19"/>
      <c r="Q41" s="19">
        <v>25000</v>
      </c>
      <c r="R41" s="19">
        <v>32500</v>
      </c>
      <c r="S41" s="7">
        <f t="shared" si="0"/>
        <v>333000</v>
      </c>
    </row>
    <row r="42" spans="1:19" ht="15">
      <c r="A42" s="17">
        <v>2046</v>
      </c>
      <c r="B42" s="8"/>
      <c r="C42" s="8"/>
      <c r="D42" s="8"/>
      <c r="E42" s="8"/>
      <c r="F42" s="8"/>
      <c r="G42" s="8"/>
      <c r="H42" s="19">
        <v>284500</v>
      </c>
      <c r="I42" s="19"/>
      <c r="J42" s="19"/>
      <c r="K42" s="19"/>
      <c r="L42" s="19"/>
      <c r="M42" s="19"/>
      <c r="N42" s="19"/>
      <c r="O42" s="19"/>
      <c r="P42" s="19"/>
      <c r="Q42" s="19">
        <v>26000</v>
      </c>
      <c r="R42" s="19">
        <v>33500</v>
      </c>
      <c r="S42" s="7">
        <f t="shared" si="0"/>
        <v>344000</v>
      </c>
    </row>
    <row r="43" spans="1:19" ht="15">
      <c r="A43" s="17">
        <v>2047</v>
      </c>
      <c r="B43" s="8"/>
      <c r="C43" s="8"/>
      <c r="D43" s="8"/>
      <c r="E43" s="8"/>
      <c r="F43" s="8"/>
      <c r="G43" s="8"/>
      <c r="H43" s="19">
        <v>294000</v>
      </c>
      <c r="I43" s="19"/>
      <c r="J43" s="19"/>
      <c r="K43" s="19"/>
      <c r="L43" s="19"/>
      <c r="M43" s="19"/>
      <c r="N43" s="19"/>
      <c r="O43" s="19"/>
      <c r="P43" s="19"/>
      <c r="Q43" s="19">
        <v>27000</v>
      </c>
      <c r="R43" s="19">
        <v>34500</v>
      </c>
      <c r="S43" s="7">
        <f t="shared" si="0"/>
        <v>355500</v>
      </c>
    </row>
    <row r="44" spans="1:19" ht="15">
      <c r="A44" s="17">
        <v>2048</v>
      </c>
      <c r="B44" s="8"/>
      <c r="C44" s="8"/>
      <c r="D44" s="8"/>
      <c r="E44" s="8"/>
      <c r="F44" s="8"/>
      <c r="G44" s="8"/>
      <c r="H44" s="19">
        <v>303500</v>
      </c>
      <c r="I44" s="19"/>
      <c r="J44" s="19"/>
      <c r="K44" s="19"/>
      <c r="L44" s="19"/>
      <c r="M44" s="19"/>
      <c r="N44" s="19"/>
      <c r="O44" s="19"/>
      <c r="P44" s="19"/>
      <c r="Q44" s="19">
        <v>28000</v>
      </c>
      <c r="R44" s="19">
        <v>35500</v>
      </c>
      <c r="S44" s="7">
        <f t="shared" si="0"/>
        <v>367000</v>
      </c>
    </row>
    <row r="45" spans="1:19" ht="15">
      <c r="A45" s="17">
        <v>2049</v>
      </c>
      <c r="B45" s="8"/>
      <c r="C45" s="8"/>
      <c r="D45" s="8"/>
      <c r="E45" s="8"/>
      <c r="F45" s="8"/>
      <c r="G45" s="8"/>
      <c r="H45" s="19">
        <v>313000</v>
      </c>
      <c r="I45" s="19"/>
      <c r="J45" s="19"/>
      <c r="K45" s="19"/>
      <c r="L45" s="19"/>
      <c r="M45" s="19"/>
      <c r="N45" s="19"/>
      <c r="O45" s="19"/>
      <c r="P45" s="19"/>
      <c r="Q45" s="19">
        <v>29000</v>
      </c>
      <c r="R45" s="19">
        <v>36500</v>
      </c>
      <c r="S45" s="7">
        <f t="shared" si="0"/>
        <v>378500</v>
      </c>
    </row>
    <row r="46" spans="1:19" ht="15">
      <c r="A46" s="17">
        <v>2050</v>
      </c>
      <c r="B46" s="8"/>
      <c r="C46" s="8"/>
      <c r="D46" s="8"/>
      <c r="F46" s="8"/>
      <c r="G46" s="8"/>
      <c r="H46" s="19">
        <v>323500</v>
      </c>
      <c r="I46" s="19"/>
      <c r="J46" s="19"/>
      <c r="K46" s="19"/>
      <c r="L46" s="19"/>
      <c r="M46" s="19"/>
      <c r="N46" s="19"/>
      <c r="O46" s="19"/>
      <c r="P46" s="19"/>
      <c r="Q46" s="19">
        <v>30000</v>
      </c>
      <c r="R46" s="19">
        <v>37500</v>
      </c>
      <c r="S46" s="7">
        <f t="shared" si="0"/>
        <v>391000</v>
      </c>
    </row>
    <row r="47" spans="1:19" ht="15">
      <c r="A47" s="17">
        <v>2051</v>
      </c>
      <c r="B47" s="8"/>
      <c r="C47" s="8"/>
      <c r="D47" s="8"/>
      <c r="F47" s="8"/>
      <c r="G47" s="8"/>
      <c r="H47" s="19">
        <v>334000</v>
      </c>
      <c r="I47" s="19"/>
      <c r="J47" s="19"/>
      <c r="K47" s="19"/>
      <c r="L47" s="19"/>
      <c r="M47" s="19"/>
      <c r="N47" s="19"/>
      <c r="O47" s="19"/>
      <c r="P47" s="19"/>
      <c r="Q47" s="19">
        <v>31000</v>
      </c>
      <c r="R47" s="19">
        <v>38500</v>
      </c>
      <c r="S47" s="7">
        <f t="shared" si="0"/>
        <v>403500</v>
      </c>
    </row>
    <row r="48" spans="1:19" ht="15">
      <c r="A48" s="17">
        <v>2052</v>
      </c>
      <c r="B48" s="8"/>
      <c r="C48" s="8"/>
      <c r="D48" s="8"/>
      <c r="F48" s="8"/>
      <c r="G48" s="8"/>
      <c r="H48" s="19">
        <v>340500</v>
      </c>
      <c r="I48" s="19"/>
      <c r="J48" s="19"/>
      <c r="K48" s="19"/>
      <c r="L48" s="19"/>
      <c r="M48" s="19"/>
      <c r="N48" s="19"/>
      <c r="O48" s="19"/>
      <c r="P48" s="19"/>
      <c r="Q48" s="19">
        <v>32000</v>
      </c>
      <c r="R48" s="19">
        <v>39500</v>
      </c>
      <c r="S48" s="7">
        <f t="shared" si="0"/>
        <v>412000</v>
      </c>
    </row>
    <row r="49" spans="1:19" ht="15">
      <c r="A49" s="17">
        <v>2053</v>
      </c>
      <c r="B49" s="8"/>
      <c r="C49" s="8"/>
      <c r="D49" s="8"/>
      <c r="F49" s="8"/>
      <c r="G49" s="8"/>
      <c r="H49" s="19"/>
      <c r="I49" s="19"/>
      <c r="J49" s="19"/>
      <c r="K49" s="19"/>
      <c r="L49" s="19"/>
      <c r="M49" s="19"/>
      <c r="N49" s="19"/>
      <c r="O49" s="19"/>
      <c r="P49" s="19"/>
      <c r="Q49" s="19">
        <v>33000</v>
      </c>
      <c r="R49" s="19">
        <v>40500</v>
      </c>
      <c r="S49" s="7">
        <f t="shared" si="0"/>
        <v>73500</v>
      </c>
    </row>
    <row r="50" spans="1:19" ht="15">
      <c r="A50" s="17">
        <v>2054</v>
      </c>
      <c r="H50" s="19"/>
      <c r="Q50" s="2">
        <v>30000</v>
      </c>
      <c r="R50" s="2">
        <v>42000</v>
      </c>
      <c r="S50" s="7">
        <f t="shared" si="0"/>
        <v>72000</v>
      </c>
    </row>
    <row r="51" spans="1:19" ht="13.5" thickBot="1">
      <c r="A51" s="6"/>
      <c r="B51" s="28">
        <f>SUM(B12:B46)</f>
        <v>938194.09</v>
      </c>
      <c r="C51" s="28">
        <f>SUM(C12:C46)</f>
        <v>0</v>
      </c>
      <c r="D51" s="28">
        <f>SUM(D12:D46)</f>
        <v>1322009</v>
      </c>
      <c r="E51" s="28">
        <f>SUM(E12:E40)</f>
        <v>2180500</v>
      </c>
      <c r="F51" s="28">
        <f>SUM(F12:F46)</f>
        <v>770000</v>
      </c>
      <c r="G51" s="28">
        <f>SUM(G12:G46)</f>
        <v>201000</v>
      </c>
      <c r="H51" s="28">
        <f>SUM(H13:H50)</f>
        <v>7485500</v>
      </c>
      <c r="I51" s="28">
        <f>SUM(I13:I47)</f>
        <v>695000</v>
      </c>
      <c r="J51" s="28">
        <f>SUM(J13:J50)</f>
        <v>298193.11</v>
      </c>
      <c r="K51" s="28">
        <f>SUM(K13:K47)</f>
        <v>333574.59</v>
      </c>
      <c r="L51" s="28">
        <f>SUM(L13:L47)</f>
        <v>2380359.57</v>
      </c>
      <c r="M51" s="28">
        <f>SUM(M13:M47)</f>
        <v>606550.1799999999</v>
      </c>
      <c r="N51" s="28">
        <f>SUM(N13:N47)</f>
        <v>326660</v>
      </c>
      <c r="O51" s="28">
        <f>SUM(O13:O47)</f>
        <v>1420000</v>
      </c>
      <c r="P51" s="28"/>
      <c r="Q51" s="28">
        <f>SUM(Q13:Q50)</f>
        <v>744000</v>
      </c>
      <c r="R51" s="28">
        <f>SUM(R13:R50)</f>
        <v>1000000</v>
      </c>
      <c r="S51" s="9">
        <f>SUM(S12:S50)</f>
        <v>23942247.54</v>
      </c>
    </row>
    <row r="52" spans="1:19" ht="13.5" thickTop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>
      <c r="A54" s="3" t="s">
        <v>47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7"/>
      <c r="R55" s="67"/>
      <c r="S55" s="7"/>
    </row>
    <row r="56" spans="1:19" s="15" customFormat="1" ht="12.75">
      <c r="A56" s="13" t="s">
        <v>3</v>
      </c>
      <c r="B56" s="14" t="s">
        <v>5</v>
      </c>
      <c r="C56" s="14" t="s">
        <v>56</v>
      </c>
      <c r="D56" s="14" t="s">
        <v>8</v>
      </c>
      <c r="E56" s="14">
        <v>2005</v>
      </c>
      <c r="F56" s="14" t="s">
        <v>9</v>
      </c>
      <c r="G56" s="14" t="s">
        <v>10</v>
      </c>
      <c r="H56" s="14">
        <v>2011</v>
      </c>
      <c r="I56" s="14" t="s">
        <v>67</v>
      </c>
      <c r="J56" s="14" t="s">
        <v>71</v>
      </c>
      <c r="K56" s="14" t="s">
        <v>73</v>
      </c>
      <c r="L56" s="14" t="s">
        <v>85</v>
      </c>
      <c r="M56" s="14" t="s">
        <v>86</v>
      </c>
      <c r="N56" s="14" t="s">
        <v>89</v>
      </c>
      <c r="O56" s="14" t="s">
        <v>90</v>
      </c>
      <c r="P56" s="14" t="s">
        <v>78</v>
      </c>
      <c r="Q56" s="14" t="s">
        <v>76</v>
      </c>
      <c r="R56" s="14" t="s">
        <v>77</v>
      </c>
      <c r="S56" s="14" t="s">
        <v>11</v>
      </c>
    </row>
    <row r="57" spans="1:19" ht="15">
      <c r="A57" s="6"/>
      <c r="B57" s="7"/>
      <c r="C57" s="7"/>
      <c r="D57" s="7"/>
      <c r="E57" s="7"/>
      <c r="F57" s="7"/>
      <c r="G57" s="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7"/>
    </row>
    <row r="58" spans="1:19" ht="15">
      <c r="A58" s="6" t="s">
        <v>18</v>
      </c>
      <c r="B58" s="7">
        <f>10429.4+10081.24+9729.21+9373.26</f>
        <v>39613.11</v>
      </c>
      <c r="C58" s="7"/>
      <c r="D58" s="7">
        <v>15354</v>
      </c>
      <c r="E58" s="8">
        <v>89110</v>
      </c>
      <c r="F58" s="7">
        <v>34312</v>
      </c>
      <c r="G58" s="7">
        <v>8955</v>
      </c>
      <c r="H58" s="29">
        <f>102925.63+101378.75</f>
        <v>204304.38</v>
      </c>
      <c r="I58" s="29">
        <f>8030+8030</f>
        <v>16060</v>
      </c>
      <c r="J58" s="29">
        <f>1490.97+372.74+1451.88+362.97</f>
        <v>3678.5600000000004</v>
      </c>
      <c r="K58" s="29">
        <f>1667.87+333.57+1624.15+324.83</f>
        <v>3950.42</v>
      </c>
      <c r="L58" s="29">
        <f>20828.15+2975.45+20377.73+2911.1</f>
        <v>47092.43</v>
      </c>
      <c r="M58" s="2">
        <f>2951.9+588.98+2874.35+574.87</f>
        <v>6990.099999999999</v>
      </c>
      <c r="N58" s="29">
        <f>1272.48+408.33</f>
        <v>1680.81</v>
      </c>
      <c r="O58" s="29">
        <f>4937.94+1420</f>
        <v>6357.94</v>
      </c>
      <c r="P58" s="29"/>
      <c r="Q58" s="29">
        <f>12090+11927.5</f>
        <v>24017.5</v>
      </c>
      <c r="R58" s="29">
        <f>13750+13543.75</f>
        <v>27293.75</v>
      </c>
      <c r="S58" s="7">
        <f aca="true" t="shared" si="1" ref="S58:S95">SUM(B58:R58)</f>
        <v>528770</v>
      </c>
    </row>
    <row r="59" spans="1:19" ht="15">
      <c r="A59" s="6" t="s">
        <v>19</v>
      </c>
      <c r="B59" s="7">
        <f>9013.36+8649.46+8281.51+7909.47</f>
        <v>33853.8</v>
      </c>
      <c r="C59" s="7"/>
      <c r="D59" s="7">
        <v>13301</v>
      </c>
      <c r="E59" s="8">
        <v>87409</v>
      </c>
      <c r="F59" s="7">
        <v>33615</v>
      </c>
      <c r="G59" s="7">
        <v>8775</v>
      </c>
      <c r="H59" s="29">
        <f>101378.75+99783.75</f>
        <v>201162.5</v>
      </c>
      <c r="I59" s="29">
        <f>6132.5+6132.5</f>
        <v>12265</v>
      </c>
      <c r="J59" s="29">
        <f>1412.6+353.15+1373.12+343.28</f>
        <v>3482.1499999999996</v>
      </c>
      <c r="K59" s="29">
        <f>1580.2+316.04+1536.04+307.21</f>
        <v>3739.49</v>
      </c>
      <c r="L59" s="29">
        <f>19923.37+2846.2+19465.04+2780.72</f>
        <v>45015.33</v>
      </c>
      <c r="M59" s="29">
        <f>2803.45+560.69+2732.18+546.43</f>
        <v>6642.75</v>
      </c>
      <c r="N59" s="29">
        <f>1196.53+1167.98+398.84+389.33</f>
        <v>3152.6800000000003</v>
      </c>
      <c r="O59" s="29">
        <f>5201.36+1387.03+5077.26+1353.94</f>
        <v>13019.59</v>
      </c>
      <c r="P59" s="29"/>
      <c r="Q59" s="29">
        <f>11927.5+11756.88</f>
        <v>23684.379999999997</v>
      </c>
      <c r="R59" s="29">
        <f>13543.75+13330.63</f>
        <v>26874.379999999997</v>
      </c>
      <c r="S59" s="7">
        <f t="shared" si="1"/>
        <v>515992.05000000005</v>
      </c>
    </row>
    <row r="60" spans="1:19" ht="15">
      <c r="A60" s="6" t="s">
        <v>20</v>
      </c>
      <c r="B60" s="8">
        <f>7533.3+7152.95+6768.36+6379.51</f>
        <v>27834.120000000003</v>
      </c>
      <c r="C60" s="8"/>
      <c r="D60" s="8">
        <v>11228</v>
      </c>
      <c r="E60" s="8">
        <v>85635</v>
      </c>
      <c r="F60" s="8">
        <v>32872</v>
      </c>
      <c r="G60" s="8">
        <v>8595</v>
      </c>
      <c r="H60" s="29">
        <f>99783.75+98133.75</f>
        <v>197917.5</v>
      </c>
      <c r="I60" s="29">
        <f>4177.5+4177.5</f>
        <v>8355</v>
      </c>
      <c r="J60" s="29">
        <f>1333.44+333.36+1293.57+323.39</f>
        <v>3283.7599999999998</v>
      </c>
      <c r="K60" s="29">
        <f>1491.66+298.33+1447.05+289.41</f>
        <v>3526.45</v>
      </c>
      <c r="L60" s="29">
        <f>19002.7+2714.67+18536.31+2648.04</f>
        <v>42901.72000000001</v>
      </c>
      <c r="M60" s="29">
        <f>2660.55+532.11+2588.57+517.71</f>
        <v>6298.9400000000005</v>
      </c>
      <c r="N60" s="29">
        <f>1139.33+1110.56+379.78+370.19</f>
        <v>2999.86</v>
      </c>
      <c r="O60" s="29">
        <f>4952.69+1320.72+4827.65+1287.37</f>
        <v>12388.43</v>
      </c>
      <c r="P60" s="29"/>
      <c r="Q60" s="29">
        <f>11756.88+11586.25</f>
        <v>23343.129999999997</v>
      </c>
      <c r="R60" s="29">
        <f>13330.63+13110.63</f>
        <v>26441.26</v>
      </c>
      <c r="S60" s="7">
        <f t="shared" si="1"/>
        <v>493620.17000000004</v>
      </c>
    </row>
    <row r="61" spans="1:19" ht="15">
      <c r="A61" s="6" t="s">
        <v>21</v>
      </c>
      <c r="B61" s="8">
        <f>5986.33+5588.77+5186.8+4780.36</f>
        <v>21542.260000000002</v>
      </c>
      <c r="C61" s="8"/>
      <c r="D61" s="8">
        <v>9136</v>
      </c>
      <c r="E61" s="8">
        <v>83779</v>
      </c>
      <c r="F61" s="8">
        <v>32108</v>
      </c>
      <c r="G61" s="8">
        <v>8392</v>
      </c>
      <c r="H61" s="29">
        <f>98133.75+96428.75</f>
        <v>194562.5</v>
      </c>
      <c r="I61" s="29">
        <f>2222.5+2222.5</f>
        <v>4445</v>
      </c>
      <c r="J61" s="29">
        <f>1253.5+313.37+1213.22+303.31</f>
        <v>3083.4</v>
      </c>
      <c r="K61" s="29">
        <f>1402.23+280.45+1357.17+271.43</f>
        <v>3311.28</v>
      </c>
      <c r="L61" s="29">
        <f>18065.84+2580.83+17591.26+2513.04</f>
        <v>40750.969999999994</v>
      </c>
      <c r="M61" s="29">
        <f>2516.23+503.24+2443.51+488.7</f>
        <v>5951.68</v>
      </c>
      <c r="N61" s="29">
        <f>1081.69+360.56+1052.71+350.9</f>
        <v>2845.86</v>
      </c>
      <c r="O61" s="29">
        <f>4702.15+1253.91+4576.18+1220.31</f>
        <v>11752.55</v>
      </c>
      <c r="P61" s="29"/>
      <c r="Q61" s="29">
        <f>11586.25+11407.5</f>
        <v>22993.75</v>
      </c>
      <c r="R61" s="29">
        <f>13110.63+12883.75</f>
        <v>25994.379999999997</v>
      </c>
      <c r="S61" s="7">
        <f t="shared" si="1"/>
        <v>470648.63</v>
      </c>
    </row>
    <row r="62" spans="1:19" ht="15">
      <c r="A62" s="6" t="s">
        <v>22</v>
      </c>
      <c r="B62" s="8">
        <f>4369.41+3953.88+3533.74+3108.92</f>
        <v>14965.95</v>
      </c>
      <c r="C62" s="8"/>
      <c r="D62" s="8">
        <v>7020</v>
      </c>
      <c r="E62" s="8">
        <v>81840</v>
      </c>
      <c r="F62" s="8">
        <v>31320</v>
      </c>
      <c r="G62" s="8">
        <v>8167</v>
      </c>
      <c r="H62" s="29">
        <f>96428.75+94668.75</f>
        <v>191097.5</v>
      </c>
      <c r="I62" s="29">
        <f>210+210</f>
        <v>420</v>
      </c>
      <c r="J62" s="29">
        <f>1172.75+293.19+1132.07+283.02</f>
        <v>2881.03</v>
      </c>
      <c r="K62" s="29">
        <f>1311.9+262.38+1266.39+253.28</f>
        <v>3093.9500000000003</v>
      </c>
      <c r="L62" s="29">
        <f>17112.52+2444.65+16629.59+2375.66</f>
        <v>38562.42</v>
      </c>
      <c r="M62" s="29">
        <f>2370.45+474.09+2297.01+459.4</f>
        <v>5600.95</v>
      </c>
      <c r="N62" s="29">
        <f>1023.63+341.21+994.43+331.48</f>
        <v>2690.75</v>
      </c>
      <c r="O62" s="29">
        <f>4449.73+1186.59+4322.81+1152.75</f>
        <v>11111.880000000001</v>
      </c>
      <c r="P62" s="29"/>
      <c r="Q62" s="29">
        <f>11407.5+11220.63</f>
        <v>22628.129999999997</v>
      </c>
      <c r="R62" s="29">
        <f>12883.75+12650</f>
        <v>25533.75</v>
      </c>
      <c r="S62" s="7">
        <f t="shared" si="1"/>
        <v>446933.31000000006</v>
      </c>
    </row>
    <row r="63" spans="1:19" ht="15">
      <c r="A63" s="6" t="s">
        <v>23</v>
      </c>
      <c r="B63" s="8">
        <f>2679.38+2245.07+1805.93+1361.9</f>
        <v>8092.280000000001</v>
      </c>
      <c r="C63" s="8"/>
      <c r="D63" s="8">
        <v>4884</v>
      </c>
      <c r="E63" s="8">
        <v>79808</v>
      </c>
      <c r="F63" s="8">
        <v>30488</v>
      </c>
      <c r="G63" s="8">
        <v>7943</v>
      </c>
      <c r="H63" s="29">
        <f>94668.75+92853.75</f>
        <v>187522.5</v>
      </c>
      <c r="I63" s="29"/>
      <c r="J63" s="29">
        <f>1091.19+272.8+1050.1+262.53</f>
        <v>2676.62</v>
      </c>
      <c r="K63" s="29">
        <f>1220.66+244.13+1174.7+234.94</f>
        <v>2874.43</v>
      </c>
      <c r="L63" s="29">
        <f>16142.44+2306.06+15651.03+2235.86</f>
        <v>36335.39</v>
      </c>
      <c r="M63" s="29">
        <f>2223.21+444.64+2149.05+429.81</f>
        <v>5246.71</v>
      </c>
      <c r="N63" s="29">
        <f>965.12+321.71+935.7+311.9</f>
        <v>2534.43</v>
      </c>
      <c r="O63" s="29">
        <f>4195.41+1118.78+4067.53+1084.68</f>
        <v>10466.4</v>
      </c>
      <c r="P63" s="29"/>
      <c r="Q63" s="29">
        <f>11220.63+11033.75</f>
        <v>22254.379999999997</v>
      </c>
      <c r="R63" s="29">
        <f>12650+12409.38</f>
        <v>25059.379999999997</v>
      </c>
      <c r="S63" s="7">
        <f t="shared" si="1"/>
        <v>426185.5200000001</v>
      </c>
    </row>
    <row r="64" spans="1:19" ht="15">
      <c r="A64" s="6" t="s">
        <v>24</v>
      </c>
      <c r="B64" s="8">
        <f>912.95+458.94</f>
        <v>1371.89</v>
      </c>
      <c r="C64" s="8"/>
      <c r="D64" s="8">
        <v>2726</v>
      </c>
      <c r="E64" s="8">
        <v>77684</v>
      </c>
      <c r="F64" s="8">
        <v>29610</v>
      </c>
      <c r="G64" s="8">
        <v>7718</v>
      </c>
      <c r="H64" s="29">
        <f>92853.75+90976.88</f>
        <v>183830.63</v>
      </c>
      <c r="I64" s="29"/>
      <c r="J64" s="29">
        <f>1008.81+252.2+967.32+241.83</f>
        <v>2470.16</v>
      </c>
      <c r="K64" s="29">
        <f>1128.51+225.7+1082.09+216.42</f>
        <v>2652.7200000000003</v>
      </c>
      <c r="L64" s="29">
        <f>15155.31+2165.04+14655.26+2093.61</f>
        <v>34069.22</v>
      </c>
      <c r="M64" s="29">
        <f>2074.5+414.9+1999.59+399.92</f>
        <v>4888.91</v>
      </c>
      <c r="N64" s="29">
        <f>906.18+302.06+876.54+292.18</f>
        <v>2376.9599999999996</v>
      </c>
      <c r="O64" s="29">
        <f>3939.18+1050.45+3810.34+1016.09</f>
        <v>9816.060000000001</v>
      </c>
      <c r="P64" s="29"/>
      <c r="Q64" s="29">
        <f>11033.75+10838.75</f>
        <v>21872.5</v>
      </c>
      <c r="R64" s="29">
        <f>12409.38+12161.88</f>
        <v>24571.26</v>
      </c>
      <c r="S64" s="7">
        <f t="shared" si="1"/>
        <v>405658.31</v>
      </c>
    </row>
    <row r="65" spans="1:19" ht="15">
      <c r="A65" s="6" t="s">
        <v>25</v>
      </c>
      <c r="B65" s="8"/>
      <c r="C65" s="8"/>
      <c r="D65" s="8">
        <v>547</v>
      </c>
      <c r="E65" s="8">
        <v>75467</v>
      </c>
      <c r="F65" s="8">
        <v>28687</v>
      </c>
      <c r="G65" s="8">
        <v>7493</v>
      </c>
      <c r="H65" s="29">
        <f>90976.88+89038.13</f>
        <v>180015.01</v>
      </c>
      <c r="I65" s="29"/>
      <c r="J65" s="29">
        <f>925.61+231.4+883.7+220.92</f>
        <v>2261.63</v>
      </c>
      <c r="K65" s="29">
        <f>1035.44+207.09+988.55+197.71</f>
        <v>2428.79</v>
      </c>
      <c r="L65" s="29">
        <f>14150.83+2021.55+13641.99+1948.86</f>
        <v>31763.23</v>
      </c>
      <c r="M65" s="29">
        <f>1924.3+384.86+1848.64+369.72</f>
        <v>4527.52</v>
      </c>
      <c r="N65" s="29">
        <f>846.79+282.26+816.93+272.31</f>
        <v>2218.29</v>
      </c>
      <c r="O65" s="29">
        <f>3681.03+981.61+3551.22+946.99</f>
        <v>9160.85</v>
      </c>
      <c r="P65" s="29"/>
      <c r="Q65" s="29">
        <f>10838.75+10635.63</f>
        <v>21474.379999999997</v>
      </c>
      <c r="R65" s="29">
        <f>12161.88+11907.5</f>
        <v>24069.379999999997</v>
      </c>
      <c r="S65" s="7">
        <f t="shared" si="1"/>
        <v>390113.07999999996</v>
      </c>
    </row>
    <row r="66" spans="1:19" ht="15">
      <c r="A66" s="6" t="s">
        <v>26</v>
      </c>
      <c r="B66" s="8"/>
      <c r="C66" s="8"/>
      <c r="D66" s="8"/>
      <c r="E66" s="8">
        <v>73147</v>
      </c>
      <c r="F66" s="8">
        <v>27720</v>
      </c>
      <c r="G66" s="8">
        <v>7245</v>
      </c>
      <c r="H66" s="29">
        <f>89038.13+87037.5</f>
        <v>176075.63</v>
      </c>
      <c r="I66" s="29"/>
      <c r="J66" s="29">
        <f>841.57+210.39+799.24+199.81</f>
        <v>2051.01</v>
      </c>
      <c r="K66" s="29">
        <f>941.43+188.29+894.07+178.81</f>
        <v>2202.6</v>
      </c>
      <c r="L66" s="29">
        <f>13128.69+1875.53+12610.91+1801.56</f>
        <v>29416.690000000002</v>
      </c>
      <c r="M66" s="29">
        <f>1772.59+354.52+1696.17+339.23</f>
        <v>4162.51</v>
      </c>
      <c r="N66" s="29">
        <f>786.96+262.32+756.87+252.29</f>
        <v>2058.44</v>
      </c>
      <c r="O66" s="29">
        <f>3420.93+912.25+3290.15+877.37</f>
        <v>8500.7</v>
      </c>
      <c r="P66" s="29"/>
      <c r="Q66" s="29">
        <f>10635.63+10424.38</f>
        <v>21060.01</v>
      </c>
      <c r="R66" s="29">
        <f>11907.5+11646.25</f>
        <v>23553.75</v>
      </c>
      <c r="S66" s="7">
        <f t="shared" si="1"/>
        <v>377193.34</v>
      </c>
    </row>
    <row r="67" spans="1:19" ht="15">
      <c r="A67" s="6" t="s">
        <v>27</v>
      </c>
      <c r="B67" s="8"/>
      <c r="C67" s="8"/>
      <c r="D67" s="8"/>
      <c r="E67" s="8">
        <v>70723</v>
      </c>
      <c r="F67" s="8">
        <v>26708</v>
      </c>
      <c r="G67" s="8">
        <v>6975</v>
      </c>
      <c r="H67" s="29">
        <f>87037.5+84975</f>
        <v>172012.5</v>
      </c>
      <c r="I67" s="29"/>
      <c r="J67" s="29">
        <f>756.7+189.17+713.94+178.48</f>
        <v>1838.29</v>
      </c>
      <c r="K67" s="29">
        <f>846.48+169.3+798.65+159.73</f>
        <v>1974.1599999999999</v>
      </c>
      <c r="L67" s="29">
        <f>12088.59+1726.94+11561.71+1651.67</f>
        <v>27028.909999999996</v>
      </c>
      <c r="M67" s="29">
        <f>1619.36+323.87+1542.18+308.43</f>
        <v>3793.8399999999997</v>
      </c>
      <c r="N67" s="29">
        <f>726.68+245.23+696.37+232.12</f>
        <v>1900.4</v>
      </c>
      <c r="O67" s="29">
        <f>3158.88+842.37+3027.12+807.23</f>
        <v>7835.6</v>
      </c>
      <c r="P67" s="29"/>
      <c r="Q67" s="29">
        <f>10424.38+10205</f>
        <v>20629.379999999997</v>
      </c>
      <c r="R67" s="29">
        <f>11646.25+11378.13</f>
        <v>23024.379999999997</v>
      </c>
      <c r="S67" s="7">
        <f t="shared" si="1"/>
        <v>364443.45999999996</v>
      </c>
    </row>
    <row r="68" spans="1:19" ht="15">
      <c r="A68" s="6" t="s">
        <v>28</v>
      </c>
      <c r="B68" s="8"/>
      <c r="C68" s="8"/>
      <c r="D68" s="8"/>
      <c r="E68" s="8">
        <v>68197</v>
      </c>
      <c r="F68" s="8">
        <v>25650</v>
      </c>
      <c r="G68" s="8">
        <v>6705</v>
      </c>
      <c r="H68" s="29">
        <f>84975+82843.75</f>
        <v>167818.75</v>
      </c>
      <c r="I68" s="29"/>
      <c r="J68" s="29">
        <f>670.97+167.74+627.78+156.95</f>
        <v>1623.44</v>
      </c>
      <c r="K68" s="29">
        <f>750.58+150.12+702.27+140.45</f>
        <v>1743.42</v>
      </c>
      <c r="L68" s="29">
        <f>11030.21+1575.74+10494.06+1499.15</f>
        <v>24599.16</v>
      </c>
      <c r="M68" s="29">
        <f>1464.6+292.92+1386.63+277.33</f>
        <v>3421.48</v>
      </c>
      <c r="N68" s="29">
        <f>665.94+221.98+635.4+211.8</f>
        <v>1735.1200000000001</v>
      </c>
      <c r="O68" s="29">
        <f>2894.86+771.96+2762.11+736.56</f>
        <v>7165.49</v>
      </c>
      <c r="P68" s="29"/>
      <c r="Q68" s="29">
        <f>10205+9977.5</f>
        <v>20182.5</v>
      </c>
      <c r="R68" s="29">
        <f>11378.13+11103.13</f>
        <v>22481.26</v>
      </c>
      <c r="S68" s="7">
        <f t="shared" si="1"/>
        <v>351322.61999999994</v>
      </c>
    </row>
    <row r="69" spans="1:19" ht="15">
      <c r="A69" s="6" t="s">
        <v>29</v>
      </c>
      <c r="B69" s="8"/>
      <c r="C69" s="8"/>
      <c r="D69" s="8"/>
      <c r="E69" s="8">
        <v>65557</v>
      </c>
      <c r="F69" s="8">
        <v>24548</v>
      </c>
      <c r="G69" s="8">
        <v>6435</v>
      </c>
      <c r="H69" s="29">
        <f>82843.75+80643.75</f>
        <v>163487.5</v>
      </c>
      <c r="I69" s="29"/>
      <c r="J69" s="29">
        <f>584.38+146.09+540.76+135.19</f>
        <v>1406.42</v>
      </c>
      <c r="K69" s="29">
        <f>653.72+130.74+604.92+120.98</f>
        <v>1510.3600000000001</v>
      </c>
      <c r="L69" s="29">
        <f>9953.22+1421.89+9407.65+1343.95</f>
        <v>22126.71</v>
      </c>
      <c r="M69" s="29">
        <f>1308.28+261.66+1229.54+245.91</f>
        <v>3045.39</v>
      </c>
      <c r="N69" s="29">
        <f>604.75+201.58+573.98+191.33</f>
        <v>1571.6399999999999</v>
      </c>
      <c r="O69" s="29">
        <f>2628.86+701.03+2495.11+665.36</f>
        <v>6490.36</v>
      </c>
      <c r="P69" s="29"/>
      <c r="Q69" s="29">
        <f>9977.5+9741.88</f>
        <v>19719.379999999997</v>
      </c>
      <c r="R69" s="29">
        <f>11103.13+10821.25</f>
        <v>21924.379999999997</v>
      </c>
      <c r="S69" s="7">
        <f t="shared" si="1"/>
        <v>337822.1400000001</v>
      </c>
    </row>
    <row r="70" spans="1:19" ht="15">
      <c r="A70" s="6" t="s">
        <v>30</v>
      </c>
      <c r="B70" s="8"/>
      <c r="C70" s="8"/>
      <c r="D70" s="8"/>
      <c r="E70" s="8">
        <v>62793</v>
      </c>
      <c r="F70" s="8">
        <v>23400</v>
      </c>
      <c r="G70" s="8">
        <v>6143</v>
      </c>
      <c r="H70" s="29">
        <f>80643.75+78375</f>
        <v>159018.75</v>
      </c>
      <c r="I70" s="29"/>
      <c r="J70" s="29">
        <f>496.952+124.23+452.86+113.22</f>
        <v>1187.262</v>
      </c>
      <c r="K70" s="29">
        <f>555.88+111.18+506.6+101.32</f>
        <v>1274.9799999999998</v>
      </c>
      <c r="L70" s="29">
        <f>8857.31+1265.33+8302.15+1186.02</f>
        <v>19610.81</v>
      </c>
      <c r="M70" s="29">
        <f>1150.4+230.08+1070.86+214.17</f>
        <v>2665.51</v>
      </c>
      <c r="N70" s="29">
        <f>543.1+181.03+512.1+170.7</f>
        <v>1406.93</v>
      </c>
      <c r="O70" s="29">
        <f>2360.86+629.56+2226.11+593.63</f>
        <v>5810.160000000001</v>
      </c>
      <c r="P70" s="29"/>
      <c r="Q70" s="29">
        <f>9741.88+9498.13</f>
        <v>19240.01</v>
      </c>
      <c r="R70" s="29">
        <f>10821.25+10532.5</f>
        <v>21353.75</v>
      </c>
      <c r="S70" s="7">
        <f t="shared" si="1"/>
        <v>323904.162</v>
      </c>
    </row>
    <row r="71" spans="1:19" ht="15">
      <c r="A71" s="6" t="s">
        <v>31</v>
      </c>
      <c r="B71" s="8"/>
      <c r="C71" s="8"/>
      <c r="D71" s="8"/>
      <c r="E71" s="8">
        <v>59905</v>
      </c>
      <c r="F71" s="8">
        <v>22208</v>
      </c>
      <c r="G71" s="8">
        <v>5827</v>
      </c>
      <c r="H71" s="29">
        <f>79375+76030.63</f>
        <v>155405.63</v>
      </c>
      <c r="I71" s="29"/>
      <c r="J71" s="29">
        <f>408.59+102.15+364.09+91.02</f>
        <v>965.8499999999999</v>
      </c>
      <c r="K71" s="29">
        <f>457.07+91.41+407.29+81.46</f>
        <v>1037.23</v>
      </c>
      <c r="L71" s="29">
        <f>7742.13+1106.02+7177.21+1025.32</f>
        <v>17050.68</v>
      </c>
      <c r="M71" s="29">
        <f>990.94+198.19+910.6+182.12</f>
        <v>2281.85</v>
      </c>
      <c r="N71" s="29">
        <f>480.98+160.33+449.75+149.92</f>
        <v>1240.98</v>
      </c>
      <c r="O71" s="29">
        <f>2090.85+557.56+1955.08+521.35</f>
        <v>5124.84</v>
      </c>
      <c r="P71" s="29"/>
      <c r="Q71" s="29">
        <f>9498.13+9246.25</f>
        <v>18744.379999999997</v>
      </c>
      <c r="R71" s="29">
        <f>10532.5+10236.88</f>
        <v>20769.379999999997</v>
      </c>
      <c r="S71" s="7">
        <f t="shared" si="1"/>
        <v>310560.82</v>
      </c>
    </row>
    <row r="72" spans="1:19" ht="15">
      <c r="A72" s="6" t="s">
        <v>32</v>
      </c>
      <c r="B72" s="8"/>
      <c r="C72" s="8"/>
      <c r="D72" s="8"/>
      <c r="E72" s="8">
        <v>56884</v>
      </c>
      <c r="F72" s="8">
        <v>20970</v>
      </c>
      <c r="G72" s="8">
        <v>5513</v>
      </c>
      <c r="H72" s="29">
        <f>76030.63+73610.63</f>
        <v>149641.26</v>
      </c>
      <c r="I72" s="29"/>
      <c r="J72" s="29">
        <f>319.37+79.384+274.42+68.61</f>
        <v>741.784</v>
      </c>
      <c r="K72" s="29">
        <f>357.26+71.45+306.99+61.4</f>
        <v>797.1</v>
      </c>
      <c r="L72" s="29">
        <f>6607.35+943.91+6032.51+861.79</f>
        <v>14445.560000000001</v>
      </c>
      <c r="M72" s="29">
        <f>829.87+165.97+748.73+149.74</f>
        <v>1894.3100000000002</v>
      </c>
      <c r="N72" s="29">
        <f>418.4+139.47+386.93+128.98</f>
        <v>1073.78</v>
      </c>
      <c r="O72" s="29">
        <f>1818.8+485.01+1682.01+448.54</f>
        <v>4434.36</v>
      </c>
      <c r="P72" s="29"/>
      <c r="Q72" s="29">
        <f>9246.25+8986.25</f>
        <v>18232.5</v>
      </c>
      <c r="R72" s="29">
        <f>10236.88+9927.5</f>
        <v>20164.379999999997</v>
      </c>
      <c r="S72" s="7">
        <f t="shared" si="1"/>
        <v>294792.034</v>
      </c>
    </row>
    <row r="73" spans="1:19" ht="15">
      <c r="A73" s="6" t="s">
        <v>33</v>
      </c>
      <c r="B73" s="8"/>
      <c r="C73" s="8"/>
      <c r="D73" s="8"/>
      <c r="E73" s="8">
        <v>53728</v>
      </c>
      <c r="F73" s="8">
        <v>19665</v>
      </c>
      <c r="G73" s="8">
        <v>5175</v>
      </c>
      <c r="H73" s="29">
        <f>73610.63+71108.13</f>
        <v>144718.76</v>
      </c>
      <c r="I73" s="29"/>
      <c r="J73" s="29">
        <f>229.26+57.31+183.86+45.97</f>
        <v>516.4</v>
      </c>
      <c r="K73" s="29">
        <f>256.46+51.29+205.68+41.14</f>
        <v>554.57</v>
      </c>
      <c r="L73" s="29">
        <f>5452.63+778.95+4867.68+695.38</f>
        <v>11794.64</v>
      </c>
      <c r="M73" s="29">
        <f>667.19+133.44+585.25+117.05</f>
        <v>1502.93</v>
      </c>
      <c r="N73" s="29">
        <f>355.35+118.45+323.65+107.88</f>
        <v>905.33</v>
      </c>
      <c r="O73" s="29">
        <f>1544.71+411.92+1406.9+375.17</f>
        <v>3738.7000000000003</v>
      </c>
      <c r="P73" s="29"/>
      <c r="Q73" s="29">
        <f>8986.25+8718.13</f>
        <v>17704.379999999997</v>
      </c>
      <c r="R73" s="29">
        <f>9927.5+9611.25</f>
        <v>19538.75</v>
      </c>
      <c r="S73" s="7">
        <f t="shared" si="1"/>
        <v>279542.45999999996</v>
      </c>
    </row>
    <row r="74" spans="1:19" ht="15">
      <c r="A74" s="6" t="s">
        <v>34</v>
      </c>
      <c r="B74" s="8"/>
      <c r="C74" s="8"/>
      <c r="D74" s="8"/>
      <c r="E74" s="8">
        <v>50438</v>
      </c>
      <c r="F74" s="8">
        <v>18293</v>
      </c>
      <c r="G74" s="8">
        <v>4815</v>
      </c>
      <c r="H74" s="29">
        <f>71108.13+68530</f>
        <v>139638.13</v>
      </c>
      <c r="I74" s="29"/>
      <c r="J74" s="29">
        <f>138.24+34.56+92.39+23.1</f>
        <v>288.29</v>
      </c>
      <c r="K74" s="29">
        <f>154.64+30.93+103.35+20.67</f>
        <v>309.59</v>
      </c>
      <c r="L74" s="29">
        <f>4277.61+611.09+3682.38+526.05</f>
        <v>9097.13</v>
      </c>
      <c r="M74" s="29">
        <f>502.88+100.58+420.11+84.02</f>
        <v>1107.5900000000001</v>
      </c>
      <c r="N74" s="29">
        <f>291.82+97.27+259.88+86.63</f>
        <v>735.6</v>
      </c>
      <c r="O74" s="29">
        <f>1268.57+338.28+1129.72+301.26</f>
        <v>3037.83</v>
      </c>
      <c r="P74" s="29"/>
      <c r="Q74" s="29">
        <f>8718.13+8441.88</f>
        <v>17160.01</v>
      </c>
      <c r="R74" s="29">
        <f>9611.25+9288.13</f>
        <v>18899.379999999997</v>
      </c>
      <c r="S74" s="7">
        <f t="shared" si="1"/>
        <v>263819.55</v>
      </c>
    </row>
    <row r="75" spans="1:19" ht="15">
      <c r="A75" s="6" t="s">
        <v>35</v>
      </c>
      <c r="B75" s="8"/>
      <c r="C75" s="8"/>
      <c r="D75" s="8"/>
      <c r="E75" s="8">
        <v>46994</v>
      </c>
      <c r="F75" s="8">
        <v>16875</v>
      </c>
      <c r="G75" s="8">
        <v>4455</v>
      </c>
      <c r="H75" s="29">
        <f>68530+65862.5</f>
        <v>134392.5</v>
      </c>
      <c r="I75" s="29"/>
      <c r="J75" s="29">
        <f>46.45+11.58</f>
        <v>58.03</v>
      </c>
      <c r="K75" s="29">
        <f>51.61+10.36</f>
        <v>61.97</v>
      </c>
      <c r="L75" s="29">
        <f>3081.94+440.28+2476.24+353.75</f>
        <v>6352.21</v>
      </c>
      <c r="M75" s="29">
        <f>336.92+67.38+253.33+50.67</f>
        <v>708.3</v>
      </c>
      <c r="N75" s="29">
        <f>227.82+75.94+195.64+65.21</f>
        <v>564.61</v>
      </c>
      <c r="O75" s="29">
        <f>990.34+264.09+850.45+226.79</f>
        <v>2331.67</v>
      </c>
      <c r="P75" s="29"/>
      <c r="Q75" s="29">
        <f>8441.88+8157.5</f>
        <v>16599.379999999997</v>
      </c>
      <c r="R75" s="29">
        <f>9288.13+8958.13</f>
        <v>18246.26</v>
      </c>
      <c r="S75" s="7">
        <f t="shared" si="1"/>
        <v>247638.93</v>
      </c>
    </row>
    <row r="76" spans="1:19" ht="15">
      <c r="A76" s="6" t="s">
        <v>36</v>
      </c>
      <c r="B76" s="8"/>
      <c r="C76" s="8"/>
      <c r="D76" s="8"/>
      <c r="E76" s="8">
        <v>43395</v>
      </c>
      <c r="F76" s="8">
        <v>15390</v>
      </c>
      <c r="G76" s="8">
        <v>4073</v>
      </c>
      <c r="H76" s="29">
        <f>65862.5+63112.5</f>
        <v>128975</v>
      </c>
      <c r="I76" s="29"/>
      <c r="J76" s="29"/>
      <c r="K76" s="29"/>
      <c r="L76" s="29">
        <f>1865.25+266.45+1248.91+178.42</f>
        <v>3559.0299999999997</v>
      </c>
      <c r="M76" s="29">
        <f>169.3+33.86+84.7+16.97</f>
        <v>304.83000000000004</v>
      </c>
      <c r="N76" s="29">
        <f>163.34+54.45+130.91+43.64</f>
        <v>392.34000000000003</v>
      </c>
      <c r="O76" s="29">
        <f>710.03+189.34+569.09+151.76</f>
        <v>1620.22</v>
      </c>
      <c r="P76" s="29"/>
      <c r="Q76" s="29">
        <f>8157.5+7865</f>
        <v>16022.5</v>
      </c>
      <c r="R76" s="29">
        <f>8958.13+8614.38</f>
        <v>17572.51</v>
      </c>
      <c r="S76" s="7">
        <f t="shared" si="1"/>
        <v>231304.43</v>
      </c>
    </row>
    <row r="77" spans="1:19" ht="15">
      <c r="A77" s="6" t="s">
        <v>37</v>
      </c>
      <c r="B77" s="8"/>
      <c r="C77" s="8"/>
      <c r="D77" s="8"/>
      <c r="E77" s="8">
        <v>39641</v>
      </c>
      <c r="F77" s="8">
        <v>13838</v>
      </c>
      <c r="G77" s="8">
        <v>3667</v>
      </c>
      <c r="H77" s="29">
        <f>63112.5+60273.13</f>
        <v>123385.63</v>
      </c>
      <c r="I77" s="29"/>
      <c r="J77" s="29"/>
      <c r="K77" s="29"/>
      <c r="L77" s="29">
        <f>627.35+89.6</f>
        <v>716.95</v>
      </c>
      <c r="M77" s="29"/>
      <c r="N77" s="29">
        <f>98.37+32.79+65.7+21.9</f>
        <v>218.76000000000002</v>
      </c>
      <c r="O77" s="29">
        <f>427.61+114.03+285.61+76.16</f>
        <v>903.41</v>
      </c>
      <c r="P77" s="29"/>
      <c r="Q77" s="29">
        <f>7865+7564.38</f>
        <v>15429.380000000001</v>
      </c>
      <c r="R77" s="29">
        <f>8314.38+8263.75</f>
        <v>16578.129999999997</v>
      </c>
      <c r="S77" s="7">
        <f t="shared" si="1"/>
        <v>214378.26000000004</v>
      </c>
    </row>
    <row r="78" spans="1:19" ht="15">
      <c r="A78" s="6" t="s">
        <v>38</v>
      </c>
      <c r="B78" s="8"/>
      <c r="C78" s="8"/>
      <c r="D78" s="8"/>
      <c r="E78" s="8">
        <v>35712</v>
      </c>
      <c r="F78" s="8">
        <v>12217</v>
      </c>
      <c r="G78" s="8">
        <v>3240</v>
      </c>
      <c r="H78" s="29">
        <f>60273.13+57337.5</f>
        <v>117610.63</v>
      </c>
      <c r="I78" s="29"/>
      <c r="J78" s="29"/>
      <c r="K78" s="29"/>
      <c r="L78" s="29"/>
      <c r="M78" s="29"/>
      <c r="N78" s="29">
        <f>33.01+10.97</f>
        <v>43.98</v>
      </c>
      <c r="O78" s="29">
        <f>142.9+38.15</f>
        <v>181.05</v>
      </c>
      <c r="P78" s="29"/>
      <c r="Q78" s="29">
        <f>7564.38+7247.5</f>
        <v>14811.880000000001</v>
      </c>
      <c r="R78" s="29">
        <f>8263.75+7906.25</f>
        <v>16170</v>
      </c>
      <c r="S78" s="7">
        <f t="shared" si="1"/>
        <v>199986.54</v>
      </c>
    </row>
    <row r="79" spans="1:19" ht="15">
      <c r="A79" s="6" t="s">
        <v>39</v>
      </c>
      <c r="B79" s="8"/>
      <c r="C79" s="8"/>
      <c r="D79" s="8"/>
      <c r="E79" s="8">
        <v>31597</v>
      </c>
      <c r="F79" s="8">
        <v>10530</v>
      </c>
      <c r="G79" s="8">
        <v>2790</v>
      </c>
      <c r="H79" s="29">
        <f>57337.5+54305.63</f>
        <v>111643.13</v>
      </c>
      <c r="I79" s="29"/>
      <c r="J79" s="29"/>
      <c r="K79" s="29"/>
      <c r="L79" s="29"/>
      <c r="M79" s="29"/>
      <c r="N79" s="29"/>
      <c r="O79" s="29"/>
      <c r="P79" s="29"/>
      <c r="Q79" s="29">
        <f>7247.5+6922.5</f>
        <v>14170</v>
      </c>
      <c r="R79" s="29">
        <f>7906.25+7535</f>
        <v>15441.25</v>
      </c>
      <c r="S79" s="7">
        <f t="shared" si="1"/>
        <v>186171.38</v>
      </c>
    </row>
    <row r="80" spans="1:19" ht="15">
      <c r="A80" s="6" t="s">
        <v>40</v>
      </c>
      <c r="B80" s="8"/>
      <c r="C80" s="8"/>
      <c r="D80" s="8"/>
      <c r="E80" s="8">
        <v>27297</v>
      </c>
      <c r="F80" s="8">
        <v>8797</v>
      </c>
      <c r="G80" s="8">
        <v>2340</v>
      </c>
      <c r="H80" s="29">
        <f>54305.63+51177.5</f>
        <v>105483.13</v>
      </c>
      <c r="I80" s="29"/>
      <c r="J80" s="29"/>
      <c r="K80" s="29"/>
      <c r="L80" s="29"/>
      <c r="M80" s="29"/>
      <c r="N80" s="29"/>
      <c r="O80" s="29"/>
      <c r="P80" s="29"/>
      <c r="Q80" s="29">
        <f>6922.5+6589.38</f>
        <v>13511.880000000001</v>
      </c>
      <c r="R80" s="29">
        <f>7535+7156.88</f>
        <v>14691.880000000001</v>
      </c>
      <c r="S80" s="7">
        <f t="shared" si="1"/>
        <v>172120.89</v>
      </c>
    </row>
    <row r="81" spans="1:19" ht="15">
      <c r="A81" s="6" t="s">
        <v>41</v>
      </c>
      <c r="B81" s="8"/>
      <c r="C81" s="8"/>
      <c r="D81" s="8"/>
      <c r="E81" s="8">
        <v>22811</v>
      </c>
      <c r="F81" s="8">
        <v>6997</v>
      </c>
      <c r="G81" s="8">
        <v>1868</v>
      </c>
      <c r="H81" s="29">
        <f>51177.5+47946.25</f>
        <v>99123.75</v>
      </c>
      <c r="I81" s="29"/>
      <c r="J81" s="29"/>
      <c r="K81" s="29"/>
      <c r="L81" s="29"/>
      <c r="M81" s="29"/>
      <c r="N81" s="29"/>
      <c r="O81" s="29"/>
      <c r="P81" s="29"/>
      <c r="Q81" s="29">
        <f>6589.38+6240</f>
        <v>12829.380000000001</v>
      </c>
      <c r="R81" s="29">
        <f>7156.88+6765</f>
        <v>13921.880000000001</v>
      </c>
      <c r="S81" s="7">
        <f t="shared" si="1"/>
        <v>157551.01</v>
      </c>
    </row>
    <row r="82" spans="1:19" ht="15">
      <c r="A82" s="6" t="s">
        <v>42</v>
      </c>
      <c r="B82" s="8"/>
      <c r="C82" s="8"/>
      <c r="D82" s="8"/>
      <c r="E82" s="8">
        <v>18130</v>
      </c>
      <c r="F82" s="8">
        <v>5107</v>
      </c>
      <c r="G82" s="8">
        <v>1372</v>
      </c>
      <c r="H82" s="29">
        <f>47946.255+44611.88</f>
        <v>92558.135</v>
      </c>
      <c r="I82" s="29"/>
      <c r="J82" s="29"/>
      <c r="K82" s="29"/>
      <c r="L82" s="29"/>
      <c r="M82" s="29"/>
      <c r="N82" s="29"/>
      <c r="O82" s="29"/>
      <c r="P82" s="29"/>
      <c r="Q82" s="29">
        <f>6240+5882.5</f>
        <v>12122.5</v>
      </c>
      <c r="R82" s="29">
        <f>6765+6366.25</f>
        <v>13131.25</v>
      </c>
      <c r="S82" s="7">
        <f t="shared" si="1"/>
        <v>142420.885</v>
      </c>
    </row>
    <row r="83" spans="1:19" ht="15">
      <c r="A83" s="6" t="s">
        <v>43</v>
      </c>
      <c r="B83" s="8"/>
      <c r="C83" s="8"/>
      <c r="D83" s="8"/>
      <c r="E83" s="8">
        <v>13231</v>
      </c>
      <c r="F83" s="8">
        <v>3127</v>
      </c>
      <c r="G83" s="8">
        <v>855</v>
      </c>
      <c r="H83" s="29">
        <f>44611.88+41167.5</f>
        <v>85779.38</v>
      </c>
      <c r="I83" s="29"/>
      <c r="J83" s="29"/>
      <c r="K83" s="29"/>
      <c r="L83" s="29"/>
      <c r="M83" s="29"/>
      <c r="N83" s="29"/>
      <c r="O83" s="29"/>
      <c r="P83" s="29"/>
      <c r="Q83" s="29">
        <f>5882.5+5508.75</f>
        <v>11391.25</v>
      </c>
      <c r="R83" s="29">
        <f>6366.25+5953.75</f>
        <v>12320</v>
      </c>
      <c r="S83" s="7">
        <f t="shared" si="1"/>
        <v>126703.63</v>
      </c>
    </row>
    <row r="84" spans="1:19" ht="15">
      <c r="A84" s="6" t="s">
        <v>44</v>
      </c>
      <c r="B84" s="8"/>
      <c r="C84" s="8"/>
      <c r="D84" s="8"/>
      <c r="E84" s="8">
        <v>8105</v>
      </c>
      <c r="F84" s="8">
        <v>1057</v>
      </c>
      <c r="G84" s="8">
        <v>292</v>
      </c>
      <c r="H84" s="29">
        <f>41167.5+37613.13</f>
        <v>78780.63</v>
      </c>
      <c r="I84" s="29"/>
      <c r="J84" s="29"/>
      <c r="K84" s="29"/>
      <c r="L84" s="29"/>
      <c r="M84" s="29"/>
      <c r="N84" s="29"/>
      <c r="O84" s="29"/>
      <c r="P84" s="29"/>
      <c r="Q84" s="29">
        <f>5508.75+5126.88</f>
        <v>10635.630000000001</v>
      </c>
      <c r="R84" s="29">
        <f>5953.75+5527.5</f>
        <v>11481.25</v>
      </c>
      <c r="S84" s="7">
        <f t="shared" si="1"/>
        <v>110351.51000000001</v>
      </c>
    </row>
    <row r="85" spans="1:19" ht="15">
      <c r="A85" s="6" t="s">
        <v>45</v>
      </c>
      <c r="B85" s="8"/>
      <c r="C85" s="8"/>
      <c r="D85" s="8"/>
      <c r="E85" s="10">
        <v>2743</v>
      </c>
      <c r="F85" s="8"/>
      <c r="G85" s="8"/>
      <c r="H85" s="29">
        <f>37613.13+33941.88</f>
        <v>71555.01</v>
      </c>
      <c r="I85" s="29"/>
      <c r="J85" s="29"/>
      <c r="K85" s="29"/>
      <c r="L85" s="29"/>
      <c r="M85" s="29"/>
      <c r="N85" s="29"/>
      <c r="O85" s="29"/>
      <c r="P85" s="29"/>
      <c r="Q85" s="29">
        <f>5126.88+4728.75</f>
        <v>9855.630000000001</v>
      </c>
      <c r="R85" s="29">
        <f>5527.5+5094.38</f>
        <v>10621.880000000001</v>
      </c>
      <c r="S85" s="7">
        <f t="shared" si="1"/>
        <v>94775.52</v>
      </c>
    </row>
    <row r="86" spans="1:19" ht="15">
      <c r="A86" s="6" t="s">
        <v>46</v>
      </c>
      <c r="B86" s="8"/>
      <c r="C86" s="8"/>
      <c r="D86" s="8"/>
      <c r="E86" s="10"/>
      <c r="F86" s="8"/>
      <c r="G86" s="8"/>
      <c r="H86" s="29">
        <f>33941.88+30153.75</f>
        <v>64095.63</v>
      </c>
      <c r="I86" s="29"/>
      <c r="J86" s="29"/>
      <c r="K86" s="29"/>
      <c r="L86" s="29"/>
      <c r="M86" s="29"/>
      <c r="N86" s="29"/>
      <c r="O86" s="29"/>
      <c r="P86" s="29"/>
      <c r="Q86" s="29">
        <f>4728.75+4322.5</f>
        <v>9051.25</v>
      </c>
      <c r="R86" s="29">
        <f>5094.38+4647.5</f>
        <v>9741.880000000001</v>
      </c>
      <c r="S86" s="7">
        <f t="shared" si="1"/>
        <v>82888.76000000001</v>
      </c>
    </row>
    <row r="87" spans="1:19" ht="15">
      <c r="A87" s="6" t="s">
        <v>61</v>
      </c>
      <c r="B87" s="8"/>
      <c r="C87" s="8"/>
      <c r="D87" s="8"/>
      <c r="E87" s="10"/>
      <c r="F87" s="8"/>
      <c r="G87" s="8"/>
      <c r="H87" s="29">
        <f>30153.75+26241.88</f>
        <v>56395.630000000005</v>
      </c>
      <c r="I87" s="29"/>
      <c r="J87" s="29"/>
      <c r="K87" s="29"/>
      <c r="L87" s="29"/>
      <c r="M87" s="29"/>
      <c r="N87" s="29"/>
      <c r="O87" s="29"/>
      <c r="P87" s="29"/>
      <c r="Q87" s="29">
        <f>4322.5+3900</f>
        <v>8222.5</v>
      </c>
      <c r="R87" s="29">
        <f>4647.5+4186.88</f>
        <v>8834.380000000001</v>
      </c>
      <c r="S87" s="7">
        <f t="shared" si="1"/>
        <v>73452.51000000001</v>
      </c>
    </row>
    <row r="88" spans="1:19" ht="15">
      <c r="A88" s="6" t="s">
        <v>62</v>
      </c>
      <c r="B88" s="8"/>
      <c r="C88" s="8"/>
      <c r="D88" s="8"/>
      <c r="E88" s="10"/>
      <c r="F88" s="8"/>
      <c r="G88" s="8"/>
      <c r="H88" s="29">
        <f>26241.88+22199.38</f>
        <v>48441.26</v>
      </c>
      <c r="I88" s="29"/>
      <c r="J88" s="29"/>
      <c r="K88" s="29"/>
      <c r="L88" s="29"/>
      <c r="M88" s="29"/>
      <c r="N88" s="29"/>
      <c r="O88" s="29"/>
      <c r="P88" s="29"/>
      <c r="Q88" s="29">
        <f>3900+3461.25</f>
        <v>7361.25</v>
      </c>
      <c r="R88" s="29">
        <f>4186.88+3712.5</f>
        <v>7899.38</v>
      </c>
      <c r="S88" s="7">
        <f t="shared" si="1"/>
        <v>63701.89</v>
      </c>
    </row>
    <row r="89" spans="1:19" ht="15">
      <c r="A89" s="6" t="s">
        <v>63</v>
      </c>
      <c r="B89" s="8"/>
      <c r="C89" s="8"/>
      <c r="D89" s="8"/>
      <c r="E89" s="10"/>
      <c r="F89" s="8"/>
      <c r="G89" s="8"/>
      <c r="H89" s="29">
        <f>22199.38+18026.25</f>
        <v>40225.630000000005</v>
      </c>
      <c r="I89" s="29"/>
      <c r="J89" s="29"/>
      <c r="K89" s="29"/>
      <c r="L89" s="29"/>
      <c r="M89" s="29"/>
      <c r="N89" s="29"/>
      <c r="O89" s="29"/>
      <c r="P89" s="29"/>
      <c r="Q89" s="29">
        <f>3461.25+3006.25</f>
        <v>6467.5</v>
      </c>
      <c r="R89" s="29">
        <f>3712.5+3224.38</f>
        <v>6936.88</v>
      </c>
      <c r="S89" s="7">
        <f t="shared" si="1"/>
        <v>53630.01</v>
      </c>
    </row>
    <row r="90" spans="1:19" ht="15">
      <c r="A90" s="6" t="s">
        <v>64</v>
      </c>
      <c r="B90" s="8"/>
      <c r="C90" s="8"/>
      <c r="D90" s="8"/>
      <c r="E90" s="10"/>
      <c r="F90" s="8"/>
      <c r="G90" s="8"/>
      <c r="H90" s="29">
        <f>18026.25+13722.5</f>
        <v>31748.75</v>
      </c>
      <c r="I90" s="29"/>
      <c r="J90" s="29"/>
      <c r="K90" s="29"/>
      <c r="L90" s="29"/>
      <c r="M90" s="29"/>
      <c r="N90" s="29"/>
      <c r="O90" s="29"/>
      <c r="P90" s="29"/>
      <c r="Q90" s="29">
        <f>3006.25+2535</f>
        <v>5541.25</v>
      </c>
      <c r="R90" s="29">
        <f>3224.38+2722.5</f>
        <v>5946.88</v>
      </c>
      <c r="S90" s="7">
        <f t="shared" si="1"/>
        <v>43236.88</v>
      </c>
    </row>
    <row r="91" spans="1:19" ht="15">
      <c r="A91" s="6" t="s">
        <v>65</v>
      </c>
      <c r="B91" s="8"/>
      <c r="C91" s="8"/>
      <c r="D91" s="8"/>
      <c r="E91" s="10"/>
      <c r="F91" s="8"/>
      <c r="G91" s="8"/>
      <c r="H91" s="29">
        <f>13722.5+9274.38</f>
        <v>22996.879999999997</v>
      </c>
      <c r="I91" s="29"/>
      <c r="J91" s="29"/>
      <c r="K91" s="29"/>
      <c r="L91" s="29"/>
      <c r="M91" s="29"/>
      <c r="N91" s="29"/>
      <c r="O91" s="29"/>
      <c r="P91" s="29"/>
      <c r="Q91" s="29">
        <f>2535+2047.5</f>
        <v>4582.5</v>
      </c>
      <c r="R91" s="29">
        <f>2722.5+2206.88</f>
        <v>4929.38</v>
      </c>
      <c r="S91" s="7">
        <f t="shared" si="1"/>
        <v>32508.76</v>
      </c>
    </row>
    <row r="92" spans="1:19" ht="15">
      <c r="A92" s="6" t="s">
        <v>66</v>
      </c>
      <c r="B92" s="8"/>
      <c r="C92" s="8"/>
      <c r="D92" s="8"/>
      <c r="E92" s="10"/>
      <c r="F92" s="8"/>
      <c r="G92" s="8"/>
      <c r="H92" s="29">
        <f>9274.38+4681.88</f>
        <v>13956.259999999998</v>
      </c>
      <c r="I92" s="29"/>
      <c r="J92" s="29"/>
      <c r="K92" s="29"/>
      <c r="L92" s="29"/>
      <c r="M92" s="29"/>
      <c r="N92" s="29"/>
      <c r="O92" s="29"/>
      <c r="P92" s="29"/>
      <c r="Q92" s="29">
        <f>2047.5+1543.75</f>
        <v>3591.25</v>
      </c>
      <c r="R92" s="29">
        <f>2206.88+1677.5</f>
        <v>3884.38</v>
      </c>
      <c r="S92" s="7">
        <f t="shared" si="1"/>
        <v>21431.89</v>
      </c>
    </row>
    <row r="93" spans="1:19" ht="15">
      <c r="A93" s="6" t="s">
        <v>72</v>
      </c>
      <c r="B93" s="8"/>
      <c r="C93" s="8"/>
      <c r="D93" s="8"/>
      <c r="E93" s="10"/>
      <c r="F93" s="8"/>
      <c r="G93" s="8"/>
      <c r="H93" s="29">
        <v>4681.88</v>
      </c>
      <c r="I93" s="29"/>
      <c r="J93" s="29"/>
      <c r="K93" s="29"/>
      <c r="L93" s="29"/>
      <c r="M93" s="29"/>
      <c r="N93" s="29"/>
      <c r="O93" s="29"/>
      <c r="P93" s="29"/>
      <c r="Q93" s="29">
        <f>1543.75+1023.75</f>
        <v>2567.5</v>
      </c>
      <c r="R93" s="29">
        <f>1677.5+1134.38</f>
        <v>2811.88</v>
      </c>
      <c r="S93" s="7">
        <f t="shared" si="1"/>
        <v>10061.26</v>
      </c>
    </row>
    <row r="94" spans="1:19" ht="15">
      <c r="A94" s="6" t="s">
        <v>83</v>
      </c>
      <c r="B94" s="8"/>
      <c r="C94" s="8"/>
      <c r="D94" s="8"/>
      <c r="E94" s="10"/>
      <c r="F94" s="8"/>
      <c r="G94" s="8"/>
      <c r="H94" s="29"/>
      <c r="I94" s="29"/>
      <c r="J94" s="29"/>
      <c r="K94" s="29"/>
      <c r="L94" s="29"/>
      <c r="M94" s="29"/>
      <c r="N94" s="29"/>
      <c r="O94" s="29"/>
      <c r="P94" s="29"/>
      <c r="Q94" s="29">
        <f>1023.75+487.5</f>
        <v>1511.25</v>
      </c>
      <c r="R94" s="29">
        <f>1134.38+577.5</f>
        <v>1711.88</v>
      </c>
      <c r="S94" s="7">
        <f t="shared" si="1"/>
        <v>3223.13</v>
      </c>
    </row>
    <row r="95" spans="1:19" ht="12.75">
      <c r="A95" s="6" t="s">
        <v>84</v>
      </c>
      <c r="B95" s="8"/>
      <c r="C95" s="8"/>
      <c r="D95" s="8"/>
      <c r="F95" s="8"/>
      <c r="G95" s="8"/>
      <c r="Q95" s="2">
        <v>487.5</v>
      </c>
      <c r="R95" s="2">
        <v>577.5</v>
      </c>
      <c r="S95" s="7">
        <f t="shared" si="1"/>
        <v>1065</v>
      </c>
    </row>
    <row r="96" spans="1:19" ht="13.5" thickBot="1">
      <c r="A96" s="6"/>
      <c r="B96" s="9">
        <f>SUM(B57:B85)</f>
        <v>147273.41000000003</v>
      </c>
      <c r="C96" s="9">
        <f>SUM(C57:C85)</f>
        <v>0</v>
      </c>
      <c r="D96" s="9">
        <f>SUM(D57:D85)</f>
        <v>64196</v>
      </c>
      <c r="E96" s="9">
        <f>SUM(E57:E95)</f>
        <v>1511760</v>
      </c>
      <c r="F96" s="9">
        <f>SUM(F57:F85)</f>
        <v>556109</v>
      </c>
      <c r="G96" s="9">
        <f>SUM(G57:G85)</f>
        <v>145823</v>
      </c>
      <c r="H96" s="9">
        <f>SUM(H57:H93)</f>
        <v>4400058.274999998</v>
      </c>
      <c r="I96" s="9">
        <f aca="true" t="shared" si="2" ref="I96:O96">SUM(I57:I92)</f>
        <v>41545</v>
      </c>
      <c r="J96" s="9">
        <f t="shared" si="2"/>
        <v>34494.086</v>
      </c>
      <c r="K96" s="9">
        <f t="shared" si="2"/>
        <v>37043.51</v>
      </c>
      <c r="L96" s="9">
        <f t="shared" si="2"/>
        <v>502289.19</v>
      </c>
      <c r="M96" s="9">
        <f t="shared" si="2"/>
        <v>71036.1</v>
      </c>
      <c r="N96" s="9">
        <f t="shared" si="2"/>
        <v>34347.55</v>
      </c>
      <c r="O96" s="9">
        <f t="shared" si="2"/>
        <v>141248.09000000003</v>
      </c>
      <c r="P96" s="9"/>
      <c r="Q96" s="9">
        <f>SUM(Q57:Q95)</f>
        <v>551703.8600000001</v>
      </c>
      <c r="R96" s="9">
        <f>SUM(R57:R95)</f>
        <v>610997.6600000001</v>
      </c>
      <c r="S96" s="9">
        <f>SUM(S58:S95)</f>
        <v>8849924.730999999</v>
      </c>
    </row>
    <row r="97" ht="13.5" thickTop="1"/>
    <row r="98" spans="1:19" ht="12.75">
      <c r="A98" s="1"/>
      <c r="B98" s="7"/>
      <c r="C98" s="7"/>
      <c r="D98" s="7"/>
      <c r="E98" s="7"/>
      <c r="F98" s="7"/>
      <c r="G98" s="7"/>
      <c r="S98" s="7"/>
    </row>
    <row r="99" spans="1:20" ht="12.75">
      <c r="A99" s="30"/>
      <c r="B99" s="31"/>
      <c r="C99" s="31"/>
      <c r="D99" s="31"/>
      <c r="E99" s="31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1"/>
      <c r="T99" s="32"/>
    </row>
    <row r="100" spans="1:20" ht="12.75">
      <c r="A100" s="33" t="s">
        <v>48</v>
      </c>
      <c r="B100" s="31"/>
      <c r="C100" s="31"/>
      <c r="D100" s="31"/>
      <c r="E100" s="31"/>
      <c r="F100" s="31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1"/>
      <c r="T100" s="32"/>
    </row>
    <row r="101" spans="1:20" ht="12.75">
      <c r="A101" s="30"/>
      <c r="B101" s="31"/>
      <c r="C101" s="31"/>
      <c r="D101" s="31"/>
      <c r="E101" s="31"/>
      <c r="F101" s="31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68"/>
      <c r="R101" s="68"/>
      <c r="S101" s="31"/>
      <c r="T101" s="32"/>
    </row>
    <row r="102" spans="1:20" s="15" customFormat="1" ht="12.75">
      <c r="A102" s="34" t="s">
        <v>3</v>
      </c>
      <c r="B102" s="35" t="s">
        <v>5</v>
      </c>
      <c r="C102" s="35" t="s">
        <v>56</v>
      </c>
      <c r="D102" s="35" t="s">
        <v>8</v>
      </c>
      <c r="E102" s="35">
        <v>2005</v>
      </c>
      <c r="F102" s="35" t="s">
        <v>49</v>
      </c>
      <c r="G102" s="35" t="s">
        <v>50</v>
      </c>
      <c r="H102" s="35">
        <v>2011</v>
      </c>
      <c r="I102" s="35" t="s">
        <v>67</v>
      </c>
      <c r="J102" s="35" t="s">
        <v>71</v>
      </c>
      <c r="K102" s="35" t="s">
        <v>73</v>
      </c>
      <c r="L102" s="35" t="s">
        <v>85</v>
      </c>
      <c r="M102" s="35" t="s">
        <v>86</v>
      </c>
      <c r="N102" s="35" t="s">
        <v>89</v>
      </c>
      <c r="O102" s="35" t="s">
        <v>90</v>
      </c>
      <c r="P102" s="35" t="s">
        <v>78</v>
      </c>
      <c r="Q102" s="35" t="s">
        <v>76</v>
      </c>
      <c r="R102" s="35" t="s">
        <v>77</v>
      </c>
      <c r="S102" s="35" t="s">
        <v>11</v>
      </c>
      <c r="T102" s="35" t="s">
        <v>51</v>
      </c>
    </row>
    <row r="103" spans="1:20" ht="12.75">
      <c r="A103" s="36" t="s">
        <v>18</v>
      </c>
      <c r="B103" s="31">
        <f aca="true" t="shared" si="3" ref="B103:B108">41748.75*4</f>
        <v>166995</v>
      </c>
      <c r="C103" s="31"/>
      <c r="D103" s="31">
        <v>185960</v>
      </c>
      <c r="E103" s="31">
        <f aca="true" t="shared" si="4" ref="E103:L103">+E13+E58</f>
        <v>129610</v>
      </c>
      <c r="F103" s="31">
        <f t="shared" si="4"/>
        <v>49312</v>
      </c>
      <c r="G103" s="31">
        <f t="shared" si="4"/>
        <v>12955</v>
      </c>
      <c r="H103" s="31">
        <f t="shared" si="4"/>
        <v>316804.38</v>
      </c>
      <c r="I103" s="31">
        <f t="shared" si="4"/>
        <v>181060</v>
      </c>
      <c r="J103" s="31">
        <f t="shared" si="4"/>
        <v>19352.21</v>
      </c>
      <c r="K103" s="31">
        <f t="shared" si="4"/>
        <v>21484.059999999998</v>
      </c>
      <c r="L103" s="31">
        <f t="shared" si="4"/>
        <v>150494.88999999998</v>
      </c>
      <c r="M103" s="31">
        <f>+M13+M58</f>
        <v>52851.31</v>
      </c>
      <c r="N103" s="31">
        <f>+N13+N58</f>
        <v>9265.4</v>
      </c>
      <c r="O103" s="31">
        <f>+O13+O58</f>
        <v>39328.37</v>
      </c>
      <c r="P103" s="31"/>
      <c r="Q103" s="37">
        <f aca="true" t="shared" si="5" ref="Q103:R122">+Q13+Q58</f>
        <v>34017.5</v>
      </c>
      <c r="R103" s="37">
        <f t="shared" si="5"/>
        <v>42293.75</v>
      </c>
      <c r="S103" s="31">
        <f aca="true" t="shared" si="6" ref="S103:S140">SUM(B103:R103)</f>
        <v>1411783.87</v>
      </c>
      <c r="T103" s="38">
        <f aca="true" t="shared" si="7" ref="T103:T137">+F103+G103+H103+I103</f>
        <v>560131.38</v>
      </c>
    </row>
    <row r="104" spans="1:20" ht="12.75">
      <c r="A104" s="36" t="s">
        <v>19</v>
      </c>
      <c r="B104" s="31">
        <f t="shared" si="3"/>
        <v>166995</v>
      </c>
      <c r="C104" s="31"/>
      <c r="D104" s="31">
        <v>185617</v>
      </c>
      <c r="E104" s="31">
        <f aca="true" t="shared" si="8" ref="E104:O104">+E14+E59</f>
        <v>129409</v>
      </c>
      <c r="F104" s="31">
        <f t="shared" si="8"/>
        <v>49615</v>
      </c>
      <c r="G104" s="31">
        <f t="shared" si="8"/>
        <v>12775</v>
      </c>
      <c r="H104" s="31">
        <f t="shared" si="8"/>
        <v>317162.5</v>
      </c>
      <c r="I104" s="31">
        <f t="shared" si="8"/>
        <v>182265</v>
      </c>
      <c r="J104" s="31">
        <f t="shared" si="8"/>
        <v>19312.93</v>
      </c>
      <c r="K104" s="31">
        <f t="shared" si="8"/>
        <v>21448.61</v>
      </c>
      <c r="L104" s="31">
        <f t="shared" si="8"/>
        <v>150235.26</v>
      </c>
      <c r="M104" s="31">
        <f t="shared" si="8"/>
        <v>35221.6</v>
      </c>
      <c r="N104" s="31">
        <f t="shared" si="8"/>
        <v>18407.31</v>
      </c>
      <c r="O104" s="31">
        <f t="shared" si="8"/>
        <v>79331.82999999999</v>
      </c>
      <c r="P104" s="31"/>
      <c r="Q104" s="37">
        <f t="shared" si="5"/>
        <v>34184.38</v>
      </c>
      <c r="R104" s="37">
        <f t="shared" si="5"/>
        <v>42374.38</v>
      </c>
      <c r="S104" s="31">
        <f t="shared" si="6"/>
        <v>1444354.8</v>
      </c>
      <c r="T104" s="38">
        <f t="shared" si="7"/>
        <v>561817.5</v>
      </c>
    </row>
    <row r="105" spans="1:20" ht="12.75">
      <c r="A105" s="36" t="s">
        <v>20</v>
      </c>
      <c r="B105" s="31">
        <f t="shared" si="3"/>
        <v>166995</v>
      </c>
      <c r="C105" s="10"/>
      <c r="D105" s="10">
        <v>185272</v>
      </c>
      <c r="E105" s="31">
        <f aca="true" t="shared" si="9" ref="E105:O105">+E15+E60</f>
        <v>129635</v>
      </c>
      <c r="F105" s="31">
        <f t="shared" si="9"/>
        <v>49872</v>
      </c>
      <c r="G105" s="31">
        <f t="shared" si="9"/>
        <v>12595</v>
      </c>
      <c r="H105" s="31">
        <f t="shared" si="9"/>
        <v>317917.5</v>
      </c>
      <c r="I105" s="31">
        <f t="shared" si="9"/>
        <v>178355</v>
      </c>
      <c r="J105" s="31">
        <f t="shared" si="9"/>
        <v>19273.25</v>
      </c>
      <c r="K105" s="31">
        <f t="shared" si="9"/>
        <v>21413.100000000002</v>
      </c>
      <c r="L105" s="31">
        <f t="shared" si="9"/>
        <v>149971.05000000002</v>
      </c>
      <c r="M105" s="31">
        <f t="shared" si="9"/>
        <v>35164.3</v>
      </c>
      <c r="N105" s="31">
        <f t="shared" si="9"/>
        <v>18369.11</v>
      </c>
      <c r="O105" s="31">
        <f t="shared" si="9"/>
        <v>79198.94999999998</v>
      </c>
      <c r="P105" s="31"/>
      <c r="Q105" s="37">
        <f t="shared" si="5"/>
        <v>33843.13</v>
      </c>
      <c r="R105" s="37">
        <f t="shared" si="5"/>
        <v>42441.259999999995</v>
      </c>
      <c r="S105" s="31">
        <f t="shared" si="6"/>
        <v>1440315.6500000001</v>
      </c>
      <c r="T105" s="38">
        <f t="shared" si="7"/>
        <v>558739.5</v>
      </c>
    </row>
    <row r="106" spans="1:20" ht="12.75">
      <c r="A106" s="36" t="s">
        <v>21</v>
      </c>
      <c r="B106" s="31">
        <f t="shared" si="3"/>
        <v>166995</v>
      </c>
      <c r="C106" s="10"/>
      <c r="D106" s="10">
        <v>184925</v>
      </c>
      <c r="E106" s="31">
        <f aca="true" t="shared" si="10" ref="E106:O106">+E16+E61</f>
        <v>129779</v>
      </c>
      <c r="F106" s="31">
        <f t="shared" si="10"/>
        <v>49108</v>
      </c>
      <c r="G106" s="31">
        <f t="shared" si="10"/>
        <v>13392</v>
      </c>
      <c r="H106" s="31">
        <f t="shared" si="10"/>
        <v>318562.5</v>
      </c>
      <c r="I106" s="31">
        <f t="shared" si="10"/>
        <v>179445</v>
      </c>
      <c r="J106" s="31">
        <f t="shared" si="10"/>
        <v>19233.18</v>
      </c>
      <c r="K106" s="31">
        <f t="shared" si="10"/>
        <v>21377.239999999998</v>
      </c>
      <c r="L106" s="31">
        <f t="shared" si="10"/>
        <v>149702.21</v>
      </c>
      <c r="M106" s="31">
        <f t="shared" si="10"/>
        <v>35106.42</v>
      </c>
      <c r="N106" s="31">
        <f t="shared" si="10"/>
        <v>18330.6</v>
      </c>
      <c r="O106" s="31">
        <f t="shared" si="10"/>
        <v>79065.08</v>
      </c>
      <c r="P106" s="31"/>
      <c r="Q106" s="37">
        <f t="shared" si="5"/>
        <v>33993.75</v>
      </c>
      <c r="R106" s="37">
        <f t="shared" si="5"/>
        <v>42494.38</v>
      </c>
      <c r="S106" s="31">
        <f t="shared" si="6"/>
        <v>1441509.3599999999</v>
      </c>
      <c r="T106" s="38">
        <f t="shared" si="7"/>
        <v>560507.5</v>
      </c>
    </row>
    <row r="107" spans="1:20" ht="12.75">
      <c r="A107" s="36" t="s">
        <v>22</v>
      </c>
      <c r="B107" s="31">
        <f t="shared" si="3"/>
        <v>166995</v>
      </c>
      <c r="C107" s="10"/>
      <c r="D107" s="10">
        <v>184571</v>
      </c>
      <c r="E107" s="31">
        <f aca="true" t="shared" si="11" ref="E107:O107">+E17+E62</f>
        <v>129840</v>
      </c>
      <c r="F107" s="31">
        <f t="shared" si="11"/>
        <v>49320</v>
      </c>
      <c r="G107" s="31">
        <f t="shared" si="11"/>
        <v>13167</v>
      </c>
      <c r="H107" s="31">
        <f t="shared" si="11"/>
        <v>319097.5</v>
      </c>
      <c r="I107" s="31">
        <f t="shared" si="11"/>
        <v>15420</v>
      </c>
      <c r="J107" s="31">
        <f t="shared" si="11"/>
        <v>19192.71</v>
      </c>
      <c r="K107" s="31">
        <f t="shared" si="11"/>
        <v>21341.02</v>
      </c>
      <c r="L107" s="31">
        <f t="shared" si="11"/>
        <v>149428.65000000002</v>
      </c>
      <c r="M107" s="31">
        <f t="shared" si="11"/>
        <v>35047.97</v>
      </c>
      <c r="N107" s="31">
        <f t="shared" si="11"/>
        <v>18291.83</v>
      </c>
      <c r="O107" s="31">
        <f t="shared" si="11"/>
        <v>78930.20000000001</v>
      </c>
      <c r="P107" s="31"/>
      <c r="Q107" s="37">
        <f t="shared" si="5"/>
        <v>34128.13</v>
      </c>
      <c r="R107" s="37">
        <f t="shared" si="5"/>
        <v>42533.75</v>
      </c>
      <c r="S107" s="31">
        <f t="shared" si="6"/>
        <v>1277304.7599999998</v>
      </c>
      <c r="T107" s="38">
        <f t="shared" si="7"/>
        <v>397004.5</v>
      </c>
    </row>
    <row r="108" spans="1:20" ht="12.75">
      <c r="A108" s="36" t="s">
        <v>23</v>
      </c>
      <c r="B108" s="31">
        <f t="shared" si="3"/>
        <v>166995</v>
      </c>
      <c r="C108" s="10"/>
      <c r="D108" s="10">
        <v>184215</v>
      </c>
      <c r="E108" s="31">
        <f aca="true" t="shared" si="12" ref="E108:H129">+E18+E63</f>
        <v>130308</v>
      </c>
      <c r="F108" s="31">
        <f t="shared" si="12"/>
        <v>49488</v>
      </c>
      <c r="G108" s="31">
        <f t="shared" si="12"/>
        <v>12943</v>
      </c>
      <c r="H108" s="31">
        <f t="shared" si="12"/>
        <v>319522.5</v>
      </c>
      <c r="I108" s="31"/>
      <c r="J108" s="31">
        <f aca="true" t="shared" si="13" ref="J108:O127">+J18+J63</f>
        <v>19151.829999999998</v>
      </c>
      <c r="K108" s="31">
        <f t="shared" si="13"/>
        <v>21304.43</v>
      </c>
      <c r="L108" s="31">
        <f t="shared" si="13"/>
        <v>149150.26</v>
      </c>
      <c r="M108" s="31">
        <f t="shared" si="13"/>
        <v>34988.93</v>
      </c>
      <c r="N108" s="31">
        <f t="shared" si="13"/>
        <v>18252.75</v>
      </c>
      <c r="O108" s="31">
        <f t="shared" si="13"/>
        <v>78794.31999999999</v>
      </c>
      <c r="P108" s="31"/>
      <c r="Q108" s="37">
        <f t="shared" si="5"/>
        <v>33754.38</v>
      </c>
      <c r="R108" s="37">
        <f t="shared" si="5"/>
        <v>42559.38</v>
      </c>
      <c r="S108" s="31">
        <f t="shared" si="6"/>
        <v>1261427.7799999998</v>
      </c>
      <c r="T108" s="38">
        <f t="shared" si="7"/>
        <v>381953.5</v>
      </c>
    </row>
    <row r="109" spans="1:20" ht="12.75">
      <c r="A109" s="36" t="s">
        <v>24</v>
      </c>
      <c r="B109" s="10">
        <f>41748.75*2</f>
        <v>83497.5</v>
      </c>
      <c r="C109" s="10"/>
      <c r="D109" s="10">
        <v>183855</v>
      </c>
      <c r="E109" s="31">
        <f t="shared" si="12"/>
        <v>130184</v>
      </c>
      <c r="F109" s="31">
        <f t="shared" si="12"/>
        <v>49610</v>
      </c>
      <c r="G109" s="31">
        <f t="shared" si="12"/>
        <v>12718</v>
      </c>
      <c r="H109" s="31">
        <f t="shared" si="12"/>
        <v>320330.63</v>
      </c>
      <c r="I109" s="31"/>
      <c r="J109" s="31">
        <f t="shared" si="13"/>
        <v>19110.530000000002</v>
      </c>
      <c r="K109" s="31">
        <f t="shared" si="13"/>
        <v>21267.480000000003</v>
      </c>
      <c r="L109" s="31">
        <f t="shared" si="13"/>
        <v>148866.99</v>
      </c>
      <c r="M109" s="31">
        <f t="shared" si="13"/>
        <v>34929.3</v>
      </c>
      <c r="N109" s="31">
        <f t="shared" si="13"/>
        <v>18213.38</v>
      </c>
      <c r="O109" s="31">
        <f t="shared" si="13"/>
        <v>78657.4</v>
      </c>
      <c r="P109" s="31"/>
      <c r="Q109" s="37">
        <f t="shared" si="5"/>
        <v>33872.5</v>
      </c>
      <c r="R109" s="37">
        <f t="shared" si="5"/>
        <v>42571.259999999995</v>
      </c>
      <c r="S109" s="31">
        <f t="shared" si="6"/>
        <v>1177683.97</v>
      </c>
      <c r="T109" s="38">
        <f t="shared" si="7"/>
        <v>382658.63</v>
      </c>
    </row>
    <row r="110" spans="1:20" ht="12.75">
      <c r="A110" s="36" t="s">
        <v>25</v>
      </c>
      <c r="B110" s="10"/>
      <c r="C110" s="10"/>
      <c r="D110" s="10">
        <v>91790</v>
      </c>
      <c r="E110" s="31">
        <f t="shared" si="12"/>
        <v>130467</v>
      </c>
      <c r="F110" s="31">
        <f t="shared" si="12"/>
        <v>49687</v>
      </c>
      <c r="G110" s="31">
        <f t="shared" si="12"/>
        <v>12493</v>
      </c>
      <c r="H110" s="31">
        <f t="shared" si="12"/>
        <v>321015.01</v>
      </c>
      <c r="I110" s="31"/>
      <c r="J110" s="31">
        <f t="shared" si="13"/>
        <v>19068.82</v>
      </c>
      <c r="K110" s="31">
        <f t="shared" si="13"/>
        <v>21230.16</v>
      </c>
      <c r="L110" s="31">
        <f t="shared" si="13"/>
        <v>148578.75</v>
      </c>
      <c r="M110" s="31">
        <f t="shared" si="13"/>
        <v>34869.06</v>
      </c>
      <c r="N110" s="31">
        <f t="shared" si="13"/>
        <v>18173.71</v>
      </c>
      <c r="O110" s="31">
        <f t="shared" si="13"/>
        <v>78519.46</v>
      </c>
      <c r="P110" s="31"/>
      <c r="Q110" s="37">
        <f t="shared" si="5"/>
        <v>33974.38</v>
      </c>
      <c r="R110" s="37">
        <f t="shared" si="5"/>
        <v>42569.38</v>
      </c>
      <c r="S110" s="31">
        <f t="shared" si="6"/>
        <v>1002435.73</v>
      </c>
      <c r="T110" s="38">
        <f t="shared" si="7"/>
        <v>383195.01</v>
      </c>
    </row>
    <row r="111" spans="1:20" ht="12.75">
      <c r="A111" s="36" t="s">
        <v>26</v>
      </c>
      <c r="B111" s="32"/>
      <c r="C111" s="32"/>
      <c r="D111" s="32"/>
      <c r="E111" s="31">
        <f t="shared" si="12"/>
        <v>130647</v>
      </c>
      <c r="F111" s="31">
        <f t="shared" si="12"/>
        <v>49720</v>
      </c>
      <c r="G111" s="31">
        <f t="shared" si="12"/>
        <v>13245</v>
      </c>
      <c r="H111" s="31">
        <f t="shared" si="12"/>
        <v>321575.63</v>
      </c>
      <c r="I111" s="31"/>
      <c r="J111" s="31">
        <f t="shared" si="13"/>
        <v>19026.700000000004</v>
      </c>
      <c r="K111" s="31">
        <f t="shared" si="13"/>
        <v>21192.46</v>
      </c>
      <c r="L111" s="31">
        <f t="shared" si="13"/>
        <v>148285.43</v>
      </c>
      <c r="M111" s="31">
        <f t="shared" si="13"/>
        <v>34808.23</v>
      </c>
      <c r="N111" s="31">
        <f t="shared" si="13"/>
        <v>18133.75</v>
      </c>
      <c r="O111" s="31">
        <f t="shared" si="13"/>
        <v>78380.48</v>
      </c>
      <c r="P111" s="31"/>
      <c r="Q111" s="37">
        <f t="shared" si="5"/>
        <v>34060.009999999995</v>
      </c>
      <c r="R111" s="37">
        <f t="shared" si="5"/>
        <v>42553.75</v>
      </c>
      <c r="S111" s="31">
        <f t="shared" si="6"/>
        <v>911628.44</v>
      </c>
      <c r="T111" s="38">
        <f t="shared" si="7"/>
        <v>384540.63</v>
      </c>
    </row>
    <row r="112" spans="1:20" ht="12.75">
      <c r="A112" s="36" t="s">
        <v>27</v>
      </c>
      <c r="B112" s="32"/>
      <c r="C112" s="32"/>
      <c r="D112" s="32"/>
      <c r="E112" s="31">
        <f t="shared" si="12"/>
        <v>130723</v>
      </c>
      <c r="F112" s="31">
        <f t="shared" si="12"/>
        <v>49708</v>
      </c>
      <c r="G112" s="31">
        <f t="shared" si="12"/>
        <v>12975</v>
      </c>
      <c r="H112" s="31">
        <f t="shared" si="12"/>
        <v>322012.5</v>
      </c>
      <c r="I112" s="31"/>
      <c r="J112" s="31">
        <f t="shared" si="13"/>
        <v>18984.15</v>
      </c>
      <c r="K112" s="31">
        <f t="shared" si="13"/>
        <v>21154.44</v>
      </c>
      <c r="L112" s="31">
        <f t="shared" si="13"/>
        <v>147986.95</v>
      </c>
      <c r="M112" s="31">
        <f t="shared" si="13"/>
        <v>34746.78</v>
      </c>
      <c r="N112" s="31">
        <f t="shared" si="13"/>
        <v>18096.49</v>
      </c>
      <c r="O112" s="31">
        <f t="shared" si="13"/>
        <v>78240.46</v>
      </c>
      <c r="P112" s="31"/>
      <c r="Q112" s="37">
        <f t="shared" si="5"/>
        <v>34129.38</v>
      </c>
      <c r="R112" s="37">
        <f t="shared" si="5"/>
        <v>42524.38</v>
      </c>
      <c r="S112" s="31">
        <f t="shared" si="6"/>
        <v>911281.53</v>
      </c>
      <c r="T112" s="38">
        <f t="shared" si="7"/>
        <v>384695.5</v>
      </c>
    </row>
    <row r="113" spans="1:20" ht="12.75">
      <c r="A113" s="36" t="s">
        <v>28</v>
      </c>
      <c r="B113" s="32"/>
      <c r="C113" s="32"/>
      <c r="D113" s="32"/>
      <c r="E113" s="31">
        <f t="shared" si="12"/>
        <v>130697</v>
      </c>
      <c r="F113" s="31">
        <f t="shared" si="12"/>
        <v>49650</v>
      </c>
      <c r="G113" s="31">
        <f t="shared" si="12"/>
        <v>12705</v>
      </c>
      <c r="H113" s="31">
        <f t="shared" si="12"/>
        <v>322818.75</v>
      </c>
      <c r="I113" s="31"/>
      <c r="J113" s="31">
        <f t="shared" si="13"/>
        <v>18941.19</v>
      </c>
      <c r="K113" s="31">
        <f t="shared" si="13"/>
        <v>21115.93</v>
      </c>
      <c r="L113" s="31">
        <f t="shared" si="13"/>
        <v>147683.23</v>
      </c>
      <c r="M113" s="31">
        <f t="shared" si="13"/>
        <v>34684.73</v>
      </c>
      <c r="N113" s="31">
        <f t="shared" si="13"/>
        <v>18052.92</v>
      </c>
      <c r="O113" s="31">
        <f t="shared" si="13"/>
        <v>78099.38</v>
      </c>
      <c r="P113" s="31"/>
      <c r="Q113" s="37">
        <f t="shared" si="5"/>
        <v>34182.5</v>
      </c>
      <c r="R113" s="37">
        <f t="shared" si="5"/>
        <v>42481.259999999995</v>
      </c>
      <c r="S113" s="31">
        <f t="shared" si="6"/>
        <v>911111.89</v>
      </c>
      <c r="T113" s="38">
        <f t="shared" si="7"/>
        <v>385173.75</v>
      </c>
    </row>
    <row r="114" spans="1:20" ht="12.75">
      <c r="A114" s="36" t="s">
        <v>29</v>
      </c>
      <c r="B114" s="32"/>
      <c r="C114" s="32"/>
      <c r="D114" s="32"/>
      <c r="E114" s="31">
        <f t="shared" si="12"/>
        <v>131057</v>
      </c>
      <c r="F114" s="31">
        <f t="shared" si="12"/>
        <v>49548</v>
      </c>
      <c r="G114" s="31">
        <f t="shared" si="12"/>
        <v>12435</v>
      </c>
      <c r="H114" s="31">
        <f t="shared" si="12"/>
        <v>323487.5</v>
      </c>
      <c r="I114" s="31"/>
      <c r="J114" s="31">
        <f t="shared" si="13"/>
        <v>18897.78</v>
      </c>
      <c r="K114" s="31">
        <f t="shared" si="13"/>
        <v>21077.08</v>
      </c>
      <c r="L114" s="31">
        <f t="shared" si="13"/>
        <v>147374.18</v>
      </c>
      <c r="M114" s="31">
        <f t="shared" si="13"/>
        <v>34622.05</v>
      </c>
      <c r="N114" s="31">
        <f t="shared" si="13"/>
        <v>18012.05</v>
      </c>
      <c r="O114" s="31">
        <f t="shared" si="13"/>
        <v>77957.25</v>
      </c>
      <c r="P114" s="31"/>
      <c r="Q114" s="37">
        <f t="shared" si="5"/>
        <v>34219.38</v>
      </c>
      <c r="R114" s="37">
        <f t="shared" si="5"/>
        <v>42424.38</v>
      </c>
      <c r="S114" s="31">
        <f t="shared" si="6"/>
        <v>911111.6500000001</v>
      </c>
      <c r="T114" s="38">
        <f t="shared" si="7"/>
        <v>385470.5</v>
      </c>
    </row>
    <row r="115" spans="1:20" ht="12.75">
      <c r="A115" s="36" t="s">
        <v>30</v>
      </c>
      <c r="B115" s="32"/>
      <c r="C115" s="32"/>
      <c r="D115" s="32"/>
      <c r="E115" s="31">
        <f t="shared" si="12"/>
        <v>131293</v>
      </c>
      <c r="F115" s="31">
        <f t="shared" si="12"/>
        <v>49400</v>
      </c>
      <c r="G115" s="31">
        <f t="shared" si="12"/>
        <v>13143</v>
      </c>
      <c r="H115" s="31">
        <f t="shared" si="12"/>
        <v>324018.75</v>
      </c>
      <c r="I115" s="31"/>
      <c r="J115" s="31">
        <f t="shared" si="13"/>
        <v>18853.982</v>
      </c>
      <c r="K115" s="31">
        <f t="shared" si="13"/>
        <v>21037.859999999997</v>
      </c>
      <c r="L115" s="31">
        <f t="shared" si="13"/>
        <v>147059.69</v>
      </c>
      <c r="M115" s="31">
        <f t="shared" si="13"/>
        <v>34558.73</v>
      </c>
      <c r="N115" s="31">
        <f t="shared" si="13"/>
        <v>17970.87</v>
      </c>
      <c r="O115" s="31">
        <f t="shared" si="13"/>
        <v>77814.05</v>
      </c>
      <c r="P115" s="31"/>
      <c r="Q115" s="37">
        <f t="shared" si="5"/>
        <v>34240.009999999995</v>
      </c>
      <c r="R115" s="37">
        <f t="shared" si="5"/>
        <v>42353.75</v>
      </c>
      <c r="S115" s="31">
        <f t="shared" si="6"/>
        <v>911743.6919999999</v>
      </c>
      <c r="T115" s="38">
        <f t="shared" si="7"/>
        <v>386561.75</v>
      </c>
    </row>
    <row r="116" spans="1:20" ht="12.75">
      <c r="A116" s="36" t="s">
        <v>31</v>
      </c>
      <c r="B116" s="32"/>
      <c r="C116" s="32"/>
      <c r="D116" s="32"/>
      <c r="E116" s="31">
        <f t="shared" si="12"/>
        <v>131405</v>
      </c>
      <c r="F116" s="31">
        <f t="shared" si="12"/>
        <v>49208</v>
      </c>
      <c r="G116" s="31">
        <f t="shared" si="12"/>
        <v>12827</v>
      </c>
      <c r="H116" s="31">
        <f t="shared" si="12"/>
        <v>325905.63</v>
      </c>
      <c r="I116" s="31"/>
      <c r="J116" s="31">
        <f t="shared" si="13"/>
        <v>18809.67</v>
      </c>
      <c r="K116" s="31">
        <f t="shared" si="13"/>
        <v>20998.23</v>
      </c>
      <c r="L116" s="31">
        <f t="shared" si="13"/>
        <v>146739.68</v>
      </c>
      <c r="M116" s="31">
        <f t="shared" si="13"/>
        <v>34494.79</v>
      </c>
      <c r="N116" s="31">
        <f t="shared" si="13"/>
        <v>17929.39</v>
      </c>
      <c r="O116" s="31">
        <f t="shared" si="13"/>
        <v>77669.76999999999</v>
      </c>
      <c r="P116" s="31"/>
      <c r="Q116" s="37">
        <f t="shared" si="5"/>
        <v>34244.38</v>
      </c>
      <c r="R116" s="37">
        <f t="shared" si="5"/>
        <v>42269.38</v>
      </c>
      <c r="S116" s="31">
        <f t="shared" si="6"/>
        <v>912500.92</v>
      </c>
      <c r="T116" s="38">
        <f t="shared" si="7"/>
        <v>387940.63</v>
      </c>
    </row>
    <row r="117" spans="1:20" ht="12.75">
      <c r="A117" s="36" t="s">
        <v>32</v>
      </c>
      <c r="B117" s="32"/>
      <c r="C117" s="32"/>
      <c r="D117" s="32"/>
      <c r="E117" s="31">
        <f t="shared" si="12"/>
        <v>131884</v>
      </c>
      <c r="F117" s="31">
        <f t="shared" si="12"/>
        <v>48970</v>
      </c>
      <c r="G117" s="31">
        <f t="shared" si="12"/>
        <v>12513</v>
      </c>
      <c r="H117" s="31">
        <f t="shared" si="12"/>
        <v>325641.26</v>
      </c>
      <c r="I117" s="31"/>
      <c r="J117" s="31">
        <f t="shared" si="13"/>
        <v>18764.494</v>
      </c>
      <c r="K117" s="31">
        <f t="shared" si="13"/>
        <v>20958.21</v>
      </c>
      <c r="L117" s="31">
        <f t="shared" si="13"/>
        <v>146414.04</v>
      </c>
      <c r="M117" s="31">
        <f t="shared" si="13"/>
        <v>34430.19</v>
      </c>
      <c r="N117" s="31">
        <f t="shared" si="13"/>
        <v>17887.589999999997</v>
      </c>
      <c r="O117" s="31">
        <f t="shared" si="13"/>
        <v>77524.40999999999</v>
      </c>
      <c r="P117" s="31"/>
      <c r="Q117" s="37">
        <f t="shared" si="5"/>
        <v>34232.5</v>
      </c>
      <c r="R117" s="37">
        <f t="shared" si="5"/>
        <v>42664.38</v>
      </c>
      <c r="S117" s="31">
        <f t="shared" si="6"/>
        <v>911884.0739999999</v>
      </c>
      <c r="T117" s="38">
        <f t="shared" si="7"/>
        <v>387124.26</v>
      </c>
    </row>
    <row r="118" spans="1:20" ht="12.75">
      <c r="A118" s="36" t="s">
        <v>33</v>
      </c>
      <c r="B118" s="32"/>
      <c r="C118" s="32"/>
      <c r="D118" s="32"/>
      <c r="E118" s="31">
        <f t="shared" si="12"/>
        <v>131728</v>
      </c>
      <c r="F118" s="31">
        <f t="shared" si="12"/>
        <v>49665</v>
      </c>
      <c r="G118" s="31">
        <f t="shared" si="12"/>
        <v>13175</v>
      </c>
      <c r="H118" s="31">
        <f t="shared" si="12"/>
        <v>326718.76</v>
      </c>
      <c r="I118" s="31"/>
      <c r="J118" s="31">
        <f t="shared" si="13"/>
        <v>18719.78</v>
      </c>
      <c r="K118" s="31">
        <f t="shared" si="13"/>
        <v>20917.79</v>
      </c>
      <c r="L118" s="31">
        <f t="shared" si="13"/>
        <v>146082.66999999998</v>
      </c>
      <c r="M118" s="31">
        <f t="shared" si="13"/>
        <v>34364.97</v>
      </c>
      <c r="N118" s="31">
        <f t="shared" si="13"/>
        <v>17845.47</v>
      </c>
      <c r="O118" s="31">
        <f t="shared" si="13"/>
        <v>77377.95</v>
      </c>
      <c r="P118" s="31"/>
      <c r="Q118" s="37">
        <f t="shared" si="5"/>
        <v>34204.38</v>
      </c>
      <c r="R118" s="37">
        <f t="shared" si="5"/>
        <v>42538.75</v>
      </c>
      <c r="S118" s="31">
        <f t="shared" si="6"/>
        <v>913338.5199999999</v>
      </c>
      <c r="T118" s="38">
        <f t="shared" si="7"/>
        <v>389558.76</v>
      </c>
    </row>
    <row r="119" spans="1:20" ht="12.75">
      <c r="A119" s="36" t="s">
        <v>34</v>
      </c>
      <c r="B119" s="32"/>
      <c r="C119" s="32"/>
      <c r="D119" s="32"/>
      <c r="E119" s="31">
        <f t="shared" si="12"/>
        <v>131938</v>
      </c>
      <c r="F119" s="31">
        <f t="shared" si="12"/>
        <v>49293</v>
      </c>
      <c r="G119" s="31">
        <f t="shared" si="12"/>
        <v>12815</v>
      </c>
      <c r="H119" s="31">
        <f t="shared" si="12"/>
        <v>327138.13</v>
      </c>
      <c r="I119" s="31"/>
      <c r="J119" s="31">
        <f t="shared" si="13"/>
        <v>18674.160000000003</v>
      </c>
      <c r="K119" s="31">
        <f t="shared" si="13"/>
        <v>20876.960000000003</v>
      </c>
      <c r="L119" s="31">
        <f t="shared" si="13"/>
        <v>145745.47999999998</v>
      </c>
      <c r="M119" s="31">
        <f t="shared" si="13"/>
        <v>34299.08</v>
      </c>
      <c r="N119" s="31">
        <f t="shared" si="13"/>
        <v>17803.04</v>
      </c>
      <c r="O119" s="31">
        <f t="shared" si="13"/>
        <v>77230.40000000001</v>
      </c>
      <c r="P119" s="31"/>
      <c r="Q119" s="37">
        <f t="shared" si="5"/>
        <v>34160.009999999995</v>
      </c>
      <c r="R119" s="37">
        <f t="shared" si="5"/>
        <v>42399.38</v>
      </c>
      <c r="S119" s="31">
        <f t="shared" si="6"/>
        <v>912372.64</v>
      </c>
      <c r="T119" s="38">
        <f t="shared" si="7"/>
        <v>389246.13</v>
      </c>
    </row>
    <row r="120" spans="1:20" ht="12.75">
      <c r="A120" s="36" t="s">
        <v>35</v>
      </c>
      <c r="B120" s="32"/>
      <c r="C120" s="32"/>
      <c r="D120" s="32"/>
      <c r="E120" s="31">
        <f t="shared" si="12"/>
        <v>132494</v>
      </c>
      <c r="F120" s="31">
        <f t="shared" si="12"/>
        <v>48875</v>
      </c>
      <c r="G120" s="31">
        <f t="shared" si="12"/>
        <v>12455</v>
      </c>
      <c r="H120" s="31">
        <f t="shared" si="12"/>
        <v>328392.5</v>
      </c>
      <c r="I120" s="31"/>
      <c r="J120" s="31">
        <f t="shared" si="13"/>
        <v>9319.83</v>
      </c>
      <c r="K120" s="31">
        <f t="shared" si="13"/>
        <v>10423.039999999999</v>
      </c>
      <c r="L120" s="31">
        <f t="shared" si="13"/>
        <v>145402.36999999997</v>
      </c>
      <c r="M120" s="31">
        <f t="shared" si="13"/>
        <v>34232.53</v>
      </c>
      <c r="N120" s="31">
        <f t="shared" si="13"/>
        <v>17760.29</v>
      </c>
      <c r="O120" s="31">
        <f t="shared" si="13"/>
        <v>77081.74</v>
      </c>
      <c r="P120" s="31"/>
      <c r="Q120" s="37">
        <f t="shared" si="5"/>
        <v>34099.38</v>
      </c>
      <c r="R120" s="37">
        <f t="shared" si="5"/>
        <v>42246.259999999995</v>
      </c>
      <c r="S120" s="31">
        <f t="shared" si="6"/>
        <v>892781.9400000001</v>
      </c>
      <c r="T120" s="38">
        <f t="shared" si="7"/>
        <v>389722.5</v>
      </c>
    </row>
    <row r="121" spans="1:20" ht="12.75">
      <c r="A121" s="36" t="s">
        <v>36</v>
      </c>
      <c r="B121" s="32"/>
      <c r="C121" s="32"/>
      <c r="D121" s="32"/>
      <c r="E121" s="31">
        <f t="shared" si="12"/>
        <v>132395</v>
      </c>
      <c r="F121" s="31">
        <f t="shared" si="12"/>
        <v>49390</v>
      </c>
      <c r="G121" s="31">
        <f t="shared" si="12"/>
        <v>13073</v>
      </c>
      <c r="H121" s="31">
        <f t="shared" si="12"/>
        <v>328975</v>
      </c>
      <c r="I121" s="31"/>
      <c r="J121" s="31">
        <f t="shared" si="13"/>
        <v>0</v>
      </c>
      <c r="K121" s="31">
        <f t="shared" si="13"/>
        <v>0</v>
      </c>
      <c r="L121" s="31">
        <f t="shared" si="13"/>
        <v>145053.21</v>
      </c>
      <c r="M121" s="31">
        <f t="shared" si="13"/>
        <v>34165.31</v>
      </c>
      <c r="N121" s="31">
        <f t="shared" si="13"/>
        <v>17717.23</v>
      </c>
      <c r="O121" s="31">
        <f t="shared" si="13"/>
        <v>76931.95999999999</v>
      </c>
      <c r="P121" s="31"/>
      <c r="Q121" s="37">
        <f t="shared" si="5"/>
        <v>34022.5</v>
      </c>
      <c r="R121" s="37">
        <f t="shared" si="5"/>
        <v>42572.509999999995</v>
      </c>
      <c r="S121" s="31">
        <f t="shared" si="6"/>
        <v>874295.72</v>
      </c>
      <c r="T121" s="38">
        <f t="shared" si="7"/>
        <v>391438</v>
      </c>
    </row>
    <row r="122" spans="1:20" ht="12.75">
      <c r="A122" s="36" t="s">
        <v>37</v>
      </c>
      <c r="B122" s="32"/>
      <c r="C122" s="32"/>
      <c r="D122" s="32"/>
      <c r="E122" s="31">
        <f t="shared" si="12"/>
        <v>132641</v>
      </c>
      <c r="F122" s="31">
        <f t="shared" si="12"/>
        <v>48838</v>
      </c>
      <c r="G122" s="31">
        <f t="shared" si="12"/>
        <v>12667</v>
      </c>
      <c r="H122" s="31">
        <f t="shared" si="12"/>
        <v>329885.63</v>
      </c>
      <c r="I122" s="31"/>
      <c r="J122" s="31">
        <f t="shared" si="13"/>
        <v>0</v>
      </c>
      <c r="K122" s="31">
        <f t="shared" si="13"/>
        <v>0</v>
      </c>
      <c r="L122" s="31">
        <f t="shared" si="13"/>
        <v>72393.77</v>
      </c>
      <c r="M122" s="31">
        <f t="shared" si="13"/>
        <v>0</v>
      </c>
      <c r="N122" s="31">
        <f t="shared" si="13"/>
        <v>17673.829999999998</v>
      </c>
      <c r="O122" s="31">
        <f t="shared" si="13"/>
        <v>76781.05</v>
      </c>
      <c r="P122" s="31"/>
      <c r="Q122" s="37">
        <f t="shared" si="5"/>
        <v>33929.380000000005</v>
      </c>
      <c r="R122" s="37">
        <f t="shared" si="5"/>
        <v>42078.13</v>
      </c>
      <c r="S122" s="31">
        <f t="shared" si="6"/>
        <v>766887.79</v>
      </c>
      <c r="T122" s="38">
        <f t="shared" si="7"/>
        <v>391390.63</v>
      </c>
    </row>
    <row r="123" spans="1:20" ht="12.75">
      <c r="A123" s="36" t="s">
        <v>38</v>
      </c>
      <c r="B123" s="32"/>
      <c r="C123" s="32"/>
      <c r="D123" s="32"/>
      <c r="E123" s="31">
        <f t="shared" si="12"/>
        <v>133212</v>
      </c>
      <c r="F123" s="31">
        <f t="shared" si="12"/>
        <v>49217</v>
      </c>
      <c r="G123" s="31">
        <f t="shared" si="12"/>
        <v>13240</v>
      </c>
      <c r="H123" s="31">
        <f t="shared" si="12"/>
        <v>331110.63</v>
      </c>
      <c r="I123" s="31"/>
      <c r="J123" s="31">
        <f t="shared" si="13"/>
        <v>0</v>
      </c>
      <c r="K123" s="31">
        <f t="shared" si="13"/>
        <v>0</v>
      </c>
      <c r="L123" s="31">
        <f t="shared" si="13"/>
        <v>0</v>
      </c>
      <c r="M123" s="31">
        <f t="shared" si="13"/>
        <v>0</v>
      </c>
      <c r="N123" s="31">
        <f t="shared" si="13"/>
        <v>8820.539999999999</v>
      </c>
      <c r="O123" s="31">
        <f t="shared" si="13"/>
        <v>38333.58</v>
      </c>
      <c r="P123" s="31"/>
      <c r="Q123" s="37">
        <f aca="true" t="shared" si="14" ref="Q123:R140">+Q33+Q78</f>
        <v>34311.880000000005</v>
      </c>
      <c r="R123" s="37">
        <f t="shared" si="14"/>
        <v>42170</v>
      </c>
      <c r="S123" s="31">
        <f t="shared" si="6"/>
        <v>650415.63</v>
      </c>
      <c r="T123" s="38">
        <f t="shared" si="7"/>
        <v>393567.63</v>
      </c>
    </row>
    <row r="124" spans="1:20" ht="12.75">
      <c r="A124" s="36" t="s">
        <v>39</v>
      </c>
      <c r="B124" s="32"/>
      <c r="C124" s="32"/>
      <c r="D124" s="32"/>
      <c r="E124" s="31">
        <f t="shared" si="12"/>
        <v>133597</v>
      </c>
      <c r="F124" s="31">
        <f t="shared" si="12"/>
        <v>48530</v>
      </c>
      <c r="G124" s="31">
        <f t="shared" si="12"/>
        <v>12790</v>
      </c>
      <c r="H124" s="31">
        <f t="shared" si="12"/>
        <v>332143.13</v>
      </c>
      <c r="I124" s="31"/>
      <c r="J124" s="31">
        <f t="shared" si="13"/>
        <v>0</v>
      </c>
      <c r="K124" s="31">
        <f t="shared" si="13"/>
        <v>0</v>
      </c>
      <c r="L124" s="31">
        <f t="shared" si="13"/>
        <v>0</v>
      </c>
      <c r="M124" s="31">
        <f t="shared" si="13"/>
        <v>0</v>
      </c>
      <c r="N124" s="31">
        <f t="shared" si="13"/>
        <v>0</v>
      </c>
      <c r="O124" s="31">
        <f t="shared" si="13"/>
        <v>0</v>
      </c>
      <c r="P124" s="31"/>
      <c r="Q124" s="37">
        <f t="shared" si="14"/>
        <v>34170</v>
      </c>
      <c r="R124" s="37">
        <f t="shared" si="14"/>
        <v>42441.25</v>
      </c>
      <c r="S124" s="31">
        <f t="shared" si="6"/>
        <v>603671.38</v>
      </c>
      <c r="T124" s="38">
        <f t="shared" si="7"/>
        <v>393463.13</v>
      </c>
    </row>
    <row r="125" spans="1:20" ht="12.75">
      <c r="A125" s="36" t="s">
        <v>40</v>
      </c>
      <c r="B125" s="32"/>
      <c r="C125" s="32"/>
      <c r="D125" s="32"/>
      <c r="E125" s="31">
        <f t="shared" si="12"/>
        <v>133797</v>
      </c>
      <c r="F125" s="31">
        <f t="shared" si="12"/>
        <v>47797</v>
      </c>
      <c r="G125" s="31">
        <f t="shared" si="12"/>
        <v>12340</v>
      </c>
      <c r="H125" s="31">
        <f t="shared" si="12"/>
        <v>332983.13</v>
      </c>
      <c r="I125" s="31"/>
      <c r="J125" s="31">
        <f t="shared" si="13"/>
        <v>0</v>
      </c>
      <c r="K125" s="31">
        <f t="shared" si="13"/>
        <v>0</v>
      </c>
      <c r="L125" s="31">
        <f t="shared" si="13"/>
        <v>0</v>
      </c>
      <c r="M125" s="31">
        <f t="shared" si="13"/>
        <v>0</v>
      </c>
      <c r="N125" s="31">
        <f t="shared" si="13"/>
        <v>0</v>
      </c>
      <c r="O125" s="31">
        <f t="shared" si="13"/>
        <v>0</v>
      </c>
      <c r="P125" s="31"/>
      <c r="Q125" s="37">
        <f t="shared" si="14"/>
        <v>34011.880000000005</v>
      </c>
      <c r="R125" s="37">
        <f t="shared" si="14"/>
        <v>42191.880000000005</v>
      </c>
      <c r="S125" s="31">
        <f t="shared" si="6"/>
        <v>603120.89</v>
      </c>
      <c r="T125" s="38">
        <f t="shared" si="7"/>
        <v>393120.13</v>
      </c>
    </row>
    <row r="126" spans="1:20" ht="12.75">
      <c r="A126" s="36" t="s">
        <v>41</v>
      </c>
      <c r="B126" s="32"/>
      <c r="C126" s="32"/>
      <c r="D126" s="32"/>
      <c r="E126" s="31">
        <f t="shared" si="12"/>
        <v>133811</v>
      </c>
      <c r="F126" s="31">
        <f t="shared" si="12"/>
        <v>47997</v>
      </c>
      <c r="G126" s="31">
        <f t="shared" si="12"/>
        <v>12868</v>
      </c>
      <c r="H126" s="31">
        <f t="shared" si="12"/>
        <v>334123.75</v>
      </c>
      <c r="I126" s="31"/>
      <c r="J126" s="31">
        <f t="shared" si="13"/>
        <v>0</v>
      </c>
      <c r="K126" s="31">
        <f t="shared" si="13"/>
        <v>0</v>
      </c>
      <c r="L126" s="31">
        <f t="shared" si="13"/>
        <v>0</v>
      </c>
      <c r="M126" s="31">
        <f t="shared" si="13"/>
        <v>0</v>
      </c>
      <c r="N126" s="31">
        <f t="shared" si="13"/>
        <v>0</v>
      </c>
      <c r="O126" s="31">
        <f t="shared" si="13"/>
        <v>0</v>
      </c>
      <c r="P126" s="31"/>
      <c r="Q126" s="37">
        <f t="shared" si="14"/>
        <v>34329.380000000005</v>
      </c>
      <c r="R126" s="37">
        <f t="shared" si="14"/>
        <v>42421.880000000005</v>
      </c>
      <c r="S126" s="31">
        <f t="shared" si="6"/>
        <v>605551.01</v>
      </c>
      <c r="T126" s="38">
        <f t="shared" si="7"/>
        <v>394988.75</v>
      </c>
    </row>
    <row r="127" spans="1:20" ht="12.75">
      <c r="A127" s="36" t="s">
        <v>42</v>
      </c>
      <c r="B127" s="32"/>
      <c r="C127" s="32"/>
      <c r="D127" s="32"/>
      <c r="E127" s="31">
        <f t="shared" si="12"/>
        <v>134130</v>
      </c>
      <c r="F127" s="31">
        <f t="shared" si="12"/>
        <v>48107</v>
      </c>
      <c r="G127" s="31">
        <f t="shared" si="12"/>
        <v>12372</v>
      </c>
      <c r="H127" s="31">
        <f t="shared" si="12"/>
        <v>335058.135</v>
      </c>
      <c r="I127" s="31"/>
      <c r="J127" s="31">
        <f t="shared" si="13"/>
        <v>0</v>
      </c>
      <c r="K127" s="31">
        <f t="shared" si="13"/>
        <v>0</v>
      </c>
      <c r="L127" s="31">
        <f t="shared" si="13"/>
        <v>0</v>
      </c>
      <c r="M127" s="31">
        <f t="shared" si="13"/>
        <v>0</v>
      </c>
      <c r="N127" s="31">
        <f t="shared" si="13"/>
        <v>0</v>
      </c>
      <c r="O127" s="31"/>
      <c r="P127" s="31"/>
      <c r="Q127" s="37">
        <f t="shared" si="14"/>
        <v>34122.5</v>
      </c>
      <c r="R127" s="37">
        <f t="shared" si="14"/>
        <v>42131.25</v>
      </c>
      <c r="S127" s="31">
        <f t="shared" si="6"/>
        <v>605920.885</v>
      </c>
      <c r="T127" s="38">
        <f t="shared" si="7"/>
        <v>395537.135</v>
      </c>
    </row>
    <row r="128" spans="1:20" ht="12.75">
      <c r="A128" s="36" t="s">
        <v>43</v>
      </c>
      <c r="B128" s="32"/>
      <c r="C128" s="32"/>
      <c r="D128" s="32"/>
      <c r="E128" s="31">
        <f t="shared" si="12"/>
        <v>134731</v>
      </c>
      <c r="F128" s="31">
        <f t="shared" si="12"/>
        <v>48127</v>
      </c>
      <c r="G128" s="31">
        <f t="shared" si="12"/>
        <v>12855</v>
      </c>
      <c r="H128" s="31">
        <f t="shared" si="12"/>
        <v>336279.38</v>
      </c>
      <c r="I128" s="31"/>
      <c r="J128" s="31">
        <f aca="true" t="shared" si="15" ref="J128:K138">+J38+J83</f>
        <v>0</v>
      </c>
      <c r="K128" s="31">
        <f t="shared" si="15"/>
        <v>0</v>
      </c>
      <c r="L128" s="31"/>
      <c r="M128" s="31">
        <f aca="true" t="shared" si="16" ref="M128:N132">+M38+M83</f>
        <v>0</v>
      </c>
      <c r="N128" s="31">
        <f t="shared" si="16"/>
        <v>0</v>
      </c>
      <c r="O128" s="31"/>
      <c r="P128" s="31"/>
      <c r="Q128" s="37">
        <f t="shared" si="14"/>
        <v>34391.25</v>
      </c>
      <c r="R128" s="37">
        <f t="shared" si="14"/>
        <v>42320</v>
      </c>
      <c r="S128" s="31">
        <f t="shared" si="6"/>
        <v>608703.63</v>
      </c>
      <c r="T128" s="38">
        <f t="shared" si="7"/>
        <v>397261.38</v>
      </c>
    </row>
    <row r="129" spans="1:20" ht="12.75">
      <c r="A129" s="36" t="s">
        <v>44</v>
      </c>
      <c r="B129" s="32"/>
      <c r="C129" s="32"/>
      <c r="D129" s="32"/>
      <c r="E129" s="31">
        <f t="shared" si="12"/>
        <v>135105</v>
      </c>
      <c r="F129" s="31">
        <f t="shared" si="12"/>
        <v>48057</v>
      </c>
      <c r="G129" s="31">
        <f t="shared" si="12"/>
        <v>13292</v>
      </c>
      <c r="H129" s="31">
        <f t="shared" si="12"/>
        <v>337280.63</v>
      </c>
      <c r="I129" s="31"/>
      <c r="J129" s="31">
        <f t="shared" si="15"/>
        <v>0</v>
      </c>
      <c r="K129" s="31">
        <f t="shared" si="15"/>
        <v>0</v>
      </c>
      <c r="L129" s="31"/>
      <c r="M129" s="31">
        <f t="shared" si="16"/>
        <v>0</v>
      </c>
      <c r="N129" s="31">
        <f t="shared" si="16"/>
        <v>0</v>
      </c>
      <c r="O129" s="31"/>
      <c r="P129" s="31"/>
      <c r="Q129" s="37">
        <f t="shared" si="14"/>
        <v>34135.630000000005</v>
      </c>
      <c r="R129" s="37">
        <f t="shared" si="14"/>
        <v>42481.25</v>
      </c>
      <c r="S129" s="31">
        <f t="shared" si="6"/>
        <v>610351.51</v>
      </c>
      <c r="T129" s="38">
        <f t="shared" si="7"/>
        <v>398629.63</v>
      </c>
    </row>
    <row r="130" spans="1:20" ht="12.75">
      <c r="A130" s="36" t="s">
        <v>45</v>
      </c>
      <c r="B130" s="32"/>
      <c r="C130" s="32"/>
      <c r="D130" s="32"/>
      <c r="E130" s="31">
        <v>135743</v>
      </c>
      <c r="F130" s="31"/>
      <c r="G130" s="31"/>
      <c r="H130" s="31">
        <f aca="true" t="shared" si="17" ref="H130:H139">+H40+H85</f>
        <v>338555.01</v>
      </c>
      <c r="I130" s="31"/>
      <c r="J130" s="31">
        <f t="shared" si="15"/>
        <v>0</v>
      </c>
      <c r="K130" s="31">
        <f t="shared" si="15"/>
        <v>0</v>
      </c>
      <c r="L130" s="31"/>
      <c r="M130" s="31">
        <f t="shared" si="16"/>
        <v>0</v>
      </c>
      <c r="N130" s="31">
        <f t="shared" si="16"/>
        <v>0</v>
      </c>
      <c r="O130" s="31"/>
      <c r="P130" s="31"/>
      <c r="Q130" s="37">
        <f t="shared" si="14"/>
        <v>34355.630000000005</v>
      </c>
      <c r="R130" s="37">
        <f t="shared" si="14"/>
        <v>42121.880000000005</v>
      </c>
      <c r="S130" s="31">
        <f t="shared" si="6"/>
        <v>550775.52</v>
      </c>
      <c r="T130" s="38">
        <f t="shared" si="7"/>
        <v>338555.01</v>
      </c>
    </row>
    <row r="131" spans="1:20" ht="12.75">
      <c r="A131" s="36" t="s">
        <v>46</v>
      </c>
      <c r="B131" s="32"/>
      <c r="C131" s="32"/>
      <c r="D131" s="32"/>
      <c r="E131" s="31"/>
      <c r="F131" s="31"/>
      <c r="G131" s="31"/>
      <c r="H131" s="31">
        <f t="shared" si="17"/>
        <v>339595.63</v>
      </c>
      <c r="I131" s="31"/>
      <c r="J131" s="31">
        <f t="shared" si="15"/>
        <v>0</v>
      </c>
      <c r="K131" s="31">
        <f t="shared" si="15"/>
        <v>0</v>
      </c>
      <c r="L131" s="31"/>
      <c r="M131" s="31">
        <f t="shared" si="16"/>
        <v>0</v>
      </c>
      <c r="N131" s="31">
        <f t="shared" si="16"/>
        <v>0</v>
      </c>
      <c r="O131" s="31"/>
      <c r="P131" s="31"/>
      <c r="Q131" s="37">
        <f t="shared" si="14"/>
        <v>34051.25</v>
      </c>
      <c r="R131" s="37">
        <f t="shared" si="14"/>
        <v>42241.880000000005</v>
      </c>
      <c r="S131" s="31">
        <f t="shared" si="6"/>
        <v>415888.76</v>
      </c>
      <c r="T131" s="38">
        <f t="shared" si="7"/>
        <v>339595.63</v>
      </c>
    </row>
    <row r="132" spans="1:20" ht="12.75">
      <c r="A132" s="36" t="s">
        <v>61</v>
      </c>
      <c r="B132" s="32"/>
      <c r="C132" s="32"/>
      <c r="D132" s="32"/>
      <c r="E132" s="31"/>
      <c r="F132" s="31"/>
      <c r="G132" s="31"/>
      <c r="H132" s="31">
        <f t="shared" si="17"/>
        <v>340895.63</v>
      </c>
      <c r="I132" s="31"/>
      <c r="J132" s="31">
        <f t="shared" si="15"/>
        <v>0</v>
      </c>
      <c r="K132" s="31">
        <f t="shared" si="15"/>
        <v>0</v>
      </c>
      <c r="L132" s="31"/>
      <c r="M132" s="31">
        <f t="shared" si="16"/>
        <v>0</v>
      </c>
      <c r="N132" s="31">
        <f t="shared" si="16"/>
        <v>0</v>
      </c>
      <c r="O132" s="31"/>
      <c r="P132" s="31"/>
      <c r="Q132" s="37">
        <f t="shared" si="14"/>
        <v>34222.5</v>
      </c>
      <c r="R132" s="37">
        <f t="shared" si="14"/>
        <v>42334.380000000005</v>
      </c>
      <c r="S132" s="31">
        <f t="shared" si="6"/>
        <v>417452.51</v>
      </c>
      <c r="T132" s="38">
        <f t="shared" si="7"/>
        <v>340895.63</v>
      </c>
    </row>
    <row r="133" spans="1:20" ht="12.75">
      <c r="A133" s="36" t="s">
        <v>62</v>
      </c>
      <c r="B133" s="32"/>
      <c r="C133" s="32"/>
      <c r="D133" s="32"/>
      <c r="E133" s="31"/>
      <c r="F133" s="31"/>
      <c r="G133" s="31"/>
      <c r="H133" s="31">
        <f t="shared" si="17"/>
        <v>342441.26</v>
      </c>
      <c r="I133" s="31"/>
      <c r="J133" s="31">
        <f t="shared" si="15"/>
        <v>0</v>
      </c>
      <c r="K133" s="31">
        <f t="shared" si="15"/>
        <v>0</v>
      </c>
      <c r="L133" s="31"/>
      <c r="M133" s="31"/>
      <c r="N133" s="31"/>
      <c r="O133" s="31"/>
      <c r="P133" s="31"/>
      <c r="Q133" s="37">
        <f t="shared" si="14"/>
        <v>34361.25</v>
      </c>
      <c r="R133" s="37">
        <f t="shared" si="14"/>
        <v>42399.38</v>
      </c>
      <c r="S133" s="31">
        <f t="shared" si="6"/>
        <v>419201.89</v>
      </c>
      <c r="T133" s="38">
        <f t="shared" si="7"/>
        <v>342441.26</v>
      </c>
    </row>
    <row r="134" spans="1:20" ht="12.75">
      <c r="A134" s="36" t="s">
        <v>63</v>
      </c>
      <c r="B134" s="32"/>
      <c r="C134" s="32"/>
      <c r="D134" s="32"/>
      <c r="E134" s="31"/>
      <c r="F134" s="31"/>
      <c r="G134" s="31"/>
      <c r="H134" s="31">
        <f t="shared" si="17"/>
        <v>343725.63</v>
      </c>
      <c r="I134" s="31"/>
      <c r="J134" s="31">
        <f t="shared" si="15"/>
        <v>0</v>
      </c>
      <c r="K134" s="31">
        <f t="shared" si="15"/>
        <v>0</v>
      </c>
      <c r="L134" s="31"/>
      <c r="M134" s="31"/>
      <c r="N134" s="31"/>
      <c r="O134" s="31"/>
      <c r="P134" s="31"/>
      <c r="Q134" s="37">
        <f t="shared" si="14"/>
        <v>34467.5</v>
      </c>
      <c r="R134" s="37">
        <f t="shared" si="14"/>
        <v>42436.88</v>
      </c>
      <c r="S134" s="31">
        <f t="shared" si="6"/>
        <v>420630.01</v>
      </c>
      <c r="T134" s="38">
        <f t="shared" si="7"/>
        <v>343725.63</v>
      </c>
    </row>
    <row r="135" spans="1:20" ht="12.75">
      <c r="A135" s="36" t="s">
        <v>64</v>
      </c>
      <c r="B135" s="32"/>
      <c r="C135" s="32"/>
      <c r="D135" s="32"/>
      <c r="E135" s="31"/>
      <c r="F135" s="31"/>
      <c r="G135" s="31"/>
      <c r="H135" s="31">
        <f t="shared" si="17"/>
        <v>344748.75</v>
      </c>
      <c r="I135" s="31"/>
      <c r="J135" s="31">
        <f t="shared" si="15"/>
        <v>0</v>
      </c>
      <c r="K135" s="31">
        <f t="shared" si="15"/>
        <v>0</v>
      </c>
      <c r="L135" s="31"/>
      <c r="M135" s="31"/>
      <c r="N135" s="31"/>
      <c r="O135" s="31"/>
      <c r="P135" s="31"/>
      <c r="Q135" s="37">
        <f t="shared" si="14"/>
        <v>34541.25</v>
      </c>
      <c r="R135" s="37">
        <f t="shared" si="14"/>
        <v>42446.88</v>
      </c>
      <c r="S135" s="31">
        <f t="shared" si="6"/>
        <v>421736.88</v>
      </c>
      <c r="T135" s="38">
        <f t="shared" si="7"/>
        <v>344748.75</v>
      </c>
    </row>
    <row r="136" spans="1:20" ht="12.75">
      <c r="A136" s="36" t="s">
        <v>65</v>
      </c>
      <c r="B136" s="32"/>
      <c r="C136" s="32"/>
      <c r="D136" s="32"/>
      <c r="E136" s="31"/>
      <c r="F136" s="31"/>
      <c r="G136" s="31"/>
      <c r="H136" s="31">
        <f t="shared" si="17"/>
        <v>346496.88</v>
      </c>
      <c r="I136" s="31"/>
      <c r="J136" s="31">
        <f t="shared" si="15"/>
        <v>0</v>
      </c>
      <c r="K136" s="31">
        <f t="shared" si="15"/>
        <v>0</v>
      </c>
      <c r="L136" s="31"/>
      <c r="M136" s="31"/>
      <c r="N136" s="31"/>
      <c r="O136" s="31"/>
      <c r="P136" s="31"/>
      <c r="Q136" s="37">
        <f t="shared" si="14"/>
        <v>34582.5</v>
      </c>
      <c r="R136" s="37">
        <f t="shared" si="14"/>
        <v>42429.38</v>
      </c>
      <c r="S136" s="31">
        <f t="shared" si="6"/>
        <v>423508.76</v>
      </c>
      <c r="T136" s="38">
        <f t="shared" si="7"/>
        <v>346496.88</v>
      </c>
    </row>
    <row r="137" spans="1:20" ht="12.75">
      <c r="A137" s="36" t="s">
        <v>66</v>
      </c>
      <c r="B137" s="32"/>
      <c r="C137" s="32"/>
      <c r="D137" s="32"/>
      <c r="E137" s="31"/>
      <c r="F137" s="31"/>
      <c r="G137" s="31"/>
      <c r="H137" s="31">
        <f t="shared" si="17"/>
        <v>347956.26</v>
      </c>
      <c r="I137" s="31"/>
      <c r="J137" s="31">
        <f t="shared" si="15"/>
        <v>0</v>
      </c>
      <c r="K137" s="31">
        <f t="shared" si="15"/>
        <v>0</v>
      </c>
      <c r="L137" s="31"/>
      <c r="M137" s="31"/>
      <c r="N137" s="31"/>
      <c r="O137" s="31"/>
      <c r="P137" s="31"/>
      <c r="Q137" s="37">
        <f t="shared" si="14"/>
        <v>34591.25</v>
      </c>
      <c r="R137" s="37">
        <f t="shared" si="14"/>
        <v>42384.38</v>
      </c>
      <c r="S137" s="31">
        <f t="shared" si="6"/>
        <v>424931.89</v>
      </c>
      <c r="T137" s="38">
        <f t="shared" si="7"/>
        <v>347956.26</v>
      </c>
    </row>
    <row r="138" spans="1:20" ht="12.75">
      <c r="A138" s="36" t="s">
        <v>72</v>
      </c>
      <c r="B138" s="32"/>
      <c r="C138" s="32"/>
      <c r="D138" s="32"/>
      <c r="E138" s="31"/>
      <c r="F138" s="31"/>
      <c r="G138" s="31"/>
      <c r="H138" s="31">
        <f t="shared" si="17"/>
        <v>345181.88</v>
      </c>
      <c r="I138" s="31"/>
      <c r="J138" s="31">
        <f t="shared" si="15"/>
        <v>0</v>
      </c>
      <c r="K138" s="31">
        <f t="shared" si="15"/>
        <v>0</v>
      </c>
      <c r="L138" s="31"/>
      <c r="M138" s="31"/>
      <c r="N138" s="31"/>
      <c r="O138" s="31"/>
      <c r="P138" s="31"/>
      <c r="Q138" s="37">
        <f t="shared" si="14"/>
        <v>34567.5</v>
      </c>
      <c r="R138" s="37">
        <f t="shared" si="14"/>
        <v>42311.88</v>
      </c>
      <c r="S138" s="31">
        <f t="shared" si="6"/>
        <v>422061.26</v>
      </c>
      <c r="T138" s="38">
        <f>+F141+G141+H138+I138</f>
        <v>345181.88</v>
      </c>
    </row>
    <row r="139" spans="1:20" ht="12.75">
      <c r="A139" s="36" t="s">
        <v>83</v>
      </c>
      <c r="B139" s="32"/>
      <c r="C139" s="32"/>
      <c r="D139" s="32"/>
      <c r="E139" s="31"/>
      <c r="F139" s="31"/>
      <c r="G139" s="31"/>
      <c r="H139" s="31">
        <f t="shared" si="17"/>
        <v>0</v>
      </c>
      <c r="I139" s="31"/>
      <c r="J139" s="31">
        <f>+J50+J94</f>
        <v>0</v>
      </c>
      <c r="K139" s="31">
        <f>+K50+K94</f>
        <v>0</v>
      </c>
      <c r="L139" s="31"/>
      <c r="M139" s="31"/>
      <c r="N139" s="31"/>
      <c r="O139" s="31"/>
      <c r="P139" s="31"/>
      <c r="Q139" s="37">
        <f t="shared" si="14"/>
        <v>34511.25</v>
      </c>
      <c r="R139" s="37">
        <f t="shared" si="14"/>
        <v>42211.88</v>
      </c>
      <c r="S139" s="31">
        <f t="shared" si="6"/>
        <v>76723.13</v>
      </c>
      <c r="T139" s="38">
        <f>+F142+G142+H139+I139</f>
        <v>0</v>
      </c>
    </row>
    <row r="140" spans="1:20" ht="12.75">
      <c r="A140" s="36" t="s">
        <v>84</v>
      </c>
      <c r="B140" s="32"/>
      <c r="C140" s="32"/>
      <c r="D140" s="32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7">
        <f t="shared" si="14"/>
        <v>30487.5</v>
      </c>
      <c r="R140" s="37">
        <f t="shared" si="14"/>
        <v>42577.5</v>
      </c>
      <c r="S140" s="31">
        <f t="shared" si="6"/>
        <v>73065</v>
      </c>
      <c r="T140" s="38">
        <f>+F143+G143+H140+I140</f>
        <v>0</v>
      </c>
    </row>
    <row r="141" spans="1:20" ht="12.75">
      <c r="A141" s="36"/>
      <c r="B141" s="32"/>
      <c r="C141" s="32"/>
      <c r="D141" s="32"/>
      <c r="E141" s="31"/>
      <c r="F141" s="31"/>
      <c r="G141" s="31"/>
      <c r="H141" s="32"/>
      <c r="I141" s="32"/>
      <c r="J141" s="32"/>
      <c r="K141" s="32"/>
      <c r="L141" s="32"/>
      <c r="M141" s="32"/>
      <c r="N141" s="32"/>
      <c r="O141" s="32"/>
      <c r="P141" s="32"/>
      <c r="Q141" s="37"/>
      <c r="R141" s="37"/>
      <c r="S141" s="32"/>
      <c r="T141" s="32"/>
    </row>
    <row r="142" spans="1:20" ht="12.75">
      <c r="A142" s="36"/>
      <c r="B142" s="32"/>
      <c r="C142" s="32"/>
      <c r="D142" s="32"/>
      <c r="E142" s="31"/>
      <c r="F142" s="31"/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6"/>
      <c r="B143" s="32"/>
      <c r="C143" s="32"/>
      <c r="D143" s="32"/>
      <c r="E143" s="39"/>
      <c r="F143" s="31">
        <f>+F40+F85</f>
        <v>0</v>
      </c>
      <c r="G143" s="31">
        <f>+G40+G85</f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>
        <f>SUM(B143:G143)</f>
        <v>0</v>
      </c>
      <c r="T143" s="38">
        <f>+F143+G143+H143+I143</f>
        <v>0</v>
      </c>
    </row>
    <row r="144" spans="1:20" ht="13.5" thickBot="1">
      <c r="A144" s="32"/>
      <c r="B144" s="40">
        <f>SUM(B103:B110)</f>
        <v>1085467.5</v>
      </c>
      <c r="C144" s="40">
        <f>SUM(C103:C110)</f>
        <v>0</v>
      </c>
      <c r="D144" s="40">
        <f>SUM(D103:D110)</f>
        <v>1386205</v>
      </c>
      <c r="E144" s="40">
        <f>SUM(E103:E143)</f>
        <v>3692260</v>
      </c>
      <c r="F144" s="40">
        <f>SUM(F103:F110)</f>
        <v>396012</v>
      </c>
      <c r="G144" s="40">
        <f>SUM(G103:G142)</f>
        <v>346823</v>
      </c>
      <c r="H144" s="40">
        <f>SUM(H103:H143)</f>
        <v>11885558.275000002</v>
      </c>
      <c r="I144" s="40">
        <f>SUM(I103:I110)</f>
        <v>736545</v>
      </c>
      <c r="J144" s="40">
        <f aca="true" t="shared" si="18" ref="J144:T144">SUM(J103:J143)</f>
        <v>332687.19600000005</v>
      </c>
      <c r="K144" s="40">
        <f t="shared" si="18"/>
        <v>370618.1</v>
      </c>
      <c r="L144" s="40">
        <f t="shared" si="18"/>
        <v>2882648.76</v>
      </c>
      <c r="M144" s="40">
        <f t="shared" si="18"/>
        <v>677586.2799999998</v>
      </c>
      <c r="N144" s="40">
        <f t="shared" si="18"/>
        <v>361007.54999999993</v>
      </c>
      <c r="O144" s="40">
        <f t="shared" si="18"/>
        <v>1561248.0899999999</v>
      </c>
      <c r="P144" s="40">
        <f t="shared" si="18"/>
        <v>0</v>
      </c>
      <c r="Q144" s="40">
        <f t="shared" si="18"/>
        <v>1295703.86</v>
      </c>
      <c r="R144" s="40">
        <f t="shared" si="18"/>
        <v>1610997.6599999992</v>
      </c>
      <c r="S144" s="40">
        <f t="shared" si="18"/>
        <v>29551465.27100001</v>
      </c>
      <c r="T144" s="40">
        <f t="shared" si="18"/>
        <v>14295035.275000006</v>
      </c>
    </row>
    <row r="145" spans="1:20" ht="13.5" thickTop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</sheetData>
  <sheetProtection/>
  <mergeCells count="3">
    <mergeCell ref="Q10:R10"/>
    <mergeCell ref="Q55:R55"/>
    <mergeCell ref="Q101:R101"/>
  </mergeCells>
  <printOptions/>
  <pageMargins left="0.7" right="0.7" top="0.75" bottom="0.75" header="0.3" footer="0.3"/>
  <pageSetup fitToHeight="1" fitToWidth="1" horizontalDpi="600" verticalDpi="600" orientation="landscape" scale="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zoomScalePageLayoutView="0" workbookViewId="0" topLeftCell="A1">
      <selection activeCell="I15" sqref="I15"/>
    </sheetView>
  </sheetViews>
  <sheetFormatPr defaultColWidth="11.7109375" defaultRowHeight="12.75"/>
  <cols>
    <col min="1" max="19" width="11.7109375" style="2" customWidth="1"/>
    <col min="20" max="20" width="14.140625" style="2" customWidth="1"/>
    <col min="21" max="21" width="15.57421875" style="2" bestFit="1" customWidth="1"/>
    <col min="22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3" t="s">
        <v>2</v>
      </c>
    </row>
    <row r="10" spans="1:19" ht="12.75">
      <c r="A10" s="1"/>
      <c r="R10" s="67"/>
      <c r="S10" s="67"/>
    </row>
    <row r="11" spans="1:20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71</v>
      </c>
      <c r="K11" s="14" t="s">
        <v>73</v>
      </c>
      <c r="L11" s="14" t="s">
        <v>85</v>
      </c>
      <c r="M11" s="14" t="s">
        <v>86</v>
      </c>
      <c r="N11" s="14" t="s">
        <v>89</v>
      </c>
      <c r="O11" s="14" t="s">
        <v>90</v>
      </c>
      <c r="P11" s="14" t="s">
        <v>91</v>
      </c>
      <c r="Q11" s="14" t="s">
        <v>78</v>
      </c>
      <c r="R11" s="14" t="s">
        <v>76</v>
      </c>
      <c r="S11" s="14" t="s">
        <v>77</v>
      </c>
      <c r="T11" s="14" t="s">
        <v>11</v>
      </c>
    </row>
    <row r="12" spans="1:20" ht="12.75">
      <c r="A12" s="6"/>
      <c r="B12" s="7"/>
      <c r="C12" s="7"/>
      <c r="D12" s="7"/>
      <c r="E12" s="7"/>
      <c r="F12" s="7"/>
      <c r="G12" s="7"/>
      <c r="T12" s="7"/>
    </row>
    <row r="13" spans="1:20" ht="15">
      <c r="A13" s="6" t="s">
        <v>19</v>
      </c>
      <c r="B13" s="7">
        <f>32735.39+33099.29+33467.24+33839.28</f>
        <v>133141.19999999998</v>
      </c>
      <c r="C13" s="7"/>
      <c r="D13" s="7">
        <v>172316</v>
      </c>
      <c r="E13" s="8">
        <v>42000</v>
      </c>
      <c r="F13" s="7">
        <v>16000</v>
      </c>
      <c r="G13" s="7">
        <v>4000</v>
      </c>
      <c r="H13" s="19">
        <v>116000</v>
      </c>
      <c r="I13" s="19">
        <v>170000</v>
      </c>
      <c r="J13" s="19">
        <f>7895.65+7935.13</f>
        <v>15830.779999999999</v>
      </c>
      <c r="K13" s="19">
        <f>8832.48+8876.64</f>
        <v>17709.12</v>
      </c>
      <c r="L13" s="19">
        <f>52380.8+52839.13</f>
        <v>105219.93</v>
      </c>
      <c r="M13" s="19">
        <f>14253.79+14325.06</f>
        <v>28578.85</v>
      </c>
      <c r="N13" s="19">
        <f>7613.04+7641.59</f>
        <v>15254.630000000001</v>
      </c>
      <c r="O13" s="19">
        <f>33094.07+33218.17</f>
        <v>66312.23999999999</v>
      </c>
      <c r="P13" s="19">
        <v>14224.38</v>
      </c>
      <c r="Q13" s="19"/>
      <c r="R13" s="19">
        <v>10500</v>
      </c>
      <c r="S13" s="19">
        <v>15500</v>
      </c>
      <c r="T13" s="7">
        <f aca="true" t="shared" si="0" ref="T13:T49">SUM(B13:S13)</f>
        <v>942587.13</v>
      </c>
    </row>
    <row r="14" spans="1:20" ht="15">
      <c r="A14" s="6" t="s">
        <v>20</v>
      </c>
      <c r="B14" s="8">
        <f>34215.45+34595.8+34980.39+35369.24</f>
        <v>139160.88</v>
      </c>
      <c r="C14" s="8"/>
      <c r="D14" s="8">
        <v>174044</v>
      </c>
      <c r="E14" s="8">
        <v>44000</v>
      </c>
      <c r="F14" s="8">
        <v>17000</v>
      </c>
      <c r="G14" s="8">
        <v>4000</v>
      </c>
      <c r="H14" s="19">
        <v>120000</v>
      </c>
      <c r="I14" s="19">
        <v>170000</v>
      </c>
      <c r="J14" s="19">
        <f>7974.81+8014.68</f>
        <v>15989.490000000002</v>
      </c>
      <c r="K14" s="19">
        <f>8921.02+8965.63</f>
        <v>17886.65</v>
      </c>
      <c r="L14" s="19">
        <f>53301.47+53767.86</f>
        <v>107069.33</v>
      </c>
      <c r="M14" s="19">
        <f>14396.69+14468.67</f>
        <v>28865.36</v>
      </c>
      <c r="N14" s="19">
        <f>7670.24+7699.01</f>
        <v>15369.25</v>
      </c>
      <c r="O14" s="19">
        <f>33342.74+33467.78</f>
        <v>66810.51999999999</v>
      </c>
      <c r="P14" s="19">
        <f>14337.87+14391.63</f>
        <v>28729.5</v>
      </c>
      <c r="Q14" s="19">
        <v>3240707</v>
      </c>
      <c r="R14" s="19">
        <v>10500</v>
      </c>
      <c r="S14" s="19">
        <v>16000</v>
      </c>
      <c r="T14" s="7">
        <f t="shared" si="0"/>
        <v>4216131.98</v>
      </c>
    </row>
    <row r="15" spans="1:20" ht="15">
      <c r="A15" s="6" t="s">
        <v>21</v>
      </c>
      <c r="B15" s="8">
        <f>35762.42+36159.98+36561.95+36968.39</f>
        <v>145452.74</v>
      </c>
      <c r="C15" s="8"/>
      <c r="D15" s="8">
        <v>175789</v>
      </c>
      <c r="E15" s="8">
        <v>46000</v>
      </c>
      <c r="F15" s="8">
        <v>17000</v>
      </c>
      <c r="G15" s="8">
        <v>5000</v>
      </c>
      <c r="H15" s="19">
        <v>124000</v>
      </c>
      <c r="I15" s="19">
        <v>175000</v>
      </c>
      <c r="J15" s="19">
        <f>8054.75+8095.03</f>
        <v>16149.779999999999</v>
      </c>
      <c r="K15" s="19">
        <f>9010.45+9055.51</f>
        <v>18065.96</v>
      </c>
      <c r="L15" s="19">
        <f>54238.33+54712.91</f>
        <v>108951.24</v>
      </c>
      <c r="M15" s="19">
        <f>14541.01+14613.73</f>
        <v>29154.739999999998</v>
      </c>
      <c r="N15" s="19">
        <f>7727.88+7756.86</f>
        <v>15484.74</v>
      </c>
      <c r="O15" s="19">
        <f>33593.28+33719.25</f>
        <v>67312.53</v>
      </c>
      <c r="P15" s="19">
        <f>14445.6+14499.77</f>
        <v>28945.370000000003</v>
      </c>
      <c r="Q15" s="19"/>
      <c r="R15" s="19">
        <v>11000</v>
      </c>
      <c r="S15" s="19">
        <v>16500</v>
      </c>
      <c r="T15" s="7">
        <f t="shared" si="0"/>
        <v>999806.1</v>
      </c>
    </row>
    <row r="16" spans="1:20" ht="15">
      <c r="A16" s="6" t="s">
        <v>22</v>
      </c>
      <c r="B16" s="8">
        <f>37379.34+37794.87+38215.01+38639.83</f>
        <v>152029.05</v>
      </c>
      <c r="C16" s="8"/>
      <c r="D16" s="8">
        <v>177551</v>
      </c>
      <c r="E16" s="8">
        <v>48000</v>
      </c>
      <c r="F16" s="8">
        <v>18000</v>
      </c>
      <c r="G16" s="8">
        <v>5000</v>
      </c>
      <c r="H16" s="19">
        <v>128000</v>
      </c>
      <c r="I16" s="19">
        <v>15000</v>
      </c>
      <c r="J16" s="19">
        <f>8135.5+8176.18</f>
        <v>16311.68</v>
      </c>
      <c r="K16" s="19">
        <f>9100.78+9146.29</f>
        <v>18247.07</v>
      </c>
      <c r="L16" s="19">
        <f>55191.65+55674.58</f>
        <v>110866.23000000001</v>
      </c>
      <c r="M16" s="19">
        <f>14686.79+14760.23</f>
        <v>29447.02</v>
      </c>
      <c r="N16" s="19">
        <f>7785.94+7815.14</f>
        <v>15601.08</v>
      </c>
      <c r="O16" s="19">
        <f>33845.7+33972.62</f>
        <v>67818.32</v>
      </c>
      <c r="P16" s="19">
        <f>14554.14+14608.72</f>
        <v>29162.86</v>
      </c>
      <c r="Q16" s="19"/>
      <c r="R16" s="19">
        <v>11500</v>
      </c>
      <c r="S16" s="19">
        <v>17000</v>
      </c>
      <c r="T16" s="7">
        <f t="shared" si="0"/>
        <v>859534.3099999999</v>
      </c>
    </row>
    <row r="17" spans="1:20" ht="15">
      <c r="A17" s="6" t="s">
        <v>23</v>
      </c>
      <c r="B17" s="8">
        <f>39069.37+39503.68+39942.82+40386.85</f>
        <v>158902.72</v>
      </c>
      <c r="C17" s="8"/>
      <c r="D17" s="8">
        <v>179331</v>
      </c>
      <c r="E17" s="8">
        <v>50500</v>
      </c>
      <c r="F17" s="8">
        <v>19000</v>
      </c>
      <c r="G17" s="8">
        <v>5000</v>
      </c>
      <c r="H17" s="19">
        <v>132000</v>
      </c>
      <c r="I17" s="19"/>
      <c r="J17" s="19">
        <f>8217.06+8258.15</f>
        <v>16475.21</v>
      </c>
      <c r="K17" s="19">
        <f>9192.02+9237.98</f>
        <v>18430</v>
      </c>
      <c r="L17" s="19">
        <f>56161.73+56653.14</f>
        <v>112814.87</v>
      </c>
      <c r="M17" s="19">
        <f>14834.03+14908.19</f>
        <v>29742.22</v>
      </c>
      <c r="N17" s="19">
        <f>7844.45+7873.87</f>
        <v>15718.32</v>
      </c>
      <c r="O17" s="19">
        <f>34100.02+34227.9</f>
        <v>68327.92</v>
      </c>
      <c r="P17" s="19">
        <f>14663.5+14718.49</f>
        <v>29381.989999999998</v>
      </c>
      <c r="Q17" s="19"/>
      <c r="R17" s="19">
        <v>11500</v>
      </c>
      <c r="S17" s="19">
        <v>17500</v>
      </c>
      <c r="T17" s="7">
        <f t="shared" si="0"/>
        <v>864624.2499999999</v>
      </c>
    </row>
    <row r="18" spans="1:20" ht="15">
      <c r="A18" s="6" t="s">
        <v>24</v>
      </c>
      <c r="B18" s="8">
        <f>40835.8+41289.81</f>
        <v>82125.61</v>
      </c>
      <c r="C18" s="8"/>
      <c r="D18" s="8">
        <v>181129</v>
      </c>
      <c r="E18" s="8">
        <v>52500</v>
      </c>
      <c r="F18" s="8">
        <v>20000</v>
      </c>
      <c r="G18" s="8">
        <v>5000</v>
      </c>
      <c r="H18" s="19">
        <v>136500</v>
      </c>
      <c r="I18" s="19"/>
      <c r="J18" s="19">
        <f>8299.44+8340.93</f>
        <v>16640.370000000003</v>
      </c>
      <c r="K18" s="19">
        <f>9284.17+9330.59</f>
        <v>18614.760000000002</v>
      </c>
      <c r="L18" s="19">
        <f>57148.86+57648.91</f>
        <v>114797.77</v>
      </c>
      <c r="M18" s="19">
        <f>14982.74+15057.65</f>
        <v>30040.39</v>
      </c>
      <c r="N18" s="19">
        <f>7903.39+7933.03</f>
        <v>15836.42</v>
      </c>
      <c r="O18" s="19">
        <f>34356.25+34485.09</f>
        <v>68841.34</v>
      </c>
      <c r="P18" s="19">
        <f>14773.68+14829.09</f>
        <v>29602.77</v>
      </c>
      <c r="Q18" s="19"/>
      <c r="R18" s="19">
        <v>12000</v>
      </c>
      <c r="S18" s="19">
        <v>18000</v>
      </c>
      <c r="T18" s="7">
        <f t="shared" si="0"/>
        <v>801628.43</v>
      </c>
    </row>
    <row r="19" spans="1:20" ht="15">
      <c r="A19" s="6" t="s">
        <v>25</v>
      </c>
      <c r="B19" s="8"/>
      <c r="C19" s="8"/>
      <c r="D19" s="8">
        <v>91243</v>
      </c>
      <c r="E19" s="8">
        <v>55000</v>
      </c>
      <c r="F19" s="8">
        <v>21000</v>
      </c>
      <c r="G19" s="8">
        <v>5000</v>
      </c>
      <c r="H19" s="19">
        <v>141000</v>
      </c>
      <c r="I19" s="19"/>
      <c r="J19" s="19">
        <f>8382.64+8424.55</f>
        <v>16807.19</v>
      </c>
      <c r="K19" s="19">
        <f>9377.24+9424.13</f>
        <v>18801.37</v>
      </c>
      <c r="L19" s="19">
        <f>58153.34+58662.18</f>
        <v>116815.51999999999</v>
      </c>
      <c r="M19" s="19">
        <f>15132.94+15208.6</f>
        <v>30341.54</v>
      </c>
      <c r="N19" s="19">
        <f>7962.78+7992.64</f>
        <v>15955.42</v>
      </c>
      <c r="O19" s="19">
        <f>34614.4+34744.21</f>
        <v>69358.61</v>
      </c>
      <c r="P19" s="19">
        <f>14884.7+14940.51</f>
        <v>29825.21</v>
      </c>
      <c r="Q19" s="19"/>
      <c r="R19" s="19">
        <v>12500</v>
      </c>
      <c r="S19" s="19">
        <v>18500</v>
      </c>
      <c r="T19" s="7">
        <f t="shared" si="0"/>
        <v>642147.8599999999</v>
      </c>
    </row>
    <row r="20" spans="1:20" ht="15">
      <c r="A20" s="6" t="s">
        <v>26</v>
      </c>
      <c r="B20" s="8"/>
      <c r="C20" s="8"/>
      <c r="D20" s="8"/>
      <c r="E20" s="8">
        <v>57500</v>
      </c>
      <c r="F20" s="8">
        <v>22000</v>
      </c>
      <c r="G20" s="8">
        <v>6000</v>
      </c>
      <c r="H20" s="19">
        <v>145500</v>
      </c>
      <c r="I20" s="19"/>
      <c r="J20" s="19">
        <f>8466.68+8509.01</f>
        <v>16975.690000000002</v>
      </c>
      <c r="K20" s="19">
        <f>9471.25+9518.61</f>
        <v>18989.86</v>
      </c>
      <c r="L20" s="19">
        <f>59175.48+59693.26</f>
        <v>118868.74</v>
      </c>
      <c r="M20" s="19">
        <f>15284.65+15361.07</f>
        <v>30645.72</v>
      </c>
      <c r="N20" s="19">
        <f>8022.61+8052.7</f>
        <v>16075.31</v>
      </c>
      <c r="O20" s="19">
        <f>34874.5+35005.28</f>
        <v>69879.78</v>
      </c>
      <c r="P20" s="19">
        <f>14996.54+15052.78</f>
        <v>30049.32</v>
      </c>
      <c r="Q20" s="19"/>
      <c r="R20" s="19">
        <v>13000</v>
      </c>
      <c r="S20" s="19">
        <v>19000</v>
      </c>
      <c r="T20" s="7">
        <f t="shared" si="0"/>
        <v>564484.4199999999</v>
      </c>
    </row>
    <row r="21" spans="1:20" ht="15">
      <c r="A21" s="6" t="s">
        <v>27</v>
      </c>
      <c r="B21" s="8"/>
      <c r="C21" s="8"/>
      <c r="D21" s="8"/>
      <c r="E21" s="8">
        <v>60000</v>
      </c>
      <c r="F21" s="8">
        <v>23000</v>
      </c>
      <c r="G21" s="8">
        <v>6000</v>
      </c>
      <c r="H21" s="19">
        <v>150000</v>
      </c>
      <c r="I21" s="19"/>
      <c r="J21" s="19">
        <f>8551.55+8594.31</f>
        <v>17145.86</v>
      </c>
      <c r="K21" s="19">
        <f>9566.25+9614.03</f>
        <v>19180.28</v>
      </c>
      <c r="L21" s="19">
        <f>60215.58+60742.46</f>
        <v>120958.04000000001</v>
      </c>
      <c r="M21" s="19">
        <f>15437.88+15515.06</f>
        <v>30952.94</v>
      </c>
      <c r="N21" s="19">
        <f>8082.89+8113.2</f>
        <v>16196.09</v>
      </c>
      <c r="O21" s="19">
        <f>35136.55+35268.31</f>
        <v>70404.86</v>
      </c>
      <c r="P21" s="19">
        <f>15109.22+15165.89</f>
        <v>30275.11</v>
      </c>
      <c r="Q21" s="19"/>
      <c r="R21" s="19">
        <v>13500</v>
      </c>
      <c r="S21" s="19">
        <v>19500</v>
      </c>
      <c r="T21" s="7">
        <f t="shared" si="0"/>
        <v>577113.18</v>
      </c>
    </row>
    <row r="22" spans="1:20" ht="15">
      <c r="A22" s="6" t="s">
        <v>28</v>
      </c>
      <c r="B22" s="8"/>
      <c r="C22" s="8"/>
      <c r="D22" s="8"/>
      <c r="E22" s="8">
        <v>62500</v>
      </c>
      <c r="F22" s="8">
        <v>24000</v>
      </c>
      <c r="G22" s="8">
        <v>6000</v>
      </c>
      <c r="H22" s="19">
        <v>155000</v>
      </c>
      <c r="I22" s="19"/>
      <c r="J22" s="19">
        <f>8637.28+8680.47</f>
        <v>17317.75</v>
      </c>
      <c r="K22" s="19">
        <f>9662.1+9710.41</f>
        <v>19372.510000000002</v>
      </c>
      <c r="L22" s="19">
        <f>61273.96+61810.11</f>
        <v>123084.07</v>
      </c>
      <c r="M22" s="19">
        <f>15592.64+15670.61</f>
        <v>31263.25</v>
      </c>
      <c r="N22" s="19">
        <f>8143.63+8174.17</f>
        <v>16317.8</v>
      </c>
      <c r="O22" s="19">
        <f>35400.57+35533.32</f>
        <v>70933.89</v>
      </c>
      <c r="P22" s="19">
        <f>15222.76+15279.85</f>
        <v>30502.61</v>
      </c>
      <c r="Q22" s="19"/>
      <c r="R22" s="19">
        <v>14000</v>
      </c>
      <c r="S22" s="19">
        <v>20000</v>
      </c>
      <c r="T22" s="7">
        <f t="shared" si="0"/>
        <v>590291.88</v>
      </c>
    </row>
    <row r="23" spans="1:20" ht="15">
      <c r="A23" s="6" t="s">
        <v>29</v>
      </c>
      <c r="B23" s="8"/>
      <c r="C23" s="8"/>
      <c r="D23" s="8"/>
      <c r="E23" s="8">
        <v>65500</v>
      </c>
      <c r="F23" s="8">
        <v>25000</v>
      </c>
      <c r="G23" s="8">
        <v>6000</v>
      </c>
      <c r="H23" s="19">
        <v>160000</v>
      </c>
      <c r="I23" s="19"/>
      <c r="J23" s="19">
        <f>8723.87+8767.49</f>
        <v>17491.36</v>
      </c>
      <c r="K23" s="19">
        <f>9758.96+9807.76</f>
        <v>19566.72</v>
      </c>
      <c r="L23" s="19">
        <f>62350.95+62896.52</f>
        <v>125247.47</v>
      </c>
      <c r="M23" s="19">
        <f>15748.96+15827.7</f>
        <v>31576.66</v>
      </c>
      <c r="N23" s="19">
        <f>8204.82+8235.59</f>
        <v>16440.41</v>
      </c>
      <c r="O23" s="19">
        <f>35666.57+35800.32</f>
        <v>71466.89</v>
      </c>
      <c r="P23" s="19">
        <f>15337.14+15394.66</f>
        <v>30731.8</v>
      </c>
      <c r="Q23" s="19"/>
      <c r="R23" s="19">
        <v>14500</v>
      </c>
      <c r="S23" s="19">
        <v>20500</v>
      </c>
      <c r="T23" s="7">
        <f t="shared" si="0"/>
        <v>604021.3099999999</v>
      </c>
    </row>
    <row r="24" spans="1:20" ht="15">
      <c r="A24" s="6" t="s">
        <v>30</v>
      </c>
      <c r="B24" s="8"/>
      <c r="C24" s="8"/>
      <c r="D24" s="8"/>
      <c r="E24" s="8">
        <v>68500</v>
      </c>
      <c r="F24" s="8">
        <v>26000</v>
      </c>
      <c r="G24" s="8">
        <v>7000</v>
      </c>
      <c r="H24" s="19">
        <v>165000</v>
      </c>
      <c r="I24" s="19"/>
      <c r="J24" s="19">
        <f>8811.33+8855.39</f>
        <v>17666.72</v>
      </c>
      <c r="K24" s="19">
        <f>9856.8+9906.08</f>
        <v>19762.879999999997</v>
      </c>
      <c r="L24" s="19">
        <f>63446.86+64002.02</f>
        <v>127448.88</v>
      </c>
      <c r="M24" s="19">
        <f>15906.84+15986.38</f>
        <v>31893.22</v>
      </c>
      <c r="N24" s="19">
        <f>8266.47+8297.47</f>
        <v>16563.94</v>
      </c>
      <c r="O24" s="19">
        <f>35934.57+36069.32</f>
        <v>72003.89</v>
      </c>
      <c r="P24" s="19">
        <f>15452.39+15510.34</f>
        <v>30962.73</v>
      </c>
      <c r="Q24" s="19"/>
      <c r="R24" s="19">
        <v>15000</v>
      </c>
      <c r="S24" s="19">
        <v>21000</v>
      </c>
      <c r="T24" s="7">
        <f t="shared" si="0"/>
        <v>618802.2599999999</v>
      </c>
    </row>
    <row r="25" spans="1:20" ht="15">
      <c r="A25" s="6" t="s">
        <v>31</v>
      </c>
      <c r="B25" s="8"/>
      <c r="C25" s="8"/>
      <c r="D25" s="8"/>
      <c r="E25" s="8">
        <v>71500</v>
      </c>
      <c r="F25" s="8">
        <v>27000</v>
      </c>
      <c r="G25" s="8">
        <v>7000</v>
      </c>
      <c r="H25" s="19">
        <v>170500</v>
      </c>
      <c r="I25" s="19"/>
      <c r="J25" s="19">
        <f>8899.66+8944.16</f>
        <v>17843.82</v>
      </c>
      <c r="K25" s="19">
        <f>9955.61+10005.39</f>
        <v>19961</v>
      </c>
      <c r="L25" s="19">
        <f>64562.04+65126.96</f>
        <v>129689</v>
      </c>
      <c r="M25" s="19">
        <f>16066.3+16146.64</f>
        <v>32212.94</v>
      </c>
      <c r="N25" s="19">
        <f>8328.59+8359.82</f>
        <v>16688.41</v>
      </c>
      <c r="O25" s="19">
        <f>36204.58+36340.35</f>
        <v>72544.93</v>
      </c>
      <c r="P25" s="19">
        <f>15568.5+15626.88</f>
        <v>31195.379999999997</v>
      </c>
      <c r="Q25" s="19"/>
      <c r="R25" s="19">
        <v>15500</v>
      </c>
      <c r="S25" s="19">
        <v>21500</v>
      </c>
      <c r="T25" s="7">
        <f t="shared" si="0"/>
        <v>633135.48</v>
      </c>
    </row>
    <row r="26" spans="1:20" ht="15">
      <c r="A26" s="6" t="s">
        <v>32</v>
      </c>
      <c r="B26" s="8"/>
      <c r="C26" s="8"/>
      <c r="D26" s="8"/>
      <c r="E26" s="8">
        <v>75000</v>
      </c>
      <c r="F26" s="8">
        <v>28000</v>
      </c>
      <c r="G26" s="8">
        <v>7000</v>
      </c>
      <c r="H26" s="19">
        <v>176000</v>
      </c>
      <c r="I26" s="19"/>
      <c r="J26" s="19">
        <f>8988.88+9033.83</f>
        <v>18022.71</v>
      </c>
      <c r="K26" s="19">
        <f>10055.42+10105.69</f>
        <v>20161.11</v>
      </c>
      <c r="L26" s="19">
        <f>65696.82+66271.66</f>
        <v>131968.48</v>
      </c>
      <c r="M26" s="19">
        <f>16227.37+16308.51</f>
        <v>32535.88</v>
      </c>
      <c r="N26" s="19">
        <f>8391.17+8422.64</f>
        <v>16813.809999999998</v>
      </c>
      <c r="O26" s="19">
        <f>36476.63+36613.42</f>
        <v>73090.04999999999</v>
      </c>
      <c r="P26" s="19">
        <f>15685.48+15744.3</f>
        <v>31429.78</v>
      </c>
      <c r="Q26" s="19"/>
      <c r="R26" s="19">
        <v>16000</v>
      </c>
      <c r="S26" s="19">
        <v>22500</v>
      </c>
      <c r="T26" s="7">
        <f t="shared" si="0"/>
        <v>648521.8200000001</v>
      </c>
    </row>
    <row r="27" spans="1:20" ht="15">
      <c r="A27" s="6" t="s">
        <v>33</v>
      </c>
      <c r="B27" s="8"/>
      <c r="C27" s="8"/>
      <c r="D27" s="8"/>
      <c r="E27" s="8">
        <v>78000</v>
      </c>
      <c r="F27" s="8">
        <v>30000</v>
      </c>
      <c r="G27" s="8">
        <v>8000</v>
      </c>
      <c r="H27" s="19">
        <v>182000</v>
      </c>
      <c r="I27" s="19"/>
      <c r="J27" s="19">
        <f>9078.99+9124.39</f>
        <v>18203.379999999997</v>
      </c>
      <c r="K27" s="19">
        <f>10156.22+10207</f>
        <v>20363.22</v>
      </c>
      <c r="L27" s="19">
        <f>66851.54+67436.49</f>
        <v>134288.03</v>
      </c>
      <c r="M27" s="19">
        <f>16390.05+16471.99</f>
        <v>32862.04</v>
      </c>
      <c r="N27" s="19">
        <f>8454.22+8485.92</f>
        <v>16940.14</v>
      </c>
      <c r="O27" s="19">
        <f>36750.72+36888.53</f>
        <v>73639.25</v>
      </c>
      <c r="P27" s="19">
        <f>15803.24+15862.6</f>
        <v>31665.84</v>
      </c>
      <c r="Q27" s="19"/>
      <c r="R27" s="19">
        <v>16500</v>
      </c>
      <c r="S27" s="19">
        <v>23000</v>
      </c>
      <c r="T27" s="7">
        <f t="shared" si="0"/>
        <v>665461.9</v>
      </c>
    </row>
    <row r="28" spans="1:20" ht="15">
      <c r="A28" s="6" t="s">
        <v>34</v>
      </c>
      <c r="B28" s="8"/>
      <c r="C28" s="8"/>
      <c r="D28" s="8"/>
      <c r="E28" s="8">
        <v>81500</v>
      </c>
      <c r="F28" s="8">
        <v>31000</v>
      </c>
      <c r="G28" s="8">
        <v>8000</v>
      </c>
      <c r="H28" s="19">
        <v>187500</v>
      </c>
      <c r="I28" s="19"/>
      <c r="J28" s="19">
        <f>9170.01+9215.86</f>
        <v>18385.870000000003</v>
      </c>
      <c r="K28" s="19">
        <f>10258.04+10309.33</f>
        <v>20567.370000000003</v>
      </c>
      <c r="L28" s="19">
        <f>68026.56+68621.79</f>
        <v>136648.34999999998</v>
      </c>
      <c r="M28" s="19">
        <f>16554.36+16637.13</f>
        <v>33191.490000000005</v>
      </c>
      <c r="N28" s="19">
        <f>8517.75+8549.69</f>
        <v>17067.440000000002</v>
      </c>
      <c r="O28" s="19">
        <f>37026.86+37165.71</f>
        <v>74192.57</v>
      </c>
      <c r="P28" s="19">
        <f>15922.09+15981.79</f>
        <v>31903.88</v>
      </c>
      <c r="Q28" s="19"/>
      <c r="R28" s="19">
        <v>17000</v>
      </c>
      <c r="S28" s="19">
        <v>23500</v>
      </c>
      <c r="T28" s="7">
        <f t="shared" si="0"/>
        <v>680456.9700000001</v>
      </c>
    </row>
    <row r="29" spans="1:20" ht="15">
      <c r="A29" s="6" t="s">
        <v>35</v>
      </c>
      <c r="B29" s="8"/>
      <c r="C29" s="8"/>
      <c r="D29" s="8"/>
      <c r="E29" s="8">
        <v>85500</v>
      </c>
      <c r="F29" s="8">
        <v>32000</v>
      </c>
      <c r="G29" s="8">
        <v>8000</v>
      </c>
      <c r="H29" s="19">
        <v>194000</v>
      </c>
      <c r="I29" s="19"/>
      <c r="J29" s="19">
        <v>9261.8</v>
      </c>
      <c r="K29" s="19">
        <v>10361.07</v>
      </c>
      <c r="L29" s="19">
        <f>69222.23+69827.93</f>
        <v>139050.15999999997</v>
      </c>
      <c r="M29" s="19">
        <f>16720.32+16803.91</f>
        <v>33524.229999999996</v>
      </c>
      <c r="N29" s="19">
        <f>8581.75+8613.93</f>
        <v>17195.68</v>
      </c>
      <c r="O29" s="19">
        <f>37305.09+37444.98</f>
        <v>74750.07</v>
      </c>
      <c r="P29" s="19">
        <f>16041.72+16101.89</f>
        <v>32143.61</v>
      </c>
      <c r="Q29" s="19"/>
      <c r="R29" s="19">
        <v>17500</v>
      </c>
      <c r="S29" s="19">
        <v>24000</v>
      </c>
      <c r="T29" s="7">
        <f t="shared" si="0"/>
        <v>677286.62</v>
      </c>
    </row>
    <row r="30" spans="1:20" ht="15">
      <c r="A30" s="6" t="s">
        <v>36</v>
      </c>
      <c r="B30" s="8"/>
      <c r="C30" s="8"/>
      <c r="D30" s="8"/>
      <c r="E30" s="8">
        <v>89000</v>
      </c>
      <c r="F30" s="8">
        <v>34000</v>
      </c>
      <c r="G30" s="8">
        <v>9000</v>
      </c>
      <c r="H30" s="19">
        <v>200000</v>
      </c>
      <c r="I30" s="19"/>
      <c r="J30" s="19"/>
      <c r="K30" s="19"/>
      <c r="L30" s="19">
        <f>70438.92+71055.26</f>
        <v>141494.18</v>
      </c>
      <c r="M30" s="19">
        <f>16887.94+16972.54</f>
        <v>33860.479999999996</v>
      </c>
      <c r="N30" s="19">
        <f>8646.23+8678.66</f>
        <v>17324.89</v>
      </c>
      <c r="O30" s="19">
        <f>37585.4+37726.34</f>
        <v>75311.73999999999</v>
      </c>
      <c r="P30" s="19">
        <f>16162.27+16222.87</f>
        <v>32385.14</v>
      </c>
      <c r="Q30" s="19"/>
      <c r="R30" s="19">
        <v>18000</v>
      </c>
      <c r="S30" s="19">
        <v>25000</v>
      </c>
      <c r="T30" s="7">
        <f t="shared" si="0"/>
        <v>675376.4299999999</v>
      </c>
    </row>
    <row r="31" spans="1:20" ht="15">
      <c r="A31" s="6" t="s">
        <v>37</v>
      </c>
      <c r="B31" s="8"/>
      <c r="C31" s="8"/>
      <c r="D31" s="8"/>
      <c r="E31" s="8">
        <v>93000</v>
      </c>
      <c r="F31" s="8">
        <v>35000</v>
      </c>
      <c r="G31" s="8">
        <v>9000</v>
      </c>
      <c r="H31" s="19">
        <v>206500</v>
      </c>
      <c r="I31" s="19"/>
      <c r="J31" s="19"/>
      <c r="K31" s="19"/>
      <c r="L31" s="19">
        <v>71676.82</v>
      </c>
      <c r="N31" s="19">
        <f>8711.2+8743.87</f>
        <v>17455.07</v>
      </c>
      <c r="O31" s="19">
        <f>37867.82+38009.82</f>
        <v>75877.64</v>
      </c>
      <c r="P31" s="19">
        <f>16283.71+16344.78</f>
        <v>32628.489999999998</v>
      </c>
      <c r="Q31" s="19"/>
      <c r="R31" s="19">
        <v>18500</v>
      </c>
      <c r="S31" s="19">
        <v>25500</v>
      </c>
      <c r="T31" s="7">
        <f t="shared" si="0"/>
        <v>585138.02</v>
      </c>
    </row>
    <row r="32" spans="1:20" ht="15">
      <c r="A32" s="6" t="s">
        <v>38</v>
      </c>
      <c r="B32" s="8"/>
      <c r="C32" s="8"/>
      <c r="D32" s="8"/>
      <c r="E32" s="8">
        <v>97500</v>
      </c>
      <c r="F32" s="8">
        <v>37000</v>
      </c>
      <c r="G32" s="8">
        <v>10000</v>
      </c>
      <c r="H32" s="19">
        <v>213500</v>
      </c>
      <c r="I32" s="19"/>
      <c r="J32" s="19"/>
      <c r="K32" s="19"/>
      <c r="L32" s="19"/>
      <c r="M32" s="19"/>
      <c r="N32" s="19">
        <v>8776.56</v>
      </c>
      <c r="O32" s="19">
        <v>38152.53</v>
      </c>
      <c r="P32" s="19">
        <f>16406.07+16467.59</f>
        <v>32873.66</v>
      </c>
      <c r="Q32" s="19"/>
      <c r="R32" s="19">
        <v>19500</v>
      </c>
      <c r="S32" s="19">
        <v>26000</v>
      </c>
      <c r="T32" s="7">
        <f t="shared" si="0"/>
        <v>483302.75</v>
      </c>
    </row>
    <row r="33" spans="1:20" ht="15">
      <c r="A33" s="6" t="s">
        <v>39</v>
      </c>
      <c r="B33" s="8"/>
      <c r="C33" s="8"/>
      <c r="D33" s="8"/>
      <c r="E33" s="8">
        <v>102000</v>
      </c>
      <c r="F33" s="8">
        <v>38000</v>
      </c>
      <c r="G33" s="8">
        <v>10000</v>
      </c>
      <c r="H33" s="19">
        <v>220500</v>
      </c>
      <c r="I33" s="19"/>
      <c r="J33" s="19"/>
      <c r="K33" s="19"/>
      <c r="L33" s="19"/>
      <c r="M33" s="19"/>
      <c r="N33" s="19"/>
      <c r="O33" s="19"/>
      <c r="P33" s="19">
        <v>16529.34</v>
      </c>
      <c r="Q33" s="19"/>
      <c r="R33" s="19">
        <v>20000</v>
      </c>
      <c r="S33" s="19">
        <v>27000</v>
      </c>
      <c r="T33" s="7">
        <f t="shared" si="0"/>
        <v>434029.34</v>
      </c>
    </row>
    <row r="34" spans="1:20" ht="15">
      <c r="A34" s="6" t="s">
        <v>40</v>
      </c>
      <c r="B34" s="8"/>
      <c r="C34" s="8"/>
      <c r="D34" s="8"/>
      <c r="E34" s="8">
        <v>106500</v>
      </c>
      <c r="F34" s="8">
        <v>39000</v>
      </c>
      <c r="G34" s="8">
        <v>10000</v>
      </c>
      <c r="H34" s="19">
        <v>227500</v>
      </c>
      <c r="I34" s="19"/>
      <c r="J34" s="19"/>
      <c r="K34" s="19"/>
      <c r="L34" s="19"/>
      <c r="M34" s="19"/>
      <c r="N34" s="19"/>
      <c r="O34" s="19"/>
      <c r="P34" s="19"/>
      <c r="Q34" s="19"/>
      <c r="R34" s="19">
        <v>20500</v>
      </c>
      <c r="S34" s="19">
        <v>27500</v>
      </c>
      <c r="T34" s="7">
        <f t="shared" si="0"/>
        <v>431000</v>
      </c>
    </row>
    <row r="35" spans="1:20" ht="15">
      <c r="A35" s="6" t="s">
        <v>41</v>
      </c>
      <c r="B35" s="8"/>
      <c r="C35" s="8"/>
      <c r="D35" s="8"/>
      <c r="E35" s="8">
        <v>111000</v>
      </c>
      <c r="F35" s="8">
        <v>41000</v>
      </c>
      <c r="G35" s="8">
        <v>11000</v>
      </c>
      <c r="H35" s="19">
        <v>235000</v>
      </c>
      <c r="I35" s="19"/>
      <c r="J35" s="19"/>
      <c r="K35" s="19"/>
      <c r="L35" s="19"/>
      <c r="M35" s="19"/>
      <c r="N35" s="19"/>
      <c r="O35" s="19"/>
      <c r="P35" s="19"/>
      <c r="Q35" s="19"/>
      <c r="R35" s="19">
        <v>21500</v>
      </c>
      <c r="S35" s="19">
        <v>28500</v>
      </c>
      <c r="T35" s="7">
        <f t="shared" si="0"/>
        <v>448000</v>
      </c>
    </row>
    <row r="36" spans="1:20" ht="15">
      <c r="A36" s="6" t="s">
        <v>42</v>
      </c>
      <c r="B36" s="8"/>
      <c r="C36" s="8"/>
      <c r="D36" s="8"/>
      <c r="E36" s="8">
        <v>116000</v>
      </c>
      <c r="F36" s="8">
        <v>43000</v>
      </c>
      <c r="G36" s="8">
        <v>11000</v>
      </c>
      <c r="H36" s="19">
        <v>242500</v>
      </c>
      <c r="I36" s="19"/>
      <c r="J36" s="19"/>
      <c r="K36" s="19"/>
      <c r="L36" s="19"/>
      <c r="M36" s="19"/>
      <c r="N36" s="19"/>
      <c r="O36" s="19"/>
      <c r="P36" s="19"/>
      <c r="Q36" s="19"/>
      <c r="R36" s="19">
        <v>22000</v>
      </c>
      <c r="S36" s="19">
        <v>29000</v>
      </c>
      <c r="T36" s="7">
        <f t="shared" si="0"/>
        <v>463500</v>
      </c>
    </row>
    <row r="37" spans="1:20" ht="15">
      <c r="A37" s="6" t="s">
        <v>43</v>
      </c>
      <c r="B37" s="8"/>
      <c r="C37" s="8"/>
      <c r="D37" s="8"/>
      <c r="E37" s="8">
        <v>121500</v>
      </c>
      <c r="F37" s="8">
        <v>45000</v>
      </c>
      <c r="G37" s="8">
        <v>12000</v>
      </c>
      <c r="H37" s="19">
        <v>250500</v>
      </c>
      <c r="I37" s="19"/>
      <c r="J37" s="19"/>
      <c r="K37" s="19"/>
      <c r="L37" s="19"/>
      <c r="M37" s="19"/>
      <c r="N37" s="19"/>
      <c r="O37" s="19"/>
      <c r="P37" s="19"/>
      <c r="Q37" s="19"/>
      <c r="R37" s="19">
        <v>23000</v>
      </c>
      <c r="S37" s="19">
        <v>30000</v>
      </c>
      <c r="T37" s="7">
        <f t="shared" si="0"/>
        <v>482000</v>
      </c>
    </row>
    <row r="38" spans="1:20" ht="15">
      <c r="A38" s="6" t="s">
        <v>44</v>
      </c>
      <c r="B38" s="8"/>
      <c r="C38" s="8"/>
      <c r="D38" s="8"/>
      <c r="E38" s="8">
        <v>127000</v>
      </c>
      <c r="F38" s="8">
        <v>47000</v>
      </c>
      <c r="G38" s="8">
        <v>13000</v>
      </c>
      <c r="H38" s="19">
        <v>258500</v>
      </c>
      <c r="I38" s="19"/>
      <c r="J38" s="19"/>
      <c r="K38" s="19"/>
      <c r="L38" s="19"/>
      <c r="M38" s="19"/>
      <c r="N38" s="19"/>
      <c r="O38" s="19"/>
      <c r="P38" s="19"/>
      <c r="Q38" s="19"/>
      <c r="R38" s="19">
        <v>23500</v>
      </c>
      <c r="S38" s="19">
        <v>31000</v>
      </c>
      <c r="T38" s="7">
        <f t="shared" si="0"/>
        <v>500000</v>
      </c>
    </row>
    <row r="39" spans="1:20" ht="15">
      <c r="A39" s="6" t="s">
        <v>45</v>
      </c>
      <c r="B39" s="8"/>
      <c r="C39" s="8"/>
      <c r="D39" s="8"/>
      <c r="E39" s="8">
        <v>133000</v>
      </c>
      <c r="F39" s="8"/>
      <c r="G39" s="8"/>
      <c r="H39" s="19">
        <v>267000</v>
      </c>
      <c r="I39" s="19"/>
      <c r="J39" s="19"/>
      <c r="K39" s="19"/>
      <c r="L39" s="19"/>
      <c r="M39" s="19"/>
      <c r="N39" s="19"/>
      <c r="O39" s="19"/>
      <c r="P39" s="19"/>
      <c r="Q39" s="19"/>
      <c r="R39" s="19">
        <v>24500</v>
      </c>
      <c r="S39" s="19">
        <v>31500</v>
      </c>
      <c r="T39" s="7">
        <f t="shared" si="0"/>
        <v>456000</v>
      </c>
    </row>
    <row r="40" spans="1:20" ht="15">
      <c r="A40" s="17">
        <v>2045</v>
      </c>
      <c r="B40" s="8"/>
      <c r="C40" s="8"/>
      <c r="D40" s="8"/>
      <c r="E40" s="8"/>
      <c r="F40" s="8"/>
      <c r="G40" s="8"/>
      <c r="H40" s="19">
        <v>275500</v>
      </c>
      <c r="I40" s="19"/>
      <c r="J40" s="19"/>
      <c r="K40" s="19"/>
      <c r="L40" s="19"/>
      <c r="M40" s="19"/>
      <c r="N40" s="19"/>
      <c r="O40" s="19"/>
      <c r="P40" s="19"/>
      <c r="Q40" s="19"/>
      <c r="R40" s="19">
        <v>25000</v>
      </c>
      <c r="S40" s="19">
        <v>32500</v>
      </c>
      <c r="T40" s="7">
        <f t="shared" si="0"/>
        <v>333000</v>
      </c>
    </row>
    <row r="41" spans="1:20" ht="15">
      <c r="A41" s="17">
        <v>2046</v>
      </c>
      <c r="B41" s="8"/>
      <c r="C41" s="8"/>
      <c r="D41" s="8"/>
      <c r="E41" s="8"/>
      <c r="F41" s="8"/>
      <c r="G41" s="8"/>
      <c r="H41" s="19">
        <v>284500</v>
      </c>
      <c r="I41" s="19"/>
      <c r="J41" s="19"/>
      <c r="K41" s="19"/>
      <c r="L41" s="19"/>
      <c r="M41" s="19"/>
      <c r="N41" s="19"/>
      <c r="O41" s="19"/>
      <c r="P41" s="19"/>
      <c r="Q41" s="19"/>
      <c r="R41" s="19">
        <v>26000</v>
      </c>
      <c r="S41" s="19">
        <v>33500</v>
      </c>
      <c r="T41" s="7">
        <f t="shared" si="0"/>
        <v>344000</v>
      </c>
    </row>
    <row r="42" spans="1:20" ht="15">
      <c r="A42" s="17">
        <v>2047</v>
      </c>
      <c r="B42" s="8"/>
      <c r="C42" s="8"/>
      <c r="D42" s="8"/>
      <c r="E42" s="8"/>
      <c r="F42" s="8"/>
      <c r="G42" s="8"/>
      <c r="H42" s="19">
        <v>294000</v>
      </c>
      <c r="I42" s="19"/>
      <c r="J42" s="19"/>
      <c r="K42" s="19"/>
      <c r="L42" s="19"/>
      <c r="M42" s="19"/>
      <c r="N42" s="19"/>
      <c r="O42" s="19"/>
      <c r="P42" s="19"/>
      <c r="Q42" s="19"/>
      <c r="R42" s="19">
        <v>27000</v>
      </c>
      <c r="S42" s="19">
        <v>34500</v>
      </c>
      <c r="T42" s="7">
        <f t="shared" si="0"/>
        <v>355500</v>
      </c>
    </row>
    <row r="43" spans="1:20" ht="15">
      <c r="A43" s="17">
        <v>2048</v>
      </c>
      <c r="B43" s="8"/>
      <c r="C43" s="8"/>
      <c r="D43" s="8"/>
      <c r="E43" s="8"/>
      <c r="F43" s="8"/>
      <c r="G43" s="8"/>
      <c r="H43" s="19">
        <v>303500</v>
      </c>
      <c r="I43" s="19"/>
      <c r="J43" s="19"/>
      <c r="K43" s="19"/>
      <c r="L43" s="19"/>
      <c r="M43" s="19"/>
      <c r="N43" s="19"/>
      <c r="O43" s="19"/>
      <c r="P43" s="19"/>
      <c r="Q43" s="19"/>
      <c r="R43" s="19">
        <v>28000</v>
      </c>
      <c r="S43" s="19">
        <v>35500</v>
      </c>
      <c r="T43" s="7">
        <f t="shared" si="0"/>
        <v>367000</v>
      </c>
    </row>
    <row r="44" spans="1:20" ht="15">
      <c r="A44" s="17">
        <v>2049</v>
      </c>
      <c r="B44" s="8"/>
      <c r="C44" s="8"/>
      <c r="D44" s="8"/>
      <c r="E44" s="8"/>
      <c r="F44" s="8"/>
      <c r="G44" s="8"/>
      <c r="H44" s="19">
        <v>313000</v>
      </c>
      <c r="I44" s="19"/>
      <c r="J44" s="19"/>
      <c r="K44" s="19"/>
      <c r="L44" s="19"/>
      <c r="M44" s="19"/>
      <c r="N44" s="19"/>
      <c r="O44" s="19"/>
      <c r="P44" s="19"/>
      <c r="Q44" s="19"/>
      <c r="R44" s="19">
        <v>29000</v>
      </c>
      <c r="S44" s="19">
        <v>36500</v>
      </c>
      <c r="T44" s="7">
        <f t="shared" si="0"/>
        <v>378500</v>
      </c>
    </row>
    <row r="45" spans="1:20" ht="15">
      <c r="A45" s="17">
        <v>2050</v>
      </c>
      <c r="B45" s="8"/>
      <c r="C45" s="8"/>
      <c r="D45" s="8"/>
      <c r="F45" s="8"/>
      <c r="G45" s="8"/>
      <c r="H45" s="19">
        <v>323500</v>
      </c>
      <c r="I45" s="19"/>
      <c r="J45" s="19"/>
      <c r="K45" s="19"/>
      <c r="L45" s="19"/>
      <c r="M45" s="19"/>
      <c r="N45" s="19"/>
      <c r="O45" s="19"/>
      <c r="P45" s="19"/>
      <c r="Q45" s="19"/>
      <c r="R45" s="19">
        <v>30000</v>
      </c>
      <c r="S45" s="19">
        <v>37500</v>
      </c>
      <c r="T45" s="7">
        <f t="shared" si="0"/>
        <v>391000</v>
      </c>
    </row>
    <row r="46" spans="1:20" ht="15">
      <c r="A46" s="17">
        <v>2051</v>
      </c>
      <c r="B46" s="8"/>
      <c r="C46" s="8"/>
      <c r="D46" s="8"/>
      <c r="F46" s="8"/>
      <c r="G46" s="8"/>
      <c r="H46" s="19">
        <v>334000</v>
      </c>
      <c r="I46" s="19"/>
      <c r="J46" s="19"/>
      <c r="K46" s="19"/>
      <c r="L46" s="19"/>
      <c r="M46" s="19"/>
      <c r="N46" s="19"/>
      <c r="O46" s="19"/>
      <c r="P46" s="19"/>
      <c r="Q46" s="19"/>
      <c r="R46" s="19">
        <v>31000</v>
      </c>
      <c r="S46" s="19">
        <v>38500</v>
      </c>
      <c r="T46" s="7">
        <f t="shared" si="0"/>
        <v>403500</v>
      </c>
    </row>
    <row r="47" spans="1:20" ht="15">
      <c r="A47" s="17">
        <v>2052</v>
      </c>
      <c r="B47" s="8"/>
      <c r="C47" s="8"/>
      <c r="D47" s="8"/>
      <c r="F47" s="8"/>
      <c r="G47" s="8"/>
      <c r="H47" s="19">
        <v>340500</v>
      </c>
      <c r="I47" s="19"/>
      <c r="J47" s="19"/>
      <c r="K47" s="19"/>
      <c r="L47" s="19"/>
      <c r="M47" s="19"/>
      <c r="N47" s="19"/>
      <c r="O47" s="19"/>
      <c r="P47" s="19"/>
      <c r="Q47" s="19"/>
      <c r="R47" s="19">
        <v>32000</v>
      </c>
      <c r="S47" s="19">
        <v>39500</v>
      </c>
      <c r="T47" s="7">
        <f t="shared" si="0"/>
        <v>412000</v>
      </c>
    </row>
    <row r="48" spans="1:20" ht="15">
      <c r="A48" s="17">
        <v>2053</v>
      </c>
      <c r="B48" s="8"/>
      <c r="C48" s="8"/>
      <c r="D48" s="8"/>
      <c r="F48" s="8"/>
      <c r="G48" s="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v>33000</v>
      </c>
      <c r="S48" s="19">
        <v>40500</v>
      </c>
      <c r="T48" s="7">
        <f t="shared" si="0"/>
        <v>73500</v>
      </c>
    </row>
    <row r="49" spans="1:20" ht="15">
      <c r="A49" s="17">
        <v>2054</v>
      </c>
      <c r="H49" s="19"/>
      <c r="R49" s="2">
        <v>30000</v>
      </c>
      <c r="S49" s="2">
        <v>42000</v>
      </c>
      <c r="T49" s="7">
        <f t="shared" si="0"/>
        <v>72000</v>
      </c>
    </row>
    <row r="50" spans="1:20" ht="13.5" thickBot="1">
      <c r="A50" s="6"/>
      <c r="B50" s="28">
        <f>SUM(B12:B45)</f>
        <v>810812.1999999998</v>
      </c>
      <c r="C50" s="28">
        <f>SUM(C12:C45)</f>
        <v>0</v>
      </c>
      <c r="D50" s="28">
        <f>SUM(D12:D45)</f>
        <v>1151403</v>
      </c>
      <c r="E50" s="28">
        <f>SUM(E12:E39)</f>
        <v>2140000</v>
      </c>
      <c r="F50" s="28">
        <f>SUM(F12:F45)</f>
        <v>755000</v>
      </c>
      <c r="G50" s="28">
        <f>SUM(G12:G45)</f>
        <v>197000</v>
      </c>
      <c r="H50" s="28">
        <f>SUM(H13:H49)</f>
        <v>7373000</v>
      </c>
      <c r="I50" s="28">
        <f>SUM(I13:I46)</f>
        <v>530000</v>
      </c>
      <c r="J50" s="28">
        <f>SUM(J13:J49)</f>
        <v>282519.45999999996</v>
      </c>
      <c r="K50" s="28">
        <f aca="true" t="shared" si="1" ref="K50:P50">SUM(K13:K46)</f>
        <v>316040.95</v>
      </c>
      <c r="L50" s="28">
        <f t="shared" si="1"/>
        <v>2276957.1099999994</v>
      </c>
      <c r="M50" s="28">
        <f t="shared" si="1"/>
        <v>560688.97</v>
      </c>
      <c r="N50" s="28">
        <f t="shared" si="1"/>
        <v>319075.41000000003</v>
      </c>
      <c r="O50" s="28">
        <f t="shared" si="1"/>
        <v>1387029.57</v>
      </c>
      <c r="P50" s="28">
        <f t="shared" si="1"/>
        <v>615148.7699999999</v>
      </c>
      <c r="Q50" s="28"/>
      <c r="R50" s="28">
        <f>SUM(R13:R49)</f>
        <v>734000</v>
      </c>
      <c r="S50" s="28">
        <f>SUM(S13:S49)</f>
        <v>985000</v>
      </c>
      <c r="T50" s="9">
        <f>SUM(T12:T49)</f>
        <v>23674382.44</v>
      </c>
    </row>
    <row r="51" spans="1:20" ht="13.5" thickTop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3" t="s">
        <v>47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7"/>
      <c r="S54" s="67"/>
      <c r="T54" s="7"/>
    </row>
    <row r="55" spans="1:20" s="15" customFormat="1" ht="12.75">
      <c r="A55" s="13" t="s">
        <v>3</v>
      </c>
      <c r="B55" s="14" t="s">
        <v>5</v>
      </c>
      <c r="C55" s="14" t="s">
        <v>56</v>
      </c>
      <c r="D55" s="14" t="s">
        <v>8</v>
      </c>
      <c r="E55" s="14">
        <v>2005</v>
      </c>
      <c r="F55" s="14" t="s">
        <v>9</v>
      </c>
      <c r="G55" s="14" t="s">
        <v>10</v>
      </c>
      <c r="H55" s="14">
        <v>2011</v>
      </c>
      <c r="I55" s="14" t="s">
        <v>67</v>
      </c>
      <c r="J55" s="14" t="s">
        <v>71</v>
      </c>
      <c r="K55" s="14" t="s">
        <v>73</v>
      </c>
      <c r="L55" s="14" t="s">
        <v>85</v>
      </c>
      <c r="M55" s="14" t="s">
        <v>86</v>
      </c>
      <c r="N55" s="14" t="s">
        <v>89</v>
      </c>
      <c r="O55" s="14" t="s">
        <v>90</v>
      </c>
      <c r="P55" s="14" t="s">
        <v>92</v>
      </c>
      <c r="Q55" s="14" t="s">
        <v>78</v>
      </c>
      <c r="R55" s="14" t="s">
        <v>76</v>
      </c>
      <c r="S55" s="14" t="s">
        <v>77</v>
      </c>
      <c r="T55" s="14" t="s">
        <v>11</v>
      </c>
    </row>
    <row r="56" spans="1:20" ht="15">
      <c r="A56" s="6"/>
      <c r="B56" s="7"/>
      <c r="C56" s="7"/>
      <c r="D56" s="7"/>
      <c r="E56" s="7"/>
      <c r="F56" s="7"/>
      <c r="G56" s="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7"/>
    </row>
    <row r="57" spans="1:20" ht="15">
      <c r="A57" s="6" t="s">
        <v>19</v>
      </c>
      <c r="B57" s="7">
        <f>9013.36+8649.46+8281.51+7909.47</f>
        <v>33853.8</v>
      </c>
      <c r="C57" s="7"/>
      <c r="D57" s="7">
        <v>13301</v>
      </c>
      <c r="E57" s="8">
        <v>87409</v>
      </c>
      <c r="F57" s="7">
        <v>33615</v>
      </c>
      <c r="G57" s="7">
        <v>8775</v>
      </c>
      <c r="H57" s="29">
        <f>101378.75+99783.75</f>
        <v>201162.5</v>
      </c>
      <c r="I57" s="29">
        <f>6132.5+6132.5</f>
        <v>12265</v>
      </c>
      <c r="J57" s="29">
        <f>1412.6+353.15+1373.12+343.28</f>
        <v>3482.1499999999996</v>
      </c>
      <c r="K57" s="29">
        <f>1580.2+316.04+1536.04+307.21</f>
        <v>3739.49</v>
      </c>
      <c r="L57" s="29">
        <f>19923.37+2846.2+19465.04+2780.72</f>
        <v>45015.33</v>
      </c>
      <c r="M57" s="29">
        <f>2803.45+560.69+2732.18+546.43</f>
        <v>6642.75</v>
      </c>
      <c r="N57" s="29">
        <f>1196.53+1167.98+398.84+389.33</f>
        <v>3152.6800000000003</v>
      </c>
      <c r="O57" s="29">
        <f>5201.36+1387.03+5077.26+1353.94</f>
        <v>13019.59</v>
      </c>
      <c r="P57" s="29">
        <f>2301.65+612.63</f>
        <v>2914.28</v>
      </c>
      <c r="Q57" s="29"/>
      <c r="R57" s="29">
        <f>11927.5+11756.88</f>
        <v>23684.379999999997</v>
      </c>
      <c r="S57" s="29">
        <f>13543.75+13330.63</f>
        <v>26874.379999999997</v>
      </c>
      <c r="T57" s="7">
        <f aca="true" t="shared" si="2" ref="T57:T93">SUM(B57:S57)</f>
        <v>518906.3300000001</v>
      </c>
    </row>
    <row r="58" spans="1:20" ht="15">
      <c r="A58" s="6" t="s">
        <v>20</v>
      </c>
      <c r="B58" s="8">
        <f>7533.3+7152.95+6768.36+6379.51</f>
        <v>27834.120000000003</v>
      </c>
      <c r="C58" s="8"/>
      <c r="D58" s="8">
        <v>11228</v>
      </c>
      <c r="E58" s="8">
        <v>85635</v>
      </c>
      <c r="F58" s="8">
        <v>32872</v>
      </c>
      <c r="G58" s="8">
        <v>8595</v>
      </c>
      <c r="H58" s="29">
        <f>99783.75+98133.75</f>
        <v>197917.5</v>
      </c>
      <c r="I58" s="29">
        <f>4177.5+4177.5</f>
        <v>8355</v>
      </c>
      <c r="J58" s="29">
        <f>1333.44+333.36+1293.57+323.39</f>
        <v>3283.7599999999998</v>
      </c>
      <c r="K58" s="29">
        <f>1491.66+298.33+1447.05+289.41</f>
        <v>3526.45</v>
      </c>
      <c r="L58" s="29">
        <f>19002.7+2714.67+18536.31+2648.04</f>
        <v>42901.72000000001</v>
      </c>
      <c r="M58" s="29">
        <f>2660.55+532.11+2588.57+517.71</f>
        <v>6298.9400000000005</v>
      </c>
      <c r="N58" s="29">
        <f>1139.33+1110.56+379.78+370.19</f>
        <v>2999.86</v>
      </c>
      <c r="O58" s="29">
        <f>4952.69+1320.72+4827.65+1287.37</f>
        <v>12388.43</v>
      </c>
      <c r="P58" s="29">
        <f>2255.87+2199.7+600.62+586.59</f>
        <v>5642.78</v>
      </c>
      <c r="Q58" s="29"/>
      <c r="R58" s="29">
        <f>11756.88+11586.25</f>
        <v>23343.129999999997</v>
      </c>
      <c r="S58" s="29">
        <f>13330.63+13110.63</f>
        <v>26441.26</v>
      </c>
      <c r="T58" s="7">
        <f t="shared" si="2"/>
        <v>499262.95000000007</v>
      </c>
    </row>
    <row r="59" spans="1:20" ht="15">
      <c r="A59" s="6" t="s">
        <v>21</v>
      </c>
      <c r="B59" s="8">
        <f>5986.33+5588.77+5186.8+4780.36</f>
        <v>21542.260000000002</v>
      </c>
      <c r="C59" s="8"/>
      <c r="D59" s="8">
        <v>9136</v>
      </c>
      <c r="E59" s="8">
        <v>83779</v>
      </c>
      <c r="F59" s="8">
        <v>32108</v>
      </c>
      <c r="G59" s="8">
        <v>8392</v>
      </c>
      <c r="H59" s="29">
        <f>98133.75+96428.75</f>
        <v>194562.5</v>
      </c>
      <c r="I59" s="29">
        <f>2222.5+2222.5</f>
        <v>4445</v>
      </c>
      <c r="J59" s="29">
        <f>1253.5+313.37+1213.22+303.31</f>
        <v>3083.4</v>
      </c>
      <c r="K59" s="29">
        <f>1402.23+280.45+1357.17+271.43</f>
        <v>3311.28</v>
      </c>
      <c r="L59" s="29">
        <f>18065.84+2580.83+17591.26+2513.04</f>
        <v>40750.969999999994</v>
      </c>
      <c r="M59" s="29">
        <f>2516.23+503.24+2443.51+488.7</f>
        <v>5951.68</v>
      </c>
      <c r="N59" s="29">
        <f>1081.69+360.56+1052.71+350.9</f>
        <v>2845.86</v>
      </c>
      <c r="O59" s="29">
        <f>4702.15+1253.91+4576.18+1220.31</f>
        <v>11752.55</v>
      </c>
      <c r="P59" s="29">
        <f>2145.73+2091.56+572.19+557.75</f>
        <v>5367.23</v>
      </c>
      <c r="Q59" s="29"/>
      <c r="R59" s="29">
        <f>11586.25+11407.5</f>
        <v>22993.75</v>
      </c>
      <c r="S59" s="29">
        <f>13110.63+12883.75</f>
        <v>25994.379999999997</v>
      </c>
      <c r="T59" s="7">
        <f t="shared" si="2"/>
        <v>476015.86</v>
      </c>
    </row>
    <row r="60" spans="1:20" ht="15">
      <c r="A60" s="6" t="s">
        <v>22</v>
      </c>
      <c r="B60" s="8">
        <f>4369.41+3953.88+3533.74+3108.92</f>
        <v>14965.95</v>
      </c>
      <c r="C60" s="8"/>
      <c r="D60" s="8">
        <v>7020</v>
      </c>
      <c r="E60" s="8">
        <v>81840</v>
      </c>
      <c r="F60" s="8">
        <v>31320</v>
      </c>
      <c r="G60" s="8">
        <v>8167</v>
      </c>
      <c r="H60" s="29">
        <f>96428.75+94668.75</f>
        <v>191097.5</v>
      </c>
      <c r="I60" s="29">
        <f>210+210</f>
        <v>420</v>
      </c>
      <c r="J60" s="29">
        <f>1172.75+293.19+1132.07+283.02</f>
        <v>2881.03</v>
      </c>
      <c r="K60" s="29">
        <f>1311.9+262.38+1266.39+253.28</f>
        <v>3093.9500000000003</v>
      </c>
      <c r="L60" s="29">
        <f>17112.52+2444.65+16629.59+2375.66</f>
        <v>38562.42</v>
      </c>
      <c r="M60" s="29">
        <f>2370.45+474.09+2297.01+459.4</f>
        <v>5600.95</v>
      </c>
      <c r="N60" s="29">
        <f>1023.63+341.21+994.43+331.48</f>
        <v>2690.75</v>
      </c>
      <c r="O60" s="29">
        <f>4449.73+1186.59+4322.81+1152.75</f>
        <v>11111.880000000001</v>
      </c>
      <c r="P60" s="29">
        <f>2037.19+543.25+1982.61+528.7</f>
        <v>5091.75</v>
      </c>
      <c r="Q60" s="29"/>
      <c r="R60" s="29">
        <f>11407.5+11220.63</f>
        <v>22628.129999999997</v>
      </c>
      <c r="S60" s="29">
        <f>12883.75+12650</f>
        <v>25533.75</v>
      </c>
      <c r="T60" s="7">
        <f t="shared" si="2"/>
        <v>452025.06000000006</v>
      </c>
    </row>
    <row r="61" spans="1:20" ht="15">
      <c r="A61" s="6" t="s">
        <v>23</v>
      </c>
      <c r="B61" s="8">
        <f>2679.38+2245.07+1805.93+1361.9</f>
        <v>8092.280000000001</v>
      </c>
      <c r="C61" s="8"/>
      <c r="D61" s="8">
        <v>4884</v>
      </c>
      <c r="E61" s="8">
        <v>79808</v>
      </c>
      <c r="F61" s="8">
        <v>30488</v>
      </c>
      <c r="G61" s="8">
        <v>7943</v>
      </c>
      <c r="H61" s="29">
        <f>94668.75+92853.75</f>
        <v>187522.5</v>
      </c>
      <c r="I61" s="29"/>
      <c r="J61" s="29">
        <f>1091.19+272.8+1050.1+262.53</f>
        <v>2676.62</v>
      </c>
      <c r="K61" s="29">
        <f>1220.66+244.13+1174.7+234.94</f>
        <v>2874.43</v>
      </c>
      <c r="L61" s="29">
        <f>16142.44+2306.06+15651.03+2235.86</f>
        <v>36335.39</v>
      </c>
      <c r="M61" s="29">
        <f>2223.21+444.64+2149.05+429.81</f>
        <v>5246.71</v>
      </c>
      <c r="N61" s="29">
        <f>965.12+321.71+935.7+311.9</f>
        <v>2534.43</v>
      </c>
      <c r="O61" s="29">
        <f>4195.41+1118.78+4067.53+1084.68</f>
        <v>10466.4</v>
      </c>
      <c r="P61" s="29">
        <f>1927.83+514.09+1872.84+499.43</f>
        <v>4814.1900000000005</v>
      </c>
      <c r="Q61" s="29"/>
      <c r="R61" s="29">
        <f>11220.63+11033.75</f>
        <v>22254.379999999997</v>
      </c>
      <c r="S61" s="29">
        <f>12650+12409.38</f>
        <v>25059.379999999997</v>
      </c>
      <c r="T61" s="7">
        <f t="shared" si="2"/>
        <v>430999.7100000001</v>
      </c>
    </row>
    <row r="62" spans="1:20" ht="15">
      <c r="A62" s="6" t="s">
        <v>24</v>
      </c>
      <c r="B62" s="8">
        <f>912.95+458.94</f>
        <v>1371.89</v>
      </c>
      <c r="C62" s="8"/>
      <c r="D62" s="8">
        <v>2726</v>
      </c>
      <c r="E62" s="8">
        <v>77684</v>
      </c>
      <c r="F62" s="8">
        <v>29610</v>
      </c>
      <c r="G62" s="8">
        <v>7718</v>
      </c>
      <c r="H62" s="29">
        <f>92853.75+90976.88</f>
        <v>183830.63</v>
      </c>
      <c r="I62" s="29"/>
      <c r="J62" s="29">
        <f>1008.81+252.2+967.32+241.83</f>
        <v>2470.16</v>
      </c>
      <c r="K62" s="29">
        <f>1128.51+225.7+1082.09+216.42</f>
        <v>2652.7200000000003</v>
      </c>
      <c r="L62" s="29">
        <f>15155.31+2165.04+14655.26+2093.61</f>
        <v>34069.22</v>
      </c>
      <c r="M62" s="29">
        <f>2074.5+414.9+1999.59+399.92</f>
        <v>4888.91</v>
      </c>
      <c r="N62" s="29">
        <f>906.18+302.06+876.54+292.18</f>
        <v>2376.9599999999996</v>
      </c>
      <c r="O62" s="29">
        <f>3939.18+1050.45+3810.34+1016.09</f>
        <v>9816.060000000001</v>
      </c>
      <c r="P62" s="29">
        <f>1817.65+484.7+1762.24+469.93</f>
        <v>4534.52</v>
      </c>
      <c r="Q62" s="29"/>
      <c r="R62" s="29">
        <f>11033.75+10838.75</f>
        <v>21872.5</v>
      </c>
      <c r="S62" s="29">
        <f>12409.38+12161.88</f>
        <v>24571.26</v>
      </c>
      <c r="T62" s="7">
        <f t="shared" si="2"/>
        <v>410192.83</v>
      </c>
    </row>
    <row r="63" spans="1:20" ht="15">
      <c r="A63" s="6" t="s">
        <v>25</v>
      </c>
      <c r="B63" s="8"/>
      <c r="C63" s="8"/>
      <c r="D63" s="8">
        <v>547</v>
      </c>
      <c r="E63" s="8">
        <v>75467</v>
      </c>
      <c r="F63" s="8">
        <v>28687</v>
      </c>
      <c r="G63" s="8">
        <v>7493</v>
      </c>
      <c r="H63" s="29">
        <f>90976.88+89038.13</f>
        <v>180015.01</v>
      </c>
      <c r="I63" s="29"/>
      <c r="J63" s="29">
        <f>925.61+231.4+883.7+220.92</f>
        <v>2261.63</v>
      </c>
      <c r="K63" s="29">
        <f>1035.44+207.09+988.55+197.71</f>
        <v>2428.79</v>
      </c>
      <c r="L63" s="29">
        <f>14150.83+2021.55+13641.99+1948.86</f>
        <v>31763.23</v>
      </c>
      <c r="M63" s="29">
        <f>1924.3+384.86+1848.64+369.72</f>
        <v>4527.52</v>
      </c>
      <c r="N63" s="29">
        <f>846.79+282.26+816.93+272.31</f>
        <v>2218.29</v>
      </c>
      <c r="O63" s="29">
        <f>3681.03+981.61+3551.22+946.99</f>
        <v>9160.85</v>
      </c>
      <c r="P63" s="29">
        <f>1706.63+455.1+1650.82+440.22</f>
        <v>4252.77</v>
      </c>
      <c r="Q63" s="29"/>
      <c r="R63" s="29">
        <f>10838.75+10635.63</f>
        <v>21474.379999999997</v>
      </c>
      <c r="S63" s="29">
        <f>12161.88+11907.5</f>
        <v>24069.379999999997</v>
      </c>
      <c r="T63" s="7">
        <f t="shared" si="2"/>
        <v>394365.85</v>
      </c>
    </row>
    <row r="64" spans="1:20" ht="15">
      <c r="A64" s="6" t="s">
        <v>26</v>
      </c>
      <c r="B64" s="8"/>
      <c r="C64" s="8"/>
      <c r="D64" s="8"/>
      <c r="E64" s="8">
        <v>73147</v>
      </c>
      <c r="F64" s="8">
        <v>27720</v>
      </c>
      <c r="G64" s="8">
        <v>7245</v>
      </c>
      <c r="H64" s="29">
        <f>89038.13+87037.5</f>
        <v>176075.63</v>
      </c>
      <c r="I64" s="29"/>
      <c r="J64" s="29">
        <f>841.57+210.39+799.24+199.81</f>
        <v>2051.01</v>
      </c>
      <c r="K64" s="29">
        <f>941.43+188.29+894.07+178.81</f>
        <v>2202.6</v>
      </c>
      <c r="L64" s="29">
        <f>13128.69+1875.53+12610.91+1801.56</f>
        <v>29416.690000000002</v>
      </c>
      <c r="M64" s="29">
        <f>1772.59+354.52+1696.17+339.23</f>
        <v>4162.51</v>
      </c>
      <c r="N64" s="29">
        <f>786.96+262.32+756.87+252.29</f>
        <v>2058.44</v>
      </c>
      <c r="O64" s="29">
        <f>3420.93+912.25+3290.15+877.37</f>
        <v>8500.7</v>
      </c>
      <c r="P64" s="29">
        <f>1594.79+425.27+1538.55+410.28</f>
        <v>3968.8899999999994</v>
      </c>
      <c r="Q64" s="29"/>
      <c r="R64" s="29">
        <f>10635.63+10424.38</f>
        <v>21060.01</v>
      </c>
      <c r="S64" s="29">
        <f>11907.5+11646.25</f>
        <v>23553.75</v>
      </c>
      <c r="T64" s="7">
        <f t="shared" si="2"/>
        <v>381162.23000000004</v>
      </c>
    </row>
    <row r="65" spans="1:20" ht="15">
      <c r="A65" s="6" t="s">
        <v>27</v>
      </c>
      <c r="B65" s="8"/>
      <c r="C65" s="8"/>
      <c r="D65" s="8"/>
      <c r="E65" s="8">
        <v>70723</v>
      </c>
      <c r="F65" s="8">
        <v>26708</v>
      </c>
      <c r="G65" s="8">
        <v>6975</v>
      </c>
      <c r="H65" s="29">
        <f>87037.5+84975</f>
        <v>172012.5</v>
      </c>
      <c r="I65" s="29"/>
      <c r="J65" s="29">
        <f>756.7+189.17+713.94+178.48</f>
        <v>1838.29</v>
      </c>
      <c r="K65" s="29">
        <f>846.48+169.3+798.65+159.73</f>
        <v>1974.1599999999999</v>
      </c>
      <c r="L65" s="29">
        <f>12088.59+1726.94+11561.71+1651.67</f>
        <v>27028.909999999996</v>
      </c>
      <c r="M65" s="29">
        <f>1619.36+323.87+1542.18+308.43</f>
        <v>3793.8399999999997</v>
      </c>
      <c r="N65" s="29">
        <f>726.68+245.23+696.37+232.12</f>
        <v>1900.4</v>
      </c>
      <c r="O65" s="29">
        <f>3158.88+842.37+3027.12+807.23</f>
        <v>7835.6</v>
      </c>
      <c r="P65" s="29">
        <f>1482.11+395.23+1425.44+380.11</f>
        <v>3682.89</v>
      </c>
      <c r="Q65" s="29"/>
      <c r="R65" s="29">
        <f>10424.38+10205</f>
        <v>20629.379999999997</v>
      </c>
      <c r="S65" s="29">
        <f>11646.25+11378.13</f>
        <v>23024.379999999997</v>
      </c>
      <c r="T65" s="7">
        <f t="shared" si="2"/>
        <v>368126.35</v>
      </c>
    </row>
    <row r="66" spans="1:20" ht="15">
      <c r="A66" s="6" t="s">
        <v>28</v>
      </c>
      <c r="B66" s="8"/>
      <c r="C66" s="8"/>
      <c r="D66" s="8"/>
      <c r="E66" s="8">
        <v>68197</v>
      </c>
      <c r="F66" s="8">
        <v>25650</v>
      </c>
      <c r="G66" s="8">
        <v>6705</v>
      </c>
      <c r="H66" s="29">
        <f>84975+82843.75</f>
        <v>167818.75</v>
      </c>
      <c r="I66" s="29"/>
      <c r="J66" s="29">
        <f>670.97+167.74+627.78+156.95</f>
        <v>1623.44</v>
      </c>
      <c r="K66" s="29">
        <f>750.58+150.12+702.27+140.45</f>
        <v>1743.42</v>
      </c>
      <c r="L66" s="29">
        <f>11030.21+1575.74+10494.06+1499.15</f>
        <v>24599.16</v>
      </c>
      <c r="M66" s="29">
        <f>1464.6+292.92+1386.63+277.33</f>
        <v>3421.48</v>
      </c>
      <c r="N66" s="29">
        <f>665.94+221.98+635.4+211.8</f>
        <v>1735.1200000000001</v>
      </c>
      <c r="O66" s="29">
        <f>2894.86+771.96+2762.11+736.56</f>
        <v>7165.49</v>
      </c>
      <c r="P66" s="29">
        <f>1368.37+364.95+1311.48+349.73</f>
        <v>3394.53</v>
      </c>
      <c r="Q66" s="29"/>
      <c r="R66" s="29">
        <f>10205+9977.5</f>
        <v>20182.5</v>
      </c>
      <c r="S66" s="29">
        <f>11378.13+11103.13</f>
        <v>22481.26</v>
      </c>
      <c r="T66" s="7">
        <f t="shared" si="2"/>
        <v>354717.14999999997</v>
      </c>
    </row>
    <row r="67" spans="1:20" ht="15">
      <c r="A67" s="6" t="s">
        <v>29</v>
      </c>
      <c r="B67" s="8"/>
      <c r="C67" s="8"/>
      <c r="D67" s="8"/>
      <c r="E67" s="8">
        <v>65557</v>
      </c>
      <c r="F67" s="8">
        <v>24548</v>
      </c>
      <c r="G67" s="8">
        <v>6435</v>
      </c>
      <c r="H67" s="29">
        <f>82843.75+80643.75</f>
        <v>163487.5</v>
      </c>
      <c r="I67" s="29"/>
      <c r="J67" s="29">
        <f>584.38+146.09+540.76+135.19</f>
        <v>1406.42</v>
      </c>
      <c r="K67" s="29">
        <f>653.72+130.74+604.92+120.98</f>
        <v>1510.3600000000001</v>
      </c>
      <c r="L67" s="29">
        <f>9953.22+1421.89+9407.65+1343.95</f>
        <v>22126.71</v>
      </c>
      <c r="M67" s="29">
        <f>1308.28+261.66+1229.54+245.91</f>
        <v>3045.39</v>
      </c>
      <c r="N67" s="29">
        <f>604.75+201.58+573.98+191.33</f>
        <v>1571.6399999999999</v>
      </c>
      <c r="O67" s="29">
        <f>2628.86+701.03+2495.11+665.36</f>
        <v>6490.36</v>
      </c>
      <c r="P67" s="29">
        <f>1254.19+334.45+1196.67+319.11</f>
        <v>3104.4200000000005</v>
      </c>
      <c r="Q67" s="29"/>
      <c r="R67" s="29">
        <f>9977.5+9741.88</f>
        <v>19719.379999999997</v>
      </c>
      <c r="S67" s="29">
        <f>11103.13+10821.25</f>
        <v>21924.379999999997</v>
      </c>
      <c r="T67" s="7">
        <f t="shared" si="2"/>
        <v>340926.56000000006</v>
      </c>
    </row>
    <row r="68" spans="1:20" ht="15">
      <c r="A68" s="6" t="s">
        <v>30</v>
      </c>
      <c r="B68" s="8"/>
      <c r="C68" s="8"/>
      <c r="D68" s="8"/>
      <c r="E68" s="8">
        <v>62793</v>
      </c>
      <c r="F68" s="8">
        <v>23400</v>
      </c>
      <c r="G68" s="8">
        <v>6143</v>
      </c>
      <c r="H68" s="29">
        <f>80643.75+78375</f>
        <v>159018.75</v>
      </c>
      <c r="I68" s="29"/>
      <c r="J68" s="29">
        <f>496.952+124.23+452.86+113.22</f>
        <v>1187.262</v>
      </c>
      <c r="K68" s="29">
        <f>555.88+111.18+506.6+101.32</f>
        <v>1274.9799999999998</v>
      </c>
      <c r="L68" s="29">
        <f>8857.31+1265.33+8302.15+1186.02</f>
        <v>19610.81</v>
      </c>
      <c r="M68" s="29">
        <f>1150.4+230.08+1070.86+214.17</f>
        <v>2665.51</v>
      </c>
      <c r="N68" s="29">
        <f>543.1+181.03+512.1+170.7</f>
        <v>1406.93</v>
      </c>
      <c r="O68" s="29">
        <f>2360.86+629.56+2226.11+593.63</f>
        <v>5810.160000000001</v>
      </c>
      <c r="P68" s="29">
        <f>1138.94+303.71+1080.99+288.27</f>
        <v>2811.9100000000003</v>
      </c>
      <c r="Q68" s="29"/>
      <c r="R68" s="29">
        <f>9741.88+9498.13</f>
        <v>19240.01</v>
      </c>
      <c r="S68" s="29">
        <f>10821.25+10532.5</f>
        <v>21353.75</v>
      </c>
      <c r="T68" s="7">
        <f t="shared" si="2"/>
        <v>326716.072</v>
      </c>
    </row>
    <row r="69" spans="1:20" ht="15">
      <c r="A69" s="6" t="s">
        <v>31</v>
      </c>
      <c r="B69" s="8"/>
      <c r="C69" s="8"/>
      <c r="D69" s="8"/>
      <c r="E69" s="8">
        <v>59905</v>
      </c>
      <c r="F69" s="8">
        <v>22208</v>
      </c>
      <c r="G69" s="8">
        <v>5827</v>
      </c>
      <c r="H69" s="29">
        <f>79375+76030.63</f>
        <v>155405.63</v>
      </c>
      <c r="I69" s="29"/>
      <c r="J69" s="29">
        <f>408.59+102.15+364.09+91.02</f>
        <v>965.8499999999999</v>
      </c>
      <c r="K69" s="29">
        <f>457.07+91.41+407.29+81.46</f>
        <v>1037.23</v>
      </c>
      <c r="L69" s="29">
        <f>7742.13+1106.02+7177.21+1025.32</f>
        <v>17050.68</v>
      </c>
      <c r="M69" s="29">
        <f>990.94+198.19+910.6+182.12</f>
        <v>2281.85</v>
      </c>
      <c r="N69" s="29">
        <f>480.98+160.33+449.75+149.92</f>
        <v>1240.98</v>
      </c>
      <c r="O69" s="29">
        <f>2090.85+557.56+1955.08+521.35</f>
        <v>5124.84</v>
      </c>
      <c r="P69" s="29">
        <f>1022.83+272.75+964.45+257.19</f>
        <v>2517.22</v>
      </c>
      <c r="Q69" s="29"/>
      <c r="R69" s="29">
        <f>9498.13+9246.25</f>
        <v>18744.379999999997</v>
      </c>
      <c r="S69" s="29">
        <f>10532.5+10236.88</f>
        <v>20769.379999999997</v>
      </c>
      <c r="T69" s="7">
        <f t="shared" si="2"/>
        <v>313078.04</v>
      </c>
    </row>
    <row r="70" spans="1:20" ht="15">
      <c r="A70" s="6" t="s">
        <v>32</v>
      </c>
      <c r="B70" s="8"/>
      <c r="C70" s="8"/>
      <c r="D70" s="8"/>
      <c r="E70" s="8">
        <v>56884</v>
      </c>
      <c r="F70" s="8">
        <v>20970</v>
      </c>
      <c r="G70" s="8">
        <v>5513</v>
      </c>
      <c r="H70" s="29">
        <f>76030.63+73610.63</f>
        <v>149641.26</v>
      </c>
      <c r="I70" s="29"/>
      <c r="J70" s="29">
        <f>319.37+79.384+274.42+68.61</f>
        <v>741.784</v>
      </c>
      <c r="K70" s="29">
        <f>357.26+71.45+306.99+61.4</f>
        <v>797.1</v>
      </c>
      <c r="L70" s="29">
        <f>6607.35+943.91+6032.51+861.79</f>
        <v>14445.560000000001</v>
      </c>
      <c r="M70" s="29">
        <f>829.87+165.97+748.73+149.74</f>
        <v>1894.3100000000002</v>
      </c>
      <c r="N70" s="29">
        <f>418.4+139.47+386.93+128.98</f>
        <v>1073.78</v>
      </c>
      <c r="O70" s="29">
        <f>1818.8+485.01+1682.01+448.54</f>
        <v>4434.36</v>
      </c>
      <c r="P70" s="29">
        <f>905.85+241.56+847.03+225.88</f>
        <v>2220.32</v>
      </c>
      <c r="Q70" s="29"/>
      <c r="R70" s="29">
        <f>9246.25+8986.25</f>
        <v>18232.5</v>
      </c>
      <c r="S70" s="29">
        <f>10236.88+9927.5</f>
        <v>20164.379999999997</v>
      </c>
      <c r="T70" s="7">
        <f t="shared" si="2"/>
        <v>297012.35400000005</v>
      </c>
    </row>
    <row r="71" spans="1:20" ht="15">
      <c r="A71" s="6" t="s">
        <v>33</v>
      </c>
      <c r="B71" s="8"/>
      <c r="C71" s="8"/>
      <c r="D71" s="8"/>
      <c r="E71" s="8">
        <v>53728</v>
      </c>
      <c r="F71" s="8">
        <v>19665</v>
      </c>
      <c r="G71" s="8">
        <v>5175</v>
      </c>
      <c r="H71" s="29">
        <f>73610.63+71108.13</f>
        <v>144718.76</v>
      </c>
      <c r="I71" s="29"/>
      <c r="J71" s="29">
        <f>229.26+57.31+183.86+45.97</f>
        <v>516.4</v>
      </c>
      <c r="K71" s="29">
        <f>256.46+51.29+205.68+41.14</f>
        <v>554.57</v>
      </c>
      <c r="L71" s="29">
        <f>5452.63+778.95+4867.68+695.38</f>
        <v>11794.64</v>
      </c>
      <c r="M71" s="29">
        <f>667.19+133.44+585.25+117.05</f>
        <v>1502.93</v>
      </c>
      <c r="N71" s="29">
        <f>355.35+118.45+323.65+107.88</f>
        <v>905.33</v>
      </c>
      <c r="O71" s="29">
        <f>1544.71+411.92+1406.9+375.17</f>
        <v>3738.7000000000003</v>
      </c>
      <c r="P71" s="29">
        <f>787.99+210.13+728.73+194.33</f>
        <v>1921.1799999999998</v>
      </c>
      <c r="Q71" s="29"/>
      <c r="R71" s="29">
        <f>8986.25+8718.13</f>
        <v>17704.379999999997</v>
      </c>
      <c r="S71" s="29">
        <f>9927.5+9611.25</f>
        <v>19538.75</v>
      </c>
      <c r="T71" s="7">
        <f t="shared" si="2"/>
        <v>281463.64</v>
      </c>
    </row>
    <row r="72" spans="1:20" ht="15">
      <c r="A72" s="6" t="s">
        <v>34</v>
      </c>
      <c r="B72" s="8"/>
      <c r="C72" s="8"/>
      <c r="D72" s="8"/>
      <c r="E72" s="8">
        <v>50438</v>
      </c>
      <c r="F72" s="8">
        <v>18293</v>
      </c>
      <c r="G72" s="8">
        <v>4815</v>
      </c>
      <c r="H72" s="29">
        <f>71108.13+68530</f>
        <v>139638.13</v>
      </c>
      <c r="I72" s="29"/>
      <c r="J72" s="29">
        <f>138.24+34.56+92.39+23.1</f>
        <v>288.29</v>
      </c>
      <c r="K72" s="29">
        <f>154.64+30.93+103.35+20.67</f>
        <v>309.59</v>
      </c>
      <c r="L72" s="29">
        <f>4277.61+611.09+3682.38+526.05</f>
        <v>9097.13</v>
      </c>
      <c r="M72" s="29">
        <f>502.88+100.58+420.11+84.02</f>
        <v>1107.5900000000001</v>
      </c>
      <c r="N72" s="29">
        <f>291.82+97.27+259.88+86.63</f>
        <v>735.6</v>
      </c>
      <c r="O72" s="29">
        <f>1268.57+338.28+1129.72+301.26</f>
        <v>3037.83</v>
      </c>
      <c r="P72" s="29">
        <f>669.24+178.47+609.54+162.54</f>
        <v>1619.79</v>
      </c>
      <c r="Q72" s="29"/>
      <c r="R72" s="29">
        <f>8718.13+8441.88</f>
        <v>17160.01</v>
      </c>
      <c r="S72" s="29">
        <f>9611.25+9288.13</f>
        <v>18899.379999999997</v>
      </c>
      <c r="T72" s="7">
        <f t="shared" si="2"/>
        <v>265439.34</v>
      </c>
    </row>
    <row r="73" spans="1:20" ht="15">
      <c r="A73" s="6" t="s">
        <v>35</v>
      </c>
      <c r="B73" s="8"/>
      <c r="C73" s="8"/>
      <c r="D73" s="8"/>
      <c r="E73" s="8">
        <v>46994</v>
      </c>
      <c r="F73" s="8">
        <v>16875</v>
      </c>
      <c r="G73" s="8">
        <v>4455</v>
      </c>
      <c r="H73" s="29">
        <f>68530+65862.5</f>
        <v>134392.5</v>
      </c>
      <c r="I73" s="29"/>
      <c r="J73" s="29">
        <f>46.45+11.58</f>
        <v>58.03</v>
      </c>
      <c r="K73" s="29">
        <f>51.61+10.36</f>
        <v>61.97</v>
      </c>
      <c r="L73" s="29">
        <f>3081.94+440.28+2476.24+353.75</f>
        <v>6352.21</v>
      </c>
      <c r="M73" s="29">
        <f>336.92+67.38+253.33+50.67</f>
        <v>708.3</v>
      </c>
      <c r="N73" s="29">
        <f>227.82+75.94+195.64+65.21</f>
        <v>564.61</v>
      </c>
      <c r="O73" s="29">
        <f>990.34+264.09+850.45+226.79</f>
        <v>2331.67</v>
      </c>
      <c r="P73" s="29">
        <f>549.61+146.56+489.44+130.52</f>
        <v>1316.13</v>
      </c>
      <c r="Q73" s="29"/>
      <c r="R73" s="29">
        <f>8441.88+8157.5</f>
        <v>16599.379999999997</v>
      </c>
      <c r="S73" s="29">
        <f>9288.13+8958.13</f>
        <v>18246.26</v>
      </c>
      <c r="T73" s="7">
        <f t="shared" si="2"/>
        <v>248955.06</v>
      </c>
    </row>
    <row r="74" spans="1:20" ht="15">
      <c r="A74" s="6" t="s">
        <v>36</v>
      </c>
      <c r="B74" s="8"/>
      <c r="C74" s="8"/>
      <c r="D74" s="8"/>
      <c r="E74" s="8">
        <v>43395</v>
      </c>
      <c r="F74" s="8">
        <v>15390</v>
      </c>
      <c r="G74" s="8">
        <v>4073</v>
      </c>
      <c r="H74" s="29">
        <f>65862.5+63112.5</f>
        <v>128975</v>
      </c>
      <c r="I74" s="29"/>
      <c r="J74" s="29"/>
      <c r="K74" s="29"/>
      <c r="L74" s="29">
        <f>1865.25+266.45+1248.91+178.42</f>
        <v>3559.0299999999997</v>
      </c>
      <c r="M74" s="29">
        <f>169.3+33.86+84.7+16.97</f>
        <v>304.83000000000004</v>
      </c>
      <c r="N74" s="29">
        <f>163.34+54.45+130.91+43.64</f>
        <v>392.34000000000003</v>
      </c>
      <c r="O74" s="29">
        <f>710.03+189.34+569.09+151.76</f>
        <v>1620.22</v>
      </c>
      <c r="P74" s="29">
        <f>429.06+114.42+368.46+98.25</f>
        <v>1010.19</v>
      </c>
      <c r="Q74" s="29"/>
      <c r="R74" s="29">
        <f>8157.5+7865</f>
        <v>16022.5</v>
      </c>
      <c r="S74" s="29">
        <f>8958.13+8614.38</f>
        <v>17572.51</v>
      </c>
      <c r="T74" s="7">
        <f t="shared" si="2"/>
        <v>232314.62</v>
      </c>
    </row>
    <row r="75" spans="1:20" ht="15">
      <c r="A75" s="6" t="s">
        <v>37</v>
      </c>
      <c r="B75" s="8"/>
      <c r="C75" s="8"/>
      <c r="D75" s="8"/>
      <c r="E75" s="8">
        <v>39641</v>
      </c>
      <c r="F75" s="8">
        <v>13838</v>
      </c>
      <c r="G75" s="8">
        <v>3667</v>
      </c>
      <c r="H75" s="29">
        <f>63112.5+60273.13</f>
        <v>123385.63</v>
      </c>
      <c r="I75" s="29"/>
      <c r="J75" s="29"/>
      <c r="K75" s="29"/>
      <c r="L75" s="29">
        <f>627.35+89.6</f>
        <v>716.95</v>
      </c>
      <c r="M75" s="29"/>
      <c r="N75" s="29">
        <f>98.37+32.79+65.7+21.9</f>
        <v>218.76000000000002</v>
      </c>
      <c r="O75" s="29">
        <f>427.61+114.03+285.61+76.16</f>
        <v>903.41</v>
      </c>
      <c r="P75" s="29">
        <f>307.62+82.03+246.55+65.75</f>
        <v>701.95</v>
      </c>
      <c r="Q75" s="29"/>
      <c r="R75" s="29">
        <f>7865+7564.38</f>
        <v>15429.380000000001</v>
      </c>
      <c r="S75" s="29">
        <f>8314.38+8263.75</f>
        <v>16578.129999999997</v>
      </c>
      <c r="T75" s="7">
        <f t="shared" si="2"/>
        <v>215080.21000000005</v>
      </c>
    </row>
    <row r="76" spans="1:20" ht="15">
      <c r="A76" s="6" t="s">
        <v>38</v>
      </c>
      <c r="B76" s="8"/>
      <c r="C76" s="8"/>
      <c r="D76" s="8"/>
      <c r="E76" s="8">
        <v>35712</v>
      </c>
      <c r="F76" s="8">
        <v>12217</v>
      </c>
      <c r="G76" s="8">
        <v>3240</v>
      </c>
      <c r="H76" s="29">
        <f>60273.13+57337.5</f>
        <v>117610.63</v>
      </c>
      <c r="I76" s="29"/>
      <c r="J76" s="29"/>
      <c r="K76" s="29"/>
      <c r="L76" s="29"/>
      <c r="M76" s="29"/>
      <c r="N76" s="29">
        <f>33.01+10.97</f>
        <v>43.98</v>
      </c>
      <c r="O76" s="29">
        <f>142.9+38.15</f>
        <v>181.05</v>
      </c>
      <c r="P76" s="29">
        <f>185.26+49.41+123.74+33</f>
        <v>391.40999999999997</v>
      </c>
      <c r="Q76" s="29"/>
      <c r="R76" s="29">
        <f>7564.38+7247.5</f>
        <v>14811.880000000001</v>
      </c>
      <c r="S76" s="29">
        <f>8263.75+7906.25</f>
        <v>16170</v>
      </c>
      <c r="T76" s="7">
        <f t="shared" si="2"/>
        <v>200377.95</v>
      </c>
    </row>
    <row r="77" spans="1:20" ht="15">
      <c r="A77" s="6" t="s">
        <v>39</v>
      </c>
      <c r="B77" s="8"/>
      <c r="C77" s="8"/>
      <c r="D77" s="8"/>
      <c r="E77" s="8">
        <v>31597</v>
      </c>
      <c r="F77" s="8">
        <v>10530</v>
      </c>
      <c r="G77" s="8">
        <v>2790</v>
      </c>
      <c r="H77" s="29">
        <f>57337.5+54305.63</f>
        <v>111643.13</v>
      </c>
      <c r="I77" s="29"/>
      <c r="J77" s="29"/>
      <c r="K77" s="29"/>
      <c r="L77" s="29"/>
      <c r="M77" s="29"/>
      <c r="N77" s="29"/>
      <c r="O77" s="29"/>
      <c r="P77" s="29">
        <f>61.99+16.53</f>
        <v>78.52000000000001</v>
      </c>
      <c r="Q77" s="29"/>
      <c r="R77" s="29">
        <f>7247.5+6922.5</f>
        <v>14170</v>
      </c>
      <c r="S77" s="29">
        <f>7906.25+7535</f>
        <v>15441.25</v>
      </c>
      <c r="T77" s="7">
        <f t="shared" si="2"/>
        <v>186249.9</v>
      </c>
    </row>
    <row r="78" spans="1:20" ht="15">
      <c r="A78" s="6" t="s">
        <v>40</v>
      </c>
      <c r="B78" s="8"/>
      <c r="C78" s="8"/>
      <c r="D78" s="8"/>
      <c r="E78" s="8">
        <v>27297</v>
      </c>
      <c r="F78" s="8">
        <v>8797</v>
      </c>
      <c r="G78" s="8">
        <v>2340</v>
      </c>
      <c r="H78" s="29">
        <f>54305.63+51177.5</f>
        <v>105483.13</v>
      </c>
      <c r="I78" s="29"/>
      <c r="J78" s="29"/>
      <c r="K78" s="29"/>
      <c r="L78" s="29"/>
      <c r="M78" s="29"/>
      <c r="N78" s="29"/>
      <c r="O78" s="29"/>
      <c r="P78" s="29"/>
      <c r="Q78" s="29"/>
      <c r="R78" s="29">
        <f>6922.5+6589.38</f>
        <v>13511.880000000001</v>
      </c>
      <c r="S78" s="29">
        <f>7535+7156.88</f>
        <v>14691.880000000001</v>
      </c>
      <c r="T78" s="7">
        <f t="shared" si="2"/>
        <v>172120.89</v>
      </c>
    </row>
    <row r="79" spans="1:20" ht="15">
      <c r="A79" s="6" t="s">
        <v>41</v>
      </c>
      <c r="B79" s="8"/>
      <c r="C79" s="8"/>
      <c r="D79" s="8"/>
      <c r="E79" s="8">
        <v>22811</v>
      </c>
      <c r="F79" s="8">
        <v>6997</v>
      </c>
      <c r="G79" s="8">
        <v>1868</v>
      </c>
      <c r="H79" s="29">
        <f>51177.5+47946.25</f>
        <v>99123.75</v>
      </c>
      <c r="I79" s="29"/>
      <c r="J79" s="29"/>
      <c r="K79" s="29"/>
      <c r="L79" s="29"/>
      <c r="M79" s="29"/>
      <c r="N79" s="29"/>
      <c r="O79" s="29"/>
      <c r="P79" s="29"/>
      <c r="Q79" s="29"/>
      <c r="R79" s="29">
        <f>6589.38+6240</f>
        <v>12829.380000000001</v>
      </c>
      <c r="S79" s="29">
        <f>7156.88+6765</f>
        <v>13921.880000000001</v>
      </c>
      <c r="T79" s="7">
        <f t="shared" si="2"/>
        <v>157551.01</v>
      </c>
    </row>
    <row r="80" spans="1:20" ht="15">
      <c r="A80" s="6" t="s">
        <v>42</v>
      </c>
      <c r="B80" s="8"/>
      <c r="C80" s="8"/>
      <c r="D80" s="8"/>
      <c r="E80" s="8">
        <v>18130</v>
      </c>
      <c r="F80" s="8">
        <v>5107</v>
      </c>
      <c r="G80" s="8">
        <v>1372</v>
      </c>
      <c r="H80" s="29">
        <f>47946.255+44611.88</f>
        <v>92558.135</v>
      </c>
      <c r="I80" s="29"/>
      <c r="J80" s="29"/>
      <c r="K80" s="29"/>
      <c r="L80" s="29"/>
      <c r="M80" s="29"/>
      <c r="N80" s="29"/>
      <c r="O80" s="29"/>
      <c r="P80" s="29"/>
      <c r="Q80" s="29"/>
      <c r="R80" s="29">
        <f>6240+5882.5</f>
        <v>12122.5</v>
      </c>
      <c r="S80" s="29">
        <f>6765+6366.25</f>
        <v>13131.25</v>
      </c>
      <c r="T80" s="7">
        <f t="shared" si="2"/>
        <v>142420.885</v>
      </c>
    </row>
    <row r="81" spans="1:20" ht="15">
      <c r="A81" s="6" t="s">
        <v>43</v>
      </c>
      <c r="B81" s="8"/>
      <c r="C81" s="8"/>
      <c r="D81" s="8"/>
      <c r="E81" s="8">
        <v>13231</v>
      </c>
      <c r="F81" s="8">
        <v>3127</v>
      </c>
      <c r="G81" s="8">
        <v>855</v>
      </c>
      <c r="H81" s="29">
        <f>44611.88+41167.5</f>
        <v>85779.38</v>
      </c>
      <c r="I81" s="29"/>
      <c r="J81" s="29"/>
      <c r="K81" s="29"/>
      <c r="L81" s="29"/>
      <c r="M81" s="29"/>
      <c r="N81" s="29"/>
      <c r="O81" s="29"/>
      <c r="P81" s="29"/>
      <c r="Q81" s="29"/>
      <c r="R81" s="29">
        <f>5882.5+5508.75</f>
        <v>11391.25</v>
      </c>
      <c r="S81" s="29">
        <f>6366.25+5953.75</f>
        <v>12320</v>
      </c>
      <c r="T81" s="7">
        <f t="shared" si="2"/>
        <v>126703.63</v>
      </c>
    </row>
    <row r="82" spans="1:20" ht="15">
      <c r="A82" s="6" t="s">
        <v>44</v>
      </c>
      <c r="B82" s="8"/>
      <c r="C82" s="8"/>
      <c r="D82" s="8"/>
      <c r="E82" s="8">
        <v>8105</v>
      </c>
      <c r="F82" s="8">
        <v>1057</v>
      </c>
      <c r="G82" s="8">
        <v>292</v>
      </c>
      <c r="H82" s="29">
        <f>41167.5+37613.13</f>
        <v>78780.63</v>
      </c>
      <c r="I82" s="29"/>
      <c r="J82" s="29"/>
      <c r="K82" s="29"/>
      <c r="L82" s="29"/>
      <c r="M82" s="29"/>
      <c r="N82" s="29"/>
      <c r="O82" s="29"/>
      <c r="P82" s="29"/>
      <c r="Q82" s="29"/>
      <c r="R82" s="29">
        <f>5508.75+5126.88</f>
        <v>10635.630000000001</v>
      </c>
      <c r="S82" s="29">
        <f>5953.75+5527.5</f>
        <v>11481.25</v>
      </c>
      <c r="T82" s="7">
        <f t="shared" si="2"/>
        <v>110351.51000000001</v>
      </c>
    </row>
    <row r="83" spans="1:20" ht="15">
      <c r="A83" s="6" t="s">
        <v>45</v>
      </c>
      <c r="B83" s="8"/>
      <c r="C83" s="8"/>
      <c r="D83" s="8"/>
      <c r="E83" s="10">
        <v>2743</v>
      </c>
      <c r="F83" s="8"/>
      <c r="G83" s="8"/>
      <c r="H83" s="29">
        <f>37613.13+33941.88</f>
        <v>71555.01</v>
      </c>
      <c r="I83" s="29"/>
      <c r="J83" s="29"/>
      <c r="K83" s="29"/>
      <c r="L83" s="29"/>
      <c r="M83" s="29"/>
      <c r="N83" s="29"/>
      <c r="O83" s="29"/>
      <c r="P83" s="29"/>
      <c r="Q83" s="29"/>
      <c r="R83" s="29">
        <f>5126.88+4728.75</f>
        <v>9855.630000000001</v>
      </c>
      <c r="S83" s="29">
        <f>5527.5+5094.38</f>
        <v>10621.880000000001</v>
      </c>
      <c r="T83" s="7">
        <f t="shared" si="2"/>
        <v>94775.52</v>
      </c>
    </row>
    <row r="84" spans="1:20" ht="15">
      <c r="A84" s="6" t="s">
        <v>46</v>
      </c>
      <c r="B84" s="8"/>
      <c r="C84" s="8"/>
      <c r="D84" s="8"/>
      <c r="E84" s="10"/>
      <c r="F84" s="8"/>
      <c r="G84" s="8"/>
      <c r="H84" s="29">
        <f>33941.88+30153.75</f>
        <v>64095.63</v>
      </c>
      <c r="I84" s="29"/>
      <c r="J84" s="29"/>
      <c r="K84" s="29"/>
      <c r="L84" s="29"/>
      <c r="M84" s="29"/>
      <c r="N84" s="29"/>
      <c r="O84" s="29"/>
      <c r="P84" s="29"/>
      <c r="Q84" s="29"/>
      <c r="R84" s="29">
        <f>4728.75+4322.5</f>
        <v>9051.25</v>
      </c>
      <c r="S84" s="29">
        <f>5094.38+4647.5</f>
        <v>9741.880000000001</v>
      </c>
      <c r="T84" s="7">
        <f t="shared" si="2"/>
        <v>82888.76000000001</v>
      </c>
    </row>
    <row r="85" spans="1:20" ht="15">
      <c r="A85" s="6" t="s">
        <v>61</v>
      </c>
      <c r="B85" s="8"/>
      <c r="C85" s="8"/>
      <c r="D85" s="8"/>
      <c r="E85" s="10"/>
      <c r="F85" s="8"/>
      <c r="G85" s="8"/>
      <c r="H85" s="29">
        <f>30153.75+26241.88</f>
        <v>56395.630000000005</v>
      </c>
      <c r="I85" s="29"/>
      <c r="J85" s="29"/>
      <c r="K85" s="29"/>
      <c r="L85" s="29"/>
      <c r="M85" s="29"/>
      <c r="N85" s="29"/>
      <c r="O85" s="29"/>
      <c r="P85" s="29"/>
      <c r="Q85" s="29"/>
      <c r="R85" s="29">
        <f>4322.5+3900</f>
        <v>8222.5</v>
      </c>
      <c r="S85" s="29">
        <f>4647.5+4186.88</f>
        <v>8834.380000000001</v>
      </c>
      <c r="T85" s="7">
        <f t="shared" si="2"/>
        <v>73452.51000000001</v>
      </c>
    </row>
    <row r="86" spans="1:20" ht="15">
      <c r="A86" s="6" t="s">
        <v>62</v>
      </c>
      <c r="B86" s="8"/>
      <c r="C86" s="8"/>
      <c r="D86" s="8"/>
      <c r="E86" s="10"/>
      <c r="F86" s="8"/>
      <c r="G86" s="8"/>
      <c r="H86" s="29">
        <f>26241.88+22199.38</f>
        <v>48441.26</v>
      </c>
      <c r="I86" s="29"/>
      <c r="J86" s="29"/>
      <c r="K86" s="29"/>
      <c r="L86" s="29"/>
      <c r="M86" s="29"/>
      <c r="N86" s="29"/>
      <c r="O86" s="29"/>
      <c r="P86" s="29"/>
      <c r="Q86" s="29"/>
      <c r="R86" s="29">
        <f>3900+3461.25</f>
        <v>7361.25</v>
      </c>
      <c r="S86" s="29">
        <f>4186.88+3712.5</f>
        <v>7899.38</v>
      </c>
      <c r="T86" s="7">
        <f t="shared" si="2"/>
        <v>63701.89</v>
      </c>
    </row>
    <row r="87" spans="1:20" ht="15">
      <c r="A87" s="6" t="s">
        <v>63</v>
      </c>
      <c r="B87" s="8"/>
      <c r="C87" s="8"/>
      <c r="D87" s="8"/>
      <c r="E87" s="10"/>
      <c r="F87" s="8"/>
      <c r="G87" s="8"/>
      <c r="H87" s="29">
        <f>22199.38+18026.25</f>
        <v>40225.630000000005</v>
      </c>
      <c r="I87" s="29"/>
      <c r="J87" s="29"/>
      <c r="K87" s="29"/>
      <c r="L87" s="29"/>
      <c r="M87" s="29"/>
      <c r="N87" s="29"/>
      <c r="O87" s="29"/>
      <c r="P87" s="29"/>
      <c r="Q87" s="29"/>
      <c r="R87" s="29">
        <f>3461.25+3006.25</f>
        <v>6467.5</v>
      </c>
      <c r="S87" s="29">
        <f>3712.5+3224.38</f>
        <v>6936.88</v>
      </c>
      <c r="T87" s="7">
        <f t="shared" si="2"/>
        <v>53630.01</v>
      </c>
    </row>
    <row r="88" spans="1:20" ht="15">
      <c r="A88" s="6" t="s">
        <v>64</v>
      </c>
      <c r="B88" s="8"/>
      <c r="C88" s="8"/>
      <c r="D88" s="8"/>
      <c r="E88" s="10"/>
      <c r="F88" s="8"/>
      <c r="G88" s="8"/>
      <c r="H88" s="29">
        <f>18026.25+13722.5</f>
        <v>31748.75</v>
      </c>
      <c r="I88" s="29"/>
      <c r="J88" s="29"/>
      <c r="K88" s="29"/>
      <c r="L88" s="29"/>
      <c r="M88" s="29"/>
      <c r="N88" s="29"/>
      <c r="O88" s="29"/>
      <c r="P88" s="29"/>
      <c r="Q88" s="29"/>
      <c r="R88" s="29">
        <f>3006.25+2535</f>
        <v>5541.25</v>
      </c>
      <c r="S88" s="29">
        <f>3224.38+2722.5</f>
        <v>5946.88</v>
      </c>
      <c r="T88" s="7">
        <f t="shared" si="2"/>
        <v>43236.88</v>
      </c>
    </row>
    <row r="89" spans="1:20" ht="15">
      <c r="A89" s="6" t="s">
        <v>65</v>
      </c>
      <c r="B89" s="8"/>
      <c r="C89" s="8"/>
      <c r="D89" s="8"/>
      <c r="E89" s="10"/>
      <c r="F89" s="8"/>
      <c r="G89" s="8"/>
      <c r="H89" s="29">
        <f>13722.5+9274.38</f>
        <v>22996.879999999997</v>
      </c>
      <c r="I89" s="29"/>
      <c r="J89" s="29"/>
      <c r="K89" s="29"/>
      <c r="L89" s="29"/>
      <c r="M89" s="29"/>
      <c r="N89" s="29"/>
      <c r="O89" s="29"/>
      <c r="P89" s="29"/>
      <c r="Q89" s="29"/>
      <c r="R89" s="29">
        <f>2535+2047.5</f>
        <v>4582.5</v>
      </c>
      <c r="S89" s="29">
        <f>2722.5+2206.88</f>
        <v>4929.38</v>
      </c>
      <c r="T89" s="7">
        <f t="shared" si="2"/>
        <v>32508.76</v>
      </c>
    </row>
    <row r="90" spans="1:20" ht="15">
      <c r="A90" s="6" t="s">
        <v>66</v>
      </c>
      <c r="B90" s="8"/>
      <c r="C90" s="8"/>
      <c r="D90" s="8"/>
      <c r="E90" s="10"/>
      <c r="F90" s="8"/>
      <c r="G90" s="8"/>
      <c r="H90" s="29">
        <f>9274.38+4681.88</f>
        <v>13956.259999999998</v>
      </c>
      <c r="I90" s="29"/>
      <c r="J90" s="29"/>
      <c r="K90" s="29"/>
      <c r="L90" s="29"/>
      <c r="M90" s="29"/>
      <c r="N90" s="29"/>
      <c r="O90" s="29"/>
      <c r="P90" s="29"/>
      <c r="Q90" s="29"/>
      <c r="R90" s="29">
        <f>2047.5+1543.75</f>
        <v>3591.25</v>
      </c>
      <c r="S90" s="29">
        <f>2206.88+1677.5</f>
        <v>3884.38</v>
      </c>
      <c r="T90" s="7">
        <f t="shared" si="2"/>
        <v>21431.89</v>
      </c>
    </row>
    <row r="91" spans="1:20" ht="15">
      <c r="A91" s="6" t="s">
        <v>72</v>
      </c>
      <c r="B91" s="8"/>
      <c r="C91" s="8"/>
      <c r="D91" s="8"/>
      <c r="E91" s="10"/>
      <c r="F91" s="8"/>
      <c r="G91" s="8"/>
      <c r="H91" s="29">
        <v>4681.88</v>
      </c>
      <c r="I91" s="29"/>
      <c r="J91" s="29"/>
      <c r="K91" s="29"/>
      <c r="L91" s="29"/>
      <c r="M91" s="29"/>
      <c r="N91" s="29"/>
      <c r="O91" s="29"/>
      <c r="P91" s="29"/>
      <c r="Q91" s="29"/>
      <c r="R91" s="29">
        <f>1543.75+1023.75</f>
        <v>2567.5</v>
      </c>
      <c r="S91" s="29">
        <f>1677.5+1134.38</f>
        <v>2811.88</v>
      </c>
      <c r="T91" s="7">
        <f t="shared" si="2"/>
        <v>10061.26</v>
      </c>
    </row>
    <row r="92" spans="1:20" ht="15">
      <c r="A92" s="6" t="s">
        <v>83</v>
      </c>
      <c r="B92" s="8"/>
      <c r="C92" s="8"/>
      <c r="D92" s="8"/>
      <c r="E92" s="10"/>
      <c r="F92" s="8"/>
      <c r="G92" s="8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>
        <f>1023.75+487.5</f>
        <v>1511.25</v>
      </c>
      <c r="S92" s="29">
        <f>1134.38+577.5</f>
        <v>1711.88</v>
      </c>
      <c r="T92" s="7">
        <f t="shared" si="2"/>
        <v>3223.13</v>
      </c>
    </row>
    <row r="93" spans="1:20" ht="12.75">
      <c r="A93" s="6" t="s">
        <v>84</v>
      </c>
      <c r="B93" s="8"/>
      <c r="C93" s="8"/>
      <c r="D93" s="8"/>
      <c r="F93" s="8"/>
      <c r="G93" s="8"/>
      <c r="R93" s="2">
        <v>487.5</v>
      </c>
      <c r="S93" s="2">
        <v>577.5</v>
      </c>
      <c r="T93" s="7">
        <f t="shared" si="2"/>
        <v>1065</v>
      </c>
    </row>
    <row r="94" spans="1:20" ht="13.5" thickBot="1">
      <c r="A94" s="6"/>
      <c r="B94" s="9">
        <f>SUM(B56:B83)</f>
        <v>107660.3</v>
      </c>
      <c r="C94" s="9">
        <f>SUM(C56:C83)</f>
        <v>0</v>
      </c>
      <c r="D94" s="9">
        <f>SUM(D56:D83)</f>
        <v>48842</v>
      </c>
      <c r="E94" s="9">
        <f>SUM(E56:E93)</f>
        <v>1422650</v>
      </c>
      <c r="F94" s="9">
        <f>SUM(F56:F83)</f>
        <v>521797</v>
      </c>
      <c r="G94" s="9">
        <f>SUM(G56:G83)</f>
        <v>136868</v>
      </c>
      <c r="H94" s="9">
        <f>SUM(H56:H91)</f>
        <v>4195753.894999998</v>
      </c>
      <c r="I94" s="9">
        <f aca="true" t="shared" si="3" ref="I94:P94">SUM(I56:I90)</f>
        <v>25485</v>
      </c>
      <c r="J94" s="9">
        <f t="shared" si="3"/>
        <v>30815.526</v>
      </c>
      <c r="K94" s="9">
        <f t="shared" si="3"/>
        <v>33093.09</v>
      </c>
      <c r="L94" s="9">
        <f t="shared" si="3"/>
        <v>455196.76000000007</v>
      </c>
      <c r="M94" s="9">
        <f t="shared" si="3"/>
        <v>64046.000000000015</v>
      </c>
      <c r="N94" s="9">
        <f t="shared" si="3"/>
        <v>32666.739999999998</v>
      </c>
      <c r="O94" s="9">
        <f t="shared" si="3"/>
        <v>134890.15000000002</v>
      </c>
      <c r="P94" s="9">
        <f t="shared" si="3"/>
        <v>61356.87</v>
      </c>
      <c r="Q94" s="9"/>
      <c r="R94" s="9">
        <f>SUM(R56:R93)</f>
        <v>527686.3600000001</v>
      </c>
      <c r="S94" s="9">
        <f>SUM(S56:S93)</f>
        <v>583703.91</v>
      </c>
      <c r="T94" s="9">
        <f>SUM(T57:T93)</f>
        <v>8382511.600999997</v>
      </c>
    </row>
    <row r="95" ht="13.5" thickTop="1"/>
    <row r="96" spans="1:20" ht="12.75">
      <c r="A96" s="1"/>
      <c r="B96" s="7"/>
      <c r="C96" s="7"/>
      <c r="D96" s="7"/>
      <c r="E96" s="7"/>
      <c r="F96" s="7"/>
      <c r="G96" s="7"/>
      <c r="T96" s="7"/>
    </row>
    <row r="97" spans="1:21" ht="12.75">
      <c r="A97" s="30"/>
      <c r="B97" s="31"/>
      <c r="C97" s="31"/>
      <c r="D97" s="31"/>
      <c r="E97" s="31"/>
      <c r="F97" s="31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1"/>
      <c r="U97" s="32"/>
    </row>
    <row r="98" spans="1:21" ht="12.75">
      <c r="A98" s="33" t="s">
        <v>48</v>
      </c>
      <c r="B98" s="31"/>
      <c r="C98" s="31"/>
      <c r="D98" s="31"/>
      <c r="E98" s="31"/>
      <c r="F98" s="31"/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1"/>
      <c r="U98" s="32"/>
    </row>
    <row r="99" spans="1:21" ht="12.75">
      <c r="A99" s="30"/>
      <c r="B99" s="31"/>
      <c r="C99" s="31"/>
      <c r="D99" s="31"/>
      <c r="E99" s="31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68"/>
      <c r="S99" s="68"/>
      <c r="T99" s="31"/>
      <c r="U99" s="32"/>
    </row>
    <row r="100" spans="1:21" s="15" customFormat="1" ht="12.75">
      <c r="A100" s="34" t="s">
        <v>3</v>
      </c>
      <c r="B100" s="35" t="s">
        <v>5</v>
      </c>
      <c r="C100" s="35" t="s">
        <v>56</v>
      </c>
      <c r="D100" s="35" t="s">
        <v>8</v>
      </c>
      <c r="E100" s="35">
        <v>2005</v>
      </c>
      <c r="F100" s="35" t="s">
        <v>49</v>
      </c>
      <c r="G100" s="35" t="s">
        <v>50</v>
      </c>
      <c r="H100" s="35">
        <v>2011</v>
      </c>
      <c r="I100" s="35" t="s">
        <v>67</v>
      </c>
      <c r="J100" s="35" t="s">
        <v>71</v>
      </c>
      <c r="K100" s="35" t="s">
        <v>73</v>
      </c>
      <c r="L100" s="35" t="s">
        <v>85</v>
      </c>
      <c r="M100" s="35" t="s">
        <v>86</v>
      </c>
      <c r="N100" s="35" t="s">
        <v>89</v>
      </c>
      <c r="O100" s="35" t="s">
        <v>90</v>
      </c>
      <c r="P100" s="35" t="s">
        <v>91</v>
      </c>
      <c r="Q100" s="35" t="s">
        <v>78</v>
      </c>
      <c r="R100" s="35" t="s">
        <v>76</v>
      </c>
      <c r="S100" s="35" t="s">
        <v>77</v>
      </c>
      <c r="T100" s="35" t="s">
        <v>11</v>
      </c>
      <c r="U100" s="35" t="s">
        <v>51</v>
      </c>
    </row>
    <row r="101" spans="1:21" ht="12.75">
      <c r="A101" s="36" t="s">
        <v>19</v>
      </c>
      <c r="B101" s="31">
        <f>41748.75*4</f>
        <v>166995</v>
      </c>
      <c r="C101" s="31"/>
      <c r="D101" s="31">
        <v>185617</v>
      </c>
      <c r="E101" s="31">
        <f aca="true" t="shared" si="4" ref="E101:P101">+E13+E57</f>
        <v>129409</v>
      </c>
      <c r="F101" s="31">
        <f t="shared" si="4"/>
        <v>49615</v>
      </c>
      <c r="G101" s="31">
        <f t="shared" si="4"/>
        <v>12775</v>
      </c>
      <c r="H101" s="31">
        <f t="shared" si="4"/>
        <v>317162.5</v>
      </c>
      <c r="I101" s="31">
        <f t="shared" si="4"/>
        <v>182265</v>
      </c>
      <c r="J101" s="31">
        <f t="shared" si="4"/>
        <v>19312.93</v>
      </c>
      <c r="K101" s="31">
        <f t="shared" si="4"/>
        <v>21448.61</v>
      </c>
      <c r="L101" s="31">
        <f t="shared" si="4"/>
        <v>150235.26</v>
      </c>
      <c r="M101" s="31">
        <f t="shared" si="4"/>
        <v>35221.6</v>
      </c>
      <c r="N101" s="31">
        <f t="shared" si="4"/>
        <v>18407.31</v>
      </c>
      <c r="O101" s="31">
        <f t="shared" si="4"/>
        <v>79331.82999999999</v>
      </c>
      <c r="P101" s="31">
        <f t="shared" si="4"/>
        <v>17138.66</v>
      </c>
      <c r="Q101" s="31"/>
      <c r="R101" s="37">
        <f aca="true" t="shared" si="5" ref="R101:S120">+R13+R57</f>
        <v>34184.38</v>
      </c>
      <c r="S101" s="37">
        <f t="shared" si="5"/>
        <v>42374.38</v>
      </c>
      <c r="T101" s="31">
        <f aca="true" t="shared" si="6" ref="T101:T137">SUM(B101:S101)</f>
        <v>1461493.46</v>
      </c>
      <c r="U101" s="38">
        <f aca="true" t="shared" si="7" ref="U101:U134">+F101+G101+H101+I101</f>
        <v>561817.5</v>
      </c>
    </row>
    <row r="102" spans="1:21" ht="12.75">
      <c r="A102" s="36" t="s">
        <v>20</v>
      </c>
      <c r="B102" s="31">
        <f>41748.75*4</f>
        <v>166995</v>
      </c>
      <c r="C102" s="10"/>
      <c r="D102" s="10">
        <v>185272</v>
      </c>
      <c r="E102" s="31">
        <f aca="true" t="shared" si="8" ref="E102:P102">+E14+E58</f>
        <v>129635</v>
      </c>
      <c r="F102" s="31">
        <f t="shared" si="8"/>
        <v>49872</v>
      </c>
      <c r="G102" s="31">
        <f t="shared" si="8"/>
        <v>12595</v>
      </c>
      <c r="H102" s="31">
        <f t="shared" si="8"/>
        <v>317917.5</v>
      </c>
      <c r="I102" s="31">
        <f t="shared" si="8"/>
        <v>178355</v>
      </c>
      <c r="J102" s="31">
        <f t="shared" si="8"/>
        <v>19273.25</v>
      </c>
      <c r="K102" s="31">
        <f t="shared" si="8"/>
        <v>21413.100000000002</v>
      </c>
      <c r="L102" s="31">
        <f t="shared" si="8"/>
        <v>149971.05000000002</v>
      </c>
      <c r="M102" s="31">
        <f t="shared" si="8"/>
        <v>35164.3</v>
      </c>
      <c r="N102" s="31">
        <f t="shared" si="8"/>
        <v>18369.11</v>
      </c>
      <c r="O102" s="31">
        <f t="shared" si="8"/>
        <v>79198.94999999998</v>
      </c>
      <c r="P102" s="31">
        <f t="shared" si="8"/>
        <v>34372.28</v>
      </c>
      <c r="Q102" s="31"/>
      <c r="R102" s="37">
        <f t="shared" si="5"/>
        <v>33843.13</v>
      </c>
      <c r="S102" s="37">
        <f t="shared" si="5"/>
        <v>42441.259999999995</v>
      </c>
      <c r="T102" s="31">
        <f t="shared" si="6"/>
        <v>1474687.9300000002</v>
      </c>
      <c r="U102" s="38">
        <f t="shared" si="7"/>
        <v>558739.5</v>
      </c>
    </row>
    <row r="103" spans="1:21" ht="12.75">
      <c r="A103" s="36" t="s">
        <v>21</v>
      </c>
      <c r="B103" s="31">
        <f>41748.75*4</f>
        <v>166995</v>
      </c>
      <c r="C103" s="10"/>
      <c r="D103" s="10">
        <v>184925</v>
      </c>
      <c r="E103" s="31">
        <f aca="true" t="shared" si="9" ref="E103:P103">+E15+E59</f>
        <v>129779</v>
      </c>
      <c r="F103" s="31">
        <f t="shared" si="9"/>
        <v>49108</v>
      </c>
      <c r="G103" s="31">
        <f t="shared" si="9"/>
        <v>13392</v>
      </c>
      <c r="H103" s="31">
        <f t="shared" si="9"/>
        <v>318562.5</v>
      </c>
      <c r="I103" s="31">
        <f t="shared" si="9"/>
        <v>179445</v>
      </c>
      <c r="J103" s="31">
        <f t="shared" si="9"/>
        <v>19233.18</v>
      </c>
      <c r="K103" s="31">
        <f t="shared" si="9"/>
        <v>21377.239999999998</v>
      </c>
      <c r="L103" s="31">
        <f t="shared" si="9"/>
        <v>149702.21</v>
      </c>
      <c r="M103" s="31">
        <f t="shared" si="9"/>
        <v>35106.42</v>
      </c>
      <c r="N103" s="31">
        <f t="shared" si="9"/>
        <v>18330.6</v>
      </c>
      <c r="O103" s="31">
        <f t="shared" si="9"/>
        <v>79065.08</v>
      </c>
      <c r="P103" s="31">
        <f t="shared" si="9"/>
        <v>34312.600000000006</v>
      </c>
      <c r="Q103" s="31"/>
      <c r="R103" s="37">
        <f t="shared" si="5"/>
        <v>33993.75</v>
      </c>
      <c r="S103" s="37">
        <f t="shared" si="5"/>
        <v>42494.38</v>
      </c>
      <c r="T103" s="31">
        <f t="shared" si="6"/>
        <v>1475821.96</v>
      </c>
      <c r="U103" s="38">
        <f t="shared" si="7"/>
        <v>560507.5</v>
      </c>
    </row>
    <row r="104" spans="1:21" ht="12.75">
      <c r="A104" s="36" t="s">
        <v>22</v>
      </c>
      <c r="B104" s="31">
        <f>41748.75*4</f>
        <v>166995</v>
      </c>
      <c r="C104" s="10"/>
      <c r="D104" s="10">
        <v>184571</v>
      </c>
      <c r="E104" s="31">
        <f aca="true" t="shared" si="10" ref="E104:P104">+E16+E60</f>
        <v>129840</v>
      </c>
      <c r="F104" s="31">
        <f t="shared" si="10"/>
        <v>49320</v>
      </c>
      <c r="G104" s="31">
        <f t="shared" si="10"/>
        <v>13167</v>
      </c>
      <c r="H104" s="31">
        <f t="shared" si="10"/>
        <v>319097.5</v>
      </c>
      <c r="I104" s="31">
        <f t="shared" si="10"/>
        <v>15420</v>
      </c>
      <c r="J104" s="31">
        <f t="shared" si="10"/>
        <v>19192.71</v>
      </c>
      <c r="K104" s="31">
        <f t="shared" si="10"/>
        <v>21341.02</v>
      </c>
      <c r="L104" s="31">
        <f t="shared" si="10"/>
        <v>149428.65000000002</v>
      </c>
      <c r="M104" s="31">
        <f t="shared" si="10"/>
        <v>35047.97</v>
      </c>
      <c r="N104" s="31">
        <f t="shared" si="10"/>
        <v>18291.83</v>
      </c>
      <c r="O104" s="31">
        <f t="shared" si="10"/>
        <v>78930.20000000001</v>
      </c>
      <c r="P104" s="31">
        <f t="shared" si="10"/>
        <v>34254.61</v>
      </c>
      <c r="Q104" s="31"/>
      <c r="R104" s="37">
        <f t="shared" si="5"/>
        <v>34128.13</v>
      </c>
      <c r="S104" s="37">
        <f t="shared" si="5"/>
        <v>42533.75</v>
      </c>
      <c r="T104" s="31">
        <f t="shared" si="6"/>
        <v>1311559.3699999999</v>
      </c>
      <c r="U104" s="38">
        <f t="shared" si="7"/>
        <v>397004.5</v>
      </c>
    </row>
    <row r="105" spans="1:21" ht="12.75">
      <c r="A105" s="36" t="s">
        <v>23</v>
      </c>
      <c r="B105" s="31">
        <f>41748.75*4</f>
        <v>166995</v>
      </c>
      <c r="C105" s="10"/>
      <c r="D105" s="10">
        <v>184215</v>
      </c>
      <c r="E105" s="31">
        <f aca="true" t="shared" si="11" ref="E105:H126">+E17+E61</f>
        <v>130308</v>
      </c>
      <c r="F105" s="31">
        <f t="shared" si="11"/>
        <v>49488</v>
      </c>
      <c r="G105" s="31">
        <f t="shared" si="11"/>
        <v>12943</v>
      </c>
      <c r="H105" s="31">
        <f t="shared" si="11"/>
        <v>319522.5</v>
      </c>
      <c r="I105" s="31"/>
      <c r="J105" s="31">
        <f aca="true" t="shared" si="12" ref="J105:P114">+J17+J61</f>
        <v>19151.829999999998</v>
      </c>
      <c r="K105" s="31">
        <f t="shared" si="12"/>
        <v>21304.43</v>
      </c>
      <c r="L105" s="31">
        <f t="shared" si="12"/>
        <v>149150.26</v>
      </c>
      <c r="M105" s="31">
        <f t="shared" si="12"/>
        <v>34988.93</v>
      </c>
      <c r="N105" s="31">
        <f t="shared" si="12"/>
        <v>18252.75</v>
      </c>
      <c r="O105" s="31">
        <f t="shared" si="12"/>
        <v>78794.31999999999</v>
      </c>
      <c r="P105" s="31">
        <f t="shared" si="12"/>
        <v>34196.18</v>
      </c>
      <c r="Q105" s="31"/>
      <c r="R105" s="37">
        <f t="shared" si="5"/>
        <v>33754.38</v>
      </c>
      <c r="S105" s="37">
        <f t="shared" si="5"/>
        <v>42559.38</v>
      </c>
      <c r="T105" s="31">
        <f t="shared" si="6"/>
        <v>1295623.9599999997</v>
      </c>
      <c r="U105" s="38">
        <f t="shared" si="7"/>
        <v>381953.5</v>
      </c>
    </row>
    <row r="106" spans="1:21" ht="12.75">
      <c r="A106" s="36" t="s">
        <v>24</v>
      </c>
      <c r="B106" s="10">
        <f>41748.75*2</f>
        <v>83497.5</v>
      </c>
      <c r="C106" s="10"/>
      <c r="D106" s="10">
        <v>183855</v>
      </c>
      <c r="E106" s="31">
        <f t="shared" si="11"/>
        <v>130184</v>
      </c>
      <c r="F106" s="31">
        <f t="shared" si="11"/>
        <v>49610</v>
      </c>
      <c r="G106" s="31">
        <f t="shared" si="11"/>
        <v>12718</v>
      </c>
      <c r="H106" s="31">
        <f t="shared" si="11"/>
        <v>320330.63</v>
      </c>
      <c r="I106" s="31"/>
      <c r="J106" s="31">
        <f t="shared" si="12"/>
        <v>19110.530000000002</v>
      </c>
      <c r="K106" s="31">
        <f t="shared" si="12"/>
        <v>21267.480000000003</v>
      </c>
      <c r="L106" s="31">
        <f t="shared" si="12"/>
        <v>148866.99</v>
      </c>
      <c r="M106" s="31">
        <f t="shared" si="12"/>
        <v>34929.3</v>
      </c>
      <c r="N106" s="31">
        <f t="shared" si="12"/>
        <v>18213.38</v>
      </c>
      <c r="O106" s="31">
        <f t="shared" si="12"/>
        <v>78657.4</v>
      </c>
      <c r="P106" s="31">
        <f t="shared" si="12"/>
        <v>34137.29</v>
      </c>
      <c r="Q106" s="31"/>
      <c r="R106" s="37">
        <f t="shared" si="5"/>
        <v>33872.5</v>
      </c>
      <c r="S106" s="37">
        <f t="shared" si="5"/>
        <v>42571.259999999995</v>
      </c>
      <c r="T106" s="31">
        <f t="shared" si="6"/>
        <v>1211821.26</v>
      </c>
      <c r="U106" s="38">
        <f t="shared" si="7"/>
        <v>382658.63</v>
      </c>
    </row>
    <row r="107" spans="1:21" ht="12.75">
      <c r="A107" s="36" t="s">
        <v>25</v>
      </c>
      <c r="B107" s="10"/>
      <c r="C107" s="10"/>
      <c r="D107" s="10">
        <v>91790</v>
      </c>
      <c r="E107" s="31">
        <f t="shared" si="11"/>
        <v>130467</v>
      </c>
      <c r="F107" s="31">
        <f t="shared" si="11"/>
        <v>49687</v>
      </c>
      <c r="G107" s="31">
        <f t="shared" si="11"/>
        <v>12493</v>
      </c>
      <c r="H107" s="31">
        <f t="shared" si="11"/>
        <v>321015.01</v>
      </c>
      <c r="I107" s="31"/>
      <c r="J107" s="31">
        <f t="shared" si="12"/>
        <v>19068.82</v>
      </c>
      <c r="K107" s="31">
        <f t="shared" si="12"/>
        <v>21230.16</v>
      </c>
      <c r="L107" s="31">
        <f t="shared" si="12"/>
        <v>148578.75</v>
      </c>
      <c r="M107" s="31">
        <f t="shared" si="12"/>
        <v>34869.06</v>
      </c>
      <c r="N107" s="31">
        <f t="shared" si="12"/>
        <v>18173.71</v>
      </c>
      <c r="O107" s="31">
        <f t="shared" si="12"/>
        <v>78519.46</v>
      </c>
      <c r="P107" s="31">
        <f t="shared" si="12"/>
        <v>34077.979999999996</v>
      </c>
      <c r="Q107" s="31"/>
      <c r="R107" s="37">
        <f t="shared" si="5"/>
        <v>33974.38</v>
      </c>
      <c r="S107" s="37">
        <f t="shared" si="5"/>
        <v>42569.38</v>
      </c>
      <c r="T107" s="31">
        <f t="shared" si="6"/>
        <v>1036513.71</v>
      </c>
      <c r="U107" s="38">
        <f t="shared" si="7"/>
        <v>383195.01</v>
      </c>
    </row>
    <row r="108" spans="1:21" ht="12.75">
      <c r="A108" s="36" t="s">
        <v>26</v>
      </c>
      <c r="B108" s="32"/>
      <c r="C108" s="32"/>
      <c r="D108" s="32"/>
      <c r="E108" s="31">
        <f t="shared" si="11"/>
        <v>130647</v>
      </c>
      <c r="F108" s="31">
        <f t="shared" si="11"/>
        <v>49720</v>
      </c>
      <c r="G108" s="31">
        <f t="shared" si="11"/>
        <v>13245</v>
      </c>
      <c r="H108" s="31">
        <f t="shared" si="11"/>
        <v>321575.63</v>
      </c>
      <c r="I108" s="31"/>
      <c r="J108" s="31">
        <f t="shared" si="12"/>
        <v>19026.700000000004</v>
      </c>
      <c r="K108" s="31">
        <f t="shared" si="12"/>
        <v>21192.46</v>
      </c>
      <c r="L108" s="31">
        <f t="shared" si="12"/>
        <v>148285.43</v>
      </c>
      <c r="M108" s="31">
        <f t="shared" si="12"/>
        <v>34808.23</v>
      </c>
      <c r="N108" s="31">
        <f t="shared" si="12"/>
        <v>18133.75</v>
      </c>
      <c r="O108" s="31">
        <f t="shared" si="12"/>
        <v>78380.48</v>
      </c>
      <c r="P108" s="31">
        <f t="shared" si="12"/>
        <v>34018.21</v>
      </c>
      <c r="Q108" s="31"/>
      <c r="R108" s="37">
        <f t="shared" si="5"/>
        <v>34060.009999999995</v>
      </c>
      <c r="S108" s="37">
        <f t="shared" si="5"/>
        <v>42553.75</v>
      </c>
      <c r="T108" s="31">
        <f t="shared" si="6"/>
        <v>945646.6499999999</v>
      </c>
      <c r="U108" s="38">
        <f t="shared" si="7"/>
        <v>384540.63</v>
      </c>
    </row>
    <row r="109" spans="1:21" ht="12.75">
      <c r="A109" s="36" t="s">
        <v>27</v>
      </c>
      <c r="B109" s="32"/>
      <c r="C109" s="32"/>
      <c r="D109" s="32"/>
      <c r="E109" s="31">
        <f t="shared" si="11"/>
        <v>130723</v>
      </c>
      <c r="F109" s="31">
        <f t="shared" si="11"/>
        <v>49708</v>
      </c>
      <c r="G109" s="31">
        <f t="shared" si="11"/>
        <v>12975</v>
      </c>
      <c r="H109" s="31">
        <f t="shared" si="11"/>
        <v>322012.5</v>
      </c>
      <c r="I109" s="31"/>
      <c r="J109" s="31">
        <f t="shared" si="12"/>
        <v>18984.15</v>
      </c>
      <c r="K109" s="31">
        <f t="shared" si="12"/>
        <v>21154.44</v>
      </c>
      <c r="L109" s="31">
        <f t="shared" si="12"/>
        <v>147986.95</v>
      </c>
      <c r="M109" s="31">
        <f t="shared" si="12"/>
        <v>34746.78</v>
      </c>
      <c r="N109" s="31">
        <f t="shared" si="12"/>
        <v>18096.49</v>
      </c>
      <c r="O109" s="31">
        <f t="shared" si="12"/>
        <v>78240.46</v>
      </c>
      <c r="P109" s="31">
        <f t="shared" si="12"/>
        <v>33958</v>
      </c>
      <c r="Q109" s="31"/>
      <c r="R109" s="37">
        <f t="shared" si="5"/>
        <v>34129.38</v>
      </c>
      <c r="S109" s="37">
        <f t="shared" si="5"/>
        <v>42524.38</v>
      </c>
      <c r="T109" s="31">
        <f t="shared" si="6"/>
        <v>945239.53</v>
      </c>
      <c r="U109" s="38">
        <f t="shared" si="7"/>
        <v>384695.5</v>
      </c>
    </row>
    <row r="110" spans="1:21" ht="12.75">
      <c r="A110" s="36" t="s">
        <v>28</v>
      </c>
      <c r="B110" s="32"/>
      <c r="C110" s="32"/>
      <c r="D110" s="32"/>
      <c r="E110" s="31">
        <f t="shared" si="11"/>
        <v>130697</v>
      </c>
      <c r="F110" s="31">
        <f t="shared" si="11"/>
        <v>49650</v>
      </c>
      <c r="G110" s="31">
        <f t="shared" si="11"/>
        <v>12705</v>
      </c>
      <c r="H110" s="31">
        <f t="shared" si="11"/>
        <v>322818.75</v>
      </c>
      <c r="I110" s="31"/>
      <c r="J110" s="31">
        <f t="shared" si="12"/>
        <v>18941.19</v>
      </c>
      <c r="K110" s="31">
        <f t="shared" si="12"/>
        <v>21115.93</v>
      </c>
      <c r="L110" s="31">
        <f t="shared" si="12"/>
        <v>147683.23</v>
      </c>
      <c r="M110" s="31">
        <f t="shared" si="12"/>
        <v>34684.73</v>
      </c>
      <c r="N110" s="31">
        <f t="shared" si="12"/>
        <v>18052.92</v>
      </c>
      <c r="O110" s="31">
        <f t="shared" si="12"/>
        <v>78099.38</v>
      </c>
      <c r="P110" s="31">
        <f t="shared" si="12"/>
        <v>33897.14</v>
      </c>
      <c r="Q110" s="31"/>
      <c r="R110" s="37">
        <f t="shared" si="5"/>
        <v>34182.5</v>
      </c>
      <c r="S110" s="37">
        <f t="shared" si="5"/>
        <v>42481.259999999995</v>
      </c>
      <c r="T110" s="31">
        <f t="shared" si="6"/>
        <v>945009.03</v>
      </c>
      <c r="U110" s="38">
        <f t="shared" si="7"/>
        <v>385173.75</v>
      </c>
    </row>
    <row r="111" spans="1:21" ht="12.75">
      <c r="A111" s="36" t="s">
        <v>29</v>
      </c>
      <c r="B111" s="32"/>
      <c r="C111" s="32"/>
      <c r="D111" s="32"/>
      <c r="E111" s="31">
        <f t="shared" si="11"/>
        <v>131057</v>
      </c>
      <c r="F111" s="31">
        <f t="shared" si="11"/>
        <v>49548</v>
      </c>
      <c r="G111" s="31">
        <f t="shared" si="11"/>
        <v>12435</v>
      </c>
      <c r="H111" s="31">
        <f t="shared" si="11"/>
        <v>323487.5</v>
      </c>
      <c r="I111" s="31"/>
      <c r="J111" s="31">
        <f t="shared" si="12"/>
        <v>18897.78</v>
      </c>
      <c r="K111" s="31">
        <f t="shared" si="12"/>
        <v>21077.08</v>
      </c>
      <c r="L111" s="31">
        <f t="shared" si="12"/>
        <v>147374.18</v>
      </c>
      <c r="M111" s="31">
        <f t="shared" si="12"/>
        <v>34622.05</v>
      </c>
      <c r="N111" s="31">
        <f t="shared" si="12"/>
        <v>18012.05</v>
      </c>
      <c r="O111" s="31">
        <f t="shared" si="12"/>
        <v>77957.25</v>
      </c>
      <c r="P111" s="31">
        <f t="shared" si="12"/>
        <v>33836.22</v>
      </c>
      <c r="Q111" s="31"/>
      <c r="R111" s="37">
        <f t="shared" si="5"/>
        <v>34219.38</v>
      </c>
      <c r="S111" s="37">
        <f t="shared" si="5"/>
        <v>42424.38</v>
      </c>
      <c r="T111" s="31">
        <f t="shared" si="6"/>
        <v>944947.8700000001</v>
      </c>
      <c r="U111" s="38">
        <f t="shared" si="7"/>
        <v>385470.5</v>
      </c>
    </row>
    <row r="112" spans="1:21" ht="12.75">
      <c r="A112" s="36" t="s">
        <v>30</v>
      </c>
      <c r="B112" s="32"/>
      <c r="C112" s="32"/>
      <c r="D112" s="32"/>
      <c r="E112" s="31">
        <f t="shared" si="11"/>
        <v>131293</v>
      </c>
      <c r="F112" s="31">
        <f t="shared" si="11"/>
        <v>49400</v>
      </c>
      <c r="G112" s="31">
        <f t="shared" si="11"/>
        <v>13143</v>
      </c>
      <c r="H112" s="31">
        <f t="shared" si="11"/>
        <v>324018.75</v>
      </c>
      <c r="I112" s="31"/>
      <c r="J112" s="31">
        <f t="shared" si="12"/>
        <v>18853.982</v>
      </c>
      <c r="K112" s="31">
        <f t="shared" si="12"/>
        <v>21037.859999999997</v>
      </c>
      <c r="L112" s="31">
        <f t="shared" si="12"/>
        <v>147059.69</v>
      </c>
      <c r="M112" s="31">
        <f t="shared" si="12"/>
        <v>34558.73</v>
      </c>
      <c r="N112" s="31">
        <f t="shared" si="12"/>
        <v>17970.87</v>
      </c>
      <c r="O112" s="31">
        <f t="shared" si="12"/>
        <v>77814.05</v>
      </c>
      <c r="P112" s="31">
        <f t="shared" si="12"/>
        <v>33774.64</v>
      </c>
      <c r="Q112" s="31"/>
      <c r="R112" s="37">
        <f t="shared" si="5"/>
        <v>34240.009999999995</v>
      </c>
      <c r="S112" s="37">
        <f t="shared" si="5"/>
        <v>42353.75</v>
      </c>
      <c r="T112" s="31">
        <f t="shared" si="6"/>
        <v>945518.3319999999</v>
      </c>
      <c r="U112" s="38">
        <f t="shared" si="7"/>
        <v>386561.75</v>
      </c>
    </row>
    <row r="113" spans="1:21" ht="12.75">
      <c r="A113" s="36" t="s">
        <v>31</v>
      </c>
      <c r="B113" s="32"/>
      <c r="C113" s="32"/>
      <c r="D113" s="32"/>
      <c r="E113" s="31">
        <f t="shared" si="11"/>
        <v>131405</v>
      </c>
      <c r="F113" s="31">
        <f t="shared" si="11"/>
        <v>49208</v>
      </c>
      <c r="G113" s="31">
        <f t="shared" si="11"/>
        <v>12827</v>
      </c>
      <c r="H113" s="31">
        <f t="shared" si="11"/>
        <v>325905.63</v>
      </c>
      <c r="I113" s="31"/>
      <c r="J113" s="31">
        <f t="shared" si="12"/>
        <v>18809.67</v>
      </c>
      <c r="K113" s="31">
        <f t="shared" si="12"/>
        <v>20998.23</v>
      </c>
      <c r="L113" s="31">
        <f t="shared" si="12"/>
        <v>146739.68</v>
      </c>
      <c r="M113" s="31">
        <f t="shared" si="12"/>
        <v>34494.79</v>
      </c>
      <c r="N113" s="31">
        <f t="shared" si="12"/>
        <v>17929.39</v>
      </c>
      <c r="O113" s="31">
        <f t="shared" si="12"/>
        <v>77669.76999999999</v>
      </c>
      <c r="P113" s="31">
        <f t="shared" si="12"/>
        <v>33712.6</v>
      </c>
      <c r="Q113" s="31"/>
      <c r="R113" s="37">
        <f t="shared" si="5"/>
        <v>34244.38</v>
      </c>
      <c r="S113" s="37">
        <f t="shared" si="5"/>
        <v>42269.38</v>
      </c>
      <c r="T113" s="31">
        <f t="shared" si="6"/>
        <v>946213.52</v>
      </c>
      <c r="U113" s="38">
        <f t="shared" si="7"/>
        <v>387940.63</v>
      </c>
    </row>
    <row r="114" spans="1:21" ht="12.75">
      <c r="A114" s="36" t="s">
        <v>32</v>
      </c>
      <c r="B114" s="32"/>
      <c r="C114" s="32"/>
      <c r="D114" s="32"/>
      <c r="E114" s="31">
        <f t="shared" si="11"/>
        <v>131884</v>
      </c>
      <c r="F114" s="31">
        <f t="shared" si="11"/>
        <v>48970</v>
      </c>
      <c r="G114" s="31">
        <f t="shared" si="11"/>
        <v>12513</v>
      </c>
      <c r="H114" s="31">
        <f t="shared" si="11"/>
        <v>325641.26</v>
      </c>
      <c r="I114" s="31"/>
      <c r="J114" s="31">
        <f t="shared" si="12"/>
        <v>18764.494</v>
      </c>
      <c r="K114" s="31">
        <f t="shared" si="12"/>
        <v>20958.21</v>
      </c>
      <c r="L114" s="31">
        <f t="shared" si="12"/>
        <v>146414.04</v>
      </c>
      <c r="M114" s="31">
        <f t="shared" si="12"/>
        <v>34430.19</v>
      </c>
      <c r="N114" s="31">
        <f t="shared" si="12"/>
        <v>17887.589999999997</v>
      </c>
      <c r="O114" s="31">
        <f t="shared" si="12"/>
        <v>77524.40999999999</v>
      </c>
      <c r="P114" s="31">
        <f t="shared" si="12"/>
        <v>33650.1</v>
      </c>
      <c r="Q114" s="31"/>
      <c r="R114" s="37">
        <f t="shared" si="5"/>
        <v>34232.5</v>
      </c>
      <c r="S114" s="37">
        <f t="shared" si="5"/>
        <v>42664.38</v>
      </c>
      <c r="T114" s="31">
        <f t="shared" si="6"/>
        <v>945534.1739999999</v>
      </c>
      <c r="U114" s="38">
        <f t="shared" si="7"/>
        <v>387124.26</v>
      </c>
    </row>
    <row r="115" spans="1:21" ht="12.75">
      <c r="A115" s="36" t="s">
        <v>33</v>
      </c>
      <c r="B115" s="32"/>
      <c r="C115" s="32"/>
      <c r="D115" s="32"/>
      <c r="E115" s="31">
        <f t="shared" si="11"/>
        <v>131728</v>
      </c>
      <c r="F115" s="31">
        <f t="shared" si="11"/>
        <v>49665</v>
      </c>
      <c r="G115" s="31">
        <f t="shared" si="11"/>
        <v>13175</v>
      </c>
      <c r="H115" s="31">
        <f t="shared" si="11"/>
        <v>326718.76</v>
      </c>
      <c r="I115" s="31"/>
      <c r="J115" s="31">
        <f aca="true" t="shared" si="13" ref="J115:P123">+J27+J71</f>
        <v>18719.78</v>
      </c>
      <c r="K115" s="31">
        <f t="shared" si="13"/>
        <v>20917.79</v>
      </c>
      <c r="L115" s="31">
        <f t="shared" si="13"/>
        <v>146082.66999999998</v>
      </c>
      <c r="M115" s="31">
        <f t="shared" si="13"/>
        <v>34364.97</v>
      </c>
      <c r="N115" s="31">
        <f t="shared" si="13"/>
        <v>17845.47</v>
      </c>
      <c r="O115" s="31">
        <f t="shared" si="13"/>
        <v>77377.95</v>
      </c>
      <c r="P115" s="31">
        <f t="shared" si="13"/>
        <v>33587.02</v>
      </c>
      <c r="Q115" s="31"/>
      <c r="R115" s="37">
        <f t="shared" si="5"/>
        <v>34204.38</v>
      </c>
      <c r="S115" s="37">
        <f t="shared" si="5"/>
        <v>42538.75</v>
      </c>
      <c r="T115" s="31">
        <f t="shared" si="6"/>
        <v>946925.5399999999</v>
      </c>
      <c r="U115" s="38">
        <f t="shared" si="7"/>
        <v>389558.76</v>
      </c>
    </row>
    <row r="116" spans="1:21" ht="12.75">
      <c r="A116" s="36" t="s">
        <v>34</v>
      </c>
      <c r="B116" s="32"/>
      <c r="C116" s="32"/>
      <c r="D116" s="32"/>
      <c r="E116" s="31">
        <f t="shared" si="11"/>
        <v>131938</v>
      </c>
      <c r="F116" s="31">
        <f t="shared" si="11"/>
        <v>49293</v>
      </c>
      <c r="G116" s="31">
        <f t="shared" si="11"/>
        <v>12815</v>
      </c>
      <c r="H116" s="31">
        <f t="shared" si="11"/>
        <v>327138.13</v>
      </c>
      <c r="I116" s="31"/>
      <c r="J116" s="31">
        <f t="shared" si="13"/>
        <v>18674.160000000003</v>
      </c>
      <c r="K116" s="31">
        <f t="shared" si="13"/>
        <v>20876.960000000003</v>
      </c>
      <c r="L116" s="31">
        <f t="shared" si="13"/>
        <v>145745.47999999998</v>
      </c>
      <c r="M116" s="31">
        <f t="shared" si="13"/>
        <v>34299.08</v>
      </c>
      <c r="N116" s="31">
        <f t="shared" si="13"/>
        <v>17803.04</v>
      </c>
      <c r="O116" s="31">
        <f t="shared" si="13"/>
        <v>77230.40000000001</v>
      </c>
      <c r="P116" s="31">
        <f t="shared" si="13"/>
        <v>33523.67</v>
      </c>
      <c r="Q116" s="31"/>
      <c r="R116" s="37">
        <f t="shared" si="5"/>
        <v>34160.009999999995</v>
      </c>
      <c r="S116" s="37">
        <f t="shared" si="5"/>
        <v>42399.38</v>
      </c>
      <c r="T116" s="31">
        <f t="shared" si="6"/>
        <v>945896.31</v>
      </c>
      <c r="U116" s="38">
        <f t="shared" si="7"/>
        <v>389246.13</v>
      </c>
    </row>
    <row r="117" spans="1:21" ht="12.75">
      <c r="A117" s="36" t="s">
        <v>35</v>
      </c>
      <c r="B117" s="32"/>
      <c r="C117" s="32"/>
      <c r="D117" s="32"/>
      <c r="E117" s="31">
        <f t="shared" si="11"/>
        <v>132494</v>
      </c>
      <c r="F117" s="31">
        <f t="shared" si="11"/>
        <v>48875</v>
      </c>
      <c r="G117" s="31">
        <f t="shared" si="11"/>
        <v>12455</v>
      </c>
      <c r="H117" s="31">
        <f t="shared" si="11"/>
        <v>328392.5</v>
      </c>
      <c r="I117" s="31"/>
      <c r="J117" s="31">
        <f t="shared" si="13"/>
        <v>9319.83</v>
      </c>
      <c r="K117" s="31">
        <f t="shared" si="13"/>
        <v>10423.039999999999</v>
      </c>
      <c r="L117" s="31">
        <f t="shared" si="13"/>
        <v>145402.36999999997</v>
      </c>
      <c r="M117" s="31">
        <f t="shared" si="13"/>
        <v>34232.53</v>
      </c>
      <c r="N117" s="31">
        <f t="shared" si="13"/>
        <v>17760.29</v>
      </c>
      <c r="O117" s="31">
        <f t="shared" si="13"/>
        <v>77081.74</v>
      </c>
      <c r="P117" s="31">
        <f t="shared" si="13"/>
        <v>33459.74</v>
      </c>
      <c r="Q117" s="31"/>
      <c r="R117" s="37">
        <f t="shared" si="5"/>
        <v>34099.38</v>
      </c>
      <c r="S117" s="37">
        <f t="shared" si="5"/>
        <v>42246.259999999995</v>
      </c>
      <c r="T117" s="31">
        <f t="shared" si="6"/>
        <v>926241.68</v>
      </c>
      <c r="U117" s="38">
        <f t="shared" si="7"/>
        <v>389722.5</v>
      </c>
    </row>
    <row r="118" spans="1:21" ht="12.75">
      <c r="A118" s="36" t="s">
        <v>36</v>
      </c>
      <c r="B118" s="32"/>
      <c r="C118" s="32"/>
      <c r="D118" s="32"/>
      <c r="E118" s="31">
        <f t="shared" si="11"/>
        <v>132395</v>
      </c>
      <c r="F118" s="31">
        <f t="shared" si="11"/>
        <v>49390</v>
      </c>
      <c r="G118" s="31">
        <f t="shared" si="11"/>
        <v>13073</v>
      </c>
      <c r="H118" s="31">
        <f t="shared" si="11"/>
        <v>328975</v>
      </c>
      <c r="I118" s="31"/>
      <c r="J118" s="31">
        <f t="shared" si="13"/>
        <v>0</v>
      </c>
      <c r="K118" s="31">
        <f t="shared" si="13"/>
        <v>0</v>
      </c>
      <c r="L118" s="31">
        <f t="shared" si="13"/>
        <v>145053.21</v>
      </c>
      <c r="M118" s="31">
        <f t="shared" si="13"/>
        <v>34165.31</v>
      </c>
      <c r="N118" s="31">
        <f t="shared" si="13"/>
        <v>17717.23</v>
      </c>
      <c r="O118" s="31">
        <f t="shared" si="13"/>
        <v>76931.95999999999</v>
      </c>
      <c r="P118" s="31">
        <f t="shared" si="13"/>
        <v>33395.33</v>
      </c>
      <c r="Q118" s="31"/>
      <c r="R118" s="37">
        <f t="shared" si="5"/>
        <v>34022.5</v>
      </c>
      <c r="S118" s="37">
        <f t="shared" si="5"/>
        <v>42572.509999999995</v>
      </c>
      <c r="T118" s="31">
        <f t="shared" si="6"/>
        <v>907691.0499999999</v>
      </c>
      <c r="U118" s="38">
        <f t="shared" si="7"/>
        <v>391438</v>
      </c>
    </row>
    <row r="119" spans="1:21" ht="12.75">
      <c r="A119" s="36" t="s">
        <v>37</v>
      </c>
      <c r="B119" s="32"/>
      <c r="C119" s="32"/>
      <c r="D119" s="32"/>
      <c r="E119" s="31">
        <f t="shared" si="11"/>
        <v>132641</v>
      </c>
      <c r="F119" s="31">
        <f t="shared" si="11"/>
        <v>48838</v>
      </c>
      <c r="G119" s="31">
        <f t="shared" si="11"/>
        <v>12667</v>
      </c>
      <c r="H119" s="31">
        <f t="shared" si="11"/>
        <v>329885.63</v>
      </c>
      <c r="I119" s="31"/>
      <c r="J119" s="31">
        <f t="shared" si="13"/>
        <v>0</v>
      </c>
      <c r="K119" s="31">
        <f t="shared" si="13"/>
        <v>0</v>
      </c>
      <c r="L119" s="31">
        <f t="shared" si="13"/>
        <v>72393.77</v>
      </c>
      <c r="M119" s="31">
        <f t="shared" si="13"/>
        <v>0</v>
      </c>
      <c r="N119" s="31">
        <f t="shared" si="13"/>
        <v>17673.829999999998</v>
      </c>
      <c r="O119" s="31">
        <f t="shared" si="13"/>
        <v>76781.05</v>
      </c>
      <c r="P119" s="31">
        <f t="shared" si="13"/>
        <v>33330.439999999995</v>
      </c>
      <c r="Q119" s="31"/>
      <c r="R119" s="37">
        <f t="shared" si="5"/>
        <v>33929.380000000005</v>
      </c>
      <c r="S119" s="37">
        <f t="shared" si="5"/>
        <v>42078.13</v>
      </c>
      <c r="T119" s="31">
        <f t="shared" si="6"/>
        <v>800218.23</v>
      </c>
      <c r="U119" s="38">
        <f t="shared" si="7"/>
        <v>391390.63</v>
      </c>
    </row>
    <row r="120" spans="1:21" ht="12.75">
      <c r="A120" s="36" t="s">
        <v>38</v>
      </c>
      <c r="B120" s="32"/>
      <c r="C120" s="32"/>
      <c r="D120" s="32"/>
      <c r="E120" s="31">
        <f t="shared" si="11"/>
        <v>133212</v>
      </c>
      <c r="F120" s="31">
        <f t="shared" si="11"/>
        <v>49217</v>
      </c>
      <c r="G120" s="31">
        <f t="shared" si="11"/>
        <v>13240</v>
      </c>
      <c r="H120" s="31">
        <f t="shared" si="11"/>
        <v>331110.63</v>
      </c>
      <c r="I120" s="31"/>
      <c r="J120" s="31">
        <f t="shared" si="13"/>
        <v>0</v>
      </c>
      <c r="K120" s="31">
        <f t="shared" si="13"/>
        <v>0</v>
      </c>
      <c r="L120" s="31">
        <f t="shared" si="13"/>
        <v>0</v>
      </c>
      <c r="M120" s="31">
        <f t="shared" si="13"/>
        <v>0</v>
      </c>
      <c r="N120" s="31">
        <f t="shared" si="13"/>
        <v>8820.539999999999</v>
      </c>
      <c r="O120" s="31">
        <f t="shared" si="13"/>
        <v>38333.58</v>
      </c>
      <c r="P120" s="31">
        <f t="shared" si="13"/>
        <v>33265.07000000001</v>
      </c>
      <c r="Q120" s="31"/>
      <c r="R120" s="37">
        <f t="shared" si="5"/>
        <v>34311.880000000005</v>
      </c>
      <c r="S120" s="37">
        <f t="shared" si="5"/>
        <v>42170</v>
      </c>
      <c r="T120" s="31">
        <f t="shared" si="6"/>
        <v>683680.7000000001</v>
      </c>
      <c r="U120" s="38">
        <f t="shared" si="7"/>
        <v>393567.63</v>
      </c>
    </row>
    <row r="121" spans="1:21" ht="12.75">
      <c r="A121" s="36" t="s">
        <v>39</v>
      </c>
      <c r="B121" s="32"/>
      <c r="C121" s="32"/>
      <c r="D121" s="32"/>
      <c r="E121" s="31">
        <f t="shared" si="11"/>
        <v>133597</v>
      </c>
      <c r="F121" s="31">
        <f t="shared" si="11"/>
        <v>48530</v>
      </c>
      <c r="G121" s="31">
        <f t="shared" si="11"/>
        <v>12790</v>
      </c>
      <c r="H121" s="31">
        <f t="shared" si="11"/>
        <v>332143.13</v>
      </c>
      <c r="I121" s="31"/>
      <c r="J121" s="31">
        <f t="shared" si="13"/>
        <v>0</v>
      </c>
      <c r="K121" s="31">
        <f t="shared" si="13"/>
        <v>0</v>
      </c>
      <c r="L121" s="31">
        <f t="shared" si="13"/>
        <v>0</v>
      </c>
      <c r="M121" s="31">
        <f t="shared" si="13"/>
        <v>0</v>
      </c>
      <c r="N121" s="31">
        <f t="shared" si="13"/>
        <v>0</v>
      </c>
      <c r="O121" s="31">
        <f t="shared" si="13"/>
        <v>0</v>
      </c>
      <c r="P121" s="31">
        <f t="shared" si="13"/>
        <v>16607.86</v>
      </c>
      <c r="Q121" s="31"/>
      <c r="R121" s="37">
        <f aca="true" t="shared" si="14" ref="R121:S137">+R33+R77</f>
        <v>34170</v>
      </c>
      <c r="S121" s="37">
        <f t="shared" si="14"/>
        <v>42441.25</v>
      </c>
      <c r="T121" s="31">
        <f t="shared" si="6"/>
        <v>620279.24</v>
      </c>
      <c r="U121" s="38">
        <f t="shared" si="7"/>
        <v>393463.13</v>
      </c>
    </row>
    <row r="122" spans="1:21" ht="12.75">
      <c r="A122" s="36" t="s">
        <v>40</v>
      </c>
      <c r="B122" s="32"/>
      <c r="C122" s="32"/>
      <c r="D122" s="32"/>
      <c r="E122" s="31">
        <f t="shared" si="11"/>
        <v>133797</v>
      </c>
      <c r="F122" s="31">
        <f t="shared" si="11"/>
        <v>47797</v>
      </c>
      <c r="G122" s="31">
        <f t="shared" si="11"/>
        <v>12340</v>
      </c>
      <c r="H122" s="31">
        <f t="shared" si="11"/>
        <v>332983.13</v>
      </c>
      <c r="I122" s="31"/>
      <c r="J122" s="31">
        <f t="shared" si="13"/>
        <v>0</v>
      </c>
      <c r="K122" s="31">
        <f t="shared" si="13"/>
        <v>0</v>
      </c>
      <c r="L122" s="31">
        <f t="shared" si="13"/>
        <v>0</v>
      </c>
      <c r="M122" s="31">
        <f t="shared" si="13"/>
        <v>0</v>
      </c>
      <c r="N122" s="31">
        <f t="shared" si="13"/>
        <v>0</v>
      </c>
      <c r="O122" s="31">
        <f t="shared" si="13"/>
        <v>0</v>
      </c>
      <c r="P122" s="31">
        <f t="shared" si="13"/>
        <v>0</v>
      </c>
      <c r="Q122" s="31"/>
      <c r="R122" s="37">
        <f t="shared" si="14"/>
        <v>34011.880000000005</v>
      </c>
      <c r="S122" s="37">
        <f t="shared" si="14"/>
        <v>42191.880000000005</v>
      </c>
      <c r="T122" s="31">
        <f t="shared" si="6"/>
        <v>603120.89</v>
      </c>
      <c r="U122" s="38">
        <f t="shared" si="7"/>
        <v>393120.13</v>
      </c>
    </row>
    <row r="123" spans="1:21" ht="12.75">
      <c r="A123" s="36" t="s">
        <v>41</v>
      </c>
      <c r="B123" s="32"/>
      <c r="C123" s="32"/>
      <c r="D123" s="32"/>
      <c r="E123" s="31">
        <f t="shared" si="11"/>
        <v>133811</v>
      </c>
      <c r="F123" s="31">
        <f t="shared" si="11"/>
        <v>47997</v>
      </c>
      <c r="G123" s="31">
        <f t="shared" si="11"/>
        <v>12868</v>
      </c>
      <c r="H123" s="31">
        <f t="shared" si="11"/>
        <v>334123.75</v>
      </c>
      <c r="I123" s="31"/>
      <c r="J123" s="31">
        <f t="shared" si="13"/>
        <v>0</v>
      </c>
      <c r="K123" s="31">
        <f t="shared" si="13"/>
        <v>0</v>
      </c>
      <c r="L123" s="31">
        <f t="shared" si="13"/>
        <v>0</v>
      </c>
      <c r="M123" s="31">
        <f t="shared" si="13"/>
        <v>0</v>
      </c>
      <c r="N123" s="31">
        <f t="shared" si="13"/>
        <v>0</v>
      </c>
      <c r="O123" s="31">
        <f t="shared" si="13"/>
        <v>0</v>
      </c>
      <c r="P123" s="31">
        <f t="shared" si="13"/>
        <v>0</v>
      </c>
      <c r="Q123" s="31"/>
      <c r="R123" s="37">
        <f t="shared" si="14"/>
        <v>34329.380000000005</v>
      </c>
      <c r="S123" s="37">
        <f t="shared" si="14"/>
        <v>42421.880000000005</v>
      </c>
      <c r="T123" s="31">
        <f t="shared" si="6"/>
        <v>605551.01</v>
      </c>
      <c r="U123" s="38">
        <f t="shared" si="7"/>
        <v>394988.75</v>
      </c>
    </row>
    <row r="124" spans="1:21" ht="12.75">
      <c r="A124" s="36" t="s">
        <v>42</v>
      </c>
      <c r="B124" s="32"/>
      <c r="C124" s="32"/>
      <c r="D124" s="32"/>
      <c r="E124" s="31">
        <f t="shared" si="11"/>
        <v>134130</v>
      </c>
      <c r="F124" s="31">
        <f t="shared" si="11"/>
        <v>48107</v>
      </c>
      <c r="G124" s="31">
        <f t="shared" si="11"/>
        <v>12372</v>
      </c>
      <c r="H124" s="31">
        <f t="shared" si="11"/>
        <v>335058.135</v>
      </c>
      <c r="I124" s="31"/>
      <c r="J124" s="31">
        <f>+J36+J80</f>
        <v>0</v>
      </c>
      <c r="K124" s="31">
        <f>+K36+K80</f>
        <v>0</v>
      </c>
      <c r="L124" s="31">
        <f>+L36+L80</f>
        <v>0</v>
      </c>
      <c r="M124" s="31">
        <f>+M36+M80</f>
        <v>0</v>
      </c>
      <c r="N124" s="31">
        <f>+N36+N80</f>
        <v>0</v>
      </c>
      <c r="O124" s="31"/>
      <c r="P124" s="31">
        <f aca="true" t="shared" si="15" ref="P124:P135">+P36+P80</f>
        <v>0</v>
      </c>
      <c r="Q124" s="31"/>
      <c r="R124" s="37">
        <f t="shared" si="14"/>
        <v>34122.5</v>
      </c>
      <c r="S124" s="37">
        <f t="shared" si="14"/>
        <v>42131.25</v>
      </c>
      <c r="T124" s="31">
        <f t="shared" si="6"/>
        <v>605920.885</v>
      </c>
      <c r="U124" s="38">
        <f t="shared" si="7"/>
        <v>395537.135</v>
      </c>
    </row>
    <row r="125" spans="1:21" ht="12.75">
      <c r="A125" s="36" t="s">
        <v>43</v>
      </c>
      <c r="B125" s="32"/>
      <c r="C125" s="32"/>
      <c r="D125" s="32"/>
      <c r="E125" s="31">
        <f t="shared" si="11"/>
        <v>134731</v>
      </c>
      <c r="F125" s="31">
        <f t="shared" si="11"/>
        <v>48127</v>
      </c>
      <c r="G125" s="31">
        <f t="shared" si="11"/>
        <v>12855</v>
      </c>
      <c r="H125" s="31">
        <f t="shared" si="11"/>
        <v>336279.38</v>
      </c>
      <c r="I125" s="31"/>
      <c r="J125" s="31">
        <f aca="true" t="shared" si="16" ref="J125:K135">+J37+J81</f>
        <v>0</v>
      </c>
      <c r="K125" s="31">
        <f t="shared" si="16"/>
        <v>0</v>
      </c>
      <c r="L125" s="31"/>
      <c r="M125" s="31">
        <f aca="true" t="shared" si="17" ref="M125:N129">+M37+M81</f>
        <v>0</v>
      </c>
      <c r="N125" s="31">
        <f t="shared" si="17"/>
        <v>0</v>
      </c>
      <c r="O125" s="31"/>
      <c r="P125" s="31">
        <f t="shared" si="15"/>
        <v>0</v>
      </c>
      <c r="Q125" s="31"/>
      <c r="R125" s="37">
        <f t="shared" si="14"/>
        <v>34391.25</v>
      </c>
      <c r="S125" s="37">
        <f t="shared" si="14"/>
        <v>42320</v>
      </c>
      <c r="T125" s="31">
        <f t="shared" si="6"/>
        <v>608703.63</v>
      </c>
      <c r="U125" s="38">
        <f t="shared" si="7"/>
        <v>397261.38</v>
      </c>
    </row>
    <row r="126" spans="1:21" ht="12.75">
      <c r="A126" s="36" t="s">
        <v>44</v>
      </c>
      <c r="B126" s="32"/>
      <c r="C126" s="32"/>
      <c r="D126" s="32"/>
      <c r="E126" s="31">
        <f t="shared" si="11"/>
        <v>135105</v>
      </c>
      <c r="F126" s="31">
        <f t="shared" si="11"/>
        <v>48057</v>
      </c>
      <c r="G126" s="31">
        <f t="shared" si="11"/>
        <v>13292</v>
      </c>
      <c r="H126" s="31">
        <f t="shared" si="11"/>
        <v>337280.63</v>
      </c>
      <c r="I126" s="31"/>
      <c r="J126" s="31">
        <f t="shared" si="16"/>
        <v>0</v>
      </c>
      <c r="K126" s="31">
        <f t="shared" si="16"/>
        <v>0</v>
      </c>
      <c r="L126" s="31"/>
      <c r="M126" s="31">
        <f t="shared" si="17"/>
        <v>0</v>
      </c>
      <c r="N126" s="31">
        <f t="shared" si="17"/>
        <v>0</v>
      </c>
      <c r="O126" s="31"/>
      <c r="P126" s="31">
        <f t="shared" si="15"/>
        <v>0</v>
      </c>
      <c r="Q126" s="31"/>
      <c r="R126" s="37">
        <f t="shared" si="14"/>
        <v>34135.630000000005</v>
      </c>
      <c r="S126" s="37">
        <f t="shared" si="14"/>
        <v>42481.25</v>
      </c>
      <c r="T126" s="31">
        <f t="shared" si="6"/>
        <v>610351.51</v>
      </c>
      <c r="U126" s="38">
        <f t="shared" si="7"/>
        <v>398629.63</v>
      </c>
    </row>
    <row r="127" spans="1:21" ht="12.75">
      <c r="A127" s="36" t="s">
        <v>45</v>
      </c>
      <c r="B127" s="32"/>
      <c r="C127" s="32"/>
      <c r="D127" s="32"/>
      <c r="E127" s="31">
        <v>135743</v>
      </c>
      <c r="F127" s="31"/>
      <c r="G127" s="31"/>
      <c r="H127" s="31">
        <f aca="true" t="shared" si="18" ref="H127:H136">+H39+H83</f>
        <v>338555.01</v>
      </c>
      <c r="I127" s="31"/>
      <c r="J127" s="31">
        <f t="shared" si="16"/>
        <v>0</v>
      </c>
      <c r="K127" s="31">
        <f t="shared" si="16"/>
        <v>0</v>
      </c>
      <c r="L127" s="31"/>
      <c r="M127" s="31">
        <f t="shared" si="17"/>
        <v>0</v>
      </c>
      <c r="N127" s="31">
        <f t="shared" si="17"/>
        <v>0</v>
      </c>
      <c r="O127" s="31"/>
      <c r="P127" s="31">
        <f t="shared" si="15"/>
        <v>0</v>
      </c>
      <c r="Q127" s="31"/>
      <c r="R127" s="37">
        <f t="shared" si="14"/>
        <v>34355.630000000005</v>
      </c>
      <c r="S127" s="37">
        <f t="shared" si="14"/>
        <v>42121.880000000005</v>
      </c>
      <c r="T127" s="31">
        <f t="shared" si="6"/>
        <v>550775.52</v>
      </c>
      <c r="U127" s="38">
        <f t="shared" si="7"/>
        <v>338555.01</v>
      </c>
    </row>
    <row r="128" spans="1:21" ht="12.75">
      <c r="A128" s="36" t="s">
        <v>46</v>
      </c>
      <c r="B128" s="32"/>
      <c r="C128" s="32"/>
      <c r="D128" s="32"/>
      <c r="E128" s="31"/>
      <c r="F128" s="31"/>
      <c r="G128" s="31"/>
      <c r="H128" s="31">
        <f t="shared" si="18"/>
        <v>339595.63</v>
      </c>
      <c r="I128" s="31"/>
      <c r="J128" s="31">
        <f t="shared" si="16"/>
        <v>0</v>
      </c>
      <c r="K128" s="31">
        <f t="shared" si="16"/>
        <v>0</v>
      </c>
      <c r="L128" s="31"/>
      <c r="M128" s="31">
        <f t="shared" si="17"/>
        <v>0</v>
      </c>
      <c r="N128" s="31">
        <f t="shared" si="17"/>
        <v>0</v>
      </c>
      <c r="O128" s="31"/>
      <c r="P128" s="31">
        <f t="shared" si="15"/>
        <v>0</v>
      </c>
      <c r="Q128" s="31"/>
      <c r="R128" s="37">
        <f t="shared" si="14"/>
        <v>34051.25</v>
      </c>
      <c r="S128" s="37">
        <f t="shared" si="14"/>
        <v>42241.880000000005</v>
      </c>
      <c r="T128" s="31">
        <f t="shared" si="6"/>
        <v>415888.76</v>
      </c>
      <c r="U128" s="38">
        <f t="shared" si="7"/>
        <v>339595.63</v>
      </c>
    </row>
    <row r="129" spans="1:21" ht="12.75">
      <c r="A129" s="36" t="s">
        <v>61</v>
      </c>
      <c r="B129" s="32"/>
      <c r="C129" s="32"/>
      <c r="D129" s="32"/>
      <c r="E129" s="31"/>
      <c r="F129" s="31"/>
      <c r="G129" s="31"/>
      <c r="H129" s="31">
        <f t="shared" si="18"/>
        <v>340895.63</v>
      </c>
      <c r="I129" s="31"/>
      <c r="J129" s="31">
        <f t="shared" si="16"/>
        <v>0</v>
      </c>
      <c r="K129" s="31">
        <f t="shared" si="16"/>
        <v>0</v>
      </c>
      <c r="L129" s="31"/>
      <c r="M129" s="31">
        <f t="shared" si="17"/>
        <v>0</v>
      </c>
      <c r="N129" s="31">
        <f t="shared" si="17"/>
        <v>0</v>
      </c>
      <c r="O129" s="31"/>
      <c r="P129" s="31">
        <f t="shared" si="15"/>
        <v>0</v>
      </c>
      <c r="Q129" s="31"/>
      <c r="R129" s="37">
        <f t="shared" si="14"/>
        <v>34222.5</v>
      </c>
      <c r="S129" s="37">
        <f t="shared" si="14"/>
        <v>42334.380000000005</v>
      </c>
      <c r="T129" s="31">
        <f t="shared" si="6"/>
        <v>417452.51</v>
      </c>
      <c r="U129" s="38">
        <f t="shared" si="7"/>
        <v>340895.63</v>
      </c>
    </row>
    <row r="130" spans="1:21" ht="12.75">
      <c r="A130" s="36" t="s">
        <v>62</v>
      </c>
      <c r="B130" s="32"/>
      <c r="C130" s="32"/>
      <c r="D130" s="32"/>
      <c r="E130" s="31"/>
      <c r="F130" s="31"/>
      <c r="G130" s="31"/>
      <c r="H130" s="31">
        <f t="shared" si="18"/>
        <v>342441.26</v>
      </c>
      <c r="I130" s="31"/>
      <c r="J130" s="31">
        <f t="shared" si="16"/>
        <v>0</v>
      </c>
      <c r="K130" s="31">
        <f t="shared" si="16"/>
        <v>0</v>
      </c>
      <c r="L130" s="31"/>
      <c r="M130" s="31"/>
      <c r="N130" s="31"/>
      <c r="O130" s="31"/>
      <c r="P130" s="31">
        <f t="shared" si="15"/>
        <v>0</v>
      </c>
      <c r="Q130" s="31"/>
      <c r="R130" s="37">
        <f t="shared" si="14"/>
        <v>34361.25</v>
      </c>
      <c r="S130" s="37">
        <f t="shared" si="14"/>
        <v>42399.38</v>
      </c>
      <c r="T130" s="31">
        <f t="shared" si="6"/>
        <v>419201.89</v>
      </c>
      <c r="U130" s="38">
        <f t="shared" si="7"/>
        <v>342441.26</v>
      </c>
    </row>
    <row r="131" spans="1:21" ht="12.75">
      <c r="A131" s="36" t="s">
        <v>63</v>
      </c>
      <c r="B131" s="32"/>
      <c r="C131" s="32"/>
      <c r="D131" s="32"/>
      <c r="E131" s="31"/>
      <c r="F131" s="31"/>
      <c r="G131" s="31"/>
      <c r="H131" s="31">
        <f t="shared" si="18"/>
        <v>343725.63</v>
      </c>
      <c r="I131" s="31"/>
      <c r="J131" s="31">
        <f t="shared" si="16"/>
        <v>0</v>
      </c>
      <c r="K131" s="31">
        <f t="shared" si="16"/>
        <v>0</v>
      </c>
      <c r="L131" s="31"/>
      <c r="M131" s="31"/>
      <c r="N131" s="31"/>
      <c r="O131" s="31"/>
      <c r="P131" s="31">
        <f t="shared" si="15"/>
        <v>0</v>
      </c>
      <c r="Q131" s="31"/>
      <c r="R131" s="37">
        <f t="shared" si="14"/>
        <v>34467.5</v>
      </c>
      <c r="S131" s="37">
        <f t="shared" si="14"/>
        <v>42436.88</v>
      </c>
      <c r="T131" s="31">
        <f t="shared" si="6"/>
        <v>420630.01</v>
      </c>
      <c r="U131" s="38">
        <f t="shared" si="7"/>
        <v>343725.63</v>
      </c>
    </row>
    <row r="132" spans="1:21" ht="12.75">
      <c r="A132" s="36" t="s">
        <v>64</v>
      </c>
      <c r="B132" s="32"/>
      <c r="C132" s="32"/>
      <c r="D132" s="32"/>
      <c r="E132" s="31"/>
      <c r="F132" s="31"/>
      <c r="G132" s="31"/>
      <c r="H132" s="31">
        <f t="shared" si="18"/>
        <v>344748.75</v>
      </c>
      <c r="I132" s="31"/>
      <c r="J132" s="31">
        <f t="shared" si="16"/>
        <v>0</v>
      </c>
      <c r="K132" s="31">
        <f t="shared" si="16"/>
        <v>0</v>
      </c>
      <c r="L132" s="31"/>
      <c r="M132" s="31"/>
      <c r="N132" s="31"/>
      <c r="O132" s="31"/>
      <c r="P132" s="31">
        <f t="shared" si="15"/>
        <v>0</v>
      </c>
      <c r="Q132" s="31"/>
      <c r="R132" s="37">
        <f t="shared" si="14"/>
        <v>34541.25</v>
      </c>
      <c r="S132" s="37">
        <f t="shared" si="14"/>
        <v>42446.88</v>
      </c>
      <c r="T132" s="31">
        <f t="shared" si="6"/>
        <v>421736.88</v>
      </c>
      <c r="U132" s="38">
        <f t="shared" si="7"/>
        <v>344748.75</v>
      </c>
    </row>
    <row r="133" spans="1:21" ht="12.75">
      <c r="A133" s="36" t="s">
        <v>65</v>
      </c>
      <c r="B133" s="32"/>
      <c r="C133" s="32"/>
      <c r="D133" s="32"/>
      <c r="E133" s="31"/>
      <c r="F133" s="31"/>
      <c r="G133" s="31"/>
      <c r="H133" s="31">
        <f t="shared" si="18"/>
        <v>346496.88</v>
      </c>
      <c r="I133" s="31"/>
      <c r="J133" s="31">
        <f t="shared" si="16"/>
        <v>0</v>
      </c>
      <c r="K133" s="31">
        <f t="shared" si="16"/>
        <v>0</v>
      </c>
      <c r="L133" s="31"/>
      <c r="M133" s="31"/>
      <c r="N133" s="31"/>
      <c r="O133" s="31"/>
      <c r="P133" s="31">
        <f t="shared" si="15"/>
        <v>0</v>
      </c>
      <c r="Q133" s="31"/>
      <c r="R133" s="37">
        <f t="shared" si="14"/>
        <v>34582.5</v>
      </c>
      <c r="S133" s="37">
        <f t="shared" si="14"/>
        <v>42429.38</v>
      </c>
      <c r="T133" s="31">
        <f t="shared" si="6"/>
        <v>423508.76</v>
      </c>
      <c r="U133" s="38">
        <f t="shared" si="7"/>
        <v>346496.88</v>
      </c>
    </row>
    <row r="134" spans="1:21" ht="12.75">
      <c r="A134" s="36" t="s">
        <v>66</v>
      </c>
      <c r="B134" s="32"/>
      <c r="C134" s="32"/>
      <c r="D134" s="32"/>
      <c r="E134" s="31"/>
      <c r="F134" s="31"/>
      <c r="G134" s="31"/>
      <c r="H134" s="31">
        <f t="shared" si="18"/>
        <v>347956.26</v>
      </c>
      <c r="I134" s="31"/>
      <c r="J134" s="31">
        <f t="shared" si="16"/>
        <v>0</v>
      </c>
      <c r="K134" s="31">
        <f t="shared" si="16"/>
        <v>0</v>
      </c>
      <c r="L134" s="31"/>
      <c r="M134" s="31"/>
      <c r="N134" s="31"/>
      <c r="O134" s="31"/>
      <c r="P134" s="31">
        <f t="shared" si="15"/>
        <v>0</v>
      </c>
      <c r="Q134" s="31"/>
      <c r="R134" s="37">
        <f t="shared" si="14"/>
        <v>34591.25</v>
      </c>
      <c r="S134" s="37">
        <f t="shared" si="14"/>
        <v>42384.38</v>
      </c>
      <c r="T134" s="31">
        <f t="shared" si="6"/>
        <v>424931.89</v>
      </c>
      <c r="U134" s="38">
        <f t="shared" si="7"/>
        <v>347956.26</v>
      </c>
    </row>
    <row r="135" spans="1:21" ht="12.75">
      <c r="A135" s="36" t="s">
        <v>72</v>
      </c>
      <c r="B135" s="32"/>
      <c r="C135" s="32"/>
      <c r="D135" s="32"/>
      <c r="E135" s="31"/>
      <c r="F135" s="31"/>
      <c r="G135" s="31"/>
      <c r="H135" s="31">
        <f t="shared" si="18"/>
        <v>345181.88</v>
      </c>
      <c r="I135" s="31"/>
      <c r="J135" s="31">
        <f t="shared" si="16"/>
        <v>0</v>
      </c>
      <c r="K135" s="31">
        <f t="shared" si="16"/>
        <v>0</v>
      </c>
      <c r="L135" s="31"/>
      <c r="M135" s="31"/>
      <c r="N135" s="31"/>
      <c r="O135" s="31"/>
      <c r="P135" s="31">
        <f t="shared" si="15"/>
        <v>0</v>
      </c>
      <c r="Q135" s="31"/>
      <c r="R135" s="37">
        <f t="shared" si="14"/>
        <v>34567.5</v>
      </c>
      <c r="S135" s="37">
        <f t="shared" si="14"/>
        <v>42311.88</v>
      </c>
      <c r="T135" s="31">
        <f t="shared" si="6"/>
        <v>422061.26</v>
      </c>
      <c r="U135" s="38">
        <f>+F138+G138+H135+I135</f>
        <v>345181.88</v>
      </c>
    </row>
    <row r="136" spans="1:21" ht="12.75">
      <c r="A136" s="36" t="s">
        <v>83</v>
      </c>
      <c r="B136" s="32"/>
      <c r="C136" s="32"/>
      <c r="D136" s="32"/>
      <c r="E136" s="31"/>
      <c r="F136" s="31"/>
      <c r="G136" s="31"/>
      <c r="H136" s="31">
        <f t="shared" si="18"/>
        <v>0</v>
      </c>
      <c r="I136" s="31"/>
      <c r="J136" s="31">
        <f>+J49+J92</f>
        <v>0</v>
      </c>
      <c r="K136" s="31">
        <f>+K49+K92</f>
        <v>0</v>
      </c>
      <c r="L136" s="31"/>
      <c r="M136" s="31"/>
      <c r="N136" s="31"/>
      <c r="O136" s="31"/>
      <c r="P136" s="31"/>
      <c r="Q136" s="31"/>
      <c r="R136" s="37">
        <f t="shared" si="14"/>
        <v>34511.25</v>
      </c>
      <c r="S136" s="37">
        <f t="shared" si="14"/>
        <v>42211.88</v>
      </c>
      <c r="T136" s="31">
        <f t="shared" si="6"/>
        <v>76723.13</v>
      </c>
      <c r="U136" s="38">
        <f>+F139+G139+H136+I136</f>
        <v>0</v>
      </c>
    </row>
    <row r="137" spans="1:21" ht="12.75">
      <c r="A137" s="36" t="s">
        <v>84</v>
      </c>
      <c r="B137" s="32"/>
      <c r="C137" s="32"/>
      <c r="D137" s="32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7">
        <f t="shared" si="14"/>
        <v>30487.5</v>
      </c>
      <c r="S137" s="37">
        <f t="shared" si="14"/>
        <v>42577.5</v>
      </c>
      <c r="T137" s="31">
        <f t="shared" si="6"/>
        <v>73065</v>
      </c>
      <c r="U137" s="38">
        <f>+F140+G140+H137+I137</f>
        <v>0</v>
      </c>
    </row>
    <row r="138" spans="1:21" ht="12.75">
      <c r="A138" s="36"/>
      <c r="B138" s="32"/>
      <c r="C138" s="32"/>
      <c r="D138" s="32"/>
      <c r="E138" s="31"/>
      <c r="F138" s="31"/>
      <c r="G138" s="31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7"/>
      <c r="S138" s="37"/>
      <c r="T138" s="32"/>
      <c r="U138" s="32"/>
    </row>
    <row r="139" spans="1:21" ht="12.75">
      <c r="A139" s="36"/>
      <c r="B139" s="32"/>
      <c r="C139" s="32"/>
      <c r="D139" s="32"/>
      <c r="E139" s="31"/>
      <c r="F139" s="31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2.75">
      <c r="A140" s="36"/>
      <c r="B140" s="32"/>
      <c r="C140" s="32"/>
      <c r="D140" s="32"/>
      <c r="E140" s="39"/>
      <c r="F140" s="31">
        <f>+F39+F83</f>
        <v>0</v>
      </c>
      <c r="G140" s="31">
        <f>+G39+G83</f>
        <v>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>
        <f>SUM(B140:G140)</f>
        <v>0</v>
      </c>
      <c r="U140" s="38">
        <f>+F140+G140+H140+I140</f>
        <v>0</v>
      </c>
    </row>
    <row r="141" spans="1:21" ht="13.5" thickBot="1">
      <c r="A141" s="32"/>
      <c r="B141" s="40">
        <f>SUM(B101:B107)</f>
        <v>918472.5</v>
      </c>
      <c r="C141" s="40">
        <f>SUM(C101:C107)</f>
        <v>0</v>
      </c>
      <c r="D141" s="40">
        <f>SUM(D101:D107)</f>
        <v>1200245</v>
      </c>
      <c r="E141" s="40">
        <f>SUM(E101:E140)</f>
        <v>3562650</v>
      </c>
      <c r="F141" s="40">
        <f>SUM(F101:F107)</f>
        <v>346700</v>
      </c>
      <c r="G141" s="40">
        <f>SUM(G101:G139)</f>
        <v>333868</v>
      </c>
      <c r="H141" s="40">
        <f>SUM(H101:H140)</f>
        <v>11568753.895000001</v>
      </c>
      <c r="I141" s="40">
        <f>SUM(I101:I107)</f>
        <v>555485</v>
      </c>
      <c r="J141" s="40">
        <f aca="true" t="shared" si="19" ref="J141:U141">SUM(J101:J140)</f>
        <v>313334.9860000001</v>
      </c>
      <c r="K141" s="40">
        <f t="shared" si="19"/>
        <v>349134.04</v>
      </c>
      <c r="L141" s="40">
        <f t="shared" si="19"/>
        <v>2732153.87</v>
      </c>
      <c r="M141" s="40">
        <f t="shared" si="19"/>
        <v>624734.97</v>
      </c>
      <c r="N141" s="40">
        <f t="shared" si="19"/>
        <v>351742.1499999999</v>
      </c>
      <c r="O141" s="40">
        <f t="shared" si="19"/>
        <v>1521919.72</v>
      </c>
      <c r="P141" s="40">
        <f t="shared" si="19"/>
        <v>676505.64</v>
      </c>
      <c r="Q141" s="40">
        <f t="shared" si="19"/>
        <v>0</v>
      </c>
      <c r="R141" s="40">
        <f t="shared" si="19"/>
        <v>1261686.3599999999</v>
      </c>
      <c r="S141" s="40">
        <f t="shared" si="19"/>
        <v>1568703.9099999988</v>
      </c>
      <c r="T141" s="40">
        <f t="shared" si="19"/>
        <v>28816187.041000005</v>
      </c>
      <c r="U141" s="40">
        <f t="shared" si="19"/>
        <v>13734903.895000005</v>
      </c>
    </row>
    <row r="142" spans="1:21" ht="13.5" thickTop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</sheetData>
  <sheetProtection/>
  <mergeCells count="3">
    <mergeCell ref="R10:S10"/>
    <mergeCell ref="R54:S54"/>
    <mergeCell ref="R99:S99"/>
  </mergeCells>
  <printOptions/>
  <pageMargins left="0.7" right="0.7" top="0.75" bottom="0.75" header="0.3" footer="0.3"/>
  <pageSetup fitToHeight="2" fitToWidth="1"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zoomScale="110" zoomScaleNormal="110" zoomScalePageLayoutView="0" workbookViewId="0" topLeftCell="E1">
      <pane ySplit="7" topLeftCell="A47" activePane="bottomLeft" state="frozen"/>
      <selection pane="topLeft" activeCell="A1" sqref="A1"/>
      <selection pane="bottomLeft" activeCell="U55" sqref="U55"/>
    </sheetView>
  </sheetViews>
  <sheetFormatPr defaultColWidth="11.7109375" defaultRowHeight="12.75"/>
  <cols>
    <col min="1" max="2" width="11.7109375" style="32" customWidth="1"/>
    <col min="3" max="3" width="23.7109375" style="32" hidden="1" customWidth="1"/>
    <col min="4" max="13" width="11.7109375" style="32" customWidth="1"/>
    <col min="14" max="14" width="13.421875" style="32" customWidth="1"/>
    <col min="15" max="18" width="11.7109375" style="32" customWidth="1"/>
    <col min="19" max="19" width="11.7109375" style="32" hidden="1" customWidth="1"/>
    <col min="20" max="23" width="11.7109375" style="32" customWidth="1"/>
    <col min="24" max="24" width="14.140625" style="32" customWidth="1"/>
    <col min="25" max="25" width="15.57421875" style="32" bestFit="1" customWidth="1"/>
    <col min="26" max="16384" width="11.7109375" style="32" customWidth="1"/>
  </cols>
  <sheetData>
    <row r="1" ht="12.75">
      <c r="A1" s="49" t="s">
        <v>0</v>
      </c>
    </row>
    <row r="2" ht="12.75">
      <c r="A2" s="49" t="s">
        <v>1</v>
      </c>
    </row>
    <row r="3" ht="12.75">
      <c r="A3" s="50">
        <v>43646</v>
      </c>
    </row>
    <row r="4" ht="12.75">
      <c r="A4" s="30"/>
    </row>
    <row r="5" spans="1:23" ht="12.75">
      <c r="A5" s="33" t="s">
        <v>2</v>
      </c>
      <c r="W5" s="35" t="s">
        <v>123</v>
      </c>
    </row>
    <row r="6" spans="1:23" ht="12.75">
      <c r="A6" s="30"/>
      <c r="U6" s="68"/>
      <c r="V6" s="68"/>
      <c r="W6" s="54" t="s">
        <v>121</v>
      </c>
    </row>
    <row r="7" spans="1:24" s="51" customFormat="1" ht="12.75">
      <c r="A7" s="44" t="s">
        <v>3</v>
      </c>
      <c r="B7" s="56" t="s">
        <v>5</v>
      </c>
      <c r="C7" s="56" t="s">
        <v>56</v>
      </c>
      <c r="D7" s="56" t="s">
        <v>8</v>
      </c>
      <c r="E7" s="53">
        <v>2004</v>
      </c>
      <c r="F7" s="53" t="s">
        <v>9</v>
      </c>
      <c r="G7" s="53" t="s">
        <v>10</v>
      </c>
      <c r="H7" s="45">
        <v>2011</v>
      </c>
      <c r="I7" s="45" t="s">
        <v>67</v>
      </c>
      <c r="J7" s="45">
        <v>2016</v>
      </c>
      <c r="K7" s="45" t="s">
        <v>119</v>
      </c>
      <c r="L7" s="45" t="s">
        <v>71</v>
      </c>
      <c r="M7" s="45" t="s">
        <v>73</v>
      </c>
      <c r="N7" s="45" t="s">
        <v>85</v>
      </c>
      <c r="O7" s="45" t="s">
        <v>86</v>
      </c>
      <c r="P7" s="45" t="s">
        <v>89</v>
      </c>
      <c r="Q7" s="45" t="s">
        <v>90</v>
      </c>
      <c r="R7" s="45" t="s">
        <v>91</v>
      </c>
      <c r="S7" s="45" t="s">
        <v>78</v>
      </c>
      <c r="T7" s="45" t="s">
        <v>115</v>
      </c>
      <c r="U7" s="45" t="s">
        <v>76</v>
      </c>
      <c r="V7" s="45" t="s">
        <v>77</v>
      </c>
      <c r="W7" s="45" t="s">
        <v>122</v>
      </c>
      <c r="X7" s="45" t="s">
        <v>11</v>
      </c>
    </row>
    <row r="8" spans="1:24" ht="12.75">
      <c r="A8" s="36"/>
      <c r="B8" s="31"/>
      <c r="C8" s="31"/>
      <c r="D8" s="31"/>
      <c r="E8" s="31"/>
      <c r="F8" s="31"/>
      <c r="G8" s="31"/>
      <c r="X8" s="31"/>
    </row>
    <row r="9" spans="1:24" ht="12.75">
      <c r="A9" s="36" t="s">
        <v>21</v>
      </c>
      <c r="B9" s="10">
        <f>35762.42+36159.98+36561.95+36968.39</f>
        <v>145452.74</v>
      </c>
      <c r="C9" s="10"/>
      <c r="D9" s="10">
        <v>175789</v>
      </c>
      <c r="E9" s="10">
        <v>46000</v>
      </c>
      <c r="F9" s="10">
        <v>17000</v>
      </c>
      <c r="G9" s="10">
        <v>5000</v>
      </c>
      <c r="H9" s="46">
        <v>124000</v>
      </c>
      <c r="I9" s="46">
        <v>175000</v>
      </c>
      <c r="J9" s="46">
        <v>135000</v>
      </c>
      <c r="K9" s="46">
        <f>232186.16+233056.86</f>
        <v>465243.02</v>
      </c>
      <c r="L9" s="46">
        <f>8054.75+8095.03</f>
        <v>16149.779999999999</v>
      </c>
      <c r="M9" s="46">
        <f>9010.45+9055.51</f>
        <v>18065.96</v>
      </c>
      <c r="N9" s="46">
        <f>54238.33+54712.91</f>
        <v>108951.24</v>
      </c>
      <c r="O9" s="46">
        <f>14541.01+14613.73</f>
        <v>29154.739999999998</v>
      </c>
      <c r="P9" s="46">
        <f>7727.88+7756.86</f>
        <v>15484.74</v>
      </c>
      <c r="Q9" s="46">
        <f>33593.28+33719.25</f>
        <v>67312.53</v>
      </c>
      <c r="R9" s="46">
        <f>14445.6+14499.77</f>
        <v>28945.370000000003</v>
      </c>
      <c r="S9" s="46"/>
      <c r="T9" s="46">
        <f>48188.74+48369.44</f>
        <v>96558.18</v>
      </c>
      <c r="U9" s="46">
        <v>11000</v>
      </c>
      <c r="V9" s="46">
        <v>16500</v>
      </c>
      <c r="W9" s="46">
        <v>9016.9</v>
      </c>
      <c r="X9" s="31">
        <f aca="true" t="shared" si="0" ref="X9:X47">SUM(B9:W9)</f>
        <v>1705624.2</v>
      </c>
    </row>
    <row r="10" spans="1:24" ht="12.75">
      <c r="A10" s="36" t="s">
        <v>22</v>
      </c>
      <c r="B10" s="10">
        <f>37379.34+37794.87+38215.01+38639.83</f>
        <v>152029.05</v>
      </c>
      <c r="C10" s="10"/>
      <c r="D10" s="10">
        <v>177551</v>
      </c>
      <c r="E10" s="10">
        <v>48000</v>
      </c>
      <c r="F10" s="10">
        <v>18000</v>
      </c>
      <c r="G10" s="10">
        <v>5000</v>
      </c>
      <c r="H10" s="46">
        <v>128000</v>
      </c>
      <c r="I10" s="46">
        <v>15000</v>
      </c>
      <c r="J10" s="46">
        <v>138500</v>
      </c>
      <c r="K10" s="46">
        <f>233930.82+234808.06</f>
        <v>468738.88</v>
      </c>
      <c r="L10" s="46">
        <f>8135.5+8176.18</f>
        <v>16311.68</v>
      </c>
      <c r="M10" s="46">
        <f>9100.78+9146.29</f>
        <v>18247.07</v>
      </c>
      <c r="N10" s="46">
        <f>55191.65+55674.58</f>
        <v>110866.23000000001</v>
      </c>
      <c r="O10" s="46">
        <f>14686.79+14760.23</f>
        <v>29447.02</v>
      </c>
      <c r="P10" s="46">
        <f>7785.94+7815.14</f>
        <v>15601.08</v>
      </c>
      <c r="Q10" s="46">
        <f>33845.7+33972.62</f>
        <v>67818.32</v>
      </c>
      <c r="R10" s="46">
        <f>14554.14+14608.72</f>
        <v>29162.86</v>
      </c>
      <c r="S10" s="46"/>
      <c r="T10" s="46">
        <f>48550.83+48732.89</f>
        <v>97283.72</v>
      </c>
      <c r="U10" s="46">
        <v>11500</v>
      </c>
      <c r="V10" s="46">
        <v>17000</v>
      </c>
      <c r="W10" s="46">
        <v>9713.88</v>
      </c>
      <c r="X10" s="31">
        <f t="shared" si="0"/>
        <v>1573770.7900000003</v>
      </c>
    </row>
    <row r="11" spans="1:24" ht="12.75">
      <c r="A11" s="36" t="s">
        <v>23</v>
      </c>
      <c r="B11" s="10">
        <f>39069.37+39503.68+39942.82+40386.85</f>
        <v>158902.72</v>
      </c>
      <c r="C11" s="10"/>
      <c r="D11" s="10">
        <v>179331</v>
      </c>
      <c r="E11" s="10">
        <v>50500</v>
      </c>
      <c r="F11" s="10">
        <v>19000</v>
      </c>
      <c r="G11" s="10">
        <v>5000</v>
      </c>
      <c r="H11" s="46">
        <v>132000</v>
      </c>
      <c r="I11" s="46"/>
      <c r="J11" s="46">
        <v>142500</v>
      </c>
      <c r="K11" s="46">
        <f>235688.59+236572.42</f>
        <v>472261.01</v>
      </c>
      <c r="L11" s="46">
        <f>8217.06+8258.15</f>
        <v>16475.21</v>
      </c>
      <c r="M11" s="46">
        <f>9192.02+9237.98</f>
        <v>18430</v>
      </c>
      <c r="N11" s="46">
        <f>56161.73+56653.14</f>
        <v>112814.87</v>
      </c>
      <c r="O11" s="46">
        <f>14834.03+14908.19</f>
        <v>29742.22</v>
      </c>
      <c r="P11" s="46">
        <f>7844.45+7873.87</f>
        <v>15718.32</v>
      </c>
      <c r="Q11" s="46">
        <f>34100.02+34227.9</f>
        <v>68327.92</v>
      </c>
      <c r="R11" s="46">
        <f>14663.5+14718.49</f>
        <v>29381.989999999998</v>
      </c>
      <c r="S11" s="46"/>
      <c r="T11" s="46">
        <f>48915.64+49099.08</f>
        <v>98014.72</v>
      </c>
      <c r="U11" s="46">
        <v>11500</v>
      </c>
      <c r="V11" s="46">
        <v>17500</v>
      </c>
      <c r="W11" s="46">
        <v>10464.7</v>
      </c>
      <c r="X11" s="31">
        <f t="shared" si="0"/>
        <v>1587864.68</v>
      </c>
    </row>
    <row r="12" spans="1:24" ht="12.75">
      <c r="A12" s="36" t="s">
        <v>24</v>
      </c>
      <c r="B12" s="10">
        <f>40835.8+41289.81-10</f>
        <v>82115.61</v>
      </c>
      <c r="C12" s="10"/>
      <c r="D12" s="10">
        <v>181129</v>
      </c>
      <c r="E12" s="10">
        <v>52500</v>
      </c>
      <c r="F12" s="10">
        <v>20000</v>
      </c>
      <c r="G12" s="10">
        <v>5000</v>
      </c>
      <c r="H12" s="46">
        <v>136500</v>
      </c>
      <c r="I12" s="46"/>
      <c r="J12" s="46">
        <v>146000</v>
      </c>
      <c r="K12" s="46">
        <f>237459.57+238350.04</f>
        <v>475809.61</v>
      </c>
      <c r="L12" s="46">
        <f>8299.44+8340.93</f>
        <v>16640.370000000003</v>
      </c>
      <c r="M12" s="46">
        <f>9284.17+9330.59</f>
        <v>18614.760000000002</v>
      </c>
      <c r="N12" s="46">
        <f>57148.86+57648.91</f>
        <v>114797.77</v>
      </c>
      <c r="O12" s="46">
        <f>14982.74+15057.65</f>
        <v>30040.39</v>
      </c>
      <c r="P12" s="46">
        <f>7903.39+7933.03</f>
        <v>15836.42</v>
      </c>
      <c r="Q12" s="46">
        <f>34356.25+34485.09</f>
        <v>68841.34</v>
      </c>
      <c r="R12" s="46">
        <f>14773.68+14829.09</f>
        <v>29602.77</v>
      </c>
      <c r="S12" s="46"/>
      <c r="T12" s="46">
        <f>49283.2+49468.01</f>
        <v>98751.20999999999</v>
      </c>
      <c r="U12" s="46">
        <v>12000</v>
      </c>
      <c r="V12" s="46">
        <v>18000</v>
      </c>
      <c r="W12" s="46">
        <v>11273.58</v>
      </c>
      <c r="X12" s="31">
        <f t="shared" si="0"/>
        <v>1533452.83</v>
      </c>
    </row>
    <row r="13" spans="1:24" ht="12.75">
      <c r="A13" s="36" t="s">
        <v>25</v>
      </c>
      <c r="B13" s="10"/>
      <c r="C13" s="10"/>
      <c r="D13" s="10">
        <v>91243</v>
      </c>
      <c r="E13" s="10">
        <v>55000</v>
      </c>
      <c r="F13" s="10">
        <v>21000</v>
      </c>
      <c r="G13" s="10">
        <v>5000</v>
      </c>
      <c r="H13" s="46">
        <v>141000</v>
      </c>
      <c r="I13" s="46"/>
      <c r="J13" s="46">
        <v>150500</v>
      </c>
      <c r="K13" s="46">
        <f>239243.86+240141.02</f>
        <v>479384.88</v>
      </c>
      <c r="L13" s="46">
        <f>8382.64+8424.55</f>
        <v>16807.19</v>
      </c>
      <c r="M13" s="46">
        <f>9377.24+9424.13</f>
        <v>18801.37</v>
      </c>
      <c r="N13" s="46">
        <f>58153.34+58662.18</f>
        <v>116815.51999999999</v>
      </c>
      <c r="O13" s="46">
        <f>15132.94+15208.6</f>
        <v>30341.54</v>
      </c>
      <c r="P13" s="46">
        <f>7962.78+7992.64</f>
        <v>15955.42</v>
      </c>
      <c r="Q13" s="46">
        <f>34614.4+34744.21</f>
        <v>69358.61</v>
      </c>
      <c r="R13" s="46">
        <f>14884.7+14940.51</f>
        <v>29825.21</v>
      </c>
      <c r="S13" s="46"/>
      <c r="T13" s="46">
        <f>49653.52+49839.72</f>
        <v>99493.23999999999</v>
      </c>
      <c r="U13" s="46">
        <v>12500</v>
      </c>
      <c r="V13" s="46">
        <v>18500</v>
      </c>
      <c r="W13" s="46">
        <v>8193.71</v>
      </c>
      <c r="X13" s="31">
        <f t="shared" si="0"/>
        <v>1379719.69</v>
      </c>
    </row>
    <row r="14" spans="1:24" ht="12.75">
      <c r="A14" s="36" t="s">
        <v>26</v>
      </c>
      <c r="B14" s="10"/>
      <c r="C14" s="10"/>
      <c r="D14" s="10"/>
      <c r="E14" s="10">
        <v>57500</v>
      </c>
      <c r="F14" s="10">
        <v>22000</v>
      </c>
      <c r="G14" s="10">
        <v>6000</v>
      </c>
      <c r="H14" s="46">
        <v>145500</v>
      </c>
      <c r="I14" s="46"/>
      <c r="J14" s="46">
        <v>154500</v>
      </c>
      <c r="K14" s="46">
        <f>241041.55+241945.46</f>
        <v>482987.01</v>
      </c>
      <c r="L14" s="46">
        <f>8466.68+8509.01</f>
        <v>16975.690000000002</v>
      </c>
      <c r="M14" s="46">
        <f>9471.25+9518.61</f>
        <v>18989.86</v>
      </c>
      <c r="N14" s="46">
        <f>59175.48+59693.26</f>
        <v>118868.74</v>
      </c>
      <c r="O14" s="46">
        <f>15284.65+15361.07</f>
        <v>30645.72</v>
      </c>
      <c r="P14" s="46">
        <f>8022.61+8052.7</f>
        <v>16075.31</v>
      </c>
      <c r="Q14" s="46">
        <f>34874.5+35005.28</f>
        <v>69879.78</v>
      </c>
      <c r="R14" s="46">
        <f>14996.54+15052.78</f>
        <v>30049.32</v>
      </c>
      <c r="S14" s="46"/>
      <c r="T14" s="46">
        <f>50026.62+50214.21</f>
        <v>100240.83</v>
      </c>
      <c r="U14" s="46">
        <v>13000</v>
      </c>
      <c r="V14" s="46">
        <v>19000</v>
      </c>
      <c r="W14" s="46"/>
      <c r="X14" s="31">
        <f t="shared" si="0"/>
        <v>1302212.2600000002</v>
      </c>
    </row>
    <row r="15" spans="1:24" ht="12.75">
      <c r="A15" s="36" t="s">
        <v>27</v>
      </c>
      <c r="B15" s="10"/>
      <c r="C15" s="10"/>
      <c r="D15" s="10"/>
      <c r="E15" s="10">
        <v>60000</v>
      </c>
      <c r="F15" s="10">
        <v>23000</v>
      </c>
      <c r="G15" s="10">
        <v>6000</v>
      </c>
      <c r="H15" s="46">
        <v>150000</v>
      </c>
      <c r="I15" s="46"/>
      <c r="J15" s="46">
        <v>158500</v>
      </c>
      <c r="K15" s="46">
        <f>242852.75+243763.45</f>
        <v>486616.2</v>
      </c>
      <c r="L15" s="46">
        <f>8551.55+8594.31</f>
        <v>17145.86</v>
      </c>
      <c r="M15" s="46">
        <f>9566.25+9614.03</f>
        <v>19180.28</v>
      </c>
      <c r="N15" s="46">
        <f>60215.58+60742.46</f>
        <v>120958.04000000001</v>
      </c>
      <c r="O15" s="46">
        <f>15437.88+15515.06</f>
        <v>30952.94</v>
      </c>
      <c r="P15" s="46">
        <f>8082.89+8113.2</f>
        <v>16196.09</v>
      </c>
      <c r="Q15" s="46">
        <f>35136.55+35268.31</f>
        <v>70404.86</v>
      </c>
      <c r="R15" s="46">
        <f>15109.22+15165.89</f>
        <v>30275.11</v>
      </c>
      <c r="S15" s="46"/>
      <c r="T15" s="46">
        <f>50402.52+50591.53</f>
        <v>100994.04999999999</v>
      </c>
      <c r="U15" s="46">
        <v>13500</v>
      </c>
      <c r="V15" s="46">
        <v>19500</v>
      </c>
      <c r="W15" s="46"/>
      <c r="X15" s="31">
        <f t="shared" si="0"/>
        <v>1323223.4300000004</v>
      </c>
    </row>
    <row r="16" spans="1:24" ht="12.75">
      <c r="A16" s="36" t="s">
        <v>28</v>
      </c>
      <c r="B16" s="10"/>
      <c r="C16" s="10"/>
      <c r="D16" s="10"/>
      <c r="E16" s="10">
        <v>62500</v>
      </c>
      <c r="F16" s="10">
        <v>24000</v>
      </c>
      <c r="G16" s="10">
        <v>6000</v>
      </c>
      <c r="H16" s="46">
        <v>155000</v>
      </c>
      <c r="I16" s="46"/>
      <c r="J16" s="46">
        <v>163000</v>
      </c>
      <c r="K16" s="46">
        <f>244677.56+245595.1</f>
        <v>490272.66000000003</v>
      </c>
      <c r="L16" s="46">
        <f>8637.28+8680.47</f>
        <v>17317.75</v>
      </c>
      <c r="M16" s="46">
        <f>9662.1+9710.41</f>
        <v>19372.510000000002</v>
      </c>
      <c r="N16" s="46">
        <f>61273.96+61810.11</f>
        <v>123084.07</v>
      </c>
      <c r="O16" s="46">
        <f>15592.64+15670.61</f>
        <v>31263.25</v>
      </c>
      <c r="P16" s="46">
        <f>8143.63+8174.17</f>
        <v>16317.8</v>
      </c>
      <c r="Q16" s="46">
        <f>35400.57+35533.32</f>
        <v>70933.89</v>
      </c>
      <c r="R16" s="46">
        <f>15222.76+15279.85</f>
        <v>30502.61</v>
      </c>
      <c r="S16" s="46"/>
      <c r="T16" s="46">
        <f>50781.25+50971.68</f>
        <v>101752.93</v>
      </c>
      <c r="U16" s="46">
        <v>14000</v>
      </c>
      <c r="V16" s="46">
        <v>20000</v>
      </c>
      <c r="W16" s="46"/>
      <c r="X16" s="31">
        <f t="shared" si="0"/>
        <v>1345317.47</v>
      </c>
    </row>
    <row r="17" spans="1:24" ht="12.75">
      <c r="A17" s="36" t="s">
        <v>29</v>
      </c>
      <c r="B17" s="10"/>
      <c r="C17" s="10"/>
      <c r="D17" s="10"/>
      <c r="E17" s="10">
        <v>65500</v>
      </c>
      <c r="F17" s="10">
        <v>25000</v>
      </c>
      <c r="G17" s="10">
        <v>6000</v>
      </c>
      <c r="H17" s="46">
        <v>160000</v>
      </c>
      <c r="I17" s="46"/>
      <c r="J17" s="46">
        <v>167500</v>
      </c>
      <c r="K17" s="46">
        <f>246516.08+247440.52</f>
        <v>493956.6</v>
      </c>
      <c r="L17" s="46">
        <f>8723.87+8767.49</f>
        <v>17491.36</v>
      </c>
      <c r="M17" s="46">
        <f>9758.96+9807.76</f>
        <v>19566.72</v>
      </c>
      <c r="N17" s="46">
        <f>62350.95+62896.52</f>
        <v>125247.47</v>
      </c>
      <c r="O17" s="46">
        <f>15748.96+15827.7</f>
        <v>31576.66</v>
      </c>
      <c r="P17" s="46">
        <f>8204.82+8235.59</f>
        <v>16440.41</v>
      </c>
      <c r="Q17" s="46">
        <f>35666.57+35800.32</f>
        <v>71466.89</v>
      </c>
      <c r="R17" s="46">
        <f>15337.14+15394.66</f>
        <v>30731.8</v>
      </c>
      <c r="S17" s="46"/>
      <c r="T17" s="46">
        <f>51162.82+51354.68</f>
        <v>102517.5</v>
      </c>
      <c r="U17" s="46">
        <v>14500</v>
      </c>
      <c r="V17" s="46">
        <v>20500</v>
      </c>
      <c r="W17" s="46"/>
      <c r="X17" s="31">
        <f t="shared" si="0"/>
        <v>1367995.4099999997</v>
      </c>
    </row>
    <row r="18" spans="1:24" ht="12.75">
      <c r="A18" s="36" t="s">
        <v>30</v>
      </c>
      <c r="B18" s="10"/>
      <c r="C18" s="10"/>
      <c r="D18" s="10"/>
      <c r="E18" s="10">
        <v>68500</v>
      </c>
      <c r="F18" s="10">
        <v>26000</v>
      </c>
      <c r="G18" s="10">
        <v>7000</v>
      </c>
      <c r="H18" s="46">
        <v>165000</v>
      </c>
      <c r="I18" s="46"/>
      <c r="J18" s="46">
        <v>172000</v>
      </c>
      <c r="K18" s="46">
        <f>248368.42+249299.8</f>
        <v>497668.22</v>
      </c>
      <c r="L18" s="46">
        <f>8811.33+8855.39</f>
        <v>17666.72</v>
      </c>
      <c r="M18" s="46">
        <f>9856.8+9906.08</f>
        <v>19762.879999999997</v>
      </c>
      <c r="N18" s="46">
        <f>63446.86+64002.02</f>
        <v>127448.88</v>
      </c>
      <c r="O18" s="46">
        <f>15906.84+15986.38</f>
        <v>31893.22</v>
      </c>
      <c r="P18" s="46">
        <f>8266.47+8297.47</f>
        <v>16563.94</v>
      </c>
      <c r="Q18" s="46">
        <f>35934.57+36069.32</f>
        <v>72003.89</v>
      </c>
      <c r="R18" s="46">
        <f>15452.39+15510.34</f>
        <v>30962.73</v>
      </c>
      <c r="S18" s="46"/>
      <c r="T18" s="46">
        <f>51547.26+51740.56</f>
        <v>103287.82</v>
      </c>
      <c r="U18" s="46">
        <v>15000</v>
      </c>
      <c r="V18" s="46">
        <v>21000</v>
      </c>
      <c r="W18" s="46"/>
      <c r="X18" s="31">
        <f t="shared" si="0"/>
        <v>1391758.2999999998</v>
      </c>
    </row>
    <row r="19" spans="1:24" ht="12.75">
      <c r="A19" s="36" t="s">
        <v>31</v>
      </c>
      <c r="B19" s="10"/>
      <c r="C19" s="10"/>
      <c r="D19" s="10"/>
      <c r="E19" s="10">
        <v>71500</v>
      </c>
      <c r="F19" s="10">
        <v>27000</v>
      </c>
      <c r="G19" s="10">
        <v>7000</v>
      </c>
      <c r="H19" s="46">
        <v>170500</v>
      </c>
      <c r="I19" s="46"/>
      <c r="J19" s="46">
        <v>177000</v>
      </c>
      <c r="K19" s="46">
        <f>250234.68+251173.06</f>
        <v>501407.74</v>
      </c>
      <c r="L19" s="46">
        <f>8899.66+8944.16</f>
        <v>17843.82</v>
      </c>
      <c r="M19" s="46">
        <f>9955.61+10005.39</f>
        <v>19961</v>
      </c>
      <c r="N19" s="46">
        <f>64562.04+65126.96</f>
        <v>129689</v>
      </c>
      <c r="O19" s="46">
        <f>16066.3+16146.64</f>
        <v>32212.94</v>
      </c>
      <c r="P19" s="46">
        <f>8328.59+8359.82</f>
        <v>16688.41</v>
      </c>
      <c r="Q19" s="46">
        <f>36204.58+36340.35</f>
        <v>72544.93</v>
      </c>
      <c r="R19" s="46">
        <f>15568.5+15626.88</f>
        <v>31195.379999999997</v>
      </c>
      <c r="S19" s="46"/>
      <c r="T19" s="46">
        <f>51934.59+52129.34</f>
        <v>104063.93</v>
      </c>
      <c r="U19" s="46">
        <v>15500</v>
      </c>
      <c r="V19" s="46">
        <v>21500</v>
      </c>
      <c r="W19" s="46"/>
      <c r="X19" s="31">
        <f t="shared" si="0"/>
        <v>1415607.1499999997</v>
      </c>
    </row>
    <row r="20" spans="1:24" ht="12.75">
      <c r="A20" s="36" t="s">
        <v>32</v>
      </c>
      <c r="B20" s="10"/>
      <c r="C20" s="10"/>
      <c r="D20" s="10"/>
      <c r="E20" s="10">
        <v>75000</v>
      </c>
      <c r="F20" s="10">
        <v>28000</v>
      </c>
      <c r="G20" s="10">
        <v>7000</v>
      </c>
      <c r="H20" s="46">
        <v>176000</v>
      </c>
      <c r="I20" s="46"/>
      <c r="J20" s="46">
        <v>181500</v>
      </c>
      <c r="K20" s="46">
        <f>252114.96+253060.39</f>
        <v>505175.35</v>
      </c>
      <c r="L20" s="46">
        <f>8988.88+9033.83</f>
        <v>18022.71</v>
      </c>
      <c r="M20" s="46">
        <f>10055.42+10105.69</f>
        <v>20161.11</v>
      </c>
      <c r="N20" s="46">
        <f>65696.82+66271.66</f>
        <v>131968.48</v>
      </c>
      <c r="O20" s="46">
        <f>16227.37+16308.51</f>
        <v>32535.88</v>
      </c>
      <c r="P20" s="46">
        <f>8391.17+8422.64</f>
        <v>16813.809999999998</v>
      </c>
      <c r="Q20" s="46">
        <f>36476.63+36613.42</f>
        <v>73090.04999999999</v>
      </c>
      <c r="R20" s="46">
        <f>15685.48+15744.3</f>
        <v>31429.78</v>
      </c>
      <c r="S20" s="46"/>
      <c r="T20" s="46">
        <f>52324.83+52521.05</f>
        <v>104845.88</v>
      </c>
      <c r="U20" s="46">
        <v>16000</v>
      </c>
      <c r="V20" s="46">
        <v>22500</v>
      </c>
      <c r="W20" s="46"/>
      <c r="X20" s="31">
        <f t="shared" si="0"/>
        <v>1440043.0499999998</v>
      </c>
    </row>
    <row r="21" spans="1:24" ht="12.75">
      <c r="A21" s="36" t="s">
        <v>33</v>
      </c>
      <c r="B21" s="10"/>
      <c r="C21" s="10"/>
      <c r="D21" s="10"/>
      <c r="E21" s="10">
        <v>78000</v>
      </c>
      <c r="F21" s="10">
        <v>30000</v>
      </c>
      <c r="G21" s="10">
        <v>8000</v>
      </c>
      <c r="H21" s="46">
        <v>182000</v>
      </c>
      <c r="I21" s="46"/>
      <c r="J21" s="46">
        <v>186500</v>
      </c>
      <c r="K21" s="46">
        <f>254009.36+254961.9</f>
        <v>508971.26</v>
      </c>
      <c r="L21" s="46">
        <f>9078.99+9124.39</f>
        <v>18203.379999999997</v>
      </c>
      <c r="M21" s="46">
        <f>10156.22+10207</f>
        <v>20363.22</v>
      </c>
      <c r="N21" s="46">
        <f>66851.54+67436.49</f>
        <v>134288.03</v>
      </c>
      <c r="O21" s="46">
        <f>16390.05+16471.99</f>
        <v>32862.04</v>
      </c>
      <c r="P21" s="46">
        <f>8454.22+8485.92</f>
        <v>16940.14</v>
      </c>
      <c r="Q21" s="46">
        <f>36750.72+36888.53</f>
        <v>73639.25</v>
      </c>
      <c r="R21" s="46">
        <f>15803.24+15862.6</f>
        <v>31665.84</v>
      </c>
      <c r="S21" s="46"/>
      <c r="T21" s="46">
        <f>52718+52915.69</f>
        <v>105633.69</v>
      </c>
      <c r="U21" s="46">
        <v>16500</v>
      </c>
      <c r="V21" s="46">
        <v>23000</v>
      </c>
      <c r="W21" s="46"/>
      <c r="X21" s="31">
        <f t="shared" si="0"/>
        <v>1466566.8499999999</v>
      </c>
    </row>
    <row r="22" spans="1:24" ht="12.75">
      <c r="A22" s="36" t="s">
        <v>34</v>
      </c>
      <c r="B22" s="10"/>
      <c r="C22" s="10"/>
      <c r="D22" s="10"/>
      <c r="E22" s="10">
        <v>81500</v>
      </c>
      <c r="F22" s="10">
        <v>31000</v>
      </c>
      <c r="G22" s="10">
        <v>8000</v>
      </c>
      <c r="H22" s="46">
        <v>187500</v>
      </c>
      <c r="I22" s="46"/>
      <c r="J22" s="46">
        <v>192000</v>
      </c>
      <c r="K22" s="46">
        <f>255918.01+256877.7</f>
        <v>512795.71</v>
      </c>
      <c r="L22" s="46">
        <f>9170.01+9215.86</f>
        <v>18385.870000000003</v>
      </c>
      <c r="M22" s="46">
        <f>10258.04+10309.33</f>
        <v>20567.370000000003</v>
      </c>
      <c r="N22" s="46">
        <f>68026.56+68621.79</f>
        <v>136648.34999999998</v>
      </c>
      <c r="O22" s="46">
        <f>16554.36+16637.13</f>
        <v>33191.490000000005</v>
      </c>
      <c r="P22" s="46">
        <f>8517.75+8549.69</f>
        <v>17067.440000000002</v>
      </c>
      <c r="Q22" s="46">
        <f>37026.86+37165.71</f>
        <v>74192.57</v>
      </c>
      <c r="R22" s="46">
        <f>15922.09+15981.79</f>
        <v>31903.88</v>
      </c>
      <c r="S22" s="46"/>
      <c r="T22" s="46">
        <f>53114.13+53313.31</f>
        <v>106427.44</v>
      </c>
      <c r="U22" s="46">
        <v>17000</v>
      </c>
      <c r="V22" s="46">
        <v>23500</v>
      </c>
      <c r="W22" s="46"/>
      <c r="X22" s="31">
        <f t="shared" si="0"/>
        <v>1491680.1199999996</v>
      </c>
    </row>
    <row r="23" spans="1:24" ht="12.75">
      <c r="A23" s="36" t="s">
        <v>35</v>
      </c>
      <c r="B23" s="10"/>
      <c r="C23" s="10"/>
      <c r="D23" s="10"/>
      <c r="E23" s="10">
        <v>85500</v>
      </c>
      <c r="F23" s="10">
        <v>32000</v>
      </c>
      <c r="G23" s="10">
        <v>8000</v>
      </c>
      <c r="H23" s="46">
        <v>194000</v>
      </c>
      <c r="I23" s="46"/>
      <c r="J23" s="46">
        <v>197000</v>
      </c>
      <c r="K23" s="46">
        <f>257840.99+258807.89</f>
        <v>516648.88</v>
      </c>
      <c r="L23" s="46">
        <v>9261.8</v>
      </c>
      <c r="M23" s="46">
        <v>10361.07</v>
      </c>
      <c r="N23" s="46">
        <f>69222.23+69827.93</f>
        <v>139050.15999999997</v>
      </c>
      <c r="O23" s="46">
        <f>16720.32+16803.91</f>
        <v>33524.229999999996</v>
      </c>
      <c r="P23" s="46">
        <f>8581.75+8613.93</f>
        <v>17195.68</v>
      </c>
      <c r="Q23" s="46">
        <f>37305.09+37444.98</f>
        <v>74750.07</v>
      </c>
      <c r="R23" s="46">
        <f>16041.72+16101.89</f>
        <v>32143.61</v>
      </c>
      <c r="S23" s="46"/>
      <c r="T23" s="46">
        <f>53513.23+53713.9</f>
        <v>107227.13</v>
      </c>
      <c r="U23" s="46">
        <v>17500</v>
      </c>
      <c r="V23" s="46">
        <v>24000</v>
      </c>
      <c r="W23" s="46"/>
      <c r="X23" s="31">
        <f t="shared" si="0"/>
        <v>1498162.63</v>
      </c>
    </row>
    <row r="24" spans="1:24" ht="12.75">
      <c r="A24" s="36" t="s">
        <v>36</v>
      </c>
      <c r="B24" s="10"/>
      <c r="C24" s="10"/>
      <c r="D24" s="10"/>
      <c r="E24" s="10">
        <v>89000</v>
      </c>
      <c r="F24" s="10">
        <v>34000</v>
      </c>
      <c r="G24" s="10">
        <v>9000</v>
      </c>
      <c r="H24" s="46">
        <v>200000</v>
      </c>
      <c r="I24" s="46"/>
      <c r="J24" s="46">
        <v>202500</v>
      </c>
      <c r="K24" s="46">
        <f>259778.42+260752.59</f>
        <v>520531.01</v>
      </c>
      <c r="L24" s="46"/>
      <c r="M24" s="46"/>
      <c r="N24" s="46">
        <f>70438.92+71055.26</f>
        <v>141494.18</v>
      </c>
      <c r="O24" s="46">
        <f>16887.94+16972.54</f>
        <v>33860.479999999996</v>
      </c>
      <c r="P24" s="46">
        <f>8646.23+8678.66</f>
        <v>17324.89</v>
      </c>
      <c r="Q24" s="46">
        <f>37585.4+37726.34</f>
        <v>75311.73999999999</v>
      </c>
      <c r="R24" s="46">
        <f>16162.27+16222.87</f>
        <v>32385.14</v>
      </c>
      <c r="S24" s="46"/>
      <c r="T24" s="46">
        <f>53915.33+54117.51</f>
        <v>108032.84</v>
      </c>
      <c r="U24" s="46">
        <v>18000</v>
      </c>
      <c r="V24" s="46">
        <v>25000</v>
      </c>
      <c r="W24" s="46"/>
      <c r="X24" s="31">
        <f t="shared" si="0"/>
        <v>1506440.2799999998</v>
      </c>
    </row>
    <row r="25" spans="1:24" ht="12.75">
      <c r="A25" s="36" t="s">
        <v>37</v>
      </c>
      <c r="B25" s="10"/>
      <c r="C25" s="10"/>
      <c r="D25" s="10"/>
      <c r="E25" s="10">
        <v>93000</v>
      </c>
      <c r="F25" s="10">
        <v>35000</v>
      </c>
      <c r="G25" s="10">
        <v>9000</v>
      </c>
      <c r="H25" s="46">
        <v>206500</v>
      </c>
      <c r="I25" s="46"/>
      <c r="J25" s="46">
        <v>208000</v>
      </c>
      <c r="K25" s="46">
        <f>261730.42+262711.9</f>
        <v>524442.3200000001</v>
      </c>
      <c r="L25" s="46"/>
      <c r="M25" s="46"/>
      <c r="N25" s="46">
        <v>71676.82</v>
      </c>
      <c r="O25" s="31"/>
      <c r="P25" s="46">
        <f>8711.2+8743.87</f>
        <v>17455.07</v>
      </c>
      <c r="Q25" s="46">
        <f>37867.82+38009.82</f>
        <v>75877.64</v>
      </c>
      <c r="R25" s="46">
        <f>16283.71+16344.78</f>
        <v>32628.489999999998</v>
      </c>
      <c r="S25" s="46"/>
      <c r="T25" s="46">
        <f>54320.46+54524.16</f>
        <v>108844.62</v>
      </c>
      <c r="U25" s="46">
        <v>18500</v>
      </c>
      <c r="V25" s="46">
        <v>25500</v>
      </c>
      <c r="W25" s="46"/>
      <c r="X25" s="31">
        <f t="shared" si="0"/>
        <v>1426424.96</v>
      </c>
    </row>
    <row r="26" spans="1:24" ht="12.75">
      <c r="A26" s="36" t="s">
        <v>38</v>
      </c>
      <c r="B26" s="10"/>
      <c r="C26" s="10"/>
      <c r="D26" s="10"/>
      <c r="E26" s="10">
        <v>97500</v>
      </c>
      <c r="F26" s="10">
        <v>37000</v>
      </c>
      <c r="G26" s="10">
        <v>10000</v>
      </c>
      <c r="H26" s="46">
        <v>213500</v>
      </c>
      <c r="I26" s="46"/>
      <c r="J26" s="46">
        <v>214000</v>
      </c>
      <c r="K26" s="46">
        <f>263697.07+264685.94</f>
        <v>528383.01</v>
      </c>
      <c r="L26" s="46"/>
      <c r="M26" s="46"/>
      <c r="N26" s="46"/>
      <c r="O26" s="46"/>
      <c r="P26" s="46">
        <v>8776.56</v>
      </c>
      <c r="Q26" s="46">
        <v>38152.53</v>
      </c>
      <c r="R26" s="46">
        <f>16406.07+16467.59</f>
        <v>32873.66</v>
      </c>
      <c r="S26" s="46"/>
      <c r="T26" s="46">
        <f>54728.62+54933.85</f>
        <v>109662.47</v>
      </c>
      <c r="U26" s="46">
        <v>19500</v>
      </c>
      <c r="V26" s="46">
        <v>26000</v>
      </c>
      <c r="W26" s="46"/>
      <c r="X26" s="31">
        <f t="shared" si="0"/>
        <v>1335348.23</v>
      </c>
    </row>
    <row r="27" spans="1:24" ht="12.75">
      <c r="A27" s="36" t="s">
        <v>39</v>
      </c>
      <c r="B27" s="10"/>
      <c r="C27" s="10"/>
      <c r="D27" s="10"/>
      <c r="E27" s="10">
        <v>102000</v>
      </c>
      <c r="F27" s="10">
        <v>38000</v>
      </c>
      <c r="G27" s="10">
        <v>10000</v>
      </c>
      <c r="H27" s="46">
        <v>220500</v>
      </c>
      <c r="I27" s="46"/>
      <c r="J27" s="46">
        <v>219500</v>
      </c>
      <c r="K27" s="46">
        <f>265678.51+266674.8</f>
        <v>532353.31</v>
      </c>
      <c r="L27" s="46"/>
      <c r="M27" s="46"/>
      <c r="N27" s="46"/>
      <c r="O27" s="46"/>
      <c r="P27" s="46"/>
      <c r="Q27" s="46"/>
      <c r="R27" s="46">
        <v>16529.34</v>
      </c>
      <c r="S27" s="46"/>
      <c r="T27" s="46">
        <f>55139.86+55346.63</f>
        <v>110486.48999999999</v>
      </c>
      <c r="U27" s="46">
        <v>20000</v>
      </c>
      <c r="V27" s="46">
        <v>27000</v>
      </c>
      <c r="W27" s="46"/>
      <c r="X27" s="31">
        <f t="shared" si="0"/>
        <v>1296369.1400000001</v>
      </c>
    </row>
    <row r="28" spans="1:24" ht="12.75">
      <c r="A28" s="36" t="s">
        <v>40</v>
      </c>
      <c r="B28" s="10"/>
      <c r="C28" s="10"/>
      <c r="D28" s="10"/>
      <c r="E28" s="10">
        <v>106500</v>
      </c>
      <c r="F28" s="10">
        <v>39000</v>
      </c>
      <c r="G28" s="10">
        <v>10000</v>
      </c>
      <c r="H28" s="46">
        <v>227500</v>
      </c>
      <c r="I28" s="46"/>
      <c r="J28" s="46">
        <v>225500</v>
      </c>
      <c r="K28" s="46">
        <f>267674.84+268678.48</f>
        <v>536353.3200000001</v>
      </c>
      <c r="L28" s="46"/>
      <c r="M28" s="46"/>
      <c r="N28" s="46"/>
      <c r="O28" s="46"/>
      <c r="P28" s="46"/>
      <c r="Q28" s="46"/>
      <c r="R28" s="46"/>
      <c r="S28" s="46"/>
      <c r="T28" s="46">
        <v>55554.36</v>
      </c>
      <c r="U28" s="46">
        <v>20500</v>
      </c>
      <c r="V28" s="46">
        <v>27500</v>
      </c>
      <c r="W28" s="46"/>
      <c r="X28" s="31">
        <f t="shared" si="0"/>
        <v>1248407.6800000002</v>
      </c>
    </row>
    <row r="29" spans="1:24" ht="12.75">
      <c r="A29" s="36" t="s">
        <v>41</v>
      </c>
      <c r="B29" s="10"/>
      <c r="C29" s="10"/>
      <c r="D29" s="10"/>
      <c r="E29" s="10">
        <v>111000</v>
      </c>
      <c r="F29" s="10">
        <v>41000</v>
      </c>
      <c r="G29" s="10">
        <v>11000</v>
      </c>
      <c r="H29" s="46">
        <v>235000</v>
      </c>
      <c r="I29" s="46"/>
      <c r="J29" s="46">
        <v>232000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>
        <v>21500</v>
      </c>
      <c r="V29" s="46">
        <v>28500</v>
      </c>
      <c r="W29" s="46"/>
      <c r="X29" s="31">
        <f t="shared" si="0"/>
        <v>680000</v>
      </c>
    </row>
    <row r="30" spans="1:24" ht="12.75">
      <c r="A30" s="36" t="s">
        <v>42</v>
      </c>
      <c r="B30" s="10"/>
      <c r="C30" s="10"/>
      <c r="D30" s="10"/>
      <c r="E30" s="10">
        <v>116000</v>
      </c>
      <c r="F30" s="10">
        <v>43000</v>
      </c>
      <c r="G30" s="10">
        <v>11000</v>
      </c>
      <c r="H30" s="46">
        <v>242500</v>
      </c>
      <c r="I30" s="46"/>
      <c r="J30" s="46">
        <v>238500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>
        <v>22000</v>
      </c>
      <c r="V30" s="46">
        <v>29000</v>
      </c>
      <c r="W30" s="46"/>
      <c r="X30" s="31">
        <f t="shared" si="0"/>
        <v>702000</v>
      </c>
    </row>
    <row r="31" spans="1:24" ht="12.75">
      <c r="A31" s="36" t="s">
        <v>43</v>
      </c>
      <c r="B31" s="10"/>
      <c r="C31" s="10"/>
      <c r="D31" s="10"/>
      <c r="E31" s="10">
        <v>121500</v>
      </c>
      <c r="F31" s="10">
        <v>45000</v>
      </c>
      <c r="G31" s="10">
        <v>12000</v>
      </c>
      <c r="H31" s="46">
        <v>250500</v>
      </c>
      <c r="I31" s="46"/>
      <c r="J31" s="46">
        <v>245000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>
        <v>23000</v>
      </c>
      <c r="V31" s="46">
        <v>30000</v>
      </c>
      <c r="W31" s="46"/>
      <c r="X31" s="31">
        <f t="shared" si="0"/>
        <v>727000</v>
      </c>
    </row>
    <row r="32" spans="1:24" ht="12.75">
      <c r="A32" s="36" t="s">
        <v>44</v>
      </c>
      <c r="B32" s="10"/>
      <c r="C32" s="10"/>
      <c r="D32" s="10"/>
      <c r="E32" s="10">
        <v>127000</v>
      </c>
      <c r="F32" s="10">
        <v>47000</v>
      </c>
      <c r="G32" s="10">
        <v>13000</v>
      </c>
      <c r="H32" s="46">
        <v>258500</v>
      </c>
      <c r="I32" s="46"/>
      <c r="J32" s="46">
        <v>251500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>
        <v>23500</v>
      </c>
      <c r="V32" s="46">
        <v>31000</v>
      </c>
      <c r="W32" s="46"/>
      <c r="X32" s="31">
        <f t="shared" si="0"/>
        <v>751500</v>
      </c>
    </row>
    <row r="33" spans="1:24" ht="12.75">
      <c r="A33" s="36" t="s">
        <v>45</v>
      </c>
      <c r="B33" s="10"/>
      <c r="C33" s="10"/>
      <c r="D33" s="10"/>
      <c r="E33" s="10">
        <v>133000</v>
      </c>
      <c r="F33" s="10"/>
      <c r="G33" s="10"/>
      <c r="H33" s="46">
        <v>267000</v>
      </c>
      <c r="I33" s="46"/>
      <c r="J33" s="46">
        <v>258500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>
        <v>24500</v>
      </c>
      <c r="V33" s="46">
        <v>31500</v>
      </c>
      <c r="W33" s="46"/>
      <c r="X33" s="31">
        <f t="shared" si="0"/>
        <v>714500</v>
      </c>
    </row>
    <row r="34" spans="1:24" ht="12.75">
      <c r="A34" s="52">
        <v>2045</v>
      </c>
      <c r="B34" s="10"/>
      <c r="C34" s="10"/>
      <c r="D34" s="10"/>
      <c r="E34" s="10"/>
      <c r="F34" s="10"/>
      <c r="G34" s="10"/>
      <c r="H34" s="46">
        <v>275500</v>
      </c>
      <c r="I34" s="46"/>
      <c r="J34" s="46">
        <v>265500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>
        <v>25000</v>
      </c>
      <c r="V34" s="46">
        <v>32500</v>
      </c>
      <c r="W34" s="46"/>
      <c r="X34" s="31">
        <f t="shared" si="0"/>
        <v>598500</v>
      </c>
    </row>
    <row r="35" spans="1:24" ht="12.75">
      <c r="A35" s="52">
        <v>2046</v>
      </c>
      <c r="B35" s="10"/>
      <c r="C35" s="10"/>
      <c r="D35" s="10"/>
      <c r="E35" s="10"/>
      <c r="F35" s="10"/>
      <c r="G35" s="10"/>
      <c r="H35" s="46">
        <v>284500</v>
      </c>
      <c r="I35" s="46"/>
      <c r="J35" s="46">
        <v>273000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>
        <v>26000</v>
      </c>
      <c r="V35" s="46">
        <v>33500</v>
      </c>
      <c r="W35" s="46"/>
      <c r="X35" s="31">
        <f t="shared" si="0"/>
        <v>617000</v>
      </c>
    </row>
    <row r="36" spans="1:24" ht="12.75">
      <c r="A36" s="52">
        <v>2047</v>
      </c>
      <c r="B36" s="10"/>
      <c r="C36" s="10"/>
      <c r="D36" s="10"/>
      <c r="E36" s="10"/>
      <c r="F36" s="10"/>
      <c r="G36" s="10"/>
      <c r="H36" s="46">
        <v>294000</v>
      </c>
      <c r="I36" s="46"/>
      <c r="J36" s="46">
        <v>280500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>
        <v>27000</v>
      </c>
      <c r="V36" s="46">
        <v>34500</v>
      </c>
      <c r="W36" s="46"/>
      <c r="X36" s="31">
        <f t="shared" si="0"/>
        <v>636000</v>
      </c>
    </row>
    <row r="37" spans="1:24" ht="12.75">
      <c r="A37" s="52">
        <v>2048</v>
      </c>
      <c r="B37" s="10"/>
      <c r="C37" s="10"/>
      <c r="D37" s="10"/>
      <c r="E37" s="10"/>
      <c r="F37" s="10"/>
      <c r="G37" s="10"/>
      <c r="H37" s="46">
        <v>303500</v>
      </c>
      <c r="I37" s="46"/>
      <c r="J37" s="46">
        <v>288000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v>28000</v>
      </c>
      <c r="V37" s="46">
        <v>35500</v>
      </c>
      <c r="W37" s="46"/>
      <c r="X37" s="31">
        <f t="shared" si="0"/>
        <v>655000</v>
      </c>
    </row>
    <row r="38" spans="1:24" ht="12.75">
      <c r="A38" s="52">
        <v>2049</v>
      </c>
      <c r="B38" s="10"/>
      <c r="C38" s="10"/>
      <c r="D38" s="10"/>
      <c r="E38" s="10"/>
      <c r="F38" s="10"/>
      <c r="G38" s="10"/>
      <c r="H38" s="46">
        <v>313000</v>
      </c>
      <c r="I38" s="46"/>
      <c r="J38" s="46">
        <v>296000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>
        <v>29000</v>
      </c>
      <c r="V38" s="46">
        <v>36500</v>
      </c>
      <c r="W38" s="46"/>
      <c r="X38" s="31">
        <f t="shared" si="0"/>
        <v>674500</v>
      </c>
    </row>
    <row r="39" spans="1:24" ht="12.75">
      <c r="A39" s="52">
        <v>2050</v>
      </c>
      <c r="B39" s="10"/>
      <c r="C39" s="10"/>
      <c r="D39" s="10"/>
      <c r="E39" s="31"/>
      <c r="F39" s="10"/>
      <c r="G39" s="10"/>
      <c r="H39" s="46">
        <v>323500</v>
      </c>
      <c r="I39" s="46"/>
      <c r="J39" s="46">
        <v>304000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>
        <v>30000</v>
      </c>
      <c r="V39" s="46">
        <v>37500</v>
      </c>
      <c r="W39" s="46"/>
      <c r="X39" s="31">
        <f t="shared" si="0"/>
        <v>695000</v>
      </c>
    </row>
    <row r="40" spans="1:24" ht="12.75">
      <c r="A40" s="52">
        <v>2051</v>
      </c>
      <c r="B40" s="10"/>
      <c r="C40" s="10"/>
      <c r="D40" s="10"/>
      <c r="E40" s="31"/>
      <c r="F40" s="10"/>
      <c r="G40" s="10"/>
      <c r="H40" s="46">
        <v>334000</v>
      </c>
      <c r="I40" s="46"/>
      <c r="J40" s="46">
        <v>312500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>
        <v>31000</v>
      </c>
      <c r="V40" s="46">
        <v>38500</v>
      </c>
      <c r="W40" s="46"/>
      <c r="X40" s="31">
        <f t="shared" si="0"/>
        <v>716000</v>
      </c>
    </row>
    <row r="41" spans="1:24" ht="12.75">
      <c r="A41" s="52">
        <v>2052</v>
      </c>
      <c r="B41" s="10"/>
      <c r="C41" s="10"/>
      <c r="D41" s="10"/>
      <c r="E41" s="31"/>
      <c r="F41" s="10"/>
      <c r="G41" s="10"/>
      <c r="H41" s="46">
        <v>340500</v>
      </c>
      <c r="I41" s="46"/>
      <c r="J41" s="46">
        <v>321000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>
        <v>32000</v>
      </c>
      <c r="V41" s="46">
        <v>39500</v>
      </c>
      <c r="W41" s="46"/>
      <c r="X41" s="31">
        <f t="shared" si="0"/>
        <v>733000</v>
      </c>
    </row>
    <row r="42" spans="1:24" ht="12.75">
      <c r="A42" s="52">
        <v>2053</v>
      </c>
      <c r="B42" s="10"/>
      <c r="C42" s="10"/>
      <c r="D42" s="10"/>
      <c r="E42" s="31"/>
      <c r="F42" s="10"/>
      <c r="G42" s="10"/>
      <c r="H42" s="46"/>
      <c r="I42" s="46"/>
      <c r="J42" s="46">
        <v>330000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>
        <v>33000</v>
      </c>
      <c r="V42" s="46">
        <v>40500</v>
      </c>
      <c r="W42" s="46"/>
      <c r="X42" s="31">
        <f t="shared" si="0"/>
        <v>403500</v>
      </c>
    </row>
    <row r="43" spans="1:24" ht="12.75">
      <c r="A43" s="52">
        <v>2054</v>
      </c>
      <c r="B43" s="10"/>
      <c r="C43" s="10"/>
      <c r="D43" s="10"/>
      <c r="E43" s="31"/>
      <c r="F43" s="10"/>
      <c r="G43" s="10"/>
      <c r="H43" s="46"/>
      <c r="I43" s="46"/>
      <c r="J43" s="46">
        <v>339000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>
        <v>30000</v>
      </c>
      <c r="V43" s="46">
        <v>42000</v>
      </c>
      <c r="W43" s="46"/>
      <c r="X43" s="31">
        <f t="shared" si="0"/>
        <v>411000</v>
      </c>
    </row>
    <row r="44" spans="1:24" ht="12.75">
      <c r="A44" s="52">
        <v>2055</v>
      </c>
      <c r="B44" s="10"/>
      <c r="C44" s="10"/>
      <c r="D44" s="10"/>
      <c r="E44" s="31"/>
      <c r="F44" s="10"/>
      <c r="G44" s="10"/>
      <c r="H44" s="46"/>
      <c r="I44" s="46"/>
      <c r="J44" s="46">
        <v>348500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31">
        <f t="shared" si="0"/>
        <v>348500</v>
      </c>
    </row>
    <row r="45" spans="1:24" ht="12.75">
      <c r="A45" s="52">
        <v>2056</v>
      </c>
      <c r="B45" s="10"/>
      <c r="C45" s="10"/>
      <c r="D45" s="10"/>
      <c r="E45" s="31"/>
      <c r="F45" s="10"/>
      <c r="G45" s="10"/>
      <c r="H45" s="46"/>
      <c r="I45" s="46"/>
      <c r="J45" s="46">
        <v>358000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31">
        <f t="shared" si="0"/>
        <v>358000</v>
      </c>
    </row>
    <row r="46" spans="1:24" ht="12.75">
      <c r="A46" s="52">
        <v>2057</v>
      </c>
      <c r="B46" s="31"/>
      <c r="C46" s="31"/>
      <c r="D46" s="31"/>
      <c r="E46" s="31"/>
      <c r="F46" s="31"/>
      <c r="G46" s="31"/>
      <c r="H46" s="46"/>
      <c r="I46" s="31"/>
      <c r="J46" s="46">
        <v>367000</v>
      </c>
      <c r="K46" s="46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>
        <f t="shared" si="0"/>
        <v>367000</v>
      </c>
    </row>
    <row r="47" spans="1:24" ht="12.75">
      <c r="A47" s="52">
        <v>2058</v>
      </c>
      <c r="B47" s="31"/>
      <c r="C47" s="31"/>
      <c r="D47" s="31"/>
      <c r="E47" s="31"/>
      <c r="F47" s="31"/>
      <c r="G47" s="31"/>
      <c r="H47" s="46"/>
      <c r="I47" s="31"/>
      <c r="J47" s="46"/>
      <c r="K47" s="46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9">
        <f t="shared" si="0"/>
        <v>0</v>
      </c>
    </row>
    <row r="48" spans="1:24" ht="13.5" thickBot="1">
      <c r="A48" s="36"/>
      <c r="B48" s="47">
        <f aca="true" t="shared" si="1" ref="B48:X48">SUM(B9:B46)</f>
        <v>538500.12</v>
      </c>
      <c r="C48" s="47">
        <f t="shared" si="1"/>
        <v>0</v>
      </c>
      <c r="D48" s="47">
        <f t="shared" si="1"/>
        <v>805043</v>
      </c>
      <c r="E48" s="47">
        <f t="shared" si="1"/>
        <v>2054000</v>
      </c>
      <c r="F48" s="47">
        <f t="shared" si="1"/>
        <v>722000</v>
      </c>
      <c r="G48" s="47">
        <f t="shared" si="1"/>
        <v>189000</v>
      </c>
      <c r="H48" s="47">
        <f t="shared" si="1"/>
        <v>7137000</v>
      </c>
      <c r="I48" s="47">
        <f t="shared" si="1"/>
        <v>190000</v>
      </c>
      <c r="J48" s="47">
        <f t="shared" si="1"/>
        <v>8840000</v>
      </c>
      <c r="K48" s="47">
        <f t="shared" si="1"/>
        <v>10000000</v>
      </c>
      <c r="L48" s="47">
        <f t="shared" si="1"/>
        <v>250699.19</v>
      </c>
      <c r="M48" s="47">
        <f t="shared" si="1"/>
        <v>280445.18000000005</v>
      </c>
      <c r="N48" s="47">
        <f t="shared" si="1"/>
        <v>2064667.8499999999</v>
      </c>
      <c r="O48" s="47">
        <f t="shared" si="1"/>
        <v>503244.7599999999</v>
      </c>
      <c r="P48" s="47">
        <f t="shared" si="1"/>
        <v>288451.53</v>
      </c>
      <c r="Q48" s="47">
        <f t="shared" si="1"/>
        <v>1253906.81</v>
      </c>
      <c r="R48" s="47">
        <f t="shared" si="1"/>
        <v>572194.8899999999</v>
      </c>
      <c r="S48" s="47">
        <f t="shared" si="1"/>
        <v>0</v>
      </c>
      <c r="T48" s="47">
        <f t="shared" si="1"/>
        <v>2019673.0499999996</v>
      </c>
      <c r="U48" s="47">
        <f t="shared" si="1"/>
        <v>713000</v>
      </c>
      <c r="V48" s="47">
        <f t="shared" si="1"/>
        <v>953500</v>
      </c>
      <c r="W48" s="47">
        <f t="shared" si="1"/>
        <v>48662.77</v>
      </c>
      <c r="X48" s="47">
        <f t="shared" si="1"/>
        <v>39423989.150000006</v>
      </c>
    </row>
    <row r="49" spans="1:24" ht="13.5" thickTop="1">
      <c r="A49" s="3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2.75">
      <c r="A50" s="3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2.75">
      <c r="A51" s="33" t="s">
        <v>116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2.75">
      <c r="A52" s="3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68"/>
      <c r="V52" s="68"/>
      <c r="W52" s="54" t="s">
        <v>121</v>
      </c>
      <c r="X52" s="31"/>
    </row>
    <row r="53" spans="1:24" s="51" customFormat="1" ht="12.75">
      <c r="A53" s="44" t="s">
        <v>3</v>
      </c>
      <c r="B53" s="45" t="s">
        <v>5</v>
      </c>
      <c r="C53" s="45" t="s">
        <v>56</v>
      </c>
      <c r="D53" s="45" t="s">
        <v>8</v>
      </c>
      <c r="E53" s="45">
        <v>2004</v>
      </c>
      <c r="F53" s="45" t="s">
        <v>9</v>
      </c>
      <c r="G53" s="45" t="s">
        <v>10</v>
      </c>
      <c r="H53" s="45">
        <v>2011</v>
      </c>
      <c r="I53" s="45" t="s">
        <v>67</v>
      </c>
      <c r="J53" s="45">
        <v>2016</v>
      </c>
      <c r="K53" s="45" t="s">
        <v>119</v>
      </c>
      <c r="L53" s="45" t="s">
        <v>71</v>
      </c>
      <c r="M53" s="45" t="s">
        <v>73</v>
      </c>
      <c r="N53" s="45" t="s">
        <v>85</v>
      </c>
      <c r="O53" s="45" t="s">
        <v>86</v>
      </c>
      <c r="P53" s="45" t="s">
        <v>89</v>
      </c>
      <c r="Q53" s="45" t="s">
        <v>90</v>
      </c>
      <c r="R53" s="45" t="s">
        <v>91</v>
      </c>
      <c r="S53" s="45" t="s">
        <v>78</v>
      </c>
      <c r="T53" s="45" t="s">
        <v>115</v>
      </c>
      <c r="U53" s="45" t="s">
        <v>76</v>
      </c>
      <c r="V53" s="45" t="s">
        <v>77</v>
      </c>
      <c r="W53" s="45" t="s">
        <v>122</v>
      </c>
      <c r="X53" s="45" t="s">
        <v>11</v>
      </c>
    </row>
    <row r="54" spans="1:24" ht="12.75">
      <c r="A54" s="36"/>
      <c r="B54" s="31"/>
      <c r="C54" s="31"/>
      <c r="D54" s="31"/>
      <c r="E54" s="31"/>
      <c r="F54" s="31"/>
      <c r="G54" s="31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31"/>
    </row>
    <row r="55" spans="1:24" ht="12.75">
      <c r="A55" s="36" t="s">
        <v>21</v>
      </c>
      <c r="B55" s="60">
        <f>5986.33+5588.77+5186.8+4780.36</f>
        <v>21542.260000000002</v>
      </c>
      <c r="C55" s="10"/>
      <c r="D55" s="60">
        <v>9136</v>
      </c>
      <c r="E55" s="10">
        <v>83779</v>
      </c>
      <c r="F55" s="10">
        <v>32108</v>
      </c>
      <c r="G55" s="10">
        <v>8392</v>
      </c>
      <c r="H55" s="55">
        <f>98133.75+96428.75</f>
        <v>194562.5</v>
      </c>
      <c r="I55" s="31">
        <f>2222.5+2222.5</f>
        <v>4445</v>
      </c>
      <c r="J55" s="55">
        <f>(243100*0.5)+239390*0.5</f>
        <v>241245</v>
      </c>
      <c r="K55" s="55">
        <f>37500+36629.3+10000+9767.81</f>
        <v>93897.11</v>
      </c>
      <c r="L55" s="55">
        <f>1253.5+313.37+1213.22+303.31</f>
        <v>3083.4</v>
      </c>
      <c r="M55" s="55">
        <f>1402.23+280.45+1357.17+271.43</f>
        <v>3311.28</v>
      </c>
      <c r="N55" s="55">
        <f>18065.84+2580.83+17591.26+2513.04</f>
        <v>40750.969999999994</v>
      </c>
      <c r="O55" s="55">
        <f>2516.23+503.24+2443.51+488.7</f>
        <v>5951.68</v>
      </c>
      <c r="P55" s="55">
        <f>1081.69+360.56+1052.71+350.9</f>
        <v>2845.86</v>
      </c>
      <c r="Q55" s="55">
        <f>4702.15+1253.91+4576.18+1220.31</f>
        <v>11752.55</v>
      </c>
      <c r="R55" s="55">
        <f>2145.73+2091.56+572.19+557.75</f>
        <v>5367.23</v>
      </c>
      <c r="S55" s="31"/>
      <c r="T55" s="55">
        <f>7573.77+7393.07+2524.59+2464.39</f>
        <v>19955.82</v>
      </c>
      <c r="U55" s="55">
        <f>11586.25+11407.5</f>
        <v>22993.75</v>
      </c>
      <c r="V55" s="55">
        <f>13110.63+12883.75</f>
        <v>25994.379999999997</v>
      </c>
      <c r="W55" s="31">
        <v>3329.9</v>
      </c>
      <c r="X55" s="31">
        <f aca="true" t="shared" si="2" ref="X55:X96">SUM(B55:W55)</f>
        <v>834443.6900000001</v>
      </c>
    </row>
    <row r="56" spans="1:24" ht="12.75">
      <c r="A56" s="36" t="s">
        <v>22</v>
      </c>
      <c r="B56" s="10">
        <f>4369.41+3953.88+3533.74+3108.92</f>
        <v>14965.95</v>
      </c>
      <c r="C56" s="10"/>
      <c r="D56" s="10">
        <v>7020</v>
      </c>
      <c r="E56" s="10">
        <v>81840</v>
      </c>
      <c r="F56" s="10">
        <v>31320</v>
      </c>
      <c r="G56" s="10">
        <v>8167</v>
      </c>
      <c r="H56" s="31">
        <f>96428.75+94668.75</f>
        <v>191097.5</v>
      </c>
      <c r="I56" s="31">
        <f>210+210</f>
        <v>420</v>
      </c>
      <c r="J56" s="31">
        <f>(239390*0.5)+235580*0.5</f>
        <v>237485</v>
      </c>
      <c r="K56" s="31">
        <f>35755.34+34878.1+9534.76+9300.83</f>
        <v>89469.03</v>
      </c>
      <c r="L56" s="31">
        <f>1172.75+293.19+1132.07+283.02</f>
        <v>2881.03</v>
      </c>
      <c r="M56" s="31">
        <f>1311.9+262.38+1266.39+253.28</f>
        <v>3093.9500000000003</v>
      </c>
      <c r="N56" s="31">
        <f>17112.52+2444.65+16629.59+2375.66</f>
        <v>38562.42</v>
      </c>
      <c r="O56" s="31">
        <f>2370.45+474.09+2297.01+459.4</f>
        <v>5600.95</v>
      </c>
      <c r="P56" s="31">
        <f>1023.63+341.21+994.43+331.48</f>
        <v>2690.75</v>
      </c>
      <c r="Q56" s="31">
        <f>4449.73+1186.59+4322.81+1152.75</f>
        <v>11111.880000000001</v>
      </c>
      <c r="R56" s="31">
        <f>2037.19+543.25+1982.61+528.7</f>
        <v>5091.75</v>
      </c>
      <c r="S56" s="31"/>
      <c r="T56" s="31">
        <f>7211.68+7029.62+2403.89+2343.21</f>
        <v>18988.399999999998</v>
      </c>
      <c r="U56" s="31">
        <f>11407.5+11220.63</f>
        <v>22628.129999999997</v>
      </c>
      <c r="V56" s="31">
        <f>12883.75+12650</f>
        <v>25533.75</v>
      </c>
      <c r="W56" s="31">
        <v>2632.92</v>
      </c>
      <c r="X56" s="31">
        <f t="shared" si="2"/>
        <v>800600.41</v>
      </c>
    </row>
    <row r="57" spans="1:24" ht="12.75">
      <c r="A57" s="36" t="s">
        <v>23</v>
      </c>
      <c r="B57" s="10">
        <f>2679.38+2245.07+1805.93+1361.9</f>
        <v>8092.280000000001</v>
      </c>
      <c r="C57" s="10"/>
      <c r="D57" s="10">
        <v>4884</v>
      </c>
      <c r="E57" s="10">
        <v>79808</v>
      </c>
      <c r="F57" s="10">
        <v>30488</v>
      </c>
      <c r="G57" s="10">
        <v>7943</v>
      </c>
      <c r="H57" s="31">
        <f>94668.75+92853.75</f>
        <v>187522.5</v>
      </c>
      <c r="I57" s="31"/>
      <c r="J57" s="31">
        <f>(235580*0.5)+231660*0.5</f>
        <v>233620</v>
      </c>
      <c r="K57" s="31">
        <f>33997.57+33113.74+9066.02+8830.33</f>
        <v>85007.66</v>
      </c>
      <c r="L57" s="31">
        <f>1091.19+272.8+1050.1+262.53</f>
        <v>2676.62</v>
      </c>
      <c r="M57" s="31">
        <f>1220.66+244.13+1174.7+234.94</f>
        <v>2874.43</v>
      </c>
      <c r="N57" s="31">
        <f>16142.44+2306.06+15651.03+2235.86</f>
        <v>36335.39</v>
      </c>
      <c r="O57" s="31">
        <f>2223.21+444.64+2149.05+429.81</f>
        <v>5246.71</v>
      </c>
      <c r="P57" s="31">
        <f>965.12+321.71+935.7+311.9</f>
        <v>2534.43</v>
      </c>
      <c r="Q57" s="31">
        <f>4195.41+1118.78+4067.53+1084.68</f>
        <v>10466.4</v>
      </c>
      <c r="R57" s="31">
        <f>1927.83+514.09+1872.84+499.43</f>
        <v>4814.1900000000005</v>
      </c>
      <c r="S57" s="31"/>
      <c r="T57" s="31">
        <f>6846.87+6663.43+2282.29+2221.14</f>
        <v>18013.73</v>
      </c>
      <c r="U57" s="31">
        <f>11220.63+11033.75</f>
        <v>22254.379999999997</v>
      </c>
      <c r="V57" s="31">
        <f>12650+12409.38</f>
        <v>25059.379999999997</v>
      </c>
      <c r="W57" s="31">
        <v>1882.1</v>
      </c>
      <c r="X57" s="31">
        <f t="shared" si="2"/>
        <v>769523.2000000001</v>
      </c>
    </row>
    <row r="58" spans="1:24" ht="12.75">
      <c r="A58" s="36" t="s">
        <v>24</v>
      </c>
      <c r="B58" s="10">
        <f>912.95+458.94</f>
        <v>1371.89</v>
      </c>
      <c r="C58" s="10"/>
      <c r="D58" s="10">
        <v>2726</v>
      </c>
      <c r="E58" s="10">
        <v>77684</v>
      </c>
      <c r="F58" s="10">
        <v>29610</v>
      </c>
      <c r="G58" s="10">
        <v>7718</v>
      </c>
      <c r="H58" s="31">
        <f>92853.75+90976.88</f>
        <v>183830.63</v>
      </c>
      <c r="I58" s="31"/>
      <c r="J58" s="31">
        <f>(231660*0.5)+227650*0.5</f>
        <v>229655</v>
      </c>
      <c r="K58" s="31">
        <f>32226.59+31336.12+8593.76+8356.3</f>
        <v>80512.77</v>
      </c>
      <c r="L58" s="31">
        <f>1008.81+252.2+967.32+241.83</f>
        <v>2470.16</v>
      </c>
      <c r="M58" s="31">
        <f>1128.51+225.7+1082.09+216.42</f>
        <v>2652.7200000000003</v>
      </c>
      <c r="N58" s="31">
        <f>15155.31+2165.04+14655.26+2093.61</f>
        <v>34069.22</v>
      </c>
      <c r="O58" s="31">
        <f>2074.5+414.9+1999.59+399.92</f>
        <v>4888.91</v>
      </c>
      <c r="P58" s="31">
        <f>906.18+302.06+876.54+292.18</f>
        <v>2376.9599999999996</v>
      </c>
      <c r="Q58" s="31">
        <f>3939.18+1050.45+3810.34+1016.09</f>
        <v>9816.060000000001</v>
      </c>
      <c r="R58" s="31">
        <f>1817.65+484.7+1762.24+469.93</f>
        <v>4534.52</v>
      </c>
      <c r="S58" s="31"/>
      <c r="T58" s="31">
        <f>6479.31+6294.5+2159.77+2098.17</f>
        <v>17031.75</v>
      </c>
      <c r="U58" s="31">
        <f>11033.75+10838.75</f>
        <v>21872.5</v>
      </c>
      <c r="V58" s="31">
        <f>12409.38+12161.88</f>
        <v>24571.26</v>
      </c>
      <c r="W58" s="31">
        <v>1073.22</v>
      </c>
      <c r="X58" s="31">
        <f t="shared" si="2"/>
        <v>738465.5700000001</v>
      </c>
    </row>
    <row r="59" spans="1:24" ht="12.75">
      <c r="A59" s="36" t="s">
        <v>25</v>
      </c>
      <c r="B59" s="10"/>
      <c r="C59" s="10"/>
      <c r="D59" s="10">
        <v>547</v>
      </c>
      <c r="E59" s="10">
        <v>75467</v>
      </c>
      <c r="F59" s="10">
        <v>28687</v>
      </c>
      <c r="G59" s="10">
        <v>7493</v>
      </c>
      <c r="H59" s="31">
        <f>90976.88+89038.13</f>
        <v>180015.01</v>
      </c>
      <c r="I59" s="31"/>
      <c r="J59" s="31">
        <f>(227650*0.5)+223510*0.5</f>
        <v>225580</v>
      </c>
      <c r="K59" s="31">
        <f>30442.3+29545.14+8117.95+7878.7</f>
        <v>75984.09</v>
      </c>
      <c r="L59" s="31">
        <f>925.61+231.4+883.7+220.92</f>
        <v>2261.63</v>
      </c>
      <c r="M59" s="31">
        <f>1035.44+207.09+988.55+197.71</f>
        <v>2428.79</v>
      </c>
      <c r="N59" s="31">
        <f>14150.83+2021.55+13641.99+1948.86</f>
        <v>31763.23</v>
      </c>
      <c r="O59" s="31">
        <f>1924.3+384.86+1848.64+369.72</f>
        <v>4527.52</v>
      </c>
      <c r="P59" s="31">
        <f>846.79+282.26+816.93+272.31</f>
        <v>2218.29</v>
      </c>
      <c r="Q59" s="31">
        <f>3681.03+981.61+3551.22+946.99</f>
        <v>9160.85</v>
      </c>
      <c r="R59" s="31">
        <f>1706.63+455.1+1650.82+440.22</f>
        <v>4252.77</v>
      </c>
      <c r="S59" s="31"/>
      <c r="T59" s="31">
        <f>6108.99+5922.79+2036.33+1974.26</f>
        <v>16042.369999999999</v>
      </c>
      <c r="U59" s="31">
        <f>10838.75+10635.63</f>
        <v>21474.379999999997</v>
      </c>
      <c r="V59" s="31">
        <f>12161.88+11907.5</f>
        <v>24069.379999999997</v>
      </c>
      <c r="W59" s="31">
        <v>236.63</v>
      </c>
      <c r="X59" s="31">
        <f t="shared" si="2"/>
        <v>712208.9400000001</v>
      </c>
    </row>
    <row r="60" spans="1:24" ht="12.75">
      <c r="A60" s="36" t="s">
        <v>26</v>
      </c>
      <c r="B60" s="10"/>
      <c r="C60" s="10"/>
      <c r="D60" s="10"/>
      <c r="E60" s="10">
        <v>73147</v>
      </c>
      <c r="F60" s="10">
        <v>27720</v>
      </c>
      <c r="G60" s="10">
        <v>7245</v>
      </c>
      <c r="H60" s="31">
        <f>89038.13+87037.5</f>
        <v>176075.63</v>
      </c>
      <c r="I60" s="31"/>
      <c r="J60" s="31">
        <f>(223510*0.5)+219260*0.5</f>
        <v>221385</v>
      </c>
      <c r="K60" s="31">
        <f>28644.61+27740.7+7638.56+7397.52</f>
        <v>71421.39</v>
      </c>
      <c r="L60" s="31">
        <f>841.57+210.39+799.24+199.81</f>
        <v>2051.01</v>
      </c>
      <c r="M60" s="31">
        <f>941.43+188.29+894.07+178.81</f>
        <v>2202.6</v>
      </c>
      <c r="N60" s="31">
        <f>13128.69+1875.53+12610.91+1801.56</f>
        <v>29416.690000000002</v>
      </c>
      <c r="O60" s="31">
        <f>1772.59+354.52+1696.17+339.23</f>
        <v>4162.51</v>
      </c>
      <c r="P60" s="31">
        <f>786.96+262.32+756.87+252.29</f>
        <v>2058.44</v>
      </c>
      <c r="Q60" s="31">
        <f>3420.93+912.25+3290.15+877.37</f>
        <v>8500.7</v>
      </c>
      <c r="R60" s="31">
        <f>1594.79+425.27+1538.55+410.28</f>
        <v>3968.8899999999994</v>
      </c>
      <c r="S60" s="31"/>
      <c r="T60" s="31">
        <f>5735.89+5548.3+1911.96+1849.43</f>
        <v>15045.580000000002</v>
      </c>
      <c r="U60" s="31">
        <f>10635.63+10424.38</f>
        <v>21060.01</v>
      </c>
      <c r="V60" s="31">
        <f>11907.5+11646.25</f>
        <v>23553.75</v>
      </c>
      <c r="W60" s="31"/>
      <c r="X60" s="31">
        <f t="shared" si="2"/>
        <v>689014.2</v>
      </c>
    </row>
    <row r="61" spans="1:24" ht="12.75">
      <c r="A61" s="36" t="s">
        <v>27</v>
      </c>
      <c r="B61" s="10"/>
      <c r="C61" s="10"/>
      <c r="D61" s="10"/>
      <c r="E61" s="10">
        <v>70723</v>
      </c>
      <c r="F61" s="10">
        <v>26708</v>
      </c>
      <c r="G61" s="10">
        <v>6975</v>
      </c>
      <c r="H61" s="31">
        <f>87037.5+84975</f>
        <v>172012.5</v>
      </c>
      <c r="I61" s="31"/>
      <c r="J61" s="31">
        <f>(219260*0.5)+214900*0.5</f>
        <v>217080</v>
      </c>
      <c r="K61" s="31">
        <f>26833.41+25922.71+7155.58+6912.72</f>
        <v>66824.42</v>
      </c>
      <c r="L61" s="31">
        <f>756.7+189.17+713.94+178.48</f>
        <v>1838.29</v>
      </c>
      <c r="M61" s="31">
        <f>846.48+169.3+798.65+159.73</f>
        <v>1974.1599999999999</v>
      </c>
      <c r="N61" s="31">
        <f>12088.59+1726.94+11561.71+1651.67</f>
        <v>27028.909999999996</v>
      </c>
      <c r="O61" s="31">
        <f>1619.36+323.87+1542.18+308.43</f>
        <v>3793.8399999999997</v>
      </c>
      <c r="P61" s="31">
        <f>726.68+245.23+696.37+232.12</f>
        <v>1900.4</v>
      </c>
      <c r="Q61" s="31">
        <f>3158.88+842.37+3027.12+807.23</f>
        <v>7835.6</v>
      </c>
      <c r="R61" s="31">
        <f>1482.11+395.23+1425.44+380.11</f>
        <v>3682.89</v>
      </c>
      <c r="S61" s="31"/>
      <c r="T61" s="31">
        <f>5359.99+5170.98+1786.66+1723.66</f>
        <v>14041.289999999999</v>
      </c>
      <c r="U61" s="31">
        <f>10424.38+10205</f>
        <v>20629.379999999997</v>
      </c>
      <c r="V61" s="31">
        <f>11646.25+11378.13</f>
        <v>23024.379999999997</v>
      </c>
      <c r="W61" s="31"/>
      <c r="X61" s="31">
        <f t="shared" si="2"/>
        <v>666072.0600000002</v>
      </c>
    </row>
    <row r="62" spans="1:24" ht="12.75">
      <c r="A62" s="36" t="s">
        <v>28</v>
      </c>
      <c r="B62" s="10"/>
      <c r="C62" s="10"/>
      <c r="D62" s="10"/>
      <c r="E62" s="10">
        <v>68197</v>
      </c>
      <c r="F62" s="10">
        <v>25650</v>
      </c>
      <c r="G62" s="10">
        <v>6705</v>
      </c>
      <c r="H62" s="31">
        <f>84975+82843.75</f>
        <v>167818.75</v>
      </c>
      <c r="I62" s="31"/>
      <c r="J62" s="31">
        <f>(214900*0.5)+210420*0.5</f>
        <v>212660</v>
      </c>
      <c r="K62" s="31">
        <f>25008.6+24091.06+6668.96+6424.28</f>
        <v>62192.9</v>
      </c>
      <c r="L62" s="31">
        <f>670.97+167.74+627.78+156.95</f>
        <v>1623.44</v>
      </c>
      <c r="M62" s="31">
        <f>750.58+150.12+702.27+140.45</f>
        <v>1743.42</v>
      </c>
      <c r="N62" s="31">
        <f>11030.21+1575.74+10494.06+1499.15</f>
        <v>24599.16</v>
      </c>
      <c r="O62" s="31">
        <f>1464.6+292.92+1386.63+277.33</f>
        <v>3421.48</v>
      </c>
      <c r="P62" s="31">
        <f>665.94+221.98+635.4+211.8</f>
        <v>1735.1200000000001</v>
      </c>
      <c r="Q62" s="31">
        <f>2894.86+771.96+2762.11+736.56</f>
        <v>7165.49</v>
      </c>
      <c r="R62" s="31">
        <f>1368.37+364.95+1311.48+349.73</f>
        <v>3394.53</v>
      </c>
      <c r="S62" s="31"/>
      <c r="T62" s="31">
        <f>4981.26+4790.83+1660.42+1596.94</f>
        <v>13029.45</v>
      </c>
      <c r="U62" s="31">
        <f>10205+9977.5</f>
        <v>20182.5</v>
      </c>
      <c r="V62" s="31">
        <f>11378.13+11103.13</f>
        <v>22481.26</v>
      </c>
      <c r="W62" s="31"/>
      <c r="X62" s="31">
        <f t="shared" si="2"/>
        <v>642599.5</v>
      </c>
    </row>
    <row r="63" spans="1:24" ht="12.75">
      <c r="A63" s="36" t="s">
        <v>29</v>
      </c>
      <c r="B63" s="10"/>
      <c r="C63" s="10"/>
      <c r="D63" s="10"/>
      <c r="E63" s="10">
        <v>65557</v>
      </c>
      <c r="F63" s="10">
        <v>24548</v>
      </c>
      <c r="G63" s="10">
        <v>6435</v>
      </c>
      <c r="H63" s="31">
        <f>82843.75+80643.75</f>
        <v>163487.5</v>
      </c>
      <c r="I63" s="31"/>
      <c r="J63" s="31">
        <f>(210420*0.5)+205810*0.5</f>
        <v>208115</v>
      </c>
      <c r="K63" s="31">
        <f>23170.08+22245.64+6178.69+5932.17</f>
        <v>57526.58</v>
      </c>
      <c r="L63" s="31">
        <f>584.38+146.09+540.76+135.19</f>
        <v>1406.42</v>
      </c>
      <c r="M63" s="31">
        <f>653.72+130.74+604.92+120.98</f>
        <v>1510.3600000000001</v>
      </c>
      <c r="N63" s="31">
        <f>9953.22+1421.89+9407.65+1343.95</f>
        <v>22126.71</v>
      </c>
      <c r="O63" s="31">
        <f>1308.28+261.66+1229.54+245.91</f>
        <v>3045.39</v>
      </c>
      <c r="P63" s="31">
        <f>604.75+201.58+573.98+191.33</f>
        <v>1571.6399999999999</v>
      </c>
      <c r="Q63" s="31">
        <f>2628.86+701.03+2495.11+665.36</f>
        <v>6490.36</v>
      </c>
      <c r="R63" s="31">
        <f>1254.19+334.45+1196.67+319.11</f>
        <v>3104.4200000000005</v>
      </c>
      <c r="S63" s="31"/>
      <c r="T63" s="31">
        <f>4599.69+4407.83+1533.23+1469.28</f>
        <v>12010.03</v>
      </c>
      <c r="U63" s="31">
        <f>9977.5+9741.88</f>
        <v>19719.379999999997</v>
      </c>
      <c r="V63" s="31">
        <f>11103.13+10821.25</f>
        <v>21924.379999999997</v>
      </c>
      <c r="W63" s="31"/>
      <c r="X63" s="31">
        <f t="shared" si="2"/>
        <v>618578.17</v>
      </c>
    </row>
    <row r="64" spans="1:24" ht="12.75">
      <c r="A64" s="36" t="s">
        <v>30</v>
      </c>
      <c r="B64" s="10"/>
      <c r="C64" s="10"/>
      <c r="D64" s="10"/>
      <c r="E64" s="10">
        <v>62793</v>
      </c>
      <c r="F64" s="10">
        <v>23400</v>
      </c>
      <c r="G64" s="10">
        <v>6143</v>
      </c>
      <c r="H64" s="31">
        <f>80643.75+78375</f>
        <v>159018.75</v>
      </c>
      <c r="I64" s="31"/>
      <c r="J64" s="31">
        <f>(205810*0.5)+201080*0.5</f>
        <v>203445</v>
      </c>
      <c r="K64" s="31">
        <f>21317.74+20386.36+5684.73+5436.36</f>
        <v>52825.19</v>
      </c>
      <c r="L64" s="31">
        <f>496.952+124.23+452.86+113.22</f>
        <v>1187.262</v>
      </c>
      <c r="M64" s="31">
        <f>555.88+111.18+506.6+101.32</f>
        <v>1274.9799999999998</v>
      </c>
      <c r="N64" s="31">
        <f>8857.31+1265.33+8302.15+1186.02</f>
        <v>19610.81</v>
      </c>
      <c r="O64" s="31">
        <f>1150.4+230.08+1070.86+214.17</f>
        <v>2665.51</v>
      </c>
      <c r="P64" s="31">
        <f>543.1+181.03+512.1+170.7</f>
        <v>1406.93</v>
      </c>
      <c r="Q64" s="31">
        <f>2360.86+629.56+2226.11+593.63</f>
        <v>5810.160000000001</v>
      </c>
      <c r="R64" s="31">
        <f>1138.94+303.71+1080.99+288.27</f>
        <v>2811.9100000000003</v>
      </c>
      <c r="S64" s="31"/>
      <c r="T64" s="31">
        <f>4215.25+4021.95+1405.08+1340.65</f>
        <v>10982.93</v>
      </c>
      <c r="U64" s="31">
        <f>9741.88+9498.13</f>
        <v>19240.01</v>
      </c>
      <c r="V64" s="31">
        <f>10821.25+10532.5</f>
        <v>21353.75</v>
      </c>
      <c r="W64" s="31"/>
      <c r="X64" s="31">
        <f t="shared" si="2"/>
        <v>593969.1920000002</v>
      </c>
    </row>
    <row r="65" spans="1:24" ht="12.75">
      <c r="A65" s="36" t="s">
        <v>31</v>
      </c>
      <c r="B65" s="10"/>
      <c r="C65" s="10"/>
      <c r="D65" s="10"/>
      <c r="E65" s="10">
        <v>59905</v>
      </c>
      <c r="F65" s="10">
        <v>22208</v>
      </c>
      <c r="G65" s="10">
        <v>5827</v>
      </c>
      <c r="H65" s="31">
        <f>79375+76030.63</f>
        <v>155405.63</v>
      </c>
      <c r="I65" s="31"/>
      <c r="J65" s="31">
        <f>(201080*0.5)+196220*0.5</f>
        <v>198650</v>
      </c>
      <c r="K65" s="31">
        <f>19451.48+18513.1+5187.06+4936.83</f>
        <v>48088.47</v>
      </c>
      <c r="L65" s="31">
        <f>408.59+102.15+364.09+91.02</f>
        <v>965.8499999999999</v>
      </c>
      <c r="M65" s="31">
        <f>457.07+91.41+407.29+81.46</f>
        <v>1037.23</v>
      </c>
      <c r="N65" s="31">
        <f>7742.13+1106.02+7177.21+1025.32</f>
        <v>17050.68</v>
      </c>
      <c r="O65" s="31">
        <f>990.94+198.19+910.6+182.12</f>
        <v>2281.85</v>
      </c>
      <c r="P65" s="31">
        <f>480.98+160.33+449.75+149.92</f>
        <v>1240.98</v>
      </c>
      <c r="Q65" s="31">
        <f>2090.85+557.56+1955.08+521.35</f>
        <v>5124.84</v>
      </c>
      <c r="R65" s="31">
        <f>1022.83+272.75+964.45+257.19</f>
        <v>2517.22</v>
      </c>
      <c r="S65" s="31"/>
      <c r="T65" s="31">
        <f>3827.92+3633.17+1275.97+1211.06</f>
        <v>9948.119999999999</v>
      </c>
      <c r="U65" s="31">
        <f>9498.13+9246.25</f>
        <v>18744.379999999997</v>
      </c>
      <c r="V65" s="31">
        <f>10532.5+10236.88</f>
        <v>20769.379999999997</v>
      </c>
      <c r="W65" s="31"/>
      <c r="X65" s="31">
        <f t="shared" si="2"/>
        <v>569764.6299999999</v>
      </c>
    </row>
    <row r="66" spans="1:24" ht="12.75">
      <c r="A66" s="36" t="s">
        <v>32</v>
      </c>
      <c r="B66" s="10"/>
      <c r="C66" s="10"/>
      <c r="D66" s="10"/>
      <c r="E66" s="10">
        <v>56884</v>
      </c>
      <c r="F66" s="10">
        <v>20970</v>
      </c>
      <c r="G66" s="10">
        <v>5513</v>
      </c>
      <c r="H66" s="31">
        <f>76030.63+73610.63</f>
        <v>149641.26</v>
      </c>
      <c r="I66" s="31"/>
      <c r="J66" s="31">
        <f>(196220*0.5)+191230*0.5</f>
        <v>193725</v>
      </c>
      <c r="K66" s="31">
        <f>17571.2+16625.77+4685.65+4433.54</f>
        <v>43316.16</v>
      </c>
      <c r="L66" s="31">
        <f>319.37+79.384+274.42+68.61</f>
        <v>741.784</v>
      </c>
      <c r="M66" s="31">
        <f>357.26+71.45+306.99+61.4</f>
        <v>797.1</v>
      </c>
      <c r="N66" s="31">
        <f>6607.35+943.91+6032.51+861.79</f>
        <v>14445.560000000001</v>
      </c>
      <c r="O66" s="31">
        <f>829.87+165.97+748.73+149.74</f>
        <v>1894.3100000000002</v>
      </c>
      <c r="P66" s="31">
        <f>418.4+139.47+386.93+128.98</f>
        <v>1073.78</v>
      </c>
      <c r="Q66" s="31">
        <f>1818.8+485.01+1682.01+448.54</f>
        <v>4434.36</v>
      </c>
      <c r="R66" s="31">
        <f>905.85+241.56+847.03+225.88</f>
        <v>2220.32</v>
      </c>
      <c r="S66" s="31"/>
      <c r="T66" s="31">
        <f>3437.68+3241.46+1145.89+1080.49</f>
        <v>8905.52</v>
      </c>
      <c r="U66" s="31">
        <f>9246.25+8986.25</f>
        <v>18232.5</v>
      </c>
      <c r="V66" s="31">
        <f>10236.88+9927.5</f>
        <v>20164.379999999997</v>
      </c>
      <c r="W66" s="31"/>
      <c r="X66" s="31">
        <f t="shared" si="2"/>
        <v>542959.034</v>
      </c>
    </row>
    <row r="67" spans="1:24" ht="12.75">
      <c r="A67" s="36" t="s">
        <v>33</v>
      </c>
      <c r="B67" s="10"/>
      <c r="C67" s="10"/>
      <c r="D67" s="10"/>
      <c r="E67" s="10">
        <v>53728</v>
      </c>
      <c r="F67" s="10">
        <v>19665</v>
      </c>
      <c r="G67" s="10">
        <v>5175</v>
      </c>
      <c r="H67" s="31">
        <f>73610.63+71108.13</f>
        <v>144718.76</v>
      </c>
      <c r="I67" s="31"/>
      <c r="J67" s="31">
        <f>(191230*0.5)+186100*0.5</f>
        <v>188665</v>
      </c>
      <c r="K67" s="31">
        <f>15676.8+14724.26+4180.48+3926.47</f>
        <v>38508.009999999995</v>
      </c>
      <c r="L67" s="31">
        <f>229.26+57.31+183.86+45.97</f>
        <v>516.4</v>
      </c>
      <c r="M67" s="31">
        <f>256.46+51.29+205.68+41.14</f>
        <v>554.57</v>
      </c>
      <c r="N67" s="31">
        <f>5452.63+778.95+4867.68+695.38</f>
        <v>11794.64</v>
      </c>
      <c r="O67" s="31">
        <f>667.19+133.44+585.25+117.05</f>
        <v>1502.93</v>
      </c>
      <c r="P67" s="31">
        <f>355.35+118.45+323.65+107.88</f>
        <v>905.33</v>
      </c>
      <c r="Q67" s="31">
        <f>1544.71+411.92+1406.9+375.17</f>
        <v>3738.7000000000003</v>
      </c>
      <c r="R67" s="31">
        <f>787.99+210.13+728.73+194.33</f>
        <v>1921.1799999999998</v>
      </c>
      <c r="S67" s="31"/>
      <c r="T67" s="31">
        <f>3044.51+2846.82+1014.84+948.94</f>
        <v>7855.110000000001</v>
      </c>
      <c r="U67" s="31">
        <f>8986.25+8718.13</f>
        <v>17704.379999999997</v>
      </c>
      <c r="V67" s="31">
        <f>9927.5+9611.25</f>
        <v>19538.75</v>
      </c>
      <c r="W67" s="31"/>
      <c r="X67" s="31">
        <f t="shared" si="2"/>
        <v>516491.76000000007</v>
      </c>
    </row>
    <row r="68" spans="1:24" ht="12.75">
      <c r="A68" s="36" t="s">
        <v>34</v>
      </c>
      <c r="B68" s="10"/>
      <c r="C68" s="10"/>
      <c r="D68" s="10"/>
      <c r="E68" s="10">
        <v>50438</v>
      </c>
      <c r="F68" s="10">
        <v>18293</v>
      </c>
      <c r="G68" s="10">
        <v>4815</v>
      </c>
      <c r="H68" s="31">
        <f>71108.13+68530</f>
        <v>139638.13</v>
      </c>
      <c r="I68" s="31"/>
      <c r="J68" s="31">
        <f>(186100*0.5)+180820*0.5</f>
        <v>183460</v>
      </c>
      <c r="K68" s="31">
        <f>13768.15+12808.46+3671.51+3415.59</f>
        <v>33663.71000000001</v>
      </c>
      <c r="L68" s="31">
        <f>138.24+34.56+92.39+23.1</f>
        <v>288.29</v>
      </c>
      <c r="M68" s="31">
        <f>154.64+30.93+103.35+20.67</f>
        <v>309.59</v>
      </c>
      <c r="N68" s="31">
        <f>4277.61+611.09+3682.38+526.05</f>
        <v>9097.13</v>
      </c>
      <c r="O68" s="31">
        <f>502.88+100.58+420.11+84.02</f>
        <v>1107.5900000000001</v>
      </c>
      <c r="P68" s="31">
        <f>291.82+97.27+259.88+86.63</f>
        <v>735.6</v>
      </c>
      <c r="Q68" s="31">
        <f>1268.57+338.28+1129.72+301.26</f>
        <v>3037.83</v>
      </c>
      <c r="R68" s="31">
        <f>669.24+178.47+609.54+162.54</f>
        <v>1619.79</v>
      </c>
      <c r="S68" s="31"/>
      <c r="T68" s="31">
        <f>2648.38+2449.2+882.79+816.4</f>
        <v>6796.7699999999995</v>
      </c>
      <c r="U68" s="31">
        <f>8718.13+8441.88</f>
        <v>17160.01</v>
      </c>
      <c r="V68" s="31">
        <f>9611.25+9288.13</f>
        <v>18899.379999999997</v>
      </c>
      <c r="W68" s="31"/>
      <c r="X68" s="31">
        <f t="shared" si="2"/>
        <v>489359.82000000007</v>
      </c>
    </row>
    <row r="69" spans="1:24" ht="12.75">
      <c r="A69" s="36" t="s">
        <v>35</v>
      </c>
      <c r="B69" s="10"/>
      <c r="C69" s="10"/>
      <c r="D69" s="10"/>
      <c r="E69" s="10">
        <v>46994</v>
      </c>
      <c r="F69" s="10">
        <v>16875</v>
      </c>
      <c r="G69" s="10">
        <v>4455</v>
      </c>
      <c r="H69" s="31">
        <f>68530+65862.5</f>
        <v>134392.5</v>
      </c>
      <c r="I69" s="31"/>
      <c r="J69" s="31">
        <f>(180820*0.5)+175400*0.5</f>
        <v>178110</v>
      </c>
      <c r="K69" s="31">
        <f>11845.17+10878.27+3158.71+2900.87</f>
        <v>28783.02</v>
      </c>
      <c r="L69" s="31">
        <f>46.45+11.58</f>
        <v>58.03</v>
      </c>
      <c r="M69" s="31">
        <f>51.61+10.36</f>
        <v>61.97</v>
      </c>
      <c r="N69" s="31">
        <f>3081.94+440.28+2476.24+353.75</f>
        <v>6352.21</v>
      </c>
      <c r="O69" s="31">
        <f>336.92+67.38+253.33+50.67</f>
        <v>708.3</v>
      </c>
      <c r="P69" s="31">
        <f>227.82+75.94+195.64+65.21</f>
        <v>564.61</v>
      </c>
      <c r="Q69" s="31">
        <f>990.34+264.09+850.45+226.79</f>
        <v>2331.67</v>
      </c>
      <c r="R69" s="31">
        <f>549.61+146.56+489.44+130.52</f>
        <v>1316.13</v>
      </c>
      <c r="S69" s="31"/>
      <c r="T69" s="31">
        <f>2249.28+2048.61+749.76+682.87</f>
        <v>5730.52</v>
      </c>
      <c r="U69" s="31">
        <f>8441.88+8157.5</f>
        <v>16599.379999999997</v>
      </c>
      <c r="V69" s="31">
        <f>9288.13+8958.13</f>
        <v>18246.26</v>
      </c>
      <c r="W69" s="31"/>
      <c r="X69" s="31">
        <f t="shared" si="2"/>
        <v>461578.60000000003</v>
      </c>
    </row>
    <row r="70" spans="1:24" ht="12.75">
      <c r="A70" s="36" t="s">
        <v>36</v>
      </c>
      <c r="B70" s="10"/>
      <c r="C70" s="10"/>
      <c r="D70" s="10"/>
      <c r="E70" s="10">
        <v>43395</v>
      </c>
      <c r="F70" s="10">
        <v>15390</v>
      </c>
      <c r="G70" s="10">
        <v>4073</v>
      </c>
      <c r="H70" s="31">
        <f>65862.5+63112.5</f>
        <v>128975</v>
      </c>
      <c r="I70" s="31"/>
      <c r="J70" s="31">
        <f>(175400*0.5)+169830*0.5</f>
        <v>172615</v>
      </c>
      <c r="K70" s="31">
        <f>9907.74+8933.57+2642.06+2382.28</f>
        <v>23865.649999999998</v>
      </c>
      <c r="L70" s="31"/>
      <c r="M70" s="31"/>
      <c r="N70" s="31">
        <f>1865.25+266.45+1248.91+178.42</f>
        <v>3559.0299999999997</v>
      </c>
      <c r="O70" s="31">
        <f>169.3+33.86+84.7+16.97</f>
        <v>304.83000000000004</v>
      </c>
      <c r="P70" s="31">
        <f>163.34+54.45+130.91+43.64</f>
        <v>392.34000000000003</v>
      </c>
      <c r="Q70" s="31">
        <f>710.03+189.34+569.09+151.76</f>
        <v>1620.22</v>
      </c>
      <c r="R70" s="31">
        <f>429.06+114.42+368.46+98.25</f>
        <v>1010.19</v>
      </c>
      <c r="S70" s="31"/>
      <c r="T70" s="31">
        <f>1847.18+1645+615.73+548.33</f>
        <v>4656.24</v>
      </c>
      <c r="U70" s="31">
        <f>8157.5+7865</f>
        <v>16022.5</v>
      </c>
      <c r="V70" s="31">
        <f>8958.13+8614.38</f>
        <v>17572.51</v>
      </c>
      <c r="W70" s="31"/>
      <c r="X70" s="31">
        <f t="shared" si="2"/>
        <v>433451.51000000007</v>
      </c>
    </row>
    <row r="71" spans="1:24" ht="12.75">
      <c r="A71" s="36" t="s">
        <v>37</v>
      </c>
      <c r="B71" s="10"/>
      <c r="C71" s="10"/>
      <c r="D71" s="10"/>
      <c r="E71" s="10">
        <v>39641</v>
      </c>
      <c r="F71" s="10">
        <v>13838</v>
      </c>
      <c r="G71" s="10">
        <v>3667</v>
      </c>
      <c r="H71" s="31">
        <f>63112.5+60273.13</f>
        <v>123385.63</v>
      </c>
      <c r="I71" s="31"/>
      <c r="J71" s="31">
        <f>(169830*0.5)+164110*0.5</f>
        <v>166970</v>
      </c>
      <c r="K71" s="31">
        <f>7955.74+6974.26+2121.53+1859.8</f>
        <v>18911.329999999998</v>
      </c>
      <c r="L71" s="31"/>
      <c r="M71" s="31"/>
      <c r="N71" s="31">
        <f>627.35+89.6</f>
        <v>716.95</v>
      </c>
      <c r="O71" s="31"/>
      <c r="P71" s="31">
        <f>98.37+32.79+65.7+21.9</f>
        <v>218.76000000000002</v>
      </c>
      <c r="Q71" s="31">
        <f>427.61+114.03+285.61+76.16</f>
        <v>903.41</v>
      </c>
      <c r="R71" s="31">
        <f>307.62+82.03+246.55+65.75</f>
        <v>701.95</v>
      </c>
      <c r="S71" s="31"/>
      <c r="T71" s="31">
        <f>1442.05+1238.35+480.68+412.78</f>
        <v>3573.8599999999997</v>
      </c>
      <c r="U71" s="31">
        <f>7865+7564.38</f>
        <v>15429.380000000001</v>
      </c>
      <c r="V71" s="31">
        <f>8314.38+8263.75</f>
        <v>16578.129999999997</v>
      </c>
      <c r="W71" s="31"/>
      <c r="X71" s="31">
        <f t="shared" si="2"/>
        <v>404535.4</v>
      </c>
    </row>
    <row r="72" spans="1:24" ht="12.75">
      <c r="A72" s="36" t="s">
        <v>38</v>
      </c>
      <c r="B72" s="10"/>
      <c r="C72" s="10"/>
      <c r="D72" s="10"/>
      <c r="E72" s="10">
        <v>35712</v>
      </c>
      <c r="F72" s="10">
        <v>12217</v>
      </c>
      <c r="G72" s="10">
        <v>3240</v>
      </c>
      <c r="H72" s="31">
        <f>60273.13+57337.5</f>
        <v>117610.63</v>
      </c>
      <c r="I72" s="31"/>
      <c r="J72" s="31">
        <f>(164110*0.5)+158230*0.5</f>
        <v>161170</v>
      </c>
      <c r="K72" s="31">
        <f>5989.09+5000.22+1597.09+1333.39</f>
        <v>13919.79</v>
      </c>
      <c r="L72" s="31"/>
      <c r="M72" s="31"/>
      <c r="N72" s="31"/>
      <c r="O72" s="31"/>
      <c r="P72" s="31">
        <f>33.01+10.97</f>
        <v>43.98</v>
      </c>
      <c r="Q72" s="31">
        <f>142.9+38.15</f>
        <v>181.05</v>
      </c>
      <c r="R72" s="31">
        <f>185.26+49.41+123.74+33</f>
        <v>391.40999999999997</v>
      </c>
      <c r="S72" s="31"/>
      <c r="T72" s="31">
        <f>1033.89+828.66+344.63+276.22</f>
        <v>2483.4000000000005</v>
      </c>
      <c r="U72" s="31">
        <f>7564.38+7247.5</f>
        <v>14811.880000000001</v>
      </c>
      <c r="V72" s="31">
        <f>8263.75+7906.25</f>
        <v>16170</v>
      </c>
      <c r="W72" s="31"/>
      <c r="X72" s="31">
        <f t="shared" si="2"/>
        <v>377951.13999999996</v>
      </c>
    </row>
    <row r="73" spans="1:24" ht="12.75">
      <c r="A73" s="36" t="s">
        <v>39</v>
      </c>
      <c r="B73" s="10"/>
      <c r="C73" s="10"/>
      <c r="D73" s="10"/>
      <c r="E73" s="10">
        <v>31597</v>
      </c>
      <c r="F73" s="10">
        <v>10530</v>
      </c>
      <c r="G73" s="10">
        <v>2790</v>
      </c>
      <c r="H73" s="31">
        <f>57337.5+54305.63</f>
        <v>111643.13</v>
      </c>
      <c r="I73" s="31"/>
      <c r="J73" s="31">
        <f>(158230*0.5)+152190*0.5</f>
        <v>155210</v>
      </c>
      <c r="K73" s="31">
        <f>4007.65+3011.36+1068.71+803.03</f>
        <v>8890.75</v>
      </c>
      <c r="L73" s="31"/>
      <c r="M73" s="31"/>
      <c r="N73" s="31"/>
      <c r="O73" s="31"/>
      <c r="P73" s="31"/>
      <c r="Q73" s="31"/>
      <c r="R73" s="31">
        <f>61.99+16.53</f>
        <v>78.52000000000001</v>
      </c>
      <c r="S73" s="31"/>
      <c r="T73" s="31">
        <f>622.65+415.88+207.55+138.63</f>
        <v>1384.71</v>
      </c>
      <c r="U73" s="31">
        <f>7247.5+6922.5</f>
        <v>14170</v>
      </c>
      <c r="V73" s="31">
        <f>7906.25+7535</f>
        <v>15441.25</v>
      </c>
      <c r="W73" s="31"/>
      <c r="X73" s="31">
        <f t="shared" si="2"/>
        <v>351735.36000000004</v>
      </c>
    </row>
    <row r="74" spans="1:24" ht="12.75">
      <c r="A74" s="36" t="s">
        <v>40</v>
      </c>
      <c r="B74" s="10"/>
      <c r="C74" s="10"/>
      <c r="D74" s="10"/>
      <c r="E74" s="10">
        <v>27297</v>
      </c>
      <c r="F74" s="10">
        <v>8797</v>
      </c>
      <c r="G74" s="10">
        <v>2340</v>
      </c>
      <c r="H74" s="31">
        <f>54305.63+51177.5</f>
        <v>105483.13</v>
      </c>
      <c r="I74" s="31"/>
      <c r="J74" s="31">
        <f>(152190*0.5)+145990*0.5</f>
        <v>149090</v>
      </c>
      <c r="K74" s="31">
        <f>2011.32+1007.68+536.35+268.68</f>
        <v>3824.0299999999997</v>
      </c>
      <c r="L74" s="31"/>
      <c r="M74" s="31"/>
      <c r="N74" s="31"/>
      <c r="O74" s="31"/>
      <c r="P74" s="31"/>
      <c r="Q74" s="31"/>
      <c r="R74" s="31"/>
      <c r="S74" s="31"/>
      <c r="T74" s="31">
        <f>208.15+69.44</f>
        <v>277.59000000000003</v>
      </c>
      <c r="U74" s="31">
        <f>6922.5+6589.38</f>
        <v>13511.880000000001</v>
      </c>
      <c r="V74" s="31">
        <f>7535+7156.88</f>
        <v>14691.880000000001</v>
      </c>
      <c r="W74" s="31"/>
      <c r="X74" s="31">
        <f t="shared" si="2"/>
        <v>325312.51000000007</v>
      </c>
    </row>
    <row r="75" spans="1:24" ht="12.75">
      <c r="A75" s="36" t="s">
        <v>41</v>
      </c>
      <c r="B75" s="10"/>
      <c r="C75" s="10"/>
      <c r="D75" s="10"/>
      <c r="E75" s="10">
        <v>22811</v>
      </c>
      <c r="F75" s="10">
        <v>6997</v>
      </c>
      <c r="G75" s="10">
        <v>1868</v>
      </c>
      <c r="H75" s="31">
        <f>51177.5+47946.25</f>
        <v>99123.75</v>
      </c>
      <c r="I75" s="31"/>
      <c r="J75" s="31">
        <f>(145990*0.5)+139610*0.5</f>
        <v>142800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>
        <f>6589.38+6240</f>
        <v>12829.380000000001</v>
      </c>
      <c r="V75" s="31">
        <f>7156.88+6765</f>
        <v>13921.880000000001</v>
      </c>
      <c r="W75" s="31"/>
      <c r="X75" s="31">
        <f t="shared" si="2"/>
        <v>300351.01</v>
      </c>
    </row>
    <row r="76" spans="1:24" ht="12.75">
      <c r="A76" s="36" t="s">
        <v>42</v>
      </c>
      <c r="B76" s="10"/>
      <c r="C76" s="10"/>
      <c r="D76" s="10"/>
      <c r="E76" s="10">
        <v>18130</v>
      </c>
      <c r="F76" s="10">
        <v>5107</v>
      </c>
      <c r="G76" s="10">
        <v>1372</v>
      </c>
      <c r="H76" s="31">
        <f>47946.255+44611.88</f>
        <v>92558.135</v>
      </c>
      <c r="I76" s="31"/>
      <c r="J76" s="31">
        <f>(139610*0.5)+133050*0.5</f>
        <v>136330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f>6240+5882.5</f>
        <v>12122.5</v>
      </c>
      <c r="V76" s="31">
        <f>6765+6366.25</f>
        <v>13131.25</v>
      </c>
      <c r="W76" s="31"/>
      <c r="X76" s="31">
        <f t="shared" si="2"/>
        <v>278750.885</v>
      </c>
    </row>
    <row r="77" spans="1:24" ht="12.75">
      <c r="A77" s="36" t="s">
        <v>43</v>
      </c>
      <c r="B77" s="10"/>
      <c r="C77" s="10"/>
      <c r="D77" s="10"/>
      <c r="E77" s="10">
        <v>13231</v>
      </c>
      <c r="F77" s="10">
        <v>3127</v>
      </c>
      <c r="G77" s="10">
        <v>855</v>
      </c>
      <c r="H77" s="31">
        <f>44611.88+41167.5</f>
        <v>85779.38</v>
      </c>
      <c r="I77" s="31"/>
      <c r="J77" s="31">
        <f>(133050*0.5)+126310*0.5</f>
        <v>129680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>
        <f>5882.5+5508.75</f>
        <v>11391.25</v>
      </c>
      <c r="V77" s="31">
        <f>6366.25+5953.75</f>
        <v>12320</v>
      </c>
      <c r="W77" s="31"/>
      <c r="X77" s="31">
        <f t="shared" si="2"/>
        <v>256383.63</v>
      </c>
    </row>
    <row r="78" spans="1:24" ht="12.75">
      <c r="A78" s="36" t="s">
        <v>44</v>
      </c>
      <c r="B78" s="10"/>
      <c r="C78" s="10"/>
      <c r="D78" s="10"/>
      <c r="E78" s="10">
        <v>8105</v>
      </c>
      <c r="F78" s="10">
        <v>1057</v>
      </c>
      <c r="G78" s="10">
        <v>292</v>
      </c>
      <c r="H78" s="31">
        <f>41167.5+37613.13</f>
        <v>78780.63</v>
      </c>
      <c r="I78" s="31"/>
      <c r="J78" s="31">
        <f>(126310*0.5)+119400*0.5</f>
        <v>122855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>
        <f>5508.75+5126.88</f>
        <v>10635.630000000001</v>
      </c>
      <c r="V78" s="31">
        <f>5953.75+5527.5</f>
        <v>11481.25</v>
      </c>
      <c r="W78" s="31"/>
      <c r="X78" s="31">
        <f t="shared" si="2"/>
        <v>233206.51</v>
      </c>
    </row>
    <row r="79" spans="1:24" ht="12.75">
      <c r="A79" s="36" t="s">
        <v>45</v>
      </c>
      <c r="B79" s="10"/>
      <c r="C79" s="10"/>
      <c r="D79" s="10"/>
      <c r="E79" s="10">
        <v>2743</v>
      </c>
      <c r="F79" s="10"/>
      <c r="G79" s="10"/>
      <c r="H79" s="31">
        <f>37613.13+33941.88</f>
        <v>71555.01</v>
      </c>
      <c r="I79" s="31"/>
      <c r="J79" s="31">
        <f>(119400*0.5)+112290*0.5</f>
        <v>115845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>
        <f>5126.88+4728.75</f>
        <v>9855.630000000001</v>
      </c>
      <c r="V79" s="31">
        <f>5527.5+5094.38</f>
        <v>10621.880000000001</v>
      </c>
      <c r="W79" s="31"/>
      <c r="X79" s="31">
        <f t="shared" si="2"/>
        <v>210620.52000000002</v>
      </c>
    </row>
    <row r="80" spans="1:24" ht="12.75">
      <c r="A80" s="36" t="s">
        <v>46</v>
      </c>
      <c r="B80" s="10"/>
      <c r="C80" s="10"/>
      <c r="D80" s="10"/>
      <c r="E80" s="10"/>
      <c r="F80" s="10"/>
      <c r="G80" s="10"/>
      <c r="H80" s="31">
        <f>33941.88+30153.75</f>
        <v>64095.63</v>
      </c>
      <c r="I80" s="31"/>
      <c r="J80" s="31">
        <f>(112290*0.5)+104990*0.5</f>
        <v>108640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>
        <f>4728.75+4322.5</f>
        <v>9051.25</v>
      </c>
      <c r="V80" s="31">
        <f>5094.38+4647.5</f>
        <v>9741.880000000001</v>
      </c>
      <c r="W80" s="31"/>
      <c r="X80" s="31">
        <f t="shared" si="2"/>
        <v>191528.76</v>
      </c>
    </row>
    <row r="81" spans="1:24" ht="12.75">
      <c r="A81" s="36" t="s">
        <v>61</v>
      </c>
      <c r="B81" s="10"/>
      <c r="C81" s="10"/>
      <c r="D81" s="10"/>
      <c r="E81" s="10"/>
      <c r="F81" s="10"/>
      <c r="G81" s="10"/>
      <c r="H81" s="31">
        <f>30153.75+26241.88</f>
        <v>56395.630000000005</v>
      </c>
      <c r="I81" s="31"/>
      <c r="J81" s="31">
        <f>(104990*0.5)+97480*0.5</f>
        <v>101235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>
        <f>4322.5+3900</f>
        <v>8222.5</v>
      </c>
      <c r="V81" s="31">
        <f>4647.5+4186.88</f>
        <v>8834.380000000001</v>
      </c>
      <c r="W81" s="31"/>
      <c r="X81" s="31">
        <f t="shared" si="2"/>
        <v>174687.51</v>
      </c>
    </row>
    <row r="82" spans="1:24" ht="12.75">
      <c r="A82" s="36" t="s">
        <v>62</v>
      </c>
      <c r="B82" s="10"/>
      <c r="C82" s="10"/>
      <c r="D82" s="10"/>
      <c r="E82" s="10"/>
      <c r="F82" s="10"/>
      <c r="G82" s="10"/>
      <c r="H82" s="31">
        <f>26241.88+22199.38</f>
        <v>48441.26</v>
      </c>
      <c r="I82" s="31"/>
      <c r="J82" s="31">
        <f>(97480*0.5)+89760*0.5</f>
        <v>93620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>
        <f>3900+3461.25</f>
        <v>7361.25</v>
      </c>
      <c r="V82" s="31">
        <f>4186.88+3712.5</f>
        <v>7899.38</v>
      </c>
      <c r="W82" s="31"/>
      <c r="X82" s="31">
        <f t="shared" si="2"/>
        <v>157321.89</v>
      </c>
    </row>
    <row r="83" spans="1:24" ht="12.75">
      <c r="A83" s="36" t="s">
        <v>63</v>
      </c>
      <c r="B83" s="10"/>
      <c r="C83" s="10"/>
      <c r="D83" s="10"/>
      <c r="E83" s="10"/>
      <c r="F83" s="10"/>
      <c r="G83" s="10"/>
      <c r="H83" s="31">
        <f>22199.38+18026.25</f>
        <v>40225.630000000005</v>
      </c>
      <c r="I83" s="31"/>
      <c r="J83" s="31">
        <f>(89760*0.5)+81840*0.5</f>
        <v>85800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>
        <f>3461.25+3006.25</f>
        <v>6467.5</v>
      </c>
      <c r="V83" s="31">
        <f>3712.5+3224.38</f>
        <v>6936.88</v>
      </c>
      <c r="W83" s="31"/>
      <c r="X83" s="31">
        <f t="shared" si="2"/>
        <v>139430.01</v>
      </c>
    </row>
    <row r="84" spans="1:24" ht="12.75">
      <c r="A84" s="36" t="s">
        <v>64</v>
      </c>
      <c r="B84" s="10"/>
      <c r="C84" s="10"/>
      <c r="D84" s="10"/>
      <c r="E84" s="10"/>
      <c r="F84" s="10"/>
      <c r="G84" s="10"/>
      <c r="H84" s="31">
        <f>18026.25+13722.5</f>
        <v>31748.75</v>
      </c>
      <c r="I84" s="31"/>
      <c r="J84" s="31">
        <f>(81840*0.5)+73700*0.5</f>
        <v>77770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>
        <f>3006.25+2535</f>
        <v>5541.25</v>
      </c>
      <c r="V84" s="31">
        <f>3224.38+2722.5</f>
        <v>5946.88</v>
      </c>
      <c r="W84" s="31"/>
      <c r="X84" s="31">
        <f t="shared" si="2"/>
        <v>121006.88</v>
      </c>
    </row>
    <row r="85" spans="1:24" ht="12.75">
      <c r="A85" s="36" t="s">
        <v>65</v>
      </c>
      <c r="B85" s="10"/>
      <c r="C85" s="10"/>
      <c r="D85" s="10"/>
      <c r="E85" s="10"/>
      <c r="F85" s="10"/>
      <c r="G85" s="10"/>
      <c r="H85" s="31">
        <f>13722.5+9274.38</f>
        <v>22996.879999999997</v>
      </c>
      <c r="I85" s="31"/>
      <c r="J85" s="31">
        <f>(73700*0.5)+65340*0.5</f>
        <v>69520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>
        <f>2535+2047.5</f>
        <v>4582.5</v>
      </c>
      <c r="V85" s="31">
        <f>2722.5+2206.88</f>
        <v>4929.38</v>
      </c>
      <c r="W85" s="31"/>
      <c r="X85" s="31">
        <f t="shared" si="2"/>
        <v>102028.76000000001</v>
      </c>
    </row>
    <row r="86" spans="1:24" ht="12.75">
      <c r="A86" s="36" t="s">
        <v>66</v>
      </c>
      <c r="B86" s="10"/>
      <c r="C86" s="10"/>
      <c r="D86" s="10"/>
      <c r="E86" s="10"/>
      <c r="F86" s="10"/>
      <c r="G86" s="10"/>
      <c r="H86" s="31">
        <f>9274.38+4681.88</f>
        <v>13956.259999999998</v>
      </c>
      <c r="I86" s="31"/>
      <c r="J86" s="31">
        <f>(65340*0.5)+56750*0.5</f>
        <v>61045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>
        <f>2047.5+1543.75</f>
        <v>3591.25</v>
      </c>
      <c r="V86" s="31">
        <f>2206.88+1677.5</f>
        <v>3884.38</v>
      </c>
      <c r="W86" s="31"/>
      <c r="X86" s="31">
        <f t="shared" si="2"/>
        <v>82476.89</v>
      </c>
    </row>
    <row r="87" spans="1:24" ht="12.75">
      <c r="A87" s="36" t="s">
        <v>72</v>
      </c>
      <c r="B87" s="10"/>
      <c r="C87" s="10"/>
      <c r="D87" s="10"/>
      <c r="E87" s="10"/>
      <c r="F87" s="10"/>
      <c r="G87" s="10"/>
      <c r="H87" s="31">
        <v>4681.88</v>
      </c>
      <c r="I87" s="31"/>
      <c r="J87" s="31">
        <f>(56750*0.5)+47920*0.5</f>
        <v>52335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>
        <f>1543.75+1023.75</f>
        <v>2567.5</v>
      </c>
      <c r="V87" s="31">
        <f>1677.5+1134.38</f>
        <v>2811.88</v>
      </c>
      <c r="W87" s="31"/>
      <c r="X87" s="31">
        <f t="shared" si="2"/>
        <v>62396.259999999995</v>
      </c>
    </row>
    <row r="88" spans="1:24" ht="12.75">
      <c r="A88" s="36" t="s">
        <v>83</v>
      </c>
      <c r="B88" s="10"/>
      <c r="C88" s="10"/>
      <c r="D88" s="10"/>
      <c r="E88" s="10"/>
      <c r="F88" s="10"/>
      <c r="G88" s="10"/>
      <c r="H88" s="31"/>
      <c r="I88" s="31"/>
      <c r="J88" s="31">
        <f>(47920*0.5)+38850*0.5</f>
        <v>43385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>
        <f>1023.75+487.5</f>
        <v>1511.25</v>
      </c>
      <c r="V88" s="31">
        <f>1134.38+577.5</f>
        <v>1711.88</v>
      </c>
      <c r="W88" s="31"/>
      <c r="X88" s="31">
        <f t="shared" si="2"/>
        <v>46608.13</v>
      </c>
    </row>
    <row r="89" spans="1:24" ht="12.75">
      <c r="A89" s="36" t="s">
        <v>84</v>
      </c>
      <c r="B89" s="10"/>
      <c r="C89" s="10"/>
      <c r="D89" s="10"/>
      <c r="E89" s="10"/>
      <c r="F89" s="10"/>
      <c r="G89" s="10"/>
      <c r="H89" s="31"/>
      <c r="I89" s="31"/>
      <c r="J89" s="31">
        <f>(38850*0.5)+29530*0.5</f>
        <v>34190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>
        <v>487.5</v>
      </c>
      <c r="V89" s="31">
        <v>577.5</v>
      </c>
      <c r="W89" s="31"/>
      <c r="X89" s="31">
        <f t="shared" si="2"/>
        <v>35255</v>
      </c>
    </row>
    <row r="90" spans="1:24" ht="12.75">
      <c r="A90" s="36" t="s">
        <v>93</v>
      </c>
      <c r="B90" s="10"/>
      <c r="C90" s="10"/>
      <c r="D90" s="10"/>
      <c r="E90" s="10"/>
      <c r="F90" s="10"/>
      <c r="G90" s="10"/>
      <c r="H90" s="31"/>
      <c r="I90" s="31"/>
      <c r="J90" s="31">
        <f>(29530*0.5)+19940*0.5</f>
        <v>24735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>
        <f t="shared" si="2"/>
        <v>24735</v>
      </c>
    </row>
    <row r="91" spans="1:24" ht="12.75">
      <c r="A91" s="36" t="s">
        <v>94</v>
      </c>
      <c r="B91" s="10"/>
      <c r="C91" s="10"/>
      <c r="D91" s="10"/>
      <c r="E91" s="10"/>
      <c r="F91" s="10"/>
      <c r="G91" s="10"/>
      <c r="H91" s="31"/>
      <c r="I91" s="31"/>
      <c r="J91" s="31">
        <f>(19940*0.5)+10100*0.5</f>
        <v>15020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>
        <f t="shared" si="2"/>
        <v>15020</v>
      </c>
    </row>
    <row r="92" spans="1:24" ht="12.75">
      <c r="A92" s="36" t="s">
        <v>95</v>
      </c>
      <c r="B92" s="10"/>
      <c r="C92" s="10"/>
      <c r="D92" s="10"/>
      <c r="E92" s="10"/>
      <c r="F92" s="10"/>
      <c r="G92" s="10"/>
      <c r="H92" s="31"/>
      <c r="I92" s="31"/>
      <c r="J92" s="31">
        <v>10100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>
        <f t="shared" si="2"/>
        <v>10100</v>
      </c>
    </row>
    <row r="93" spans="1:24" ht="12.75">
      <c r="A93" s="36" t="s">
        <v>96</v>
      </c>
      <c r="B93" s="10"/>
      <c r="C93" s="10"/>
      <c r="D93" s="10"/>
      <c r="E93" s="10"/>
      <c r="F93" s="10"/>
      <c r="G93" s="1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>
        <f t="shared" si="2"/>
        <v>0</v>
      </c>
    </row>
    <row r="94" spans="1:24" ht="12.75">
      <c r="A94" s="36"/>
      <c r="B94" s="10"/>
      <c r="C94" s="10"/>
      <c r="D94" s="10"/>
      <c r="E94" s="10"/>
      <c r="F94" s="10"/>
      <c r="G94" s="1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>
        <f t="shared" si="2"/>
        <v>0</v>
      </c>
    </row>
    <row r="95" spans="1:24" ht="12.75">
      <c r="A95" s="36"/>
      <c r="B95" s="10"/>
      <c r="C95" s="10"/>
      <c r="D95" s="10"/>
      <c r="E95" s="10"/>
      <c r="F95" s="10"/>
      <c r="G95" s="1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>
        <f t="shared" si="2"/>
        <v>0</v>
      </c>
    </row>
    <row r="96" spans="1:24" ht="12.75">
      <c r="A96" s="36"/>
      <c r="B96" s="10"/>
      <c r="C96" s="10"/>
      <c r="D96" s="10"/>
      <c r="E96" s="31"/>
      <c r="F96" s="10"/>
      <c r="G96" s="1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9">
        <f t="shared" si="2"/>
        <v>0</v>
      </c>
    </row>
    <row r="97" spans="1:24" ht="13.5" thickBot="1">
      <c r="A97" s="36"/>
      <c r="B97" s="40">
        <f aca="true" t="shared" si="3" ref="B97:X97">SUM(B54:B96)</f>
        <v>45972.380000000005</v>
      </c>
      <c r="C97" s="40">
        <f t="shared" si="3"/>
        <v>0</v>
      </c>
      <c r="D97" s="40">
        <f t="shared" si="3"/>
        <v>24313</v>
      </c>
      <c r="E97" s="40">
        <f t="shared" si="3"/>
        <v>1249606</v>
      </c>
      <c r="F97" s="40">
        <f t="shared" si="3"/>
        <v>455310</v>
      </c>
      <c r="G97" s="40">
        <f t="shared" si="3"/>
        <v>119498</v>
      </c>
      <c r="H97" s="40">
        <f t="shared" si="3"/>
        <v>3796673.8949999977</v>
      </c>
      <c r="I97" s="40">
        <f t="shared" si="3"/>
        <v>4865</v>
      </c>
      <c r="J97" s="40">
        <f t="shared" si="3"/>
        <v>5402840</v>
      </c>
      <c r="K97" s="40">
        <f t="shared" si="3"/>
        <v>997432.0600000002</v>
      </c>
      <c r="L97" s="40">
        <f t="shared" si="3"/>
        <v>24049.615999999998</v>
      </c>
      <c r="M97" s="40">
        <f t="shared" si="3"/>
        <v>25827.149999999998</v>
      </c>
      <c r="N97" s="40">
        <f t="shared" si="3"/>
        <v>367279.7100000001</v>
      </c>
      <c r="O97" s="40">
        <f t="shared" si="3"/>
        <v>51104.31</v>
      </c>
      <c r="P97" s="40">
        <f t="shared" si="3"/>
        <v>26514.199999999997</v>
      </c>
      <c r="Q97" s="40">
        <f t="shared" si="3"/>
        <v>109482.13000000002</v>
      </c>
      <c r="R97" s="40">
        <f t="shared" si="3"/>
        <v>52799.810000000005</v>
      </c>
      <c r="S97" s="40">
        <f t="shared" si="3"/>
        <v>0</v>
      </c>
      <c r="T97" s="40">
        <f t="shared" si="3"/>
        <v>206753.18999999992</v>
      </c>
      <c r="U97" s="40">
        <f t="shared" si="3"/>
        <v>480658.85000000003</v>
      </c>
      <c r="V97" s="40">
        <f t="shared" si="3"/>
        <v>530388.27</v>
      </c>
      <c r="W97" s="40">
        <f t="shared" si="3"/>
        <v>9154.769999999999</v>
      </c>
      <c r="X97" s="40">
        <f t="shared" si="3"/>
        <v>13980522.341000002</v>
      </c>
    </row>
    <row r="98" ht="13.5" thickTop="1"/>
    <row r="99" spans="1:24" ht="12.75">
      <c r="A99" s="30"/>
      <c r="B99" s="31"/>
      <c r="C99" s="31"/>
      <c r="D99" s="31"/>
      <c r="E99" s="31"/>
      <c r="F99" s="31"/>
      <c r="G99" s="31"/>
      <c r="X99" s="31"/>
    </row>
    <row r="100" spans="1:24" ht="12.75">
      <c r="A100" s="30"/>
      <c r="B100" s="31"/>
      <c r="C100" s="31"/>
      <c r="D100" s="31"/>
      <c r="E100" s="31"/>
      <c r="F100" s="31"/>
      <c r="G100" s="31"/>
      <c r="X100" s="31"/>
    </row>
    <row r="101" spans="1:24" ht="12.75">
      <c r="A101" s="33" t="s">
        <v>48</v>
      </c>
      <c r="B101" s="31"/>
      <c r="C101" s="31"/>
      <c r="D101" s="31"/>
      <c r="E101" s="31"/>
      <c r="F101" s="31"/>
      <c r="G101" s="31"/>
      <c r="X101" s="31"/>
    </row>
    <row r="102" spans="1:24" s="43" customFormat="1" ht="12.75">
      <c r="A102" s="41"/>
      <c r="B102" s="42" t="s">
        <v>113</v>
      </c>
      <c r="C102" s="42"/>
      <c r="D102" s="42" t="s">
        <v>112</v>
      </c>
      <c r="E102" s="42" t="s">
        <v>111</v>
      </c>
      <c r="F102" s="42" t="s">
        <v>110</v>
      </c>
      <c r="G102" s="42" t="s">
        <v>109</v>
      </c>
      <c r="H102" s="43" t="s">
        <v>101</v>
      </c>
      <c r="I102" s="43" t="s">
        <v>114</v>
      </c>
      <c r="J102" s="43" t="s">
        <v>118</v>
      </c>
      <c r="K102" s="43" t="s">
        <v>120</v>
      </c>
      <c r="L102" s="43" t="s">
        <v>108</v>
      </c>
      <c r="M102" s="43" t="s">
        <v>107</v>
      </c>
      <c r="N102" s="43" t="s">
        <v>100</v>
      </c>
      <c r="O102" s="43" t="s">
        <v>106</v>
      </c>
      <c r="P102" s="43" t="s">
        <v>105</v>
      </c>
      <c r="Q102" s="43" t="s">
        <v>104</v>
      </c>
      <c r="R102" s="43" t="s">
        <v>102</v>
      </c>
      <c r="T102" s="43" t="s">
        <v>117</v>
      </c>
      <c r="U102" s="68" t="s">
        <v>103</v>
      </c>
      <c r="V102" s="68"/>
      <c r="W102" s="54" t="s">
        <v>121</v>
      </c>
      <c r="X102" s="42"/>
    </row>
    <row r="103" spans="1:25" s="51" customFormat="1" ht="12.75">
      <c r="A103" s="44" t="s">
        <v>3</v>
      </c>
      <c r="B103" s="53" t="s">
        <v>5</v>
      </c>
      <c r="C103" s="45" t="s">
        <v>56</v>
      </c>
      <c r="D103" s="53" t="s">
        <v>8</v>
      </c>
      <c r="E103" s="53">
        <v>2004</v>
      </c>
      <c r="F103" s="45" t="s">
        <v>49</v>
      </c>
      <c r="G103" s="45" t="s">
        <v>50</v>
      </c>
      <c r="H103" s="53">
        <v>2011</v>
      </c>
      <c r="I103" s="45" t="s">
        <v>67</v>
      </c>
      <c r="J103" s="53">
        <v>2016</v>
      </c>
      <c r="K103" s="53" t="s">
        <v>119</v>
      </c>
      <c r="L103" s="53" t="s">
        <v>71</v>
      </c>
      <c r="M103" s="53" t="s">
        <v>73</v>
      </c>
      <c r="N103" s="53" t="s">
        <v>85</v>
      </c>
      <c r="O103" s="53" t="s">
        <v>86</v>
      </c>
      <c r="P103" s="53" t="s">
        <v>89</v>
      </c>
      <c r="Q103" s="53" t="s">
        <v>90</v>
      </c>
      <c r="R103" s="53" t="s">
        <v>91</v>
      </c>
      <c r="S103" s="45" t="s">
        <v>78</v>
      </c>
      <c r="T103" s="53" t="s">
        <v>115</v>
      </c>
      <c r="U103" s="53" t="s">
        <v>76</v>
      </c>
      <c r="V103" s="53" t="s">
        <v>77</v>
      </c>
      <c r="W103" s="45" t="s">
        <v>122</v>
      </c>
      <c r="X103" s="45" t="s">
        <v>11</v>
      </c>
      <c r="Y103" s="45" t="s">
        <v>51</v>
      </c>
    </row>
    <row r="104" spans="1:25" ht="12.75">
      <c r="A104" s="36" t="s">
        <v>21</v>
      </c>
      <c r="B104" s="31">
        <f>41748.75*4</f>
        <v>166995</v>
      </c>
      <c r="C104" s="10"/>
      <c r="D104" s="10">
        <v>184925</v>
      </c>
      <c r="E104" s="31">
        <f aca="true" t="shared" si="4" ref="E104:R104">+E9+E55</f>
        <v>129779</v>
      </c>
      <c r="F104" s="31">
        <f t="shared" si="4"/>
        <v>49108</v>
      </c>
      <c r="G104" s="31">
        <f t="shared" si="4"/>
        <v>13392</v>
      </c>
      <c r="H104" s="59">
        <f t="shared" si="4"/>
        <v>318562.5</v>
      </c>
      <c r="I104" s="31">
        <f t="shared" si="4"/>
        <v>179445</v>
      </c>
      <c r="J104" s="31">
        <f t="shared" si="4"/>
        <v>376245</v>
      </c>
      <c r="K104" s="31">
        <f t="shared" si="4"/>
        <v>559140.13</v>
      </c>
      <c r="L104" s="55">
        <f t="shared" si="4"/>
        <v>19233.18</v>
      </c>
      <c r="M104" s="31">
        <f t="shared" si="4"/>
        <v>21377.239999999998</v>
      </c>
      <c r="N104" s="31">
        <f t="shared" si="4"/>
        <v>149702.21</v>
      </c>
      <c r="O104" s="31">
        <f t="shared" si="4"/>
        <v>35106.42</v>
      </c>
      <c r="P104" s="31">
        <f t="shared" si="4"/>
        <v>18330.6</v>
      </c>
      <c r="Q104" s="31">
        <f t="shared" si="4"/>
        <v>79065.08</v>
      </c>
      <c r="R104" s="31">
        <f t="shared" si="4"/>
        <v>34312.600000000006</v>
      </c>
      <c r="S104" s="31"/>
      <c r="T104" s="31">
        <f aca="true" t="shared" si="5" ref="T104:V123">+T9+T55</f>
        <v>116514</v>
      </c>
      <c r="U104" s="31">
        <f t="shared" si="5"/>
        <v>33993.75</v>
      </c>
      <c r="V104" s="31">
        <f t="shared" si="5"/>
        <v>42494.38</v>
      </c>
      <c r="W104" s="31">
        <f aca="true" t="shared" si="6" ref="W104:W142">+W9+W55</f>
        <v>12346.8</v>
      </c>
      <c r="X104" s="31">
        <f aca="true" t="shared" si="7" ref="X104:X146">SUM(B104:W104)</f>
        <v>2540067.8899999997</v>
      </c>
      <c r="Y104" s="31">
        <f aca="true" t="shared" si="8" ref="Y104:Y144">+F104+G104+H104+I104+J104</f>
        <v>936752.5</v>
      </c>
    </row>
    <row r="105" spans="1:25" ht="12.75">
      <c r="A105" s="36" t="s">
        <v>22</v>
      </c>
      <c r="B105" s="31">
        <f>41748.75*4</f>
        <v>166995</v>
      </c>
      <c r="C105" s="10"/>
      <c r="D105" s="10">
        <v>184571</v>
      </c>
      <c r="E105" s="31">
        <f aca="true" t="shared" si="9" ref="E105:R105">+E10+E56</f>
        <v>129840</v>
      </c>
      <c r="F105" s="31">
        <f t="shared" si="9"/>
        <v>49320</v>
      </c>
      <c r="G105" s="31">
        <f t="shared" si="9"/>
        <v>13167</v>
      </c>
      <c r="H105" s="31">
        <f t="shared" si="9"/>
        <v>319097.5</v>
      </c>
      <c r="I105" s="31">
        <f t="shared" si="9"/>
        <v>15420</v>
      </c>
      <c r="J105" s="31">
        <f t="shared" si="9"/>
        <v>375985</v>
      </c>
      <c r="K105" s="31">
        <f t="shared" si="9"/>
        <v>558207.91</v>
      </c>
      <c r="L105" s="31">
        <f t="shared" si="9"/>
        <v>19192.71</v>
      </c>
      <c r="M105" s="31">
        <f t="shared" si="9"/>
        <v>21341.02</v>
      </c>
      <c r="N105" s="31">
        <f t="shared" si="9"/>
        <v>149428.65000000002</v>
      </c>
      <c r="O105" s="31">
        <f t="shared" si="9"/>
        <v>35047.97</v>
      </c>
      <c r="P105" s="31">
        <f t="shared" si="9"/>
        <v>18291.83</v>
      </c>
      <c r="Q105" s="31">
        <f t="shared" si="9"/>
        <v>78930.20000000001</v>
      </c>
      <c r="R105" s="31">
        <f t="shared" si="9"/>
        <v>34254.61</v>
      </c>
      <c r="S105" s="31"/>
      <c r="T105" s="31">
        <f t="shared" si="5"/>
        <v>116272.12</v>
      </c>
      <c r="U105" s="31">
        <f t="shared" si="5"/>
        <v>34128.13</v>
      </c>
      <c r="V105" s="31">
        <f t="shared" si="5"/>
        <v>42533.75</v>
      </c>
      <c r="W105" s="31">
        <f t="shared" si="6"/>
        <v>12346.8</v>
      </c>
      <c r="X105" s="31">
        <f t="shared" si="7"/>
        <v>2374371.1999999997</v>
      </c>
      <c r="Y105" s="31">
        <f t="shared" si="8"/>
        <v>772989.5</v>
      </c>
    </row>
    <row r="106" spans="1:25" ht="12.75">
      <c r="A106" s="36" t="s">
        <v>23</v>
      </c>
      <c r="B106" s="31">
        <f>41748.75*4</f>
        <v>166995</v>
      </c>
      <c r="C106" s="10"/>
      <c r="D106" s="10">
        <v>184215</v>
      </c>
      <c r="E106" s="31">
        <f aca="true" t="shared" si="10" ref="E106:H127">+E11+E57</f>
        <v>130308</v>
      </c>
      <c r="F106" s="31">
        <f t="shared" si="10"/>
        <v>49488</v>
      </c>
      <c r="G106" s="31">
        <f t="shared" si="10"/>
        <v>12943</v>
      </c>
      <c r="H106" s="31">
        <f t="shared" si="10"/>
        <v>319522.5</v>
      </c>
      <c r="I106" s="31"/>
      <c r="J106" s="31">
        <f aca="true" t="shared" si="11" ref="J106:R106">+J11+J57</f>
        <v>376120</v>
      </c>
      <c r="K106" s="31">
        <f t="shared" si="11"/>
        <v>557268.67</v>
      </c>
      <c r="L106" s="31">
        <f t="shared" si="11"/>
        <v>19151.829999999998</v>
      </c>
      <c r="M106" s="31">
        <f t="shared" si="11"/>
        <v>21304.43</v>
      </c>
      <c r="N106" s="31">
        <f t="shared" si="11"/>
        <v>149150.26</v>
      </c>
      <c r="O106" s="31">
        <f t="shared" si="11"/>
        <v>34988.93</v>
      </c>
      <c r="P106" s="31">
        <f t="shared" si="11"/>
        <v>18252.75</v>
      </c>
      <c r="Q106" s="31">
        <f t="shared" si="11"/>
        <v>78794.31999999999</v>
      </c>
      <c r="R106" s="31">
        <f t="shared" si="11"/>
        <v>34196.18</v>
      </c>
      <c r="S106" s="31"/>
      <c r="T106" s="31">
        <f t="shared" si="5"/>
        <v>116028.45</v>
      </c>
      <c r="U106" s="31">
        <f t="shared" si="5"/>
        <v>33754.38</v>
      </c>
      <c r="V106" s="31">
        <f t="shared" si="5"/>
        <v>42559.38</v>
      </c>
      <c r="W106" s="31">
        <f t="shared" si="6"/>
        <v>12346.800000000001</v>
      </c>
      <c r="X106" s="31">
        <f t="shared" si="7"/>
        <v>2357387.88</v>
      </c>
      <c r="Y106" s="31">
        <f t="shared" si="8"/>
        <v>758073.5</v>
      </c>
    </row>
    <row r="107" spans="1:25" ht="12.75">
      <c r="A107" s="36" t="s">
        <v>24</v>
      </c>
      <c r="B107" s="10">
        <f>41748.75*2</f>
        <v>83497.5</v>
      </c>
      <c r="C107" s="10"/>
      <c r="D107" s="10">
        <v>183855</v>
      </c>
      <c r="E107" s="31">
        <f t="shared" si="10"/>
        <v>130184</v>
      </c>
      <c r="F107" s="31">
        <f t="shared" si="10"/>
        <v>49610</v>
      </c>
      <c r="G107" s="31">
        <f t="shared" si="10"/>
        <v>12718</v>
      </c>
      <c r="H107" s="31">
        <f t="shared" si="10"/>
        <v>320330.63</v>
      </c>
      <c r="I107" s="31"/>
      <c r="J107" s="31">
        <f aca="true" t="shared" si="12" ref="J107:R107">+J12+J58</f>
        <v>375655</v>
      </c>
      <c r="K107" s="31">
        <f t="shared" si="12"/>
        <v>556322.38</v>
      </c>
      <c r="L107" s="31">
        <f t="shared" si="12"/>
        <v>19110.530000000002</v>
      </c>
      <c r="M107" s="31">
        <f t="shared" si="12"/>
        <v>21267.480000000003</v>
      </c>
      <c r="N107" s="31">
        <f t="shared" si="12"/>
        <v>148866.99</v>
      </c>
      <c r="O107" s="31">
        <f t="shared" si="12"/>
        <v>34929.3</v>
      </c>
      <c r="P107" s="31">
        <f t="shared" si="12"/>
        <v>18213.38</v>
      </c>
      <c r="Q107" s="31">
        <f t="shared" si="12"/>
        <v>78657.4</v>
      </c>
      <c r="R107" s="31">
        <f t="shared" si="12"/>
        <v>34137.29</v>
      </c>
      <c r="S107" s="31"/>
      <c r="T107" s="31">
        <f t="shared" si="5"/>
        <v>115782.95999999999</v>
      </c>
      <c r="U107" s="31">
        <f t="shared" si="5"/>
        <v>33872.5</v>
      </c>
      <c r="V107" s="31">
        <f t="shared" si="5"/>
        <v>42571.259999999995</v>
      </c>
      <c r="W107" s="31">
        <f t="shared" si="6"/>
        <v>12346.8</v>
      </c>
      <c r="X107" s="31">
        <f t="shared" si="7"/>
        <v>2271928.3999999994</v>
      </c>
      <c r="Y107" s="31">
        <f t="shared" si="8"/>
        <v>758313.63</v>
      </c>
    </row>
    <row r="108" spans="1:25" ht="12.75">
      <c r="A108" s="36" t="s">
        <v>25</v>
      </c>
      <c r="B108" s="10"/>
      <c r="C108" s="10"/>
      <c r="D108" s="10">
        <v>91790</v>
      </c>
      <c r="E108" s="31">
        <f t="shared" si="10"/>
        <v>130467</v>
      </c>
      <c r="F108" s="31">
        <f t="shared" si="10"/>
        <v>49687</v>
      </c>
      <c r="G108" s="31">
        <f t="shared" si="10"/>
        <v>12493</v>
      </c>
      <c r="H108" s="31">
        <f t="shared" si="10"/>
        <v>321015.01</v>
      </c>
      <c r="I108" s="31"/>
      <c r="J108" s="31">
        <f aca="true" t="shared" si="13" ref="J108:R108">+J13+J59</f>
        <v>376080</v>
      </c>
      <c r="K108" s="31">
        <f t="shared" si="13"/>
        <v>555368.97</v>
      </c>
      <c r="L108" s="31">
        <f t="shared" si="13"/>
        <v>19068.82</v>
      </c>
      <c r="M108" s="31">
        <f t="shared" si="13"/>
        <v>21230.16</v>
      </c>
      <c r="N108" s="31">
        <f t="shared" si="13"/>
        <v>148578.75</v>
      </c>
      <c r="O108" s="31">
        <f t="shared" si="13"/>
        <v>34869.06</v>
      </c>
      <c r="P108" s="31">
        <f t="shared" si="13"/>
        <v>18173.71</v>
      </c>
      <c r="Q108" s="31">
        <f t="shared" si="13"/>
        <v>78519.46</v>
      </c>
      <c r="R108" s="31">
        <f t="shared" si="13"/>
        <v>34077.979999999996</v>
      </c>
      <c r="S108" s="31"/>
      <c r="T108" s="31">
        <f t="shared" si="5"/>
        <v>115535.60999999999</v>
      </c>
      <c r="U108" s="31">
        <f t="shared" si="5"/>
        <v>33974.38</v>
      </c>
      <c r="V108" s="31">
        <f t="shared" si="5"/>
        <v>42569.38</v>
      </c>
      <c r="W108" s="31">
        <f t="shared" si="6"/>
        <v>8430.339999999998</v>
      </c>
      <c r="X108" s="31">
        <f t="shared" si="7"/>
        <v>2091928.6299999997</v>
      </c>
      <c r="Y108" s="31">
        <f t="shared" si="8"/>
        <v>759275.01</v>
      </c>
    </row>
    <row r="109" spans="1:25" ht="12.75">
      <c r="A109" s="36" t="s">
        <v>26</v>
      </c>
      <c r="B109" s="31"/>
      <c r="C109" s="31"/>
      <c r="D109" s="31"/>
      <c r="E109" s="31">
        <f t="shared" si="10"/>
        <v>130647</v>
      </c>
      <c r="F109" s="31">
        <f t="shared" si="10"/>
        <v>49720</v>
      </c>
      <c r="G109" s="31">
        <f t="shared" si="10"/>
        <v>13245</v>
      </c>
      <c r="H109" s="31">
        <f t="shared" si="10"/>
        <v>321575.63</v>
      </c>
      <c r="I109" s="31"/>
      <c r="J109" s="31">
        <f aca="true" t="shared" si="14" ref="J109:R109">+J14+J60</f>
        <v>375885</v>
      </c>
      <c r="K109" s="31">
        <f t="shared" si="14"/>
        <v>554408.4</v>
      </c>
      <c r="L109" s="31">
        <f t="shared" si="14"/>
        <v>19026.700000000004</v>
      </c>
      <c r="M109" s="31">
        <f t="shared" si="14"/>
        <v>21192.46</v>
      </c>
      <c r="N109" s="31">
        <f t="shared" si="14"/>
        <v>148285.43</v>
      </c>
      <c r="O109" s="31">
        <f t="shared" si="14"/>
        <v>34808.23</v>
      </c>
      <c r="P109" s="31">
        <f t="shared" si="14"/>
        <v>18133.75</v>
      </c>
      <c r="Q109" s="31">
        <f t="shared" si="14"/>
        <v>78380.48</v>
      </c>
      <c r="R109" s="31">
        <f t="shared" si="14"/>
        <v>34018.21</v>
      </c>
      <c r="S109" s="31"/>
      <c r="T109" s="31">
        <f t="shared" si="5"/>
        <v>115286.41</v>
      </c>
      <c r="U109" s="31">
        <f t="shared" si="5"/>
        <v>34060.009999999995</v>
      </c>
      <c r="V109" s="31">
        <f t="shared" si="5"/>
        <v>42553.75</v>
      </c>
      <c r="W109" s="31">
        <f t="shared" si="6"/>
        <v>0</v>
      </c>
      <c r="X109" s="31">
        <f t="shared" si="7"/>
        <v>1991226.4599999997</v>
      </c>
      <c r="Y109" s="31">
        <f t="shared" si="8"/>
        <v>760425.63</v>
      </c>
    </row>
    <row r="110" spans="1:25" ht="12.75">
      <c r="A110" s="36" t="s">
        <v>27</v>
      </c>
      <c r="B110" s="31"/>
      <c r="C110" s="31"/>
      <c r="D110" s="31"/>
      <c r="E110" s="31">
        <f t="shared" si="10"/>
        <v>130723</v>
      </c>
      <c r="F110" s="31">
        <f t="shared" si="10"/>
        <v>49708</v>
      </c>
      <c r="G110" s="31">
        <f t="shared" si="10"/>
        <v>12975</v>
      </c>
      <c r="H110" s="31">
        <f t="shared" si="10"/>
        <v>322012.5</v>
      </c>
      <c r="I110" s="31"/>
      <c r="J110" s="31">
        <f aca="true" t="shared" si="15" ref="J110:R110">+J15+J61</f>
        <v>375580</v>
      </c>
      <c r="K110" s="31">
        <f t="shared" si="15"/>
        <v>553440.62</v>
      </c>
      <c r="L110" s="31">
        <f t="shared" si="15"/>
        <v>18984.15</v>
      </c>
      <c r="M110" s="31">
        <f t="shared" si="15"/>
        <v>21154.44</v>
      </c>
      <c r="N110" s="31">
        <f t="shared" si="15"/>
        <v>147986.95</v>
      </c>
      <c r="O110" s="31">
        <f t="shared" si="15"/>
        <v>34746.78</v>
      </c>
      <c r="P110" s="31">
        <f t="shared" si="15"/>
        <v>18096.49</v>
      </c>
      <c r="Q110" s="31">
        <f t="shared" si="15"/>
        <v>78240.46</v>
      </c>
      <c r="R110" s="31">
        <f t="shared" si="15"/>
        <v>33958</v>
      </c>
      <c r="S110" s="31"/>
      <c r="T110" s="31">
        <f t="shared" si="5"/>
        <v>115035.33999999998</v>
      </c>
      <c r="U110" s="31">
        <f t="shared" si="5"/>
        <v>34129.38</v>
      </c>
      <c r="V110" s="31">
        <f t="shared" si="5"/>
        <v>42524.38</v>
      </c>
      <c r="W110" s="31">
        <f t="shared" si="6"/>
        <v>0</v>
      </c>
      <c r="X110" s="31">
        <f t="shared" si="7"/>
        <v>1989295.4899999998</v>
      </c>
      <c r="Y110" s="31">
        <f t="shared" si="8"/>
        <v>760275.5</v>
      </c>
    </row>
    <row r="111" spans="1:25" ht="12.75">
      <c r="A111" s="36" t="s">
        <v>28</v>
      </c>
      <c r="B111" s="31"/>
      <c r="C111" s="31"/>
      <c r="D111" s="31"/>
      <c r="E111" s="31">
        <f t="shared" si="10"/>
        <v>130697</v>
      </c>
      <c r="F111" s="31">
        <f t="shared" si="10"/>
        <v>49650</v>
      </c>
      <c r="G111" s="31">
        <f t="shared" si="10"/>
        <v>12705</v>
      </c>
      <c r="H111" s="31">
        <f t="shared" si="10"/>
        <v>322818.75</v>
      </c>
      <c r="I111" s="31"/>
      <c r="J111" s="31">
        <f aca="true" t="shared" si="16" ref="J111:R111">+J16+J62</f>
        <v>375660</v>
      </c>
      <c r="K111" s="31">
        <f t="shared" si="16"/>
        <v>552465.56</v>
      </c>
      <c r="L111" s="31">
        <f t="shared" si="16"/>
        <v>18941.19</v>
      </c>
      <c r="M111" s="31">
        <f t="shared" si="16"/>
        <v>21115.93</v>
      </c>
      <c r="N111" s="31">
        <f t="shared" si="16"/>
        <v>147683.23</v>
      </c>
      <c r="O111" s="31">
        <f t="shared" si="16"/>
        <v>34684.73</v>
      </c>
      <c r="P111" s="31">
        <f t="shared" si="16"/>
        <v>18052.92</v>
      </c>
      <c r="Q111" s="31">
        <f t="shared" si="16"/>
        <v>78099.38</v>
      </c>
      <c r="R111" s="31">
        <f t="shared" si="16"/>
        <v>33897.14</v>
      </c>
      <c r="S111" s="31"/>
      <c r="T111" s="31">
        <f t="shared" si="5"/>
        <v>114782.37999999999</v>
      </c>
      <c r="U111" s="31">
        <f t="shared" si="5"/>
        <v>34182.5</v>
      </c>
      <c r="V111" s="31">
        <f t="shared" si="5"/>
        <v>42481.259999999995</v>
      </c>
      <c r="W111" s="31">
        <f t="shared" si="6"/>
        <v>0</v>
      </c>
      <c r="X111" s="31">
        <f t="shared" si="7"/>
        <v>1987916.9699999997</v>
      </c>
      <c r="Y111" s="31">
        <f t="shared" si="8"/>
        <v>760833.75</v>
      </c>
    </row>
    <row r="112" spans="1:25" ht="12.75">
      <c r="A112" s="36" t="s">
        <v>29</v>
      </c>
      <c r="B112" s="31"/>
      <c r="C112" s="31"/>
      <c r="D112" s="31"/>
      <c r="E112" s="31">
        <f t="shared" si="10"/>
        <v>131057</v>
      </c>
      <c r="F112" s="31">
        <f t="shared" si="10"/>
        <v>49548</v>
      </c>
      <c r="G112" s="31">
        <f t="shared" si="10"/>
        <v>12435</v>
      </c>
      <c r="H112" s="31">
        <f t="shared" si="10"/>
        <v>323487.5</v>
      </c>
      <c r="I112" s="31"/>
      <c r="J112" s="31">
        <f aca="true" t="shared" si="17" ref="J112:R112">+J17+J63</f>
        <v>375615</v>
      </c>
      <c r="K112" s="31">
        <f t="shared" si="17"/>
        <v>551483.1799999999</v>
      </c>
      <c r="L112" s="31">
        <f t="shared" si="17"/>
        <v>18897.78</v>
      </c>
      <c r="M112" s="31">
        <f t="shared" si="17"/>
        <v>21077.08</v>
      </c>
      <c r="N112" s="31">
        <f t="shared" si="17"/>
        <v>147374.18</v>
      </c>
      <c r="O112" s="31">
        <f t="shared" si="17"/>
        <v>34622.05</v>
      </c>
      <c r="P112" s="31">
        <f t="shared" si="17"/>
        <v>18012.05</v>
      </c>
      <c r="Q112" s="31">
        <f t="shared" si="17"/>
        <v>77957.25</v>
      </c>
      <c r="R112" s="31">
        <f t="shared" si="17"/>
        <v>33836.22</v>
      </c>
      <c r="S112" s="31"/>
      <c r="T112" s="31">
        <f t="shared" si="5"/>
        <v>114527.53</v>
      </c>
      <c r="U112" s="31">
        <f t="shared" si="5"/>
        <v>34219.38</v>
      </c>
      <c r="V112" s="31">
        <f t="shared" si="5"/>
        <v>42424.38</v>
      </c>
      <c r="W112" s="31">
        <f t="shared" si="6"/>
        <v>0</v>
      </c>
      <c r="X112" s="31">
        <f t="shared" si="7"/>
        <v>1986573.5799999998</v>
      </c>
      <c r="Y112" s="31">
        <f t="shared" si="8"/>
        <v>761085.5</v>
      </c>
    </row>
    <row r="113" spans="1:25" ht="12.75">
      <c r="A113" s="36" t="s">
        <v>30</v>
      </c>
      <c r="B113" s="31"/>
      <c r="C113" s="31"/>
      <c r="D113" s="31"/>
      <c r="E113" s="31">
        <f t="shared" si="10"/>
        <v>131293</v>
      </c>
      <c r="F113" s="31">
        <f t="shared" si="10"/>
        <v>49400</v>
      </c>
      <c r="G113" s="31">
        <f t="shared" si="10"/>
        <v>13143</v>
      </c>
      <c r="H113" s="31">
        <f t="shared" si="10"/>
        <v>324018.75</v>
      </c>
      <c r="I113" s="31"/>
      <c r="J113" s="31">
        <f aca="true" t="shared" si="18" ref="J113:R113">+J18+J64</f>
        <v>375445</v>
      </c>
      <c r="K113" s="31">
        <f t="shared" si="18"/>
        <v>550493.4099999999</v>
      </c>
      <c r="L113" s="31">
        <f t="shared" si="18"/>
        <v>18853.982</v>
      </c>
      <c r="M113" s="31">
        <f t="shared" si="18"/>
        <v>21037.859999999997</v>
      </c>
      <c r="N113" s="31">
        <f t="shared" si="18"/>
        <v>147059.69</v>
      </c>
      <c r="O113" s="31">
        <f t="shared" si="18"/>
        <v>34558.73</v>
      </c>
      <c r="P113" s="31">
        <f t="shared" si="18"/>
        <v>17970.87</v>
      </c>
      <c r="Q113" s="31">
        <f t="shared" si="18"/>
        <v>77814.05</v>
      </c>
      <c r="R113" s="31">
        <f t="shared" si="18"/>
        <v>33774.64</v>
      </c>
      <c r="S113" s="31"/>
      <c r="T113" s="31">
        <f t="shared" si="5"/>
        <v>114270.75</v>
      </c>
      <c r="U113" s="31">
        <f t="shared" si="5"/>
        <v>34240.009999999995</v>
      </c>
      <c r="V113" s="31">
        <f t="shared" si="5"/>
        <v>42353.75</v>
      </c>
      <c r="W113" s="31">
        <f t="shared" si="6"/>
        <v>0</v>
      </c>
      <c r="X113" s="31">
        <f t="shared" si="7"/>
        <v>1985727.492</v>
      </c>
      <c r="Y113" s="31">
        <f t="shared" si="8"/>
        <v>762006.75</v>
      </c>
    </row>
    <row r="114" spans="1:25" ht="12.75">
      <c r="A114" s="36" t="s">
        <v>31</v>
      </c>
      <c r="B114" s="31"/>
      <c r="C114" s="31"/>
      <c r="D114" s="31"/>
      <c r="E114" s="31">
        <f t="shared" si="10"/>
        <v>131405</v>
      </c>
      <c r="F114" s="31">
        <f t="shared" si="10"/>
        <v>49208</v>
      </c>
      <c r="G114" s="31">
        <f t="shared" si="10"/>
        <v>12827</v>
      </c>
      <c r="H114" s="31">
        <f t="shared" si="10"/>
        <v>325905.63</v>
      </c>
      <c r="I114" s="31"/>
      <c r="J114" s="31">
        <f aca="true" t="shared" si="19" ref="J114:R114">+J19+J65</f>
        <v>375650</v>
      </c>
      <c r="K114" s="31">
        <f t="shared" si="19"/>
        <v>549496.21</v>
      </c>
      <c r="L114" s="31">
        <f t="shared" si="19"/>
        <v>18809.67</v>
      </c>
      <c r="M114" s="31">
        <f t="shared" si="19"/>
        <v>20998.23</v>
      </c>
      <c r="N114" s="31">
        <f t="shared" si="19"/>
        <v>146739.68</v>
      </c>
      <c r="O114" s="31">
        <f t="shared" si="19"/>
        <v>34494.79</v>
      </c>
      <c r="P114" s="31">
        <f t="shared" si="19"/>
        <v>17929.39</v>
      </c>
      <c r="Q114" s="31">
        <f t="shared" si="19"/>
        <v>77669.76999999999</v>
      </c>
      <c r="R114" s="31">
        <f t="shared" si="19"/>
        <v>33712.6</v>
      </c>
      <c r="S114" s="31"/>
      <c r="T114" s="31">
        <f t="shared" si="5"/>
        <v>114012.04999999999</v>
      </c>
      <c r="U114" s="31">
        <f t="shared" si="5"/>
        <v>34244.38</v>
      </c>
      <c r="V114" s="31">
        <f t="shared" si="5"/>
        <v>42269.38</v>
      </c>
      <c r="W114" s="31">
        <f t="shared" si="6"/>
        <v>0</v>
      </c>
      <c r="X114" s="31">
        <f t="shared" si="7"/>
        <v>1985371.7799999996</v>
      </c>
      <c r="Y114" s="31">
        <f t="shared" si="8"/>
        <v>763590.63</v>
      </c>
    </row>
    <row r="115" spans="1:25" ht="12.75">
      <c r="A115" s="36" t="s">
        <v>32</v>
      </c>
      <c r="B115" s="31"/>
      <c r="C115" s="31"/>
      <c r="D115" s="31"/>
      <c r="E115" s="31">
        <f t="shared" si="10"/>
        <v>131884</v>
      </c>
      <c r="F115" s="31">
        <f t="shared" si="10"/>
        <v>48970</v>
      </c>
      <c r="G115" s="31">
        <f t="shared" si="10"/>
        <v>12513</v>
      </c>
      <c r="H115" s="31">
        <f t="shared" si="10"/>
        <v>325641.26</v>
      </c>
      <c r="I115" s="31"/>
      <c r="J115" s="31">
        <f aca="true" t="shared" si="20" ref="J115:R115">+J20+J66</f>
        <v>375225</v>
      </c>
      <c r="K115" s="31">
        <f t="shared" si="20"/>
        <v>548491.51</v>
      </c>
      <c r="L115" s="31">
        <f t="shared" si="20"/>
        <v>18764.494</v>
      </c>
      <c r="M115" s="31">
        <f t="shared" si="20"/>
        <v>20958.21</v>
      </c>
      <c r="N115" s="31">
        <f t="shared" si="20"/>
        <v>146414.04</v>
      </c>
      <c r="O115" s="31">
        <f t="shared" si="20"/>
        <v>34430.19</v>
      </c>
      <c r="P115" s="31">
        <f t="shared" si="20"/>
        <v>17887.589999999997</v>
      </c>
      <c r="Q115" s="31">
        <f t="shared" si="20"/>
        <v>77524.40999999999</v>
      </c>
      <c r="R115" s="31">
        <f t="shared" si="20"/>
        <v>33650.1</v>
      </c>
      <c r="S115" s="31"/>
      <c r="T115" s="31">
        <f t="shared" si="5"/>
        <v>113751.40000000001</v>
      </c>
      <c r="U115" s="31">
        <f t="shared" si="5"/>
        <v>34232.5</v>
      </c>
      <c r="V115" s="31">
        <f t="shared" si="5"/>
        <v>42664.38</v>
      </c>
      <c r="W115" s="31">
        <f t="shared" si="6"/>
        <v>0</v>
      </c>
      <c r="X115" s="31">
        <f t="shared" si="7"/>
        <v>1983002.0839999998</v>
      </c>
      <c r="Y115" s="31">
        <f t="shared" si="8"/>
        <v>762349.26</v>
      </c>
    </row>
    <row r="116" spans="1:25" ht="12.75">
      <c r="A116" s="36" t="s">
        <v>33</v>
      </c>
      <c r="B116" s="31"/>
      <c r="C116" s="31"/>
      <c r="D116" s="31"/>
      <c r="E116" s="31">
        <f t="shared" si="10"/>
        <v>131728</v>
      </c>
      <c r="F116" s="31">
        <f t="shared" si="10"/>
        <v>49665</v>
      </c>
      <c r="G116" s="31">
        <f t="shared" si="10"/>
        <v>13175</v>
      </c>
      <c r="H116" s="31">
        <f t="shared" si="10"/>
        <v>326718.76</v>
      </c>
      <c r="I116" s="31"/>
      <c r="J116" s="31">
        <f aca="true" t="shared" si="21" ref="J116:R116">+J21+J67</f>
        <v>375165</v>
      </c>
      <c r="K116" s="31">
        <f t="shared" si="21"/>
        <v>547479.27</v>
      </c>
      <c r="L116" s="31">
        <f t="shared" si="21"/>
        <v>18719.78</v>
      </c>
      <c r="M116" s="31">
        <f t="shared" si="21"/>
        <v>20917.79</v>
      </c>
      <c r="N116" s="31">
        <f t="shared" si="21"/>
        <v>146082.66999999998</v>
      </c>
      <c r="O116" s="31">
        <f t="shared" si="21"/>
        <v>34364.97</v>
      </c>
      <c r="P116" s="31">
        <f t="shared" si="21"/>
        <v>17845.47</v>
      </c>
      <c r="Q116" s="31">
        <f t="shared" si="21"/>
        <v>77377.95</v>
      </c>
      <c r="R116" s="31">
        <f t="shared" si="21"/>
        <v>33587.02</v>
      </c>
      <c r="S116" s="31"/>
      <c r="T116" s="31">
        <f t="shared" si="5"/>
        <v>113488.8</v>
      </c>
      <c r="U116" s="31">
        <f t="shared" si="5"/>
        <v>34204.38</v>
      </c>
      <c r="V116" s="31">
        <f t="shared" si="5"/>
        <v>42538.75</v>
      </c>
      <c r="W116" s="31">
        <f t="shared" si="6"/>
        <v>0</v>
      </c>
      <c r="X116" s="31">
        <f t="shared" si="7"/>
        <v>1983058.6099999999</v>
      </c>
      <c r="Y116" s="31">
        <f t="shared" si="8"/>
        <v>764723.76</v>
      </c>
    </row>
    <row r="117" spans="1:25" ht="12.75">
      <c r="A117" s="36" t="s">
        <v>34</v>
      </c>
      <c r="B117" s="31"/>
      <c r="C117" s="31"/>
      <c r="D117" s="31"/>
      <c r="E117" s="31">
        <f t="shared" si="10"/>
        <v>131938</v>
      </c>
      <c r="F117" s="31">
        <f t="shared" si="10"/>
        <v>49293</v>
      </c>
      <c r="G117" s="31">
        <f t="shared" si="10"/>
        <v>12815</v>
      </c>
      <c r="H117" s="31">
        <f t="shared" si="10"/>
        <v>327138.13</v>
      </c>
      <c r="I117" s="31"/>
      <c r="J117" s="31">
        <f aca="true" t="shared" si="22" ref="J117:R117">+J22+J68</f>
        <v>375460</v>
      </c>
      <c r="K117" s="31">
        <f t="shared" si="22"/>
        <v>546459.42</v>
      </c>
      <c r="L117" s="31">
        <f t="shared" si="22"/>
        <v>18674.160000000003</v>
      </c>
      <c r="M117" s="31">
        <f t="shared" si="22"/>
        <v>20876.960000000003</v>
      </c>
      <c r="N117" s="31">
        <f t="shared" si="22"/>
        <v>145745.47999999998</v>
      </c>
      <c r="O117" s="31">
        <f t="shared" si="22"/>
        <v>34299.08</v>
      </c>
      <c r="P117" s="31">
        <f t="shared" si="22"/>
        <v>17803.04</v>
      </c>
      <c r="Q117" s="31">
        <f t="shared" si="22"/>
        <v>77230.40000000001</v>
      </c>
      <c r="R117" s="31">
        <f t="shared" si="22"/>
        <v>33523.67</v>
      </c>
      <c r="S117" s="31"/>
      <c r="T117" s="31">
        <f t="shared" si="5"/>
        <v>113224.21</v>
      </c>
      <c r="U117" s="31">
        <f t="shared" si="5"/>
        <v>34160.009999999995</v>
      </c>
      <c r="V117" s="31">
        <f t="shared" si="5"/>
        <v>42399.38</v>
      </c>
      <c r="W117" s="31">
        <f t="shared" si="6"/>
        <v>0</v>
      </c>
      <c r="X117" s="31">
        <f t="shared" si="7"/>
        <v>1981039.9399999997</v>
      </c>
      <c r="Y117" s="31">
        <f t="shared" si="8"/>
        <v>764706.13</v>
      </c>
    </row>
    <row r="118" spans="1:25" ht="12.75">
      <c r="A118" s="36" t="s">
        <v>35</v>
      </c>
      <c r="B118" s="31"/>
      <c r="C118" s="31"/>
      <c r="D118" s="31"/>
      <c r="E118" s="31">
        <f t="shared" si="10"/>
        <v>132494</v>
      </c>
      <c r="F118" s="31">
        <f t="shared" si="10"/>
        <v>48875</v>
      </c>
      <c r="G118" s="31">
        <f t="shared" si="10"/>
        <v>12455</v>
      </c>
      <c r="H118" s="31">
        <f t="shared" si="10"/>
        <v>328392.5</v>
      </c>
      <c r="I118" s="31"/>
      <c r="J118" s="31">
        <f aca="true" t="shared" si="23" ref="J118:R118">+J23+J69</f>
        <v>375110</v>
      </c>
      <c r="K118" s="31">
        <f t="shared" si="23"/>
        <v>545431.9</v>
      </c>
      <c r="L118" s="31">
        <f t="shared" si="23"/>
        <v>9319.83</v>
      </c>
      <c r="M118" s="31">
        <f t="shared" si="23"/>
        <v>10423.039999999999</v>
      </c>
      <c r="N118" s="31">
        <f t="shared" si="23"/>
        <v>145402.36999999997</v>
      </c>
      <c r="O118" s="31">
        <f t="shared" si="23"/>
        <v>34232.53</v>
      </c>
      <c r="P118" s="31">
        <f t="shared" si="23"/>
        <v>17760.29</v>
      </c>
      <c r="Q118" s="31">
        <f t="shared" si="23"/>
        <v>77081.74</v>
      </c>
      <c r="R118" s="31">
        <f t="shared" si="23"/>
        <v>33459.74</v>
      </c>
      <c r="S118" s="31"/>
      <c r="T118" s="31">
        <f t="shared" si="5"/>
        <v>112957.65000000001</v>
      </c>
      <c r="U118" s="31">
        <f t="shared" si="5"/>
        <v>34099.38</v>
      </c>
      <c r="V118" s="31">
        <f t="shared" si="5"/>
        <v>42246.259999999995</v>
      </c>
      <c r="W118" s="31">
        <f t="shared" si="6"/>
        <v>0</v>
      </c>
      <c r="X118" s="31">
        <f t="shared" si="7"/>
        <v>1959741.2299999997</v>
      </c>
      <c r="Y118" s="31">
        <f t="shared" si="8"/>
        <v>764832.5</v>
      </c>
    </row>
    <row r="119" spans="1:25" ht="12.75">
      <c r="A119" s="36" t="s">
        <v>36</v>
      </c>
      <c r="B119" s="31"/>
      <c r="C119" s="31"/>
      <c r="D119" s="31"/>
      <c r="E119" s="31">
        <f t="shared" si="10"/>
        <v>132395</v>
      </c>
      <c r="F119" s="31">
        <f t="shared" si="10"/>
        <v>49390</v>
      </c>
      <c r="G119" s="31">
        <f t="shared" si="10"/>
        <v>13073</v>
      </c>
      <c r="H119" s="31">
        <f t="shared" si="10"/>
        <v>328975</v>
      </c>
      <c r="I119" s="31"/>
      <c r="J119" s="31">
        <f aca="true" t="shared" si="24" ref="J119:R119">+J24+J70</f>
        <v>375115</v>
      </c>
      <c r="K119" s="31">
        <f t="shared" si="24"/>
        <v>544396.66</v>
      </c>
      <c r="L119" s="31">
        <f t="shared" si="24"/>
        <v>0</v>
      </c>
      <c r="M119" s="31">
        <f t="shared" si="24"/>
        <v>0</v>
      </c>
      <c r="N119" s="31">
        <f t="shared" si="24"/>
        <v>145053.21</v>
      </c>
      <c r="O119" s="31">
        <f t="shared" si="24"/>
        <v>34165.31</v>
      </c>
      <c r="P119" s="31">
        <f t="shared" si="24"/>
        <v>17717.23</v>
      </c>
      <c r="Q119" s="31">
        <f t="shared" si="24"/>
        <v>76931.95999999999</v>
      </c>
      <c r="R119" s="31">
        <f t="shared" si="24"/>
        <v>33395.33</v>
      </c>
      <c r="S119" s="31"/>
      <c r="T119" s="31">
        <f t="shared" si="5"/>
        <v>112689.08</v>
      </c>
      <c r="U119" s="31">
        <f t="shared" si="5"/>
        <v>34022.5</v>
      </c>
      <c r="V119" s="31">
        <f t="shared" si="5"/>
        <v>42572.509999999995</v>
      </c>
      <c r="W119" s="31">
        <f t="shared" si="6"/>
        <v>0</v>
      </c>
      <c r="X119" s="31">
        <f t="shared" si="7"/>
        <v>1939891.7900000003</v>
      </c>
      <c r="Y119" s="31">
        <f t="shared" si="8"/>
        <v>766553</v>
      </c>
    </row>
    <row r="120" spans="1:25" ht="12.75">
      <c r="A120" s="36" t="s">
        <v>37</v>
      </c>
      <c r="B120" s="31"/>
      <c r="C120" s="31"/>
      <c r="D120" s="31"/>
      <c r="E120" s="31">
        <f t="shared" si="10"/>
        <v>132641</v>
      </c>
      <c r="F120" s="31">
        <f t="shared" si="10"/>
        <v>48838</v>
      </c>
      <c r="G120" s="31">
        <f t="shared" si="10"/>
        <v>12667</v>
      </c>
      <c r="H120" s="31">
        <f t="shared" si="10"/>
        <v>329885.63</v>
      </c>
      <c r="I120" s="31"/>
      <c r="J120" s="31">
        <f aca="true" t="shared" si="25" ref="J120:R120">+J25+J71</f>
        <v>374970</v>
      </c>
      <c r="K120" s="31">
        <f t="shared" si="25"/>
        <v>543353.65</v>
      </c>
      <c r="L120" s="31">
        <f t="shared" si="25"/>
        <v>0</v>
      </c>
      <c r="M120" s="31">
        <f t="shared" si="25"/>
        <v>0</v>
      </c>
      <c r="N120" s="31">
        <f t="shared" si="25"/>
        <v>72393.77</v>
      </c>
      <c r="O120" s="31">
        <f t="shared" si="25"/>
        <v>0</v>
      </c>
      <c r="P120" s="31">
        <f t="shared" si="25"/>
        <v>17673.829999999998</v>
      </c>
      <c r="Q120" s="31">
        <f t="shared" si="25"/>
        <v>76781.05</v>
      </c>
      <c r="R120" s="31">
        <f t="shared" si="25"/>
        <v>33330.439999999995</v>
      </c>
      <c r="S120" s="31"/>
      <c r="T120" s="31">
        <f t="shared" si="5"/>
        <v>112418.48</v>
      </c>
      <c r="U120" s="31">
        <f t="shared" si="5"/>
        <v>33929.380000000005</v>
      </c>
      <c r="V120" s="31">
        <f t="shared" si="5"/>
        <v>42078.13</v>
      </c>
      <c r="W120" s="31">
        <f t="shared" si="6"/>
        <v>0</v>
      </c>
      <c r="X120" s="31">
        <f t="shared" si="7"/>
        <v>1830960.3599999999</v>
      </c>
      <c r="Y120" s="31">
        <f t="shared" si="8"/>
        <v>766360.63</v>
      </c>
    </row>
    <row r="121" spans="1:25" ht="12.75">
      <c r="A121" s="36" t="s">
        <v>38</v>
      </c>
      <c r="B121" s="31"/>
      <c r="C121" s="31"/>
      <c r="D121" s="31"/>
      <c r="E121" s="31">
        <f t="shared" si="10"/>
        <v>133212</v>
      </c>
      <c r="F121" s="31">
        <f t="shared" si="10"/>
        <v>49217</v>
      </c>
      <c r="G121" s="31">
        <f t="shared" si="10"/>
        <v>13240</v>
      </c>
      <c r="H121" s="31">
        <f t="shared" si="10"/>
        <v>331110.63</v>
      </c>
      <c r="I121" s="31"/>
      <c r="J121" s="31">
        <f aca="true" t="shared" si="26" ref="J121:R121">+J26+J72</f>
        <v>375170</v>
      </c>
      <c r="K121" s="31">
        <f t="shared" si="26"/>
        <v>542302.8</v>
      </c>
      <c r="L121" s="31">
        <f t="shared" si="26"/>
        <v>0</v>
      </c>
      <c r="M121" s="31">
        <f t="shared" si="26"/>
        <v>0</v>
      </c>
      <c r="N121" s="31">
        <f t="shared" si="26"/>
        <v>0</v>
      </c>
      <c r="O121" s="31">
        <f t="shared" si="26"/>
        <v>0</v>
      </c>
      <c r="P121" s="31">
        <f t="shared" si="26"/>
        <v>8820.539999999999</v>
      </c>
      <c r="Q121" s="31">
        <f t="shared" si="26"/>
        <v>38333.58</v>
      </c>
      <c r="R121" s="31">
        <f t="shared" si="26"/>
        <v>33265.07000000001</v>
      </c>
      <c r="S121" s="31"/>
      <c r="T121" s="31">
        <f t="shared" si="5"/>
        <v>112145.87</v>
      </c>
      <c r="U121" s="31">
        <f t="shared" si="5"/>
        <v>34311.880000000005</v>
      </c>
      <c r="V121" s="31">
        <f t="shared" si="5"/>
        <v>42170</v>
      </c>
      <c r="W121" s="31">
        <f t="shared" si="6"/>
        <v>0</v>
      </c>
      <c r="X121" s="31">
        <f t="shared" si="7"/>
        <v>1713299.37</v>
      </c>
      <c r="Y121" s="31">
        <f t="shared" si="8"/>
        <v>768737.63</v>
      </c>
    </row>
    <row r="122" spans="1:25" ht="12.75">
      <c r="A122" s="36" t="s">
        <v>39</v>
      </c>
      <c r="B122" s="31"/>
      <c r="C122" s="31"/>
      <c r="D122" s="31"/>
      <c r="E122" s="31">
        <f t="shared" si="10"/>
        <v>133597</v>
      </c>
      <c r="F122" s="31">
        <f t="shared" si="10"/>
        <v>48530</v>
      </c>
      <c r="G122" s="31">
        <f t="shared" si="10"/>
        <v>12790</v>
      </c>
      <c r="H122" s="31">
        <f t="shared" si="10"/>
        <v>332143.13</v>
      </c>
      <c r="I122" s="31"/>
      <c r="J122" s="31">
        <f aca="true" t="shared" si="27" ref="J122:R122">+J27+J73</f>
        <v>374710</v>
      </c>
      <c r="K122" s="31">
        <f t="shared" si="27"/>
        <v>541244.06</v>
      </c>
      <c r="L122" s="31">
        <f t="shared" si="27"/>
        <v>0</v>
      </c>
      <c r="M122" s="31">
        <f t="shared" si="27"/>
        <v>0</v>
      </c>
      <c r="N122" s="31">
        <f t="shared" si="27"/>
        <v>0</v>
      </c>
      <c r="O122" s="31">
        <f t="shared" si="27"/>
        <v>0</v>
      </c>
      <c r="P122" s="31">
        <f t="shared" si="27"/>
        <v>0</v>
      </c>
      <c r="Q122" s="31">
        <f t="shared" si="27"/>
        <v>0</v>
      </c>
      <c r="R122" s="31">
        <f t="shared" si="27"/>
        <v>16607.86</v>
      </c>
      <c r="S122" s="31"/>
      <c r="T122" s="31">
        <f t="shared" si="5"/>
        <v>111871.2</v>
      </c>
      <c r="U122" s="31">
        <f t="shared" si="5"/>
        <v>34170</v>
      </c>
      <c r="V122" s="31">
        <f t="shared" si="5"/>
        <v>42441.25</v>
      </c>
      <c r="W122" s="31">
        <f t="shared" si="6"/>
        <v>0</v>
      </c>
      <c r="X122" s="31">
        <f t="shared" si="7"/>
        <v>1648104.5</v>
      </c>
      <c r="Y122" s="31">
        <f t="shared" si="8"/>
        <v>768173.13</v>
      </c>
    </row>
    <row r="123" spans="1:25" ht="12.75">
      <c r="A123" s="36" t="s">
        <v>40</v>
      </c>
      <c r="B123" s="31"/>
      <c r="C123" s="31"/>
      <c r="D123" s="31"/>
      <c r="E123" s="31">
        <f t="shared" si="10"/>
        <v>133797</v>
      </c>
      <c r="F123" s="31">
        <f t="shared" si="10"/>
        <v>47797</v>
      </c>
      <c r="G123" s="31">
        <f t="shared" si="10"/>
        <v>12340</v>
      </c>
      <c r="H123" s="31">
        <f t="shared" si="10"/>
        <v>332983.13</v>
      </c>
      <c r="I123" s="31"/>
      <c r="J123" s="31">
        <f aca="true" t="shared" si="28" ref="J123:R123">+J28+J74</f>
        <v>374590</v>
      </c>
      <c r="K123" s="31">
        <f t="shared" si="28"/>
        <v>540177.3500000001</v>
      </c>
      <c r="L123" s="31">
        <f t="shared" si="28"/>
        <v>0</v>
      </c>
      <c r="M123" s="31">
        <f t="shared" si="28"/>
        <v>0</v>
      </c>
      <c r="N123" s="31">
        <f t="shared" si="28"/>
        <v>0</v>
      </c>
      <c r="O123" s="31">
        <f t="shared" si="28"/>
        <v>0</v>
      </c>
      <c r="P123" s="31">
        <f t="shared" si="28"/>
        <v>0</v>
      </c>
      <c r="Q123" s="31">
        <f t="shared" si="28"/>
        <v>0</v>
      </c>
      <c r="R123" s="31">
        <f t="shared" si="28"/>
        <v>0</v>
      </c>
      <c r="S123" s="31"/>
      <c r="T123" s="31">
        <f t="shared" si="5"/>
        <v>55831.95</v>
      </c>
      <c r="U123" s="31">
        <f t="shared" si="5"/>
        <v>34011.880000000005</v>
      </c>
      <c r="V123" s="31">
        <f t="shared" si="5"/>
        <v>42191.880000000005</v>
      </c>
      <c r="W123" s="31">
        <f t="shared" si="6"/>
        <v>0</v>
      </c>
      <c r="X123" s="31">
        <f t="shared" si="7"/>
        <v>1573720.19</v>
      </c>
      <c r="Y123" s="31">
        <f t="shared" si="8"/>
        <v>767710.13</v>
      </c>
    </row>
    <row r="124" spans="1:25" ht="12.75">
      <c r="A124" s="36" t="s">
        <v>41</v>
      </c>
      <c r="B124" s="31"/>
      <c r="C124" s="31"/>
      <c r="D124" s="31"/>
      <c r="E124" s="31">
        <f t="shared" si="10"/>
        <v>133811</v>
      </c>
      <c r="F124" s="31">
        <f t="shared" si="10"/>
        <v>47997</v>
      </c>
      <c r="G124" s="31">
        <f t="shared" si="10"/>
        <v>12868</v>
      </c>
      <c r="H124" s="31">
        <f t="shared" si="10"/>
        <v>334123.75</v>
      </c>
      <c r="I124" s="31"/>
      <c r="J124" s="31">
        <f aca="true" t="shared" si="29" ref="J124:R124">+J29+J75</f>
        <v>374800</v>
      </c>
      <c r="K124" s="31">
        <f t="shared" si="29"/>
        <v>0</v>
      </c>
      <c r="L124" s="31">
        <f t="shared" si="29"/>
        <v>0</v>
      </c>
      <c r="M124" s="31">
        <f t="shared" si="29"/>
        <v>0</v>
      </c>
      <c r="N124" s="31">
        <f t="shared" si="29"/>
        <v>0</v>
      </c>
      <c r="O124" s="31">
        <f t="shared" si="29"/>
        <v>0</v>
      </c>
      <c r="P124" s="31">
        <f t="shared" si="29"/>
        <v>0</v>
      </c>
      <c r="Q124" s="31">
        <f t="shared" si="29"/>
        <v>0</v>
      </c>
      <c r="R124" s="31">
        <f t="shared" si="29"/>
        <v>0</v>
      </c>
      <c r="S124" s="31"/>
      <c r="T124" s="31"/>
      <c r="U124" s="31">
        <f aca="true" t="shared" si="30" ref="U124:V142">+U29+U75</f>
        <v>34329.380000000005</v>
      </c>
      <c r="V124" s="31">
        <f t="shared" si="30"/>
        <v>42421.880000000005</v>
      </c>
      <c r="W124" s="31">
        <f t="shared" si="6"/>
        <v>0</v>
      </c>
      <c r="X124" s="31">
        <f t="shared" si="7"/>
        <v>980351.01</v>
      </c>
      <c r="Y124" s="31">
        <f t="shared" si="8"/>
        <v>769788.75</v>
      </c>
    </row>
    <row r="125" spans="1:25" ht="12.75">
      <c r="A125" s="36" t="s">
        <v>42</v>
      </c>
      <c r="B125" s="31"/>
      <c r="C125" s="31"/>
      <c r="D125" s="31"/>
      <c r="E125" s="31">
        <f t="shared" si="10"/>
        <v>134130</v>
      </c>
      <c r="F125" s="31">
        <f t="shared" si="10"/>
        <v>48107</v>
      </c>
      <c r="G125" s="31">
        <f t="shared" si="10"/>
        <v>12372</v>
      </c>
      <c r="H125" s="31">
        <f t="shared" si="10"/>
        <v>335058.135</v>
      </c>
      <c r="I125" s="31"/>
      <c r="J125" s="31">
        <f aca="true" t="shared" si="31" ref="J125:P125">+J30+J76</f>
        <v>374830</v>
      </c>
      <c r="K125" s="31">
        <f t="shared" si="31"/>
        <v>0</v>
      </c>
      <c r="L125" s="31">
        <f t="shared" si="31"/>
        <v>0</v>
      </c>
      <c r="M125" s="31">
        <f t="shared" si="31"/>
        <v>0</v>
      </c>
      <c r="N125" s="31">
        <f t="shared" si="31"/>
        <v>0</v>
      </c>
      <c r="O125" s="31">
        <f t="shared" si="31"/>
        <v>0</v>
      </c>
      <c r="P125" s="31">
        <f t="shared" si="31"/>
        <v>0</v>
      </c>
      <c r="Q125" s="31"/>
      <c r="R125" s="31">
        <f aca="true" t="shared" si="32" ref="R125:R136">+R30+R76</f>
        <v>0</v>
      </c>
      <c r="S125" s="31"/>
      <c r="T125" s="31"/>
      <c r="U125" s="31">
        <f t="shared" si="30"/>
        <v>34122.5</v>
      </c>
      <c r="V125" s="31">
        <f t="shared" si="30"/>
        <v>42131.25</v>
      </c>
      <c r="W125" s="31">
        <f t="shared" si="6"/>
        <v>0</v>
      </c>
      <c r="X125" s="31">
        <f t="shared" si="7"/>
        <v>980750.885</v>
      </c>
      <c r="Y125" s="31">
        <f t="shared" si="8"/>
        <v>770367.135</v>
      </c>
    </row>
    <row r="126" spans="1:25" ht="12.75">
      <c r="A126" s="36" t="s">
        <v>43</v>
      </c>
      <c r="B126" s="31"/>
      <c r="C126" s="31"/>
      <c r="D126" s="31"/>
      <c r="E126" s="31">
        <f t="shared" si="10"/>
        <v>134731</v>
      </c>
      <c r="F126" s="31">
        <f t="shared" si="10"/>
        <v>48127</v>
      </c>
      <c r="G126" s="31">
        <f t="shared" si="10"/>
        <v>12855</v>
      </c>
      <c r="H126" s="31">
        <f t="shared" si="10"/>
        <v>336279.38</v>
      </c>
      <c r="I126" s="31"/>
      <c r="J126" s="31">
        <f aca="true" t="shared" si="33" ref="J126:M136">+J31+J77</f>
        <v>374680</v>
      </c>
      <c r="K126" s="31">
        <f t="shared" si="33"/>
        <v>0</v>
      </c>
      <c r="L126" s="31">
        <f t="shared" si="33"/>
        <v>0</v>
      </c>
      <c r="M126" s="31">
        <f t="shared" si="33"/>
        <v>0</v>
      </c>
      <c r="N126" s="31"/>
      <c r="O126" s="31">
        <f aca="true" t="shared" si="34" ref="O126:P130">+O31+O77</f>
        <v>0</v>
      </c>
      <c r="P126" s="31">
        <f t="shared" si="34"/>
        <v>0</v>
      </c>
      <c r="Q126" s="31"/>
      <c r="R126" s="31">
        <f t="shared" si="32"/>
        <v>0</v>
      </c>
      <c r="S126" s="31"/>
      <c r="T126" s="31"/>
      <c r="U126" s="31">
        <f t="shared" si="30"/>
        <v>34391.25</v>
      </c>
      <c r="V126" s="31">
        <f t="shared" si="30"/>
        <v>42320</v>
      </c>
      <c r="W126" s="31">
        <f t="shared" si="6"/>
        <v>0</v>
      </c>
      <c r="X126" s="31">
        <f t="shared" si="7"/>
        <v>983383.63</v>
      </c>
      <c r="Y126" s="31">
        <f t="shared" si="8"/>
        <v>771941.38</v>
      </c>
    </row>
    <row r="127" spans="1:25" ht="12.75">
      <c r="A127" s="36" t="s">
        <v>44</v>
      </c>
      <c r="B127" s="31"/>
      <c r="C127" s="31"/>
      <c r="D127" s="31"/>
      <c r="E127" s="31">
        <f t="shared" si="10"/>
        <v>135105</v>
      </c>
      <c r="F127" s="31">
        <f t="shared" si="10"/>
        <v>48057</v>
      </c>
      <c r="G127" s="31">
        <f t="shared" si="10"/>
        <v>13292</v>
      </c>
      <c r="H127" s="31">
        <f t="shared" si="10"/>
        <v>337280.63</v>
      </c>
      <c r="I127" s="31"/>
      <c r="J127" s="31">
        <f t="shared" si="33"/>
        <v>374355</v>
      </c>
      <c r="K127" s="31">
        <f t="shared" si="33"/>
        <v>0</v>
      </c>
      <c r="L127" s="31">
        <f t="shared" si="33"/>
        <v>0</v>
      </c>
      <c r="M127" s="31">
        <f t="shared" si="33"/>
        <v>0</v>
      </c>
      <c r="N127" s="31"/>
      <c r="O127" s="31">
        <f t="shared" si="34"/>
        <v>0</v>
      </c>
      <c r="P127" s="31">
        <f t="shared" si="34"/>
        <v>0</v>
      </c>
      <c r="Q127" s="31"/>
      <c r="R127" s="31">
        <f t="shared" si="32"/>
        <v>0</v>
      </c>
      <c r="S127" s="31"/>
      <c r="T127" s="31"/>
      <c r="U127" s="31">
        <f t="shared" si="30"/>
        <v>34135.630000000005</v>
      </c>
      <c r="V127" s="31">
        <f t="shared" si="30"/>
        <v>42481.25</v>
      </c>
      <c r="W127" s="31">
        <f t="shared" si="6"/>
        <v>0</v>
      </c>
      <c r="X127" s="31">
        <f t="shared" si="7"/>
        <v>984706.51</v>
      </c>
      <c r="Y127" s="31">
        <f t="shared" si="8"/>
        <v>772984.63</v>
      </c>
    </row>
    <row r="128" spans="1:25" ht="12.75">
      <c r="A128" s="36" t="s">
        <v>45</v>
      </c>
      <c r="B128" s="31"/>
      <c r="C128" s="31"/>
      <c r="D128" s="31"/>
      <c r="E128" s="31">
        <v>135743</v>
      </c>
      <c r="F128" s="31"/>
      <c r="G128" s="31"/>
      <c r="H128" s="31">
        <f aca="true" t="shared" si="35" ref="H128:H137">+H33+H79</f>
        <v>338555.01</v>
      </c>
      <c r="I128" s="31"/>
      <c r="J128" s="31">
        <f t="shared" si="33"/>
        <v>374345</v>
      </c>
      <c r="K128" s="31">
        <f t="shared" si="33"/>
        <v>0</v>
      </c>
      <c r="L128" s="31">
        <f t="shared" si="33"/>
        <v>0</v>
      </c>
      <c r="M128" s="31">
        <f t="shared" si="33"/>
        <v>0</v>
      </c>
      <c r="N128" s="31"/>
      <c r="O128" s="31">
        <f t="shared" si="34"/>
        <v>0</v>
      </c>
      <c r="P128" s="31">
        <f t="shared" si="34"/>
        <v>0</v>
      </c>
      <c r="Q128" s="31"/>
      <c r="R128" s="31">
        <f t="shared" si="32"/>
        <v>0</v>
      </c>
      <c r="S128" s="31"/>
      <c r="T128" s="31"/>
      <c r="U128" s="31">
        <f t="shared" si="30"/>
        <v>34355.630000000005</v>
      </c>
      <c r="V128" s="31">
        <f t="shared" si="30"/>
        <v>42121.880000000005</v>
      </c>
      <c r="W128" s="31">
        <f t="shared" si="6"/>
        <v>0</v>
      </c>
      <c r="X128" s="31">
        <f t="shared" si="7"/>
        <v>925120.52</v>
      </c>
      <c r="Y128" s="31">
        <f t="shared" si="8"/>
        <v>712900.01</v>
      </c>
    </row>
    <row r="129" spans="1:25" ht="12.75">
      <c r="A129" s="36" t="s">
        <v>46</v>
      </c>
      <c r="B129" s="31"/>
      <c r="C129" s="31"/>
      <c r="D129" s="31"/>
      <c r="E129" s="31"/>
      <c r="F129" s="31"/>
      <c r="G129" s="31"/>
      <c r="H129" s="31">
        <f t="shared" si="35"/>
        <v>339595.63</v>
      </c>
      <c r="I129" s="31"/>
      <c r="J129" s="31">
        <f t="shared" si="33"/>
        <v>374140</v>
      </c>
      <c r="K129" s="31">
        <f t="shared" si="33"/>
        <v>0</v>
      </c>
      <c r="L129" s="31">
        <f t="shared" si="33"/>
        <v>0</v>
      </c>
      <c r="M129" s="31">
        <f t="shared" si="33"/>
        <v>0</v>
      </c>
      <c r="N129" s="31"/>
      <c r="O129" s="31">
        <f t="shared" si="34"/>
        <v>0</v>
      </c>
      <c r="P129" s="31">
        <f t="shared" si="34"/>
        <v>0</v>
      </c>
      <c r="Q129" s="31"/>
      <c r="R129" s="31">
        <f t="shared" si="32"/>
        <v>0</v>
      </c>
      <c r="S129" s="31"/>
      <c r="T129" s="31"/>
      <c r="U129" s="31">
        <f t="shared" si="30"/>
        <v>34051.25</v>
      </c>
      <c r="V129" s="31">
        <f t="shared" si="30"/>
        <v>42241.880000000005</v>
      </c>
      <c r="W129" s="31">
        <f t="shared" si="6"/>
        <v>0</v>
      </c>
      <c r="X129" s="31">
        <f t="shared" si="7"/>
        <v>790028.76</v>
      </c>
      <c r="Y129" s="31">
        <f t="shared" si="8"/>
        <v>713735.63</v>
      </c>
    </row>
    <row r="130" spans="1:25" ht="12.75">
      <c r="A130" s="36" t="s">
        <v>61</v>
      </c>
      <c r="B130" s="31"/>
      <c r="C130" s="31"/>
      <c r="D130" s="31"/>
      <c r="E130" s="31"/>
      <c r="F130" s="31"/>
      <c r="G130" s="31"/>
      <c r="H130" s="31">
        <f t="shared" si="35"/>
        <v>340895.63</v>
      </c>
      <c r="I130" s="31"/>
      <c r="J130" s="31">
        <f t="shared" si="33"/>
        <v>374235</v>
      </c>
      <c r="K130" s="31">
        <f t="shared" si="33"/>
        <v>0</v>
      </c>
      <c r="L130" s="31">
        <f t="shared" si="33"/>
        <v>0</v>
      </c>
      <c r="M130" s="31">
        <f t="shared" si="33"/>
        <v>0</v>
      </c>
      <c r="N130" s="31"/>
      <c r="O130" s="31">
        <f t="shared" si="34"/>
        <v>0</v>
      </c>
      <c r="P130" s="31">
        <f t="shared" si="34"/>
        <v>0</v>
      </c>
      <c r="Q130" s="31"/>
      <c r="R130" s="31">
        <f t="shared" si="32"/>
        <v>0</v>
      </c>
      <c r="S130" s="31"/>
      <c r="T130" s="31"/>
      <c r="U130" s="31">
        <f t="shared" si="30"/>
        <v>34222.5</v>
      </c>
      <c r="V130" s="31">
        <f t="shared" si="30"/>
        <v>42334.380000000005</v>
      </c>
      <c r="W130" s="31">
        <f t="shared" si="6"/>
        <v>0</v>
      </c>
      <c r="X130" s="31">
        <f t="shared" si="7"/>
        <v>791687.51</v>
      </c>
      <c r="Y130" s="31">
        <f t="shared" si="8"/>
        <v>715130.63</v>
      </c>
    </row>
    <row r="131" spans="1:25" ht="12.75">
      <c r="A131" s="36" t="s">
        <v>62</v>
      </c>
      <c r="B131" s="31"/>
      <c r="C131" s="31"/>
      <c r="D131" s="31"/>
      <c r="E131" s="31"/>
      <c r="F131" s="31"/>
      <c r="G131" s="31"/>
      <c r="H131" s="31">
        <f t="shared" si="35"/>
        <v>342441.26</v>
      </c>
      <c r="I131" s="31"/>
      <c r="J131" s="31">
        <f t="shared" si="33"/>
        <v>374120</v>
      </c>
      <c r="K131" s="31">
        <f t="shared" si="33"/>
        <v>0</v>
      </c>
      <c r="L131" s="31">
        <f t="shared" si="33"/>
        <v>0</v>
      </c>
      <c r="M131" s="31">
        <f t="shared" si="33"/>
        <v>0</v>
      </c>
      <c r="N131" s="31"/>
      <c r="O131" s="31"/>
      <c r="P131" s="31"/>
      <c r="Q131" s="31"/>
      <c r="R131" s="31">
        <f t="shared" si="32"/>
        <v>0</v>
      </c>
      <c r="S131" s="31"/>
      <c r="T131" s="31"/>
      <c r="U131" s="31">
        <f t="shared" si="30"/>
        <v>34361.25</v>
      </c>
      <c r="V131" s="31">
        <f t="shared" si="30"/>
        <v>42399.38</v>
      </c>
      <c r="W131" s="31">
        <f t="shared" si="6"/>
        <v>0</v>
      </c>
      <c r="X131" s="31">
        <f t="shared" si="7"/>
        <v>793321.89</v>
      </c>
      <c r="Y131" s="31">
        <f t="shared" si="8"/>
        <v>716561.26</v>
      </c>
    </row>
    <row r="132" spans="1:25" ht="12.75">
      <c r="A132" s="36" t="s">
        <v>63</v>
      </c>
      <c r="B132" s="31"/>
      <c r="C132" s="31"/>
      <c r="D132" s="31"/>
      <c r="E132" s="31"/>
      <c r="F132" s="31"/>
      <c r="G132" s="31"/>
      <c r="H132" s="31">
        <f t="shared" si="35"/>
        <v>343725.63</v>
      </c>
      <c r="I132" s="31"/>
      <c r="J132" s="31">
        <f t="shared" si="33"/>
        <v>373800</v>
      </c>
      <c r="K132" s="31">
        <f t="shared" si="33"/>
        <v>0</v>
      </c>
      <c r="L132" s="31">
        <f t="shared" si="33"/>
        <v>0</v>
      </c>
      <c r="M132" s="31">
        <f t="shared" si="33"/>
        <v>0</v>
      </c>
      <c r="N132" s="31"/>
      <c r="O132" s="31"/>
      <c r="P132" s="31"/>
      <c r="Q132" s="31"/>
      <c r="R132" s="31">
        <f t="shared" si="32"/>
        <v>0</v>
      </c>
      <c r="S132" s="31"/>
      <c r="T132" s="31"/>
      <c r="U132" s="31">
        <f t="shared" si="30"/>
        <v>34467.5</v>
      </c>
      <c r="V132" s="31">
        <f t="shared" si="30"/>
        <v>42436.88</v>
      </c>
      <c r="W132" s="31">
        <f t="shared" si="6"/>
        <v>0</v>
      </c>
      <c r="X132" s="31">
        <f t="shared" si="7"/>
        <v>794430.01</v>
      </c>
      <c r="Y132" s="31">
        <f t="shared" si="8"/>
        <v>717525.63</v>
      </c>
    </row>
    <row r="133" spans="1:25" ht="12.75">
      <c r="A133" s="36" t="s">
        <v>64</v>
      </c>
      <c r="B133" s="31"/>
      <c r="C133" s="31"/>
      <c r="D133" s="31"/>
      <c r="E133" s="31"/>
      <c r="F133" s="31"/>
      <c r="G133" s="31"/>
      <c r="H133" s="31">
        <f t="shared" si="35"/>
        <v>344748.75</v>
      </c>
      <c r="I133" s="31"/>
      <c r="J133" s="31">
        <f t="shared" si="33"/>
        <v>373770</v>
      </c>
      <c r="K133" s="31">
        <f t="shared" si="33"/>
        <v>0</v>
      </c>
      <c r="L133" s="31">
        <f t="shared" si="33"/>
        <v>0</v>
      </c>
      <c r="M133" s="31">
        <f t="shared" si="33"/>
        <v>0</v>
      </c>
      <c r="N133" s="31"/>
      <c r="O133" s="31"/>
      <c r="P133" s="31"/>
      <c r="Q133" s="31"/>
      <c r="R133" s="31">
        <f t="shared" si="32"/>
        <v>0</v>
      </c>
      <c r="S133" s="31"/>
      <c r="T133" s="31"/>
      <c r="U133" s="31">
        <f t="shared" si="30"/>
        <v>34541.25</v>
      </c>
      <c r="V133" s="31">
        <f t="shared" si="30"/>
        <v>42446.88</v>
      </c>
      <c r="W133" s="31">
        <f t="shared" si="6"/>
        <v>0</v>
      </c>
      <c r="X133" s="31">
        <f t="shared" si="7"/>
        <v>795506.88</v>
      </c>
      <c r="Y133" s="31">
        <f t="shared" si="8"/>
        <v>718518.75</v>
      </c>
    </row>
    <row r="134" spans="1:25" ht="12.75">
      <c r="A134" s="36" t="s">
        <v>65</v>
      </c>
      <c r="B134" s="31"/>
      <c r="C134" s="31"/>
      <c r="D134" s="31"/>
      <c r="E134" s="31"/>
      <c r="F134" s="31"/>
      <c r="G134" s="31"/>
      <c r="H134" s="31">
        <f t="shared" si="35"/>
        <v>346496.88</v>
      </c>
      <c r="I134" s="31"/>
      <c r="J134" s="31">
        <f t="shared" si="33"/>
        <v>373520</v>
      </c>
      <c r="K134" s="31">
        <f t="shared" si="33"/>
        <v>0</v>
      </c>
      <c r="L134" s="31">
        <f t="shared" si="33"/>
        <v>0</v>
      </c>
      <c r="M134" s="31">
        <f t="shared" si="33"/>
        <v>0</v>
      </c>
      <c r="N134" s="31"/>
      <c r="O134" s="31"/>
      <c r="P134" s="31"/>
      <c r="Q134" s="31"/>
      <c r="R134" s="31">
        <f t="shared" si="32"/>
        <v>0</v>
      </c>
      <c r="S134" s="31"/>
      <c r="T134" s="31"/>
      <c r="U134" s="31">
        <f t="shared" si="30"/>
        <v>34582.5</v>
      </c>
      <c r="V134" s="31">
        <f t="shared" si="30"/>
        <v>42429.38</v>
      </c>
      <c r="W134" s="31">
        <f t="shared" si="6"/>
        <v>0</v>
      </c>
      <c r="X134" s="31">
        <f t="shared" si="7"/>
        <v>797028.76</v>
      </c>
      <c r="Y134" s="31">
        <f t="shared" si="8"/>
        <v>720016.88</v>
      </c>
    </row>
    <row r="135" spans="1:25" ht="12.75">
      <c r="A135" s="36" t="s">
        <v>66</v>
      </c>
      <c r="B135" s="31"/>
      <c r="C135" s="31"/>
      <c r="D135" s="31"/>
      <c r="E135" s="31"/>
      <c r="F135" s="31"/>
      <c r="G135" s="31"/>
      <c r="H135" s="31">
        <f t="shared" si="35"/>
        <v>347956.26</v>
      </c>
      <c r="I135" s="31"/>
      <c r="J135" s="31">
        <f t="shared" si="33"/>
        <v>373545</v>
      </c>
      <c r="K135" s="31">
        <f t="shared" si="33"/>
        <v>0</v>
      </c>
      <c r="L135" s="31">
        <f t="shared" si="33"/>
        <v>0</v>
      </c>
      <c r="M135" s="31">
        <f t="shared" si="33"/>
        <v>0</v>
      </c>
      <c r="N135" s="31"/>
      <c r="O135" s="31"/>
      <c r="P135" s="31"/>
      <c r="Q135" s="31"/>
      <c r="R135" s="31">
        <f t="shared" si="32"/>
        <v>0</v>
      </c>
      <c r="S135" s="31"/>
      <c r="T135" s="31"/>
      <c r="U135" s="31">
        <f t="shared" si="30"/>
        <v>34591.25</v>
      </c>
      <c r="V135" s="31">
        <f t="shared" si="30"/>
        <v>42384.38</v>
      </c>
      <c r="W135" s="31">
        <f t="shared" si="6"/>
        <v>0</v>
      </c>
      <c r="X135" s="31">
        <f t="shared" si="7"/>
        <v>798476.89</v>
      </c>
      <c r="Y135" s="31">
        <f t="shared" si="8"/>
        <v>721501.26</v>
      </c>
    </row>
    <row r="136" spans="1:25" ht="12.75">
      <c r="A136" s="36" t="s">
        <v>72</v>
      </c>
      <c r="B136" s="31"/>
      <c r="C136" s="31"/>
      <c r="D136" s="31"/>
      <c r="E136" s="31"/>
      <c r="F136" s="31"/>
      <c r="G136" s="31"/>
      <c r="H136" s="31">
        <f t="shared" si="35"/>
        <v>345181.88</v>
      </c>
      <c r="I136" s="31"/>
      <c r="J136" s="31">
        <f t="shared" si="33"/>
        <v>373335</v>
      </c>
      <c r="K136" s="31">
        <f t="shared" si="33"/>
        <v>0</v>
      </c>
      <c r="L136" s="31">
        <f t="shared" si="33"/>
        <v>0</v>
      </c>
      <c r="M136" s="31">
        <f t="shared" si="33"/>
        <v>0</v>
      </c>
      <c r="N136" s="31"/>
      <c r="O136" s="31"/>
      <c r="P136" s="31"/>
      <c r="Q136" s="31"/>
      <c r="R136" s="31">
        <f t="shared" si="32"/>
        <v>0</v>
      </c>
      <c r="S136" s="31"/>
      <c r="T136" s="31"/>
      <c r="U136" s="31">
        <f t="shared" si="30"/>
        <v>34567.5</v>
      </c>
      <c r="V136" s="31">
        <f t="shared" si="30"/>
        <v>42311.88</v>
      </c>
      <c r="W136" s="31">
        <f t="shared" si="6"/>
        <v>0</v>
      </c>
      <c r="X136" s="31">
        <f t="shared" si="7"/>
        <v>795396.26</v>
      </c>
      <c r="Y136" s="31">
        <f t="shared" si="8"/>
        <v>718516.88</v>
      </c>
    </row>
    <row r="137" spans="1:25" ht="12.75">
      <c r="A137" s="36" t="s">
        <v>83</v>
      </c>
      <c r="B137" s="31"/>
      <c r="C137" s="31"/>
      <c r="D137" s="31"/>
      <c r="E137" s="31"/>
      <c r="F137" s="31"/>
      <c r="G137" s="31"/>
      <c r="H137" s="31">
        <f t="shared" si="35"/>
        <v>0</v>
      </c>
      <c r="I137" s="31"/>
      <c r="J137" s="31">
        <f aca="true" t="shared" si="36" ref="J137:K141">+J42+J88</f>
        <v>373385</v>
      </c>
      <c r="K137" s="31">
        <f t="shared" si="36"/>
        <v>0</v>
      </c>
      <c r="L137" s="31">
        <f>+L46+L88</f>
        <v>0</v>
      </c>
      <c r="M137" s="31">
        <f>+M46+M88</f>
        <v>0</v>
      </c>
      <c r="N137" s="31"/>
      <c r="O137" s="31"/>
      <c r="P137" s="31"/>
      <c r="Q137" s="31"/>
      <c r="R137" s="31"/>
      <c r="S137" s="31"/>
      <c r="T137" s="31"/>
      <c r="U137" s="31">
        <f t="shared" si="30"/>
        <v>34511.25</v>
      </c>
      <c r="V137" s="31">
        <f t="shared" si="30"/>
        <v>42211.88</v>
      </c>
      <c r="W137" s="31">
        <f t="shared" si="6"/>
        <v>0</v>
      </c>
      <c r="X137" s="31">
        <f t="shared" si="7"/>
        <v>450108.13</v>
      </c>
      <c r="Y137" s="31">
        <f t="shared" si="8"/>
        <v>373385</v>
      </c>
    </row>
    <row r="138" spans="1:25" ht="12.75">
      <c r="A138" s="36" t="s">
        <v>84</v>
      </c>
      <c r="B138" s="31"/>
      <c r="C138" s="31"/>
      <c r="D138" s="31"/>
      <c r="E138" s="31"/>
      <c r="F138" s="31"/>
      <c r="G138" s="31"/>
      <c r="H138" s="31"/>
      <c r="I138" s="31"/>
      <c r="J138" s="31">
        <f t="shared" si="36"/>
        <v>373190</v>
      </c>
      <c r="K138" s="31">
        <f t="shared" si="36"/>
        <v>0</v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>
        <f t="shared" si="30"/>
        <v>30487.5</v>
      </c>
      <c r="V138" s="31">
        <f t="shared" si="30"/>
        <v>42577.5</v>
      </c>
      <c r="W138" s="31">
        <f t="shared" si="6"/>
        <v>0</v>
      </c>
      <c r="X138" s="31">
        <f t="shared" si="7"/>
        <v>446255</v>
      </c>
      <c r="Y138" s="31">
        <f t="shared" si="8"/>
        <v>373190</v>
      </c>
    </row>
    <row r="139" spans="1:25" ht="12.75">
      <c r="A139" s="36" t="s">
        <v>93</v>
      </c>
      <c r="B139" s="31"/>
      <c r="C139" s="31"/>
      <c r="D139" s="31"/>
      <c r="E139" s="31"/>
      <c r="F139" s="31"/>
      <c r="G139" s="31"/>
      <c r="H139" s="31"/>
      <c r="I139" s="31"/>
      <c r="J139" s="31">
        <f t="shared" si="36"/>
        <v>373235</v>
      </c>
      <c r="K139" s="31">
        <f t="shared" si="36"/>
        <v>0</v>
      </c>
      <c r="L139" s="31"/>
      <c r="M139" s="31"/>
      <c r="N139" s="31"/>
      <c r="O139" s="31"/>
      <c r="P139" s="31"/>
      <c r="Q139" s="31"/>
      <c r="R139" s="31"/>
      <c r="S139" s="31"/>
      <c r="T139" s="31"/>
      <c r="U139" s="31">
        <f t="shared" si="30"/>
        <v>0</v>
      </c>
      <c r="V139" s="31">
        <f t="shared" si="30"/>
        <v>0</v>
      </c>
      <c r="W139" s="31">
        <f t="shared" si="6"/>
        <v>0</v>
      </c>
      <c r="X139" s="31">
        <f t="shared" si="7"/>
        <v>373235</v>
      </c>
      <c r="Y139" s="31">
        <f t="shared" si="8"/>
        <v>373235</v>
      </c>
    </row>
    <row r="140" spans="1:25" ht="12.75">
      <c r="A140" s="36" t="s">
        <v>94</v>
      </c>
      <c r="B140" s="31"/>
      <c r="C140" s="31"/>
      <c r="D140" s="31"/>
      <c r="E140" s="31"/>
      <c r="F140" s="31"/>
      <c r="G140" s="31"/>
      <c r="H140" s="31"/>
      <c r="I140" s="31"/>
      <c r="J140" s="31">
        <f t="shared" si="36"/>
        <v>373020</v>
      </c>
      <c r="K140" s="31">
        <f t="shared" si="36"/>
        <v>0</v>
      </c>
      <c r="L140" s="31"/>
      <c r="M140" s="31"/>
      <c r="N140" s="31"/>
      <c r="O140" s="31"/>
      <c r="P140" s="31"/>
      <c r="Q140" s="31"/>
      <c r="R140" s="31"/>
      <c r="S140" s="31"/>
      <c r="T140" s="31"/>
      <c r="U140" s="31">
        <f t="shared" si="30"/>
        <v>0</v>
      </c>
      <c r="V140" s="31">
        <f t="shared" si="30"/>
        <v>0</v>
      </c>
      <c r="W140" s="31">
        <f t="shared" si="6"/>
        <v>0</v>
      </c>
      <c r="X140" s="31">
        <f t="shared" si="7"/>
        <v>373020</v>
      </c>
      <c r="Y140" s="31">
        <f t="shared" si="8"/>
        <v>373020</v>
      </c>
    </row>
    <row r="141" spans="1:25" ht="12.75">
      <c r="A141" s="36" t="s">
        <v>95</v>
      </c>
      <c r="B141" s="31"/>
      <c r="C141" s="31"/>
      <c r="D141" s="31"/>
      <c r="E141" s="31"/>
      <c r="F141" s="31"/>
      <c r="G141" s="31"/>
      <c r="H141" s="31"/>
      <c r="I141" s="31"/>
      <c r="J141" s="31">
        <f t="shared" si="36"/>
        <v>377100</v>
      </c>
      <c r="K141" s="31">
        <f t="shared" si="36"/>
        <v>0</v>
      </c>
      <c r="L141" s="31"/>
      <c r="M141" s="31"/>
      <c r="N141" s="31"/>
      <c r="O141" s="31"/>
      <c r="P141" s="31"/>
      <c r="Q141" s="31"/>
      <c r="R141" s="31"/>
      <c r="S141" s="31"/>
      <c r="T141" s="31"/>
      <c r="U141" s="31">
        <f t="shared" si="30"/>
        <v>0</v>
      </c>
      <c r="V141" s="31">
        <f t="shared" si="30"/>
        <v>0</v>
      </c>
      <c r="W141" s="31">
        <f t="shared" si="6"/>
        <v>0</v>
      </c>
      <c r="X141" s="31">
        <f t="shared" si="7"/>
        <v>377100</v>
      </c>
      <c r="Y141" s="31">
        <f t="shared" si="8"/>
        <v>377100</v>
      </c>
    </row>
    <row r="142" spans="1:25" ht="12.75">
      <c r="A142" s="36" t="s">
        <v>96</v>
      </c>
      <c r="B142" s="31"/>
      <c r="C142" s="31"/>
      <c r="D142" s="31"/>
      <c r="E142" s="31"/>
      <c r="F142" s="31"/>
      <c r="G142" s="31"/>
      <c r="H142" s="31"/>
      <c r="I142" s="31"/>
      <c r="J142" s="31">
        <f>+J47+J93</f>
        <v>0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>
        <f t="shared" si="30"/>
        <v>0</v>
      </c>
      <c r="V142" s="31">
        <f t="shared" si="30"/>
        <v>0</v>
      </c>
      <c r="W142" s="31">
        <f t="shared" si="6"/>
        <v>0</v>
      </c>
      <c r="X142" s="31">
        <f t="shared" si="7"/>
        <v>0</v>
      </c>
      <c r="Y142" s="31">
        <f t="shared" si="8"/>
        <v>0</v>
      </c>
    </row>
    <row r="143" spans="1:25" ht="12.75">
      <c r="A143" s="36" t="s">
        <v>97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>
        <f t="shared" si="7"/>
        <v>0</v>
      </c>
      <c r="Y143" s="31">
        <f t="shared" si="8"/>
        <v>0</v>
      </c>
    </row>
    <row r="144" spans="1:25" ht="12.75">
      <c r="A144" s="36" t="s">
        <v>98</v>
      </c>
      <c r="B144" s="31"/>
      <c r="C144" s="31"/>
      <c r="D144" s="31"/>
      <c r="E144" s="31"/>
      <c r="F144" s="31"/>
      <c r="G144" s="31"/>
      <c r="H144" s="31"/>
      <c r="I144" s="31"/>
      <c r="J144" s="31">
        <f>+J49+J95</f>
        <v>0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>
        <f t="shared" si="7"/>
        <v>0</v>
      </c>
      <c r="Y144" s="31">
        <f t="shared" si="8"/>
        <v>0</v>
      </c>
    </row>
    <row r="145" spans="1:25" ht="12.75">
      <c r="A145" s="36" t="s">
        <v>99</v>
      </c>
      <c r="B145" s="31"/>
      <c r="C145" s="31"/>
      <c r="D145" s="31"/>
      <c r="E145" s="31"/>
      <c r="F145" s="31"/>
      <c r="G145" s="31"/>
      <c r="H145" s="31"/>
      <c r="I145" s="31"/>
      <c r="J145" s="31">
        <f>+J50+J96</f>
        <v>0</v>
      </c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>
        <f t="shared" si="7"/>
        <v>0</v>
      </c>
      <c r="Y145" s="31">
        <f>+F153+G153+H145+I145</f>
        <v>0</v>
      </c>
    </row>
    <row r="146" spans="1:25" ht="12.75">
      <c r="A146" s="36"/>
      <c r="B146" s="31"/>
      <c r="C146" s="31"/>
      <c r="D146" s="31"/>
      <c r="E146" s="39"/>
      <c r="F146" s="31">
        <f>+F33+F79</f>
        <v>0</v>
      </c>
      <c r="G146" s="31">
        <f>+G33+G79</f>
        <v>0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>
        <f t="shared" si="7"/>
        <v>0</v>
      </c>
      <c r="Y146" s="31">
        <f>+F146+G146+H146+I146</f>
        <v>0</v>
      </c>
    </row>
    <row r="147" spans="2:25" ht="13.5" thickBot="1">
      <c r="B147" s="40">
        <f aca="true" t="shared" si="37" ref="B147:Y147">SUM(B104:B146)</f>
        <v>584482.5</v>
      </c>
      <c r="C147" s="40">
        <f t="shared" si="37"/>
        <v>0</v>
      </c>
      <c r="D147" s="40">
        <f t="shared" si="37"/>
        <v>829356</v>
      </c>
      <c r="E147" s="40">
        <f t="shared" si="37"/>
        <v>3303606</v>
      </c>
      <c r="F147" s="40">
        <f t="shared" si="37"/>
        <v>1177310</v>
      </c>
      <c r="G147" s="40">
        <f t="shared" si="37"/>
        <v>308498</v>
      </c>
      <c r="H147" s="40">
        <f t="shared" si="37"/>
        <v>10933673.895000001</v>
      </c>
      <c r="I147" s="40">
        <f t="shared" si="37"/>
        <v>194865</v>
      </c>
      <c r="J147" s="40">
        <f t="shared" si="37"/>
        <v>14242840</v>
      </c>
      <c r="K147" s="40">
        <f t="shared" si="37"/>
        <v>10997432.06</v>
      </c>
      <c r="L147" s="40">
        <f t="shared" si="37"/>
        <v>274748.80600000004</v>
      </c>
      <c r="M147" s="40">
        <f t="shared" si="37"/>
        <v>306272.32999999996</v>
      </c>
      <c r="N147" s="40">
        <f t="shared" si="37"/>
        <v>2431947.5599999996</v>
      </c>
      <c r="O147" s="40">
        <f t="shared" si="37"/>
        <v>554349.0699999998</v>
      </c>
      <c r="P147" s="40">
        <f t="shared" si="37"/>
        <v>314965.73</v>
      </c>
      <c r="Q147" s="40">
        <f t="shared" si="37"/>
        <v>1363388.9400000002</v>
      </c>
      <c r="R147" s="40">
        <f t="shared" si="37"/>
        <v>624994.6999999998</v>
      </c>
      <c r="S147" s="40">
        <f t="shared" si="37"/>
        <v>0</v>
      </c>
      <c r="T147" s="40">
        <f t="shared" si="37"/>
        <v>2226426.24</v>
      </c>
      <c r="U147" s="40">
        <f t="shared" si="37"/>
        <v>1193658.85</v>
      </c>
      <c r="V147" s="40">
        <f t="shared" si="37"/>
        <v>1483888.269999999</v>
      </c>
      <c r="W147" s="40">
        <f t="shared" si="37"/>
        <v>57817.53999999999</v>
      </c>
      <c r="X147" s="40">
        <f t="shared" si="37"/>
        <v>53404521.49099999</v>
      </c>
      <c r="Y147" s="40">
        <f t="shared" si="37"/>
        <v>26857186.895000003</v>
      </c>
    </row>
    <row r="148" spans="2:25" ht="13.5" thickTop="1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2:25" ht="12.75">
      <c r="B149" s="31">
        <f aca="true" t="shared" si="38" ref="B149:Y149">+B97+B48</f>
        <v>584472.5</v>
      </c>
      <c r="C149" s="31">
        <f t="shared" si="38"/>
        <v>0</v>
      </c>
      <c r="D149" s="31">
        <f t="shared" si="38"/>
        <v>829356</v>
      </c>
      <c r="E149" s="31">
        <f t="shared" si="38"/>
        <v>3303606</v>
      </c>
      <c r="F149" s="31">
        <f t="shared" si="38"/>
        <v>1177310</v>
      </c>
      <c r="G149" s="31">
        <f t="shared" si="38"/>
        <v>308498</v>
      </c>
      <c r="H149" s="31">
        <f t="shared" si="38"/>
        <v>10933673.894999998</v>
      </c>
      <c r="I149" s="31">
        <f t="shared" si="38"/>
        <v>194865</v>
      </c>
      <c r="J149" s="31">
        <f t="shared" si="38"/>
        <v>14242840</v>
      </c>
      <c r="K149" s="31">
        <f t="shared" si="38"/>
        <v>10997432.06</v>
      </c>
      <c r="L149" s="31">
        <f t="shared" si="38"/>
        <v>274748.806</v>
      </c>
      <c r="M149" s="31">
        <f t="shared" si="38"/>
        <v>306272.3300000001</v>
      </c>
      <c r="N149" s="31">
        <f t="shared" si="38"/>
        <v>2431947.56</v>
      </c>
      <c r="O149" s="31">
        <f t="shared" si="38"/>
        <v>554349.0699999998</v>
      </c>
      <c r="P149" s="31">
        <f t="shared" si="38"/>
        <v>314965.73000000004</v>
      </c>
      <c r="Q149" s="31">
        <f t="shared" si="38"/>
        <v>1363388.9400000002</v>
      </c>
      <c r="R149" s="31">
        <f t="shared" si="38"/>
        <v>624994.7</v>
      </c>
      <c r="S149" s="31">
        <f t="shared" si="38"/>
        <v>0</v>
      </c>
      <c r="T149" s="31">
        <f t="shared" si="38"/>
        <v>2226426.2399999993</v>
      </c>
      <c r="U149" s="31">
        <f t="shared" si="38"/>
        <v>1193658.85</v>
      </c>
      <c r="V149" s="31">
        <f t="shared" si="38"/>
        <v>1483888.27</v>
      </c>
      <c r="W149" s="31">
        <f t="shared" si="38"/>
        <v>57817.53999999999</v>
      </c>
      <c r="X149" s="31">
        <f t="shared" si="38"/>
        <v>53404511.49100001</v>
      </c>
      <c r="Y149" s="31">
        <f t="shared" si="38"/>
        <v>0</v>
      </c>
    </row>
  </sheetData>
  <sheetProtection/>
  <mergeCells count="3">
    <mergeCell ref="U6:V6"/>
    <mergeCell ref="U52:V52"/>
    <mergeCell ref="U102:V102"/>
  </mergeCells>
  <printOptions/>
  <pageMargins left="0.7" right="0.7" top="0.75" bottom="0.75" header="0.3" footer="0.3"/>
  <pageSetup fitToHeight="2" fitToWidth="1" horizontalDpi="600" verticalDpi="600" orientation="landscape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6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A11" sqref="A11"/>
    </sheetView>
  </sheetViews>
  <sheetFormatPr defaultColWidth="11.7109375" defaultRowHeight="12.75"/>
  <cols>
    <col min="1" max="1" width="11.7109375" style="32" customWidth="1"/>
    <col min="2" max="2" width="0" style="32" hidden="1" customWidth="1"/>
    <col min="3" max="3" width="23.7109375" style="32" hidden="1" customWidth="1"/>
    <col min="4" max="7" width="0" style="32" hidden="1" customWidth="1"/>
    <col min="8" max="13" width="11.7109375" style="32" customWidth="1"/>
    <col min="14" max="14" width="13.421875" style="32" customWidth="1"/>
    <col min="15" max="18" width="11.7109375" style="32" customWidth="1"/>
    <col min="19" max="19" width="11.7109375" style="32" hidden="1" customWidth="1"/>
    <col min="20" max="27" width="11.7109375" style="32" customWidth="1"/>
    <col min="28" max="28" width="14.140625" style="32" customWidth="1"/>
    <col min="29" max="16384" width="11.7109375" style="32" customWidth="1"/>
  </cols>
  <sheetData>
    <row r="1" ht="12.75">
      <c r="A1" s="49" t="s">
        <v>0</v>
      </c>
    </row>
    <row r="2" ht="12.75">
      <c r="A2" s="49" t="s">
        <v>1</v>
      </c>
    </row>
    <row r="3" spans="1:9" ht="12.75">
      <c r="A3" s="50">
        <v>44012</v>
      </c>
      <c r="I3" s="32" t="s">
        <v>131</v>
      </c>
    </row>
    <row r="4" ht="12.75">
      <c r="A4" s="30"/>
    </row>
    <row r="5" spans="1:27" ht="12.75">
      <c r="A5" s="33" t="s">
        <v>2</v>
      </c>
      <c r="X5" s="35" t="s">
        <v>123</v>
      </c>
      <c r="Y5" s="57" t="s">
        <v>124</v>
      </c>
      <c r="Z5" s="58" t="s">
        <v>21</v>
      </c>
      <c r="AA5" s="61">
        <v>2020</v>
      </c>
    </row>
    <row r="6" spans="1:27" ht="12.75">
      <c r="A6" s="30"/>
      <c r="V6" s="68"/>
      <c r="W6" s="68"/>
      <c r="X6" s="54" t="s">
        <v>121</v>
      </c>
      <c r="Y6" s="54" t="s">
        <v>125</v>
      </c>
      <c r="Z6" s="54" t="s">
        <v>126</v>
      </c>
      <c r="AA6" s="54" t="s">
        <v>128</v>
      </c>
    </row>
    <row r="7" spans="1:38" s="51" customFormat="1" ht="12.75">
      <c r="A7" s="44" t="s">
        <v>3</v>
      </c>
      <c r="B7" s="45" t="s">
        <v>5</v>
      </c>
      <c r="C7" s="45" t="s">
        <v>56</v>
      </c>
      <c r="D7" s="45" t="s">
        <v>8</v>
      </c>
      <c r="E7" s="45">
        <v>2004</v>
      </c>
      <c r="F7" s="45" t="s">
        <v>9</v>
      </c>
      <c r="G7" s="45" t="s">
        <v>10</v>
      </c>
      <c r="H7" s="45">
        <v>2011</v>
      </c>
      <c r="I7" s="45" t="s">
        <v>67</v>
      </c>
      <c r="J7" s="45">
        <v>2016</v>
      </c>
      <c r="K7" s="45" t="s">
        <v>119</v>
      </c>
      <c r="L7" s="45" t="s">
        <v>71</v>
      </c>
      <c r="M7" s="45" t="s">
        <v>73</v>
      </c>
      <c r="N7" s="45" t="s">
        <v>85</v>
      </c>
      <c r="O7" s="45" t="s">
        <v>86</v>
      </c>
      <c r="P7" s="45" t="s">
        <v>89</v>
      </c>
      <c r="Q7" s="45" t="s">
        <v>90</v>
      </c>
      <c r="R7" s="45" t="s">
        <v>91</v>
      </c>
      <c r="S7" s="45" t="s">
        <v>78</v>
      </c>
      <c r="T7" s="45" t="s">
        <v>115</v>
      </c>
      <c r="U7" s="45" t="s">
        <v>130</v>
      </c>
      <c r="V7" s="45" t="s">
        <v>76</v>
      </c>
      <c r="W7" s="45" t="s">
        <v>77</v>
      </c>
      <c r="X7" s="45" t="s">
        <v>122</v>
      </c>
      <c r="Y7" s="45" t="s">
        <v>122</v>
      </c>
      <c r="Z7" s="45" t="s">
        <v>127</v>
      </c>
      <c r="AA7" s="45" t="s">
        <v>129</v>
      </c>
      <c r="AB7" s="45" t="s">
        <v>11</v>
      </c>
      <c r="AC7" s="66"/>
      <c r="AD7" s="66"/>
      <c r="AE7" s="66"/>
      <c r="AF7" s="66"/>
      <c r="AG7" s="66"/>
      <c r="AH7" s="66"/>
      <c r="AI7" s="66"/>
      <c r="AJ7" s="66"/>
      <c r="AK7" s="66"/>
      <c r="AL7" s="66"/>
    </row>
    <row r="8" spans="1:28" ht="12.75">
      <c r="A8" s="36"/>
      <c r="B8" s="31"/>
      <c r="C8" s="31"/>
      <c r="D8" s="31"/>
      <c r="E8" s="31"/>
      <c r="F8" s="31"/>
      <c r="G8" s="31"/>
      <c r="Y8" s="48"/>
      <c r="Z8" s="48"/>
      <c r="AA8" s="48"/>
      <c r="AB8" s="31"/>
    </row>
    <row r="9" spans="1:28" ht="12.75">
      <c r="A9" s="36" t="s">
        <v>22</v>
      </c>
      <c r="B9" s="10"/>
      <c r="C9" s="10"/>
      <c r="D9" s="10"/>
      <c r="E9" s="10"/>
      <c r="F9" s="10"/>
      <c r="G9" s="10"/>
      <c r="H9" s="46">
        <v>128000</v>
      </c>
      <c r="I9" s="46">
        <v>15000</v>
      </c>
      <c r="J9" s="46">
        <v>138500</v>
      </c>
      <c r="K9" s="46">
        <f>233930.82+234808.06</f>
        <v>468738.88</v>
      </c>
      <c r="L9" s="46">
        <f>8135.5+8176.18</f>
        <v>16311.68</v>
      </c>
      <c r="M9" s="46">
        <f>9100.78+9146.29</f>
        <v>18247.07</v>
      </c>
      <c r="N9" s="46">
        <f>55191.65+55674.58</f>
        <v>110866.23000000001</v>
      </c>
      <c r="O9" s="46">
        <f>14686.79+14760.23</f>
        <v>29447.02</v>
      </c>
      <c r="P9" s="46">
        <f>7785.94+7815.14</f>
        <v>15601.08</v>
      </c>
      <c r="Q9" s="46">
        <f>33845.7+33972.62</f>
        <v>67818.32</v>
      </c>
      <c r="R9" s="46">
        <f>14554.14+14608.72</f>
        <v>29162.86</v>
      </c>
      <c r="S9" s="46"/>
      <c r="T9" s="46">
        <f>48550.83+48732.89</f>
        <v>97283.72</v>
      </c>
      <c r="U9" s="46">
        <v>27791.5</v>
      </c>
      <c r="V9" s="46">
        <v>11500</v>
      </c>
      <c r="W9" s="46">
        <v>17000</v>
      </c>
      <c r="X9" s="46">
        <v>9713.88</v>
      </c>
      <c r="Y9" s="31">
        <v>170000</v>
      </c>
      <c r="Z9" s="31">
        <f>100055.16+101656.04</f>
        <v>201711.2</v>
      </c>
      <c r="AA9" s="31">
        <v>6390</v>
      </c>
      <c r="AB9" s="31">
        <f>SUM(B9:AA9)</f>
        <v>1579083.44</v>
      </c>
    </row>
    <row r="10" spans="1:28" ht="12.75">
      <c r="A10" s="36" t="s">
        <v>23</v>
      </c>
      <c r="B10" s="10"/>
      <c r="C10" s="10"/>
      <c r="D10" s="10"/>
      <c r="E10" s="10"/>
      <c r="F10" s="10"/>
      <c r="G10" s="10"/>
      <c r="H10" s="46">
        <v>132000</v>
      </c>
      <c r="I10" s="46"/>
      <c r="J10" s="46">
        <v>142500</v>
      </c>
      <c r="K10" s="46">
        <f>235688.59+236572.42</f>
        <v>472261.01</v>
      </c>
      <c r="L10" s="46">
        <f>8217.06+8258.15</f>
        <v>16475.21</v>
      </c>
      <c r="M10" s="46">
        <f>9192.02+9237.98</f>
        <v>18430</v>
      </c>
      <c r="N10" s="46">
        <f>56161.73+56653.14</f>
        <v>112814.87</v>
      </c>
      <c r="O10" s="46">
        <f>14834.03+14908.19</f>
        <v>29742.22</v>
      </c>
      <c r="P10" s="46">
        <f>7844.45+7873.87</f>
        <v>15718.32</v>
      </c>
      <c r="Q10" s="46">
        <f>34100.02+34227.9</f>
        <v>68327.92</v>
      </c>
      <c r="R10" s="46">
        <f>14663.5+14718.49</f>
        <v>29381.989999999998</v>
      </c>
      <c r="S10" s="46"/>
      <c r="T10" s="46">
        <f>48915.64+49099.08</f>
        <v>98014.72</v>
      </c>
      <c r="U10" s="46">
        <f>27895.72+28000.33</f>
        <v>55896.05</v>
      </c>
      <c r="V10" s="46">
        <v>11500</v>
      </c>
      <c r="W10" s="46">
        <v>17500</v>
      </c>
      <c r="X10" s="46">
        <v>10464.7</v>
      </c>
      <c r="Y10" s="31">
        <v>100000</v>
      </c>
      <c r="Z10" s="31">
        <f>103282.53+104935.05</f>
        <v>208217.58000000002</v>
      </c>
      <c r="AA10" s="31">
        <v>6507</v>
      </c>
      <c r="AB10" s="31">
        <f>SUM(B10:AA10)</f>
        <v>1545751.59</v>
      </c>
    </row>
    <row r="11" spans="1:28" ht="12.75">
      <c r="A11" s="36" t="s">
        <v>24</v>
      </c>
      <c r="B11" s="10"/>
      <c r="C11" s="10"/>
      <c r="D11" s="10"/>
      <c r="E11" s="10"/>
      <c r="F11" s="10"/>
      <c r="G11" s="10"/>
      <c r="H11" s="46">
        <v>136500</v>
      </c>
      <c r="I11" s="46"/>
      <c r="J11" s="46">
        <v>146000</v>
      </c>
      <c r="K11" s="46">
        <f>237459.57+238350.04</f>
        <v>475809.61</v>
      </c>
      <c r="L11" s="46">
        <f>8299.44+8340.93</f>
        <v>16640.370000000003</v>
      </c>
      <c r="M11" s="46">
        <f>9284.17+9330.59</f>
        <v>18614.760000000002</v>
      </c>
      <c r="N11" s="46">
        <f>57148.86+57648.91</f>
        <v>114797.77</v>
      </c>
      <c r="O11" s="46">
        <f>14982.74+15057.65</f>
        <v>30040.39</v>
      </c>
      <c r="P11" s="46">
        <f>7903.39+7933.03</f>
        <v>15836.42</v>
      </c>
      <c r="Q11" s="46">
        <f>34356.25+34485.09</f>
        <v>68841.34</v>
      </c>
      <c r="R11" s="46">
        <f>14773.68+14829.09</f>
        <v>29602.77</v>
      </c>
      <c r="S11" s="46"/>
      <c r="T11" s="46">
        <f>49283.2+49468.01</f>
        <v>98751.20999999999</v>
      </c>
      <c r="U11" s="46">
        <f>28105.33+28210.72</f>
        <v>56316.05</v>
      </c>
      <c r="V11" s="46">
        <v>12000</v>
      </c>
      <c r="W11" s="46">
        <v>18000</v>
      </c>
      <c r="X11" s="46">
        <v>11273.58</v>
      </c>
      <c r="Y11" s="31">
        <v>105000</v>
      </c>
      <c r="Z11" s="31">
        <f>106614.02+108319.84</f>
        <v>214933.86</v>
      </c>
      <c r="AA11" s="31">
        <v>6626</v>
      </c>
      <c r="AB11" s="31">
        <f>SUM(B11:AA11)</f>
        <v>1575584.13</v>
      </c>
    </row>
    <row r="12" spans="1:28" ht="12.75">
      <c r="A12" s="36" t="s">
        <v>25</v>
      </c>
      <c r="B12" s="10"/>
      <c r="C12" s="10"/>
      <c r="D12" s="10"/>
      <c r="E12" s="10"/>
      <c r="F12" s="10"/>
      <c r="G12" s="10"/>
      <c r="H12" s="46">
        <v>141000</v>
      </c>
      <c r="I12" s="46"/>
      <c r="J12" s="46">
        <v>150500</v>
      </c>
      <c r="K12" s="46">
        <f>239243.86+240141.02</f>
        <v>479384.88</v>
      </c>
      <c r="L12" s="46">
        <f>8382.64+8424.55</f>
        <v>16807.19</v>
      </c>
      <c r="M12" s="46">
        <f>9377.24+9424.13</f>
        <v>18801.37</v>
      </c>
      <c r="N12" s="46">
        <f>58153.34+58662.18</f>
        <v>116815.51999999999</v>
      </c>
      <c r="O12" s="46">
        <f>15132.94+15208.6</f>
        <v>30341.54</v>
      </c>
      <c r="P12" s="46">
        <f>7962.78+7992.64</f>
        <v>15955.42</v>
      </c>
      <c r="Q12" s="46">
        <f>34614.4+34744.21</f>
        <v>69358.61</v>
      </c>
      <c r="R12" s="46">
        <f>14884.7+14940.51</f>
        <v>29825.21</v>
      </c>
      <c r="S12" s="46"/>
      <c r="T12" s="46">
        <f>49653.52+49839.72</f>
        <v>99493.23999999999</v>
      </c>
      <c r="U12" s="46">
        <f>28316.51+28422.7</f>
        <v>56739.21</v>
      </c>
      <c r="V12" s="46">
        <v>12500</v>
      </c>
      <c r="W12" s="46">
        <v>18500</v>
      </c>
      <c r="X12" s="46">
        <v>8193.71</v>
      </c>
      <c r="Y12" s="31">
        <v>105000</v>
      </c>
      <c r="Z12" s="31">
        <f>110052.96+111813.8</f>
        <v>221866.76</v>
      </c>
      <c r="AA12" s="31">
        <v>6747</v>
      </c>
      <c r="AB12" s="31">
        <f>SUM(B12:AA12)</f>
        <v>1597829.66</v>
      </c>
    </row>
    <row r="13" spans="1:28" ht="12.75">
      <c r="A13" s="36" t="s">
        <v>26</v>
      </c>
      <c r="B13" s="10"/>
      <c r="C13" s="10"/>
      <c r="D13" s="10"/>
      <c r="E13" s="10"/>
      <c r="F13" s="10"/>
      <c r="G13" s="10"/>
      <c r="H13" s="46">
        <v>145500</v>
      </c>
      <c r="I13" s="46"/>
      <c r="J13" s="46">
        <v>154500</v>
      </c>
      <c r="K13" s="46">
        <f>241041.55+241945.46</f>
        <v>482987.01</v>
      </c>
      <c r="L13" s="46">
        <f>8466.68+8509.01</f>
        <v>16975.690000000002</v>
      </c>
      <c r="M13" s="46">
        <f>9471.25+9518.61</f>
        <v>18989.86</v>
      </c>
      <c r="N13" s="46">
        <f>59175.48+59693.26</f>
        <v>118868.74</v>
      </c>
      <c r="O13" s="46">
        <f>15284.65+15361.07</f>
        <v>30645.72</v>
      </c>
      <c r="P13" s="46">
        <f>8022.61+8052.7</f>
        <v>16075.31</v>
      </c>
      <c r="Q13" s="46">
        <f>34874.5+35005.28</f>
        <v>69879.78</v>
      </c>
      <c r="R13" s="46">
        <f>14996.54+15052.78</f>
        <v>30049.32</v>
      </c>
      <c r="S13" s="46"/>
      <c r="T13" s="46">
        <f>50026.62+50214.21</f>
        <v>100240.83</v>
      </c>
      <c r="U13" s="46">
        <f>28529.29+28636.27</f>
        <v>57165.56</v>
      </c>
      <c r="V13" s="46">
        <v>13000</v>
      </c>
      <c r="W13" s="46">
        <v>19000</v>
      </c>
      <c r="X13" s="46"/>
      <c r="Y13" s="31">
        <v>110000</v>
      </c>
      <c r="Z13" s="31">
        <f>113602.83+115420.47</f>
        <v>229023.3</v>
      </c>
      <c r="AA13" s="31">
        <v>3419</v>
      </c>
      <c r="AB13" s="31">
        <f>SUM(B13:AA13)</f>
        <v>1616320.12</v>
      </c>
    </row>
    <row r="14" spans="1:28" ht="12.75">
      <c r="A14" s="36" t="s">
        <v>27</v>
      </c>
      <c r="B14" s="10"/>
      <c r="C14" s="10"/>
      <c r="D14" s="10"/>
      <c r="E14" s="10"/>
      <c r="F14" s="10"/>
      <c r="G14" s="10"/>
      <c r="H14" s="46">
        <v>150000</v>
      </c>
      <c r="I14" s="46"/>
      <c r="J14" s="46">
        <v>158500</v>
      </c>
      <c r="K14" s="46">
        <f>242852.75+243763.45</f>
        <v>486616.2</v>
      </c>
      <c r="L14" s="46">
        <f>8551.55+8594.31</f>
        <v>17145.86</v>
      </c>
      <c r="M14" s="46">
        <f>9566.25+9614.03</f>
        <v>19180.28</v>
      </c>
      <c r="N14" s="46">
        <f>60215.58+60742.46</f>
        <v>120958.04000000001</v>
      </c>
      <c r="O14" s="46">
        <f>15437.88+15515.06</f>
        <v>30952.94</v>
      </c>
      <c r="P14" s="46">
        <f>8082.89+8113.2</f>
        <v>16196.09</v>
      </c>
      <c r="Q14" s="46">
        <f>35136.55+35268.31</f>
        <v>70404.86</v>
      </c>
      <c r="R14" s="46">
        <f>15109.22+15165.89</f>
        <v>30275.11</v>
      </c>
      <c r="S14" s="46"/>
      <c r="T14" s="46">
        <f>50402.52+50591.53</f>
        <v>100994.04999999999</v>
      </c>
      <c r="U14" s="46">
        <f>28743.66+28851.45</f>
        <v>57595.11</v>
      </c>
      <c r="V14" s="46">
        <v>13500</v>
      </c>
      <c r="W14" s="46">
        <v>19500</v>
      </c>
      <c r="X14" s="46"/>
      <c r="Y14" s="31">
        <v>110000</v>
      </c>
      <c r="Z14" s="31">
        <f>117267.2+119143.47</f>
        <v>236410.66999999998</v>
      </c>
      <c r="AA14" s="31"/>
      <c r="AB14" s="31">
        <f aca="true" t="shared" si="0" ref="AB14:AB46">SUM(B14:Z14)</f>
        <v>1638229.2100000002</v>
      </c>
    </row>
    <row r="15" spans="1:28" ht="12.75">
      <c r="A15" s="36" t="s">
        <v>28</v>
      </c>
      <c r="B15" s="10"/>
      <c r="C15" s="10"/>
      <c r="D15" s="10"/>
      <c r="E15" s="10"/>
      <c r="F15" s="10"/>
      <c r="G15" s="10"/>
      <c r="H15" s="46">
        <v>155000</v>
      </c>
      <c r="I15" s="46"/>
      <c r="J15" s="46">
        <v>163000</v>
      </c>
      <c r="K15" s="46">
        <f>244677.56+245595.1</f>
        <v>490272.66000000003</v>
      </c>
      <c r="L15" s="46">
        <f>8637.28+8680.47</f>
        <v>17317.75</v>
      </c>
      <c r="M15" s="46">
        <f>9662.1+9710.41</f>
        <v>19372.510000000002</v>
      </c>
      <c r="N15" s="46">
        <f>61273.96+61810.11</f>
        <v>123084.07</v>
      </c>
      <c r="O15" s="46">
        <f>15592.64+15670.61</f>
        <v>31263.25</v>
      </c>
      <c r="P15" s="46">
        <f>8143.63+8174.17</f>
        <v>16317.8</v>
      </c>
      <c r="Q15" s="46">
        <f>35400.57+35533.32</f>
        <v>70933.89</v>
      </c>
      <c r="R15" s="46">
        <f>15222.76+15279.85</f>
        <v>30502.61</v>
      </c>
      <c r="S15" s="46"/>
      <c r="T15" s="46">
        <f>50781.25+50971.68</f>
        <v>101752.93</v>
      </c>
      <c r="U15" s="46">
        <f>28959.64+29068.24</f>
        <v>58027.880000000005</v>
      </c>
      <c r="V15" s="46">
        <v>14000</v>
      </c>
      <c r="W15" s="46">
        <v>20000</v>
      </c>
      <c r="X15" s="46"/>
      <c r="Y15" s="31">
        <v>115000</v>
      </c>
      <c r="Z15" s="31">
        <f>121049.77+122986.54</f>
        <v>244036.31</v>
      </c>
      <c r="AA15" s="31"/>
      <c r="AB15" s="31">
        <f t="shared" si="0"/>
        <v>1669881.6600000001</v>
      </c>
    </row>
    <row r="16" spans="1:28" ht="12.75">
      <c r="A16" s="36" t="s">
        <v>29</v>
      </c>
      <c r="B16" s="10"/>
      <c r="C16" s="10"/>
      <c r="D16" s="10"/>
      <c r="E16" s="10"/>
      <c r="F16" s="10"/>
      <c r="G16" s="10"/>
      <c r="H16" s="46">
        <v>160000</v>
      </c>
      <c r="I16" s="46"/>
      <c r="J16" s="46">
        <v>167500</v>
      </c>
      <c r="K16" s="46">
        <f>246516.08+247440.52</f>
        <v>493956.6</v>
      </c>
      <c r="L16" s="46">
        <f>8723.87+8767.49</f>
        <v>17491.36</v>
      </c>
      <c r="M16" s="46">
        <f>9758.96+9807.76</f>
        <v>19566.72</v>
      </c>
      <c r="N16" s="46">
        <f>62350.95+62896.52</f>
        <v>125247.47</v>
      </c>
      <c r="O16" s="46">
        <f>15748.96+15827.7</f>
        <v>31576.66</v>
      </c>
      <c r="P16" s="46">
        <f>8204.82+8235.59</f>
        <v>16440.41</v>
      </c>
      <c r="Q16" s="46">
        <f>35666.57+35800.32</f>
        <v>71466.89</v>
      </c>
      <c r="R16" s="46">
        <f>15337.14+15394.66</f>
        <v>30731.8</v>
      </c>
      <c r="S16" s="46"/>
      <c r="T16" s="46">
        <f>51162.82+51354.68</f>
        <v>102517.5</v>
      </c>
      <c r="U16" s="46">
        <f>29177.24+29286.66</f>
        <v>58463.9</v>
      </c>
      <c r="V16" s="46">
        <v>14500</v>
      </c>
      <c r="W16" s="46">
        <v>20500</v>
      </c>
      <c r="X16" s="46"/>
      <c r="Y16" s="31">
        <v>115000</v>
      </c>
      <c r="Z16" s="31"/>
      <c r="AA16" s="31"/>
      <c r="AB16" s="31">
        <f t="shared" si="0"/>
        <v>1444959.3099999998</v>
      </c>
    </row>
    <row r="17" spans="1:28" ht="12.75">
      <c r="A17" s="36" t="s">
        <v>30</v>
      </c>
      <c r="B17" s="10"/>
      <c r="C17" s="10"/>
      <c r="D17" s="10"/>
      <c r="E17" s="10"/>
      <c r="F17" s="10"/>
      <c r="G17" s="10"/>
      <c r="H17" s="46">
        <v>165000</v>
      </c>
      <c r="I17" s="46"/>
      <c r="J17" s="46">
        <v>172000</v>
      </c>
      <c r="K17" s="46">
        <f>248368.42+249299.8</f>
        <v>497668.22</v>
      </c>
      <c r="L17" s="46">
        <f>8811.33+8855.39</f>
        <v>17666.72</v>
      </c>
      <c r="M17" s="46">
        <f>9856.8+9906.08</f>
        <v>19762.879999999997</v>
      </c>
      <c r="N17" s="46">
        <f>63446.86+64002.02</f>
        <v>127448.88</v>
      </c>
      <c r="O17" s="46">
        <f>15906.84+15986.38</f>
        <v>31893.22</v>
      </c>
      <c r="P17" s="46">
        <f>8266.47+8297.47</f>
        <v>16563.94</v>
      </c>
      <c r="Q17" s="46">
        <f>35934.57+36069.32</f>
        <v>72003.89</v>
      </c>
      <c r="R17" s="46">
        <f>15452.39+15510.34</f>
        <v>30962.73</v>
      </c>
      <c r="S17" s="46"/>
      <c r="T17" s="46">
        <f>51547.26+51740.56</f>
        <v>103287.82</v>
      </c>
      <c r="U17" s="46">
        <f>29396.48+29506.72</f>
        <v>58903.2</v>
      </c>
      <c r="V17" s="46">
        <v>15000</v>
      </c>
      <c r="W17" s="46">
        <v>21000</v>
      </c>
      <c r="X17" s="46"/>
      <c r="Y17" s="31">
        <v>120000</v>
      </c>
      <c r="Z17" s="31"/>
      <c r="AA17" s="31"/>
      <c r="AB17" s="31">
        <f t="shared" si="0"/>
        <v>1469161.4999999998</v>
      </c>
    </row>
    <row r="18" spans="1:28" ht="12.75">
      <c r="A18" s="36" t="s">
        <v>31</v>
      </c>
      <c r="B18" s="10"/>
      <c r="C18" s="10"/>
      <c r="D18" s="10"/>
      <c r="E18" s="10"/>
      <c r="F18" s="10"/>
      <c r="G18" s="10"/>
      <c r="H18" s="46">
        <v>170500</v>
      </c>
      <c r="I18" s="46"/>
      <c r="J18" s="46">
        <v>177000</v>
      </c>
      <c r="K18" s="46">
        <f>250234.68+251173.06</f>
        <v>501407.74</v>
      </c>
      <c r="L18" s="46">
        <f>8899.66+8944.16</f>
        <v>17843.82</v>
      </c>
      <c r="M18" s="46">
        <f>9955.61+10005.39</f>
        <v>19961</v>
      </c>
      <c r="N18" s="46">
        <f>64562.04+65126.96</f>
        <v>129689</v>
      </c>
      <c r="O18" s="46">
        <f>16066.3+16146.64</f>
        <v>32212.94</v>
      </c>
      <c r="P18" s="46">
        <f>8328.59+8359.82</f>
        <v>16688.41</v>
      </c>
      <c r="Q18" s="46">
        <f>36204.58+36340.35</f>
        <v>72544.93</v>
      </c>
      <c r="R18" s="46">
        <f>15568.5+15626.88</f>
        <v>31195.379999999997</v>
      </c>
      <c r="S18" s="46"/>
      <c r="T18" s="46">
        <f>51934.59+52129.34</f>
        <v>104063.93</v>
      </c>
      <c r="U18" s="46">
        <f>29617.37+29728.44</f>
        <v>59345.81</v>
      </c>
      <c r="V18" s="46">
        <v>15500</v>
      </c>
      <c r="W18" s="46">
        <v>21500</v>
      </c>
      <c r="X18" s="46"/>
      <c r="Y18" s="31">
        <v>120000</v>
      </c>
      <c r="Z18" s="31"/>
      <c r="AA18" s="31"/>
      <c r="AB18" s="31">
        <f t="shared" si="0"/>
        <v>1489452.9599999997</v>
      </c>
    </row>
    <row r="19" spans="1:28" ht="12.75">
      <c r="A19" s="36" t="s">
        <v>32</v>
      </c>
      <c r="B19" s="10"/>
      <c r="C19" s="10"/>
      <c r="D19" s="10"/>
      <c r="E19" s="10"/>
      <c r="F19" s="10"/>
      <c r="G19" s="10"/>
      <c r="H19" s="46">
        <v>176000</v>
      </c>
      <c r="I19" s="46"/>
      <c r="J19" s="46">
        <v>181500</v>
      </c>
      <c r="K19" s="46">
        <f>252114.96+253060.39</f>
        <v>505175.35</v>
      </c>
      <c r="L19" s="46">
        <f>8988.88+9033.83</f>
        <v>18022.71</v>
      </c>
      <c r="M19" s="46">
        <f>10055.42+10105.69</f>
        <v>20161.11</v>
      </c>
      <c r="N19" s="46">
        <f>65696.82+66271.66</f>
        <v>131968.48</v>
      </c>
      <c r="O19" s="46">
        <f>16227.37+16308.51</f>
        <v>32535.88</v>
      </c>
      <c r="P19" s="46">
        <f>8391.17+8422.64</f>
        <v>16813.809999999998</v>
      </c>
      <c r="Q19" s="46">
        <f>36476.63+36613.42</f>
        <v>73090.04999999999</v>
      </c>
      <c r="R19" s="46">
        <f>15685.48+15744.3</f>
        <v>31429.78</v>
      </c>
      <c r="S19" s="46"/>
      <c r="T19" s="46">
        <f>52324.83+52521.05</f>
        <v>104845.88</v>
      </c>
      <c r="U19" s="46">
        <f>29839.92+29951.82</f>
        <v>59791.74</v>
      </c>
      <c r="V19" s="46">
        <v>16000</v>
      </c>
      <c r="W19" s="46">
        <v>22500</v>
      </c>
      <c r="X19" s="46"/>
      <c r="Y19" s="31">
        <v>125000</v>
      </c>
      <c r="Z19" s="31"/>
      <c r="AA19" s="31"/>
      <c r="AB19" s="31">
        <f t="shared" si="0"/>
        <v>1514834.7899999998</v>
      </c>
    </row>
    <row r="20" spans="1:28" ht="12.75">
      <c r="A20" s="36" t="s">
        <v>33</v>
      </c>
      <c r="B20" s="10"/>
      <c r="C20" s="10"/>
      <c r="D20" s="10"/>
      <c r="E20" s="10"/>
      <c r="F20" s="10"/>
      <c r="G20" s="10"/>
      <c r="H20" s="46">
        <v>182000</v>
      </c>
      <c r="I20" s="46"/>
      <c r="J20" s="46">
        <v>186500</v>
      </c>
      <c r="K20" s="46">
        <f>254009.36+254961.9</f>
        <v>508971.26</v>
      </c>
      <c r="L20" s="46">
        <f>9078.99+9124.39</f>
        <v>18203.379999999997</v>
      </c>
      <c r="M20" s="46">
        <f>10156.22+10207</f>
        <v>20363.22</v>
      </c>
      <c r="N20" s="46">
        <f>66851.54+67436.49</f>
        <v>134288.03</v>
      </c>
      <c r="O20" s="46">
        <f>16390.05+16471.99</f>
        <v>32862.04</v>
      </c>
      <c r="P20" s="46">
        <f>8454.22+8485.92</f>
        <v>16940.14</v>
      </c>
      <c r="Q20" s="46">
        <f>36750.72+36888.53</f>
        <v>73639.25</v>
      </c>
      <c r="R20" s="46">
        <f>15803.24+15862.6</f>
        <v>31665.84</v>
      </c>
      <c r="S20" s="46"/>
      <c r="T20" s="46">
        <f>52718+52915.69</f>
        <v>105633.69</v>
      </c>
      <c r="U20" s="46">
        <f>30064.14+30176.88</f>
        <v>60241.020000000004</v>
      </c>
      <c r="V20" s="46">
        <v>16500</v>
      </c>
      <c r="W20" s="46">
        <v>23000</v>
      </c>
      <c r="X20" s="46"/>
      <c r="Y20" s="31">
        <v>130000</v>
      </c>
      <c r="Z20" s="31"/>
      <c r="AA20" s="31"/>
      <c r="AB20" s="31">
        <f t="shared" si="0"/>
        <v>1540807.8699999999</v>
      </c>
    </row>
    <row r="21" spans="1:28" ht="12.75">
      <c r="A21" s="36" t="s">
        <v>34</v>
      </c>
      <c r="B21" s="10"/>
      <c r="C21" s="10"/>
      <c r="D21" s="10"/>
      <c r="E21" s="10"/>
      <c r="F21" s="10"/>
      <c r="G21" s="10"/>
      <c r="H21" s="46">
        <v>187500</v>
      </c>
      <c r="I21" s="46"/>
      <c r="J21" s="46">
        <v>192000</v>
      </c>
      <c r="K21" s="46">
        <f>255918.01+256877.7</f>
        <v>512795.71</v>
      </c>
      <c r="L21" s="46">
        <f>9170.01+9215.86</f>
        <v>18385.870000000003</v>
      </c>
      <c r="M21" s="46">
        <f>10258.04+10309.33</f>
        <v>20567.370000000003</v>
      </c>
      <c r="N21" s="46">
        <f>68026.56+68621.79</f>
        <v>136648.34999999998</v>
      </c>
      <c r="O21" s="46">
        <f>16554.36+16637.13</f>
        <v>33191.490000000005</v>
      </c>
      <c r="P21" s="46">
        <f>8517.75+8549.69</f>
        <v>17067.440000000002</v>
      </c>
      <c r="Q21" s="46">
        <f>37026.86+37165.71</f>
        <v>74192.57</v>
      </c>
      <c r="R21" s="46">
        <f>15922.09+15981.79</f>
        <v>31903.88</v>
      </c>
      <c r="S21" s="46"/>
      <c r="T21" s="46">
        <f>53114.13+53313.31</f>
        <v>106427.44</v>
      </c>
      <c r="U21" s="46">
        <f>30290.04+30403.63</f>
        <v>60693.67</v>
      </c>
      <c r="V21" s="46">
        <v>17000</v>
      </c>
      <c r="W21" s="46">
        <v>23500</v>
      </c>
      <c r="X21" s="46"/>
      <c r="Y21" s="31">
        <v>130000</v>
      </c>
      <c r="Z21" s="31"/>
      <c r="AA21" s="31"/>
      <c r="AB21" s="31">
        <f t="shared" si="0"/>
        <v>1561873.7899999996</v>
      </c>
    </row>
    <row r="22" spans="1:28" ht="12.75">
      <c r="A22" s="36" t="s">
        <v>35</v>
      </c>
      <c r="B22" s="10"/>
      <c r="C22" s="10"/>
      <c r="D22" s="10"/>
      <c r="E22" s="10"/>
      <c r="F22" s="10"/>
      <c r="G22" s="10"/>
      <c r="H22" s="46">
        <v>194000</v>
      </c>
      <c r="I22" s="46"/>
      <c r="J22" s="46">
        <v>197000</v>
      </c>
      <c r="K22" s="46">
        <f>257840.99+258807.89</f>
        <v>516648.88</v>
      </c>
      <c r="L22" s="46">
        <v>9261.8</v>
      </c>
      <c r="M22" s="46">
        <v>10361.07</v>
      </c>
      <c r="N22" s="46">
        <f>69222.23+69827.93</f>
        <v>139050.15999999997</v>
      </c>
      <c r="O22" s="46">
        <f>16720.32+16803.91</f>
        <v>33524.229999999996</v>
      </c>
      <c r="P22" s="46">
        <f>8581.75+8613.93</f>
        <v>17195.68</v>
      </c>
      <c r="Q22" s="46">
        <f>37305.09+37444.98</f>
        <v>74750.07</v>
      </c>
      <c r="R22" s="46">
        <f>16041.72+16101.89</f>
        <v>32143.61</v>
      </c>
      <c r="S22" s="46"/>
      <c r="T22" s="46">
        <f>53513.23+53713.9</f>
        <v>107227.13</v>
      </c>
      <c r="U22" s="46">
        <f>30517.64+30632.08</f>
        <v>61149.72</v>
      </c>
      <c r="V22" s="46">
        <v>17500</v>
      </c>
      <c r="W22" s="46">
        <v>24000</v>
      </c>
      <c r="X22" s="46"/>
      <c r="Y22" s="31">
        <v>135000</v>
      </c>
      <c r="Z22" s="31"/>
      <c r="AA22" s="31"/>
      <c r="AB22" s="31">
        <f t="shared" si="0"/>
        <v>1568812.3499999999</v>
      </c>
    </row>
    <row r="23" spans="1:28" ht="12.75">
      <c r="A23" s="36" t="s">
        <v>36</v>
      </c>
      <c r="B23" s="10"/>
      <c r="C23" s="10"/>
      <c r="D23" s="10"/>
      <c r="E23" s="10"/>
      <c r="F23" s="10"/>
      <c r="G23" s="10"/>
      <c r="H23" s="46">
        <v>200000</v>
      </c>
      <c r="I23" s="46"/>
      <c r="J23" s="46">
        <v>202500</v>
      </c>
      <c r="K23" s="46">
        <f>259778.42+260752.59</f>
        <v>520531.01</v>
      </c>
      <c r="L23" s="46"/>
      <c r="M23" s="46"/>
      <c r="N23" s="46">
        <f>70438.92+71055.26</f>
        <v>141494.18</v>
      </c>
      <c r="O23" s="46">
        <f>16887.94+16972.54</f>
        <v>33860.479999999996</v>
      </c>
      <c r="P23" s="46">
        <f>8646.23+8678.66</f>
        <v>17324.89</v>
      </c>
      <c r="Q23" s="46">
        <f>37585.4+37726.34</f>
        <v>75311.73999999999</v>
      </c>
      <c r="R23" s="46">
        <f>16162.27+16222.87</f>
        <v>32385.14</v>
      </c>
      <c r="S23" s="46"/>
      <c r="T23" s="46">
        <f>53915.33+54117.51</f>
        <v>108032.84</v>
      </c>
      <c r="U23" s="46">
        <f>30746.95+30862.25</f>
        <v>61609.2</v>
      </c>
      <c r="V23" s="46">
        <v>18000</v>
      </c>
      <c r="W23" s="46">
        <v>25000</v>
      </c>
      <c r="X23" s="46"/>
      <c r="Y23" s="31">
        <v>140000</v>
      </c>
      <c r="Z23" s="31"/>
      <c r="AA23" s="31"/>
      <c r="AB23" s="31">
        <f t="shared" si="0"/>
        <v>1576049.4799999997</v>
      </c>
    </row>
    <row r="24" spans="1:28" ht="12.75">
      <c r="A24" s="36" t="s">
        <v>37</v>
      </c>
      <c r="B24" s="10"/>
      <c r="C24" s="10"/>
      <c r="D24" s="10"/>
      <c r="E24" s="10"/>
      <c r="F24" s="10"/>
      <c r="G24" s="10"/>
      <c r="H24" s="46">
        <v>206500</v>
      </c>
      <c r="I24" s="46"/>
      <c r="J24" s="46">
        <v>208000</v>
      </c>
      <c r="K24" s="46">
        <f>261730.42+262711.9</f>
        <v>524442.3200000001</v>
      </c>
      <c r="L24" s="46"/>
      <c r="M24" s="46"/>
      <c r="N24" s="46">
        <v>71676.82</v>
      </c>
      <c r="O24" s="31"/>
      <c r="P24" s="46">
        <f>8711.2+8743.87</f>
        <v>17455.07</v>
      </c>
      <c r="Q24" s="46">
        <f>37867.82+38009.82</f>
        <v>75877.64</v>
      </c>
      <c r="R24" s="46">
        <f>16283.71+16344.78</f>
        <v>32628.489999999998</v>
      </c>
      <c r="S24" s="46"/>
      <c r="T24" s="46">
        <f>54320.46+54524.16</f>
        <v>108844.62</v>
      </c>
      <c r="U24" s="46">
        <f>30977.99+31094.15</f>
        <v>62072.14</v>
      </c>
      <c r="V24" s="46">
        <v>18500</v>
      </c>
      <c r="W24" s="46">
        <v>25500</v>
      </c>
      <c r="X24" s="46"/>
      <c r="Y24" s="31">
        <v>145000</v>
      </c>
      <c r="Z24" s="31"/>
      <c r="AA24" s="31"/>
      <c r="AB24" s="31">
        <f t="shared" si="0"/>
        <v>1496497.0999999999</v>
      </c>
    </row>
    <row r="25" spans="1:28" ht="12.75">
      <c r="A25" s="36" t="s">
        <v>38</v>
      </c>
      <c r="B25" s="10"/>
      <c r="C25" s="10"/>
      <c r="D25" s="10"/>
      <c r="E25" s="10"/>
      <c r="F25" s="10"/>
      <c r="G25" s="10"/>
      <c r="H25" s="46">
        <v>213500</v>
      </c>
      <c r="I25" s="46"/>
      <c r="J25" s="46">
        <v>214000</v>
      </c>
      <c r="K25" s="46">
        <f>263697.07+264685.94</f>
        <v>528383.01</v>
      </c>
      <c r="L25" s="46"/>
      <c r="M25" s="46"/>
      <c r="N25" s="46"/>
      <c r="O25" s="46"/>
      <c r="P25" s="46">
        <v>8776.56</v>
      </c>
      <c r="Q25" s="46">
        <v>38152.53</v>
      </c>
      <c r="R25" s="46">
        <f>16406.07+16467.59</f>
        <v>32873.66</v>
      </c>
      <c r="S25" s="46"/>
      <c r="T25" s="46">
        <f>54728.62+54933.85</f>
        <v>109662.47</v>
      </c>
      <c r="U25" s="46">
        <f>31210.76+31327.8</f>
        <v>62538.56</v>
      </c>
      <c r="V25" s="46">
        <v>19500</v>
      </c>
      <c r="W25" s="46">
        <v>26000</v>
      </c>
      <c r="X25" s="46"/>
      <c r="Y25" s="31">
        <v>150000</v>
      </c>
      <c r="Z25" s="31"/>
      <c r="AA25" s="31"/>
      <c r="AB25" s="31">
        <f t="shared" si="0"/>
        <v>1403386.7900000003</v>
      </c>
    </row>
    <row r="26" spans="1:28" ht="12.75">
      <c r="A26" s="36" t="s">
        <v>39</v>
      </c>
      <c r="B26" s="10"/>
      <c r="C26" s="10"/>
      <c r="D26" s="10"/>
      <c r="E26" s="10"/>
      <c r="F26" s="10"/>
      <c r="G26" s="10"/>
      <c r="H26" s="46">
        <v>220500</v>
      </c>
      <c r="I26" s="46"/>
      <c r="J26" s="46">
        <v>219500</v>
      </c>
      <c r="K26" s="46">
        <f>265678.51+266674.8</f>
        <v>532353.31</v>
      </c>
      <c r="L26" s="46"/>
      <c r="M26" s="46"/>
      <c r="N26" s="46"/>
      <c r="O26" s="46"/>
      <c r="P26" s="46"/>
      <c r="Q26" s="46"/>
      <c r="R26" s="46">
        <v>16529.34</v>
      </c>
      <c r="S26" s="46"/>
      <c r="T26" s="46">
        <f>55139.86+55346.63</f>
        <v>110486.48999999999</v>
      </c>
      <c r="U26" s="46">
        <f>31445.28+31563.2</f>
        <v>63008.479999999996</v>
      </c>
      <c r="V26" s="46">
        <v>20000</v>
      </c>
      <c r="W26" s="46">
        <v>27000</v>
      </c>
      <c r="X26" s="46"/>
      <c r="Y26" s="31">
        <v>155000</v>
      </c>
      <c r="Z26" s="31"/>
      <c r="AA26" s="31"/>
      <c r="AB26" s="31">
        <f t="shared" si="0"/>
        <v>1364377.62</v>
      </c>
    </row>
    <row r="27" spans="1:28" ht="12.75">
      <c r="A27" s="36" t="s">
        <v>40</v>
      </c>
      <c r="B27" s="10"/>
      <c r="C27" s="10"/>
      <c r="D27" s="10"/>
      <c r="E27" s="10"/>
      <c r="F27" s="10"/>
      <c r="G27" s="10"/>
      <c r="H27" s="46">
        <v>227500</v>
      </c>
      <c r="I27" s="46"/>
      <c r="J27" s="46">
        <v>225500</v>
      </c>
      <c r="K27" s="46">
        <f>267674.84+268678.48</f>
        <v>536353.3200000001</v>
      </c>
      <c r="L27" s="46"/>
      <c r="M27" s="46"/>
      <c r="N27" s="46"/>
      <c r="O27" s="46"/>
      <c r="P27" s="46"/>
      <c r="Q27" s="46"/>
      <c r="R27" s="46"/>
      <c r="S27" s="46"/>
      <c r="T27" s="46">
        <v>55554.36</v>
      </c>
      <c r="U27" s="46">
        <f>31681.56+31800.37</f>
        <v>63481.93</v>
      </c>
      <c r="V27" s="46">
        <v>20500</v>
      </c>
      <c r="W27" s="46">
        <v>27500</v>
      </c>
      <c r="X27" s="46"/>
      <c r="Y27" s="31">
        <v>160000</v>
      </c>
      <c r="Z27" s="31"/>
      <c r="AA27" s="31"/>
      <c r="AB27" s="31">
        <f t="shared" si="0"/>
        <v>1316389.61</v>
      </c>
    </row>
    <row r="28" spans="1:28" ht="12.75">
      <c r="A28" s="36" t="s">
        <v>41</v>
      </c>
      <c r="B28" s="10"/>
      <c r="C28" s="10"/>
      <c r="D28" s="10"/>
      <c r="E28" s="10"/>
      <c r="F28" s="10"/>
      <c r="G28" s="10"/>
      <c r="H28" s="46">
        <v>235000</v>
      </c>
      <c r="I28" s="46"/>
      <c r="J28" s="46">
        <v>232000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>
        <f>31919.62+32039.32</f>
        <v>63958.94</v>
      </c>
      <c r="V28" s="46">
        <v>21500</v>
      </c>
      <c r="W28" s="46">
        <v>28500</v>
      </c>
      <c r="X28" s="46"/>
      <c r="Y28" s="31">
        <v>165000</v>
      </c>
      <c r="Z28" s="31"/>
      <c r="AA28" s="31"/>
      <c r="AB28" s="31">
        <f t="shared" si="0"/>
        <v>745958.94</v>
      </c>
    </row>
    <row r="29" spans="1:28" ht="12.75">
      <c r="A29" s="36" t="s">
        <v>42</v>
      </c>
      <c r="B29" s="10"/>
      <c r="C29" s="10"/>
      <c r="D29" s="10"/>
      <c r="E29" s="10"/>
      <c r="F29" s="10"/>
      <c r="G29" s="10"/>
      <c r="H29" s="46">
        <v>242500</v>
      </c>
      <c r="I29" s="46"/>
      <c r="J29" s="46">
        <v>238500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>
        <v>32159.3</v>
      </c>
      <c r="V29" s="46">
        <v>22000</v>
      </c>
      <c r="W29" s="46">
        <v>29000</v>
      </c>
      <c r="X29" s="46"/>
      <c r="Y29" s="31">
        <v>170000</v>
      </c>
      <c r="Z29" s="31"/>
      <c r="AA29" s="31"/>
      <c r="AB29" s="31">
        <f t="shared" si="0"/>
        <v>734159.3</v>
      </c>
    </row>
    <row r="30" spans="1:28" ht="12.75">
      <c r="A30" s="36" t="s">
        <v>43</v>
      </c>
      <c r="B30" s="10"/>
      <c r="C30" s="10"/>
      <c r="D30" s="10"/>
      <c r="E30" s="10"/>
      <c r="F30" s="10"/>
      <c r="G30" s="10"/>
      <c r="H30" s="46">
        <v>250500</v>
      </c>
      <c r="I30" s="46"/>
      <c r="J30" s="46">
        <v>245000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>
        <v>23000</v>
      </c>
      <c r="W30" s="46">
        <v>30000</v>
      </c>
      <c r="X30" s="46"/>
      <c r="Y30" s="31">
        <v>175000</v>
      </c>
      <c r="Z30" s="31"/>
      <c r="AA30" s="31"/>
      <c r="AB30" s="31">
        <f t="shared" si="0"/>
        <v>723500</v>
      </c>
    </row>
    <row r="31" spans="1:28" ht="12.75">
      <c r="A31" s="36" t="s">
        <v>44</v>
      </c>
      <c r="B31" s="10"/>
      <c r="C31" s="10"/>
      <c r="D31" s="10"/>
      <c r="E31" s="10"/>
      <c r="F31" s="10"/>
      <c r="G31" s="10"/>
      <c r="H31" s="46">
        <v>258500</v>
      </c>
      <c r="I31" s="46"/>
      <c r="J31" s="46">
        <v>251500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>
        <v>23500</v>
      </c>
      <c r="W31" s="46">
        <v>31000</v>
      </c>
      <c r="X31" s="46"/>
      <c r="Y31" s="31">
        <v>180000</v>
      </c>
      <c r="Z31" s="31"/>
      <c r="AA31" s="31"/>
      <c r="AB31" s="31">
        <f t="shared" si="0"/>
        <v>744500</v>
      </c>
    </row>
    <row r="32" spans="1:28" ht="12.75">
      <c r="A32" s="36" t="s">
        <v>45</v>
      </c>
      <c r="B32" s="10"/>
      <c r="C32" s="10"/>
      <c r="D32" s="10"/>
      <c r="E32" s="10"/>
      <c r="F32" s="10"/>
      <c r="G32" s="10"/>
      <c r="H32" s="46">
        <v>267000</v>
      </c>
      <c r="I32" s="46"/>
      <c r="J32" s="46">
        <v>258500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>
        <v>24500</v>
      </c>
      <c r="W32" s="46">
        <v>31500</v>
      </c>
      <c r="X32" s="46"/>
      <c r="AB32" s="31">
        <f t="shared" si="0"/>
        <v>581500</v>
      </c>
    </row>
    <row r="33" spans="1:28" ht="12.75">
      <c r="A33" s="52">
        <v>2045</v>
      </c>
      <c r="B33" s="10"/>
      <c r="C33" s="10"/>
      <c r="D33" s="10"/>
      <c r="E33" s="10"/>
      <c r="F33" s="10"/>
      <c r="G33" s="10"/>
      <c r="H33" s="46">
        <v>275500</v>
      </c>
      <c r="I33" s="46"/>
      <c r="J33" s="46">
        <v>265500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v>25000</v>
      </c>
      <c r="W33" s="46">
        <v>32500</v>
      </c>
      <c r="X33" s="46"/>
      <c r="Y33" s="46"/>
      <c r="Z33" s="46"/>
      <c r="AA33" s="46"/>
      <c r="AB33" s="31">
        <f t="shared" si="0"/>
        <v>598500</v>
      </c>
    </row>
    <row r="34" spans="1:28" ht="12.75">
      <c r="A34" s="52">
        <v>2046</v>
      </c>
      <c r="B34" s="10"/>
      <c r="C34" s="10"/>
      <c r="D34" s="10"/>
      <c r="E34" s="10"/>
      <c r="F34" s="10"/>
      <c r="G34" s="10"/>
      <c r="H34" s="46">
        <v>284500</v>
      </c>
      <c r="I34" s="46"/>
      <c r="J34" s="46">
        <v>273000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v>26000</v>
      </c>
      <c r="W34" s="46">
        <v>33500</v>
      </c>
      <c r="X34" s="46"/>
      <c r="Y34" s="46"/>
      <c r="Z34" s="46"/>
      <c r="AA34" s="46"/>
      <c r="AB34" s="31">
        <f t="shared" si="0"/>
        <v>617000</v>
      </c>
    </row>
    <row r="35" spans="1:28" ht="12.75">
      <c r="A35" s="52">
        <v>2047</v>
      </c>
      <c r="B35" s="10"/>
      <c r="C35" s="10"/>
      <c r="D35" s="10"/>
      <c r="E35" s="10"/>
      <c r="F35" s="10"/>
      <c r="G35" s="10"/>
      <c r="H35" s="46">
        <v>294000</v>
      </c>
      <c r="I35" s="46"/>
      <c r="J35" s="46">
        <v>280500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v>27000</v>
      </c>
      <c r="W35" s="46">
        <v>34500</v>
      </c>
      <c r="X35" s="46"/>
      <c r="Y35" s="46"/>
      <c r="Z35" s="46"/>
      <c r="AA35" s="46"/>
      <c r="AB35" s="31">
        <f t="shared" si="0"/>
        <v>636000</v>
      </c>
    </row>
    <row r="36" spans="1:28" ht="12.75">
      <c r="A36" s="52">
        <v>2048</v>
      </c>
      <c r="B36" s="10"/>
      <c r="C36" s="10"/>
      <c r="D36" s="10"/>
      <c r="E36" s="10"/>
      <c r="F36" s="10"/>
      <c r="G36" s="10"/>
      <c r="H36" s="46">
        <v>303500</v>
      </c>
      <c r="I36" s="46"/>
      <c r="J36" s="46">
        <v>288000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28000</v>
      </c>
      <c r="W36" s="46">
        <v>35500</v>
      </c>
      <c r="X36" s="46"/>
      <c r="Y36" s="46"/>
      <c r="Z36" s="46"/>
      <c r="AA36" s="46"/>
      <c r="AB36" s="31">
        <f t="shared" si="0"/>
        <v>655000</v>
      </c>
    </row>
    <row r="37" spans="1:28" ht="12.75">
      <c r="A37" s="52">
        <v>2049</v>
      </c>
      <c r="B37" s="10"/>
      <c r="C37" s="10"/>
      <c r="D37" s="10"/>
      <c r="E37" s="10"/>
      <c r="F37" s="10"/>
      <c r="G37" s="10"/>
      <c r="H37" s="46">
        <v>313000</v>
      </c>
      <c r="I37" s="46"/>
      <c r="J37" s="46">
        <v>296000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v>29000</v>
      </c>
      <c r="W37" s="46">
        <v>36500</v>
      </c>
      <c r="X37" s="46"/>
      <c r="Y37" s="46"/>
      <c r="Z37" s="46"/>
      <c r="AA37" s="46"/>
      <c r="AB37" s="31">
        <f t="shared" si="0"/>
        <v>674500</v>
      </c>
    </row>
    <row r="38" spans="1:28" ht="12.75">
      <c r="A38" s="52">
        <v>2050</v>
      </c>
      <c r="B38" s="10"/>
      <c r="C38" s="10"/>
      <c r="D38" s="10"/>
      <c r="E38" s="31"/>
      <c r="F38" s="10"/>
      <c r="G38" s="10"/>
      <c r="H38" s="46">
        <v>323500</v>
      </c>
      <c r="I38" s="46"/>
      <c r="J38" s="46">
        <v>304000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>
        <v>30000</v>
      </c>
      <c r="W38" s="46">
        <v>37500</v>
      </c>
      <c r="X38" s="46"/>
      <c r="Y38" s="46"/>
      <c r="Z38" s="46"/>
      <c r="AA38" s="46"/>
      <c r="AB38" s="31">
        <f t="shared" si="0"/>
        <v>695000</v>
      </c>
    </row>
    <row r="39" spans="1:28" ht="12.75">
      <c r="A39" s="52">
        <v>2051</v>
      </c>
      <c r="B39" s="10"/>
      <c r="C39" s="10"/>
      <c r="D39" s="10"/>
      <c r="E39" s="31"/>
      <c r="F39" s="10"/>
      <c r="G39" s="10"/>
      <c r="H39" s="46">
        <v>334000</v>
      </c>
      <c r="I39" s="46"/>
      <c r="J39" s="46">
        <v>312500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>
        <v>31000</v>
      </c>
      <c r="W39" s="46">
        <v>38500</v>
      </c>
      <c r="X39" s="46"/>
      <c r="Y39" s="46"/>
      <c r="Z39" s="46"/>
      <c r="AA39" s="46"/>
      <c r="AB39" s="31">
        <f t="shared" si="0"/>
        <v>716000</v>
      </c>
    </row>
    <row r="40" spans="1:28" ht="12.75">
      <c r="A40" s="52">
        <v>2052</v>
      </c>
      <c r="B40" s="10"/>
      <c r="C40" s="10"/>
      <c r="D40" s="10"/>
      <c r="E40" s="31"/>
      <c r="F40" s="10"/>
      <c r="G40" s="10"/>
      <c r="H40" s="46">
        <v>340500</v>
      </c>
      <c r="I40" s="46"/>
      <c r="J40" s="46">
        <v>321000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>
        <v>32000</v>
      </c>
      <c r="W40" s="46">
        <v>39500</v>
      </c>
      <c r="X40" s="46"/>
      <c r="Y40" s="46"/>
      <c r="Z40" s="46"/>
      <c r="AA40" s="46"/>
      <c r="AB40" s="31">
        <f t="shared" si="0"/>
        <v>733000</v>
      </c>
    </row>
    <row r="41" spans="1:28" ht="12.75">
      <c r="A41" s="52">
        <v>2053</v>
      </c>
      <c r="B41" s="10"/>
      <c r="C41" s="10"/>
      <c r="D41" s="10"/>
      <c r="E41" s="31"/>
      <c r="F41" s="10"/>
      <c r="G41" s="10"/>
      <c r="H41" s="46"/>
      <c r="I41" s="46"/>
      <c r="J41" s="46">
        <v>330000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>
        <v>33000</v>
      </c>
      <c r="W41" s="46">
        <v>40500</v>
      </c>
      <c r="X41" s="46"/>
      <c r="Y41" s="46"/>
      <c r="Z41" s="46"/>
      <c r="AA41" s="46"/>
      <c r="AB41" s="31">
        <f t="shared" si="0"/>
        <v>403500</v>
      </c>
    </row>
    <row r="42" spans="1:28" ht="12.75">
      <c r="A42" s="52">
        <v>2054</v>
      </c>
      <c r="B42" s="10"/>
      <c r="C42" s="10"/>
      <c r="D42" s="10"/>
      <c r="E42" s="31"/>
      <c r="F42" s="10"/>
      <c r="G42" s="10"/>
      <c r="H42" s="46"/>
      <c r="I42" s="46"/>
      <c r="J42" s="46">
        <v>339000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>
        <v>30000</v>
      </c>
      <c r="W42" s="46">
        <v>42000</v>
      </c>
      <c r="X42" s="46"/>
      <c r="Y42" s="46"/>
      <c r="Z42" s="46"/>
      <c r="AA42" s="46"/>
      <c r="AB42" s="31">
        <f t="shared" si="0"/>
        <v>411000</v>
      </c>
    </row>
    <row r="43" spans="1:28" ht="12.75">
      <c r="A43" s="52">
        <v>2055</v>
      </c>
      <c r="B43" s="10"/>
      <c r="C43" s="10"/>
      <c r="D43" s="10"/>
      <c r="E43" s="31"/>
      <c r="F43" s="10"/>
      <c r="G43" s="10"/>
      <c r="H43" s="46"/>
      <c r="I43" s="46"/>
      <c r="J43" s="46">
        <v>348500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31">
        <f t="shared" si="0"/>
        <v>348500</v>
      </c>
    </row>
    <row r="44" spans="1:28" ht="12.75">
      <c r="A44" s="52">
        <v>2056</v>
      </c>
      <c r="B44" s="10"/>
      <c r="C44" s="10"/>
      <c r="D44" s="10"/>
      <c r="E44" s="31"/>
      <c r="F44" s="10"/>
      <c r="G44" s="10"/>
      <c r="H44" s="46"/>
      <c r="I44" s="46"/>
      <c r="J44" s="46">
        <v>358000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31">
        <f t="shared" si="0"/>
        <v>358000</v>
      </c>
    </row>
    <row r="45" spans="1:28" ht="12.75">
      <c r="A45" s="52">
        <v>2057</v>
      </c>
      <c r="B45" s="31"/>
      <c r="C45" s="31"/>
      <c r="D45" s="31"/>
      <c r="E45" s="31"/>
      <c r="F45" s="31"/>
      <c r="G45" s="31"/>
      <c r="H45" s="46"/>
      <c r="I45" s="31"/>
      <c r="J45" s="46">
        <v>367000</v>
      </c>
      <c r="K45" s="46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>
        <f t="shared" si="0"/>
        <v>367000</v>
      </c>
    </row>
    <row r="46" spans="1:28" ht="12.75">
      <c r="A46" s="52">
        <v>2058</v>
      </c>
      <c r="B46" s="31"/>
      <c r="C46" s="31"/>
      <c r="D46" s="31"/>
      <c r="E46" s="31"/>
      <c r="F46" s="31"/>
      <c r="G46" s="31"/>
      <c r="H46" s="46"/>
      <c r="I46" s="31"/>
      <c r="J46" s="46"/>
      <c r="K46" s="46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>
        <f t="shared" si="0"/>
        <v>0</v>
      </c>
    </row>
    <row r="47" spans="1:28" ht="13.5" thickBot="1">
      <c r="A47" s="36"/>
      <c r="B47" s="47">
        <f aca="true" t="shared" si="1" ref="B47:AB47">SUM(B9:B45)</f>
        <v>0</v>
      </c>
      <c r="C47" s="47">
        <f t="shared" si="1"/>
        <v>0</v>
      </c>
      <c r="D47" s="47">
        <f t="shared" si="1"/>
        <v>0</v>
      </c>
      <c r="E47" s="47">
        <f t="shared" si="1"/>
        <v>0</v>
      </c>
      <c r="F47" s="47">
        <f t="shared" si="1"/>
        <v>0</v>
      </c>
      <c r="G47" s="47">
        <f t="shared" si="1"/>
        <v>0</v>
      </c>
      <c r="H47" s="47">
        <f t="shared" si="1"/>
        <v>7013000</v>
      </c>
      <c r="I47" s="47">
        <f t="shared" si="1"/>
        <v>15000</v>
      </c>
      <c r="J47" s="47">
        <f t="shared" si="1"/>
        <v>8705000</v>
      </c>
      <c r="K47" s="47">
        <f t="shared" si="1"/>
        <v>9534756.98</v>
      </c>
      <c r="L47" s="47">
        <f t="shared" si="1"/>
        <v>234549.40999999997</v>
      </c>
      <c r="M47" s="47">
        <f t="shared" si="1"/>
        <v>262379.22</v>
      </c>
      <c r="N47" s="47">
        <f t="shared" si="1"/>
        <v>1955716.6099999996</v>
      </c>
      <c r="O47" s="47">
        <f t="shared" si="1"/>
        <v>474090.01999999996</v>
      </c>
      <c r="P47" s="47">
        <f t="shared" si="1"/>
        <v>272966.79000000004</v>
      </c>
      <c r="Q47" s="47">
        <f t="shared" si="1"/>
        <v>1186594.28</v>
      </c>
      <c r="R47" s="47">
        <f t="shared" si="1"/>
        <v>543249.5199999999</v>
      </c>
      <c r="S47" s="47">
        <f t="shared" si="1"/>
        <v>0</v>
      </c>
      <c r="T47" s="47">
        <f>SUM(T9:T45)</f>
        <v>1923114.8699999999</v>
      </c>
      <c r="U47" s="47">
        <f>SUM(U9:U45)</f>
        <v>1196948.97</v>
      </c>
      <c r="V47" s="47">
        <f t="shared" si="1"/>
        <v>702000</v>
      </c>
      <c r="W47" s="47">
        <f t="shared" si="1"/>
        <v>937000</v>
      </c>
      <c r="X47" s="47">
        <f t="shared" si="1"/>
        <v>39645.87</v>
      </c>
      <c r="Y47" s="47">
        <f t="shared" si="1"/>
        <v>3130000</v>
      </c>
      <c r="Z47" s="47">
        <f t="shared" si="1"/>
        <v>1556199.68</v>
      </c>
      <c r="AA47" s="47">
        <f t="shared" si="1"/>
        <v>29689</v>
      </c>
      <c r="AB47" s="47">
        <f t="shared" si="1"/>
        <v>39711901.220000006</v>
      </c>
    </row>
    <row r="48" spans="1:28" ht="13.5" thickTop="1">
      <c r="A48" s="3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2.75">
      <c r="A49" s="3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2.75">
      <c r="A50" s="33" t="s">
        <v>116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57" t="s">
        <v>124</v>
      </c>
      <c r="Z50" s="58" t="s">
        <v>21</v>
      </c>
      <c r="AA50" s="61">
        <v>2020</v>
      </c>
      <c r="AB50" s="31"/>
    </row>
    <row r="51" spans="1:28" ht="12.75">
      <c r="A51" s="3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68"/>
      <c r="W51" s="68"/>
      <c r="X51" s="54" t="s">
        <v>121</v>
      </c>
      <c r="Y51" s="54" t="s">
        <v>125</v>
      </c>
      <c r="Z51" s="54" t="s">
        <v>126</v>
      </c>
      <c r="AA51" s="54" t="s">
        <v>128</v>
      </c>
      <c r="AB51" s="31"/>
    </row>
    <row r="52" spans="1:28" s="51" customFormat="1" ht="12.75">
      <c r="A52" s="44" t="s">
        <v>3</v>
      </c>
      <c r="B52" s="45" t="s">
        <v>5</v>
      </c>
      <c r="C52" s="45" t="s">
        <v>56</v>
      </c>
      <c r="D52" s="45" t="s">
        <v>8</v>
      </c>
      <c r="E52" s="45">
        <v>2004</v>
      </c>
      <c r="F52" s="45" t="s">
        <v>9</v>
      </c>
      <c r="G52" s="45" t="s">
        <v>10</v>
      </c>
      <c r="H52" s="45">
        <v>2011</v>
      </c>
      <c r="I52" s="45" t="s">
        <v>67</v>
      </c>
      <c r="J52" s="45">
        <v>2016</v>
      </c>
      <c r="K52" s="45" t="s">
        <v>119</v>
      </c>
      <c r="L52" s="45" t="s">
        <v>71</v>
      </c>
      <c r="M52" s="45" t="s">
        <v>73</v>
      </c>
      <c r="N52" s="45" t="s">
        <v>85</v>
      </c>
      <c r="O52" s="45" t="s">
        <v>86</v>
      </c>
      <c r="P52" s="45" t="s">
        <v>89</v>
      </c>
      <c r="Q52" s="45" t="s">
        <v>90</v>
      </c>
      <c r="R52" s="45" t="s">
        <v>91</v>
      </c>
      <c r="S52" s="45" t="s">
        <v>78</v>
      </c>
      <c r="T52" s="45" t="s">
        <v>115</v>
      </c>
      <c r="U52" s="45" t="s">
        <v>130</v>
      </c>
      <c r="V52" s="45" t="s">
        <v>76</v>
      </c>
      <c r="W52" s="45" t="s">
        <v>77</v>
      </c>
      <c r="X52" s="45" t="s">
        <v>122</v>
      </c>
      <c r="Y52" s="45" t="s">
        <v>122</v>
      </c>
      <c r="Z52" s="45" t="s">
        <v>127</v>
      </c>
      <c r="AA52" s="45" t="s">
        <v>129</v>
      </c>
      <c r="AB52" s="45" t="s">
        <v>11</v>
      </c>
    </row>
    <row r="53" spans="1:28" ht="12.75">
      <c r="A53" s="36"/>
      <c r="B53" s="31"/>
      <c r="C53" s="31"/>
      <c r="D53" s="31"/>
      <c r="E53" s="31"/>
      <c r="F53" s="31"/>
      <c r="G53" s="31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31"/>
    </row>
    <row r="54" spans="1:28" ht="12.75">
      <c r="A54" s="36" t="s">
        <v>22</v>
      </c>
      <c r="B54" s="10"/>
      <c r="C54" s="10"/>
      <c r="D54" s="10"/>
      <c r="E54" s="10"/>
      <c r="F54" s="10"/>
      <c r="G54" s="10"/>
      <c r="H54" s="31">
        <f>96428.75+94668.75</f>
        <v>191097.5</v>
      </c>
      <c r="I54" s="31">
        <f>210+210</f>
        <v>420</v>
      </c>
      <c r="J54" s="31">
        <f>(239390*0.5)+235580*0.5</f>
        <v>237485</v>
      </c>
      <c r="K54" s="31">
        <f>35755.34+34878.1+9534.76+9300.83</f>
        <v>89469.03</v>
      </c>
      <c r="L54" s="31">
        <f>1172.75+293.19+1132.07+283.02</f>
        <v>2881.03</v>
      </c>
      <c r="M54" s="31">
        <f>1311.9+262.38+1266.39+253.28</f>
        <v>3093.9500000000003</v>
      </c>
      <c r="N54" s="31">
        <f>17112.52+2444.65+16629.59+2375.66</f>
        <v>38562.42</v>
      </c>
      <c r="O54" s="31">
        <f>2370.45+474.09+2297.01+459.4</f>
        <v>5600.95</v>
      </c>
      <c r="P54" s="31">
        <f>1023.63+341.21+994.43+331.48</f>
        <v>2690.75</v>
      </c>
      <c r="Q54" s="31">
        <f>4449.73+1186.59+4322.81+1152.75</f>
        <v>11111.880000000001</v>
      </c>
      <c r="R54" s="31">
        <f>2037.19+543.25+1982.61+528.7</f>
        <v>5091.75</v>
      </c>
      <c r="S54" s="31"/>
      <c r="T54" s="31">
        <f>7211.68+7029.62+2403.89+2343.21</f>
        <v>18988.399999999998</v>
      </c>
      <c r="U54" s="31">
        <f>4394.45+1007.34</f>
        <v>5401.79</v>
      </c>
      <c r="V54" s="31">
        <f>11407.5+11220.63</f>
        <v>22628.129999999997</v>
      </c>
      <c r="W54" s="31">
        <f>12883.75+12650</f>
        <v>25533.75</v>
      </c>
      <c r="X54" s="31">
        <v>2632.92</v>
      </c>
      <c r="Y54" s="31">
        <f>40959.38+40959.38+8275</f>
        <v>90193.76</v>
      </c>
      <c r="Z54" s="31">
        <f>24899.19+23298.31</f>
        <v>48197.5</v>
      </c>
      <c r="AA54" s="31">
        <v>485</v>
      </c>
      <c r="AB54" s="31">
        <f>SUM(B54:AA54)</f>
        <v>801565.5100000001</v>
      </c>
    </row>
    <row r="55" spans="1:28" ht="12.75">
      <c r="A55" s="36" t="s">
        <v>23</v>
      </c>
      <c r="B55" s="10"/>
      <c r="C55" s="10"/>
      <c r="D55" s="10"/>
      <c r="E55" s="10"/>
      <c r="F55" s="10"/>
      <c r="G55" s="10"/>
      <c r="H55" s="31">
        <f>94668.75+92853.75</f>
        <v>187522.5</v>
      </c>
      <c r="I55" s="31"/>
      <c r="J55" s="31">
        <f>(235580*0.5)+231660*0.5</f>
        <v>233620</v>
      </c>
      <c r="K55" s="31">
        <f>33997.57+33113.74+9066.02+8830.33</f>
        <v>85007.66</v>
      </c>
      <c r="L55" s="31">
        <f>1091.19+272.8+1050.1+262.53</f>
        <v>2676.62</v>
      </c>
      <c r="M55" s="31">
        <f>1220.66+244.13+1174.7+234.94</f>
        <v>2874.43</v>
      </c>
      <c r="N55" s="31">
        <f>16142.44+2306.06+15651.03+2235.86</f>
        <v>36335.39</v>
      </c>
      <c r="O55" s="31">
        <f>2223.21+444.64+2149.05+429.81</f>
        <v>5246.71</v>
      </c>
      <c r="P55" s="31">
        <f>965.12+321.71+935.7+311.9</f>
        <v>2534.43</v>
      </c>
      <c r="Q55" s="31">
        <f>4195.41+1118.78+4067.53+1084.68</f>
        <v>10466.4</v>
      </c>
      <c r="R55" s="31">
        <f>1927.83+514.09+1872.84+499.43</f>
        <v>4814.1900000000005</v>
      </c>
      <c r="S55" s="31"/>
      <c r="T55" s="31">
        <f>6846.87+6663.43+2282.29+2221.14</f>
        <v>18013.73</v>
      </c>
      <c r="U55" s="31">
        <f>4384.34+4279.73+1169.16+1141.26</f>
        <v>10974.49</v>
      </c>
      <c r="V55" s="31">
        <f>11220.63+11033.75</f>
        <v>22254.379999999997</v>
      </c>
      <c r="W55" s="31">
        <f>12650+12409.38</f>
        <v>25059.379999999997</v>
      </c>
      <c r="X55" s="31">
        <v>1882.1</v>
      </c>
      <c r="Y55" s="31">
        <f>39046.88+39046.88+7850</f>
        <v>85943.76</v>
      </c>
      <c r="Z55" s="31">
        <f>21671.82+20019.3</f>
        <v>41691.119999999995</v>
      </c>
      <c r="AA55" s="31">
        <v>368</v>
      </c>
      <c r="AB55" s="31">
        <f aca="true" t="shared" si="2" ref="AB55:AB91">SUM(B55:AA55)</f>
        <v>777285.2899999999</v>
      </c>
    </row>
    <row r="56" spans="1:28" ht="12.75">
      <c r="A56" s="36" t="s">
        <v>24</v>
      </c>
      <c r="B56" s="10"/>
      <c r="C56" s="10"/>
      <c r="D56" s="10"/>
      <c r="E56" s="10"/>
      <c r="F56" s="10"/>
      <c r="G56" s="10"/>
      <c r="H56" s="31">
        <f>92853.75+90976.88</f>
        <v>183830.63</v>
      </c>
      <c r="I56" s="31"/>
      <c r="J56" s="31">
        <f>(231660*0.5)+227650*0.5</f>
        <v>229655</v>
      </c>
      <c r="K56" s="31">
        <f>32226.59+31336.12+8593.76+8356.3</f>
        <v>80512.77</v>
      </c>
      <c r="L56" s="31">
        <f>1008.81+252.2+967.32+241.83</f>
        <v>2470.16</v>
      </c>
      <c r="M56" s="31">
        <f>1128.51+225.7+1082.09+216.42</f>
        <v>2652.7200000000003</v>
      </c>
      <c r="N56" s="31">
        <f>15155.31+2165.04+14655.26+2093.61</f>
        <v>34069.22</v>
      </c>
      <c r="O56" s="31">
        <f>2074.5+414.9+1999.59+399.92</f>
        <v>4888.91</v>
      </c>
      <c r="P56" s="31">
        <f>906.18+302.06+876.54+292.18</f>
        <v>2376.9599999999996</v>
      </c>
      <c r="Q56" s="31">
        <f>3939.18+1050.45+3810.34+1016.09</f>
        <v>9816.060000000001</v>
      </c>
      <c r="R56" s="31">
        <f>1817.65+484.7+1762.24+469.93</f>
        <v>4534.52</v>
      </c>
      <c r="S56" s="31"/>
      <c r="T56" s="31">
        <f>6479.31+6294.5+2159.77+2098.17</f>
        <v>17031.75</v>
      </c>
      <c r="U56" s="31">
        <f>4174.73+4069.34+1113.26+1085.16</f>
        <v>10442.49</v>
      </c>
      <c r="V56" s="31">
        <f>11033.75+10838.75</f>
        <v>21872.5</v>
      </c>
      <c r="W56" s="31">
        <f>12409.38+12161.88</f>
        <v>24571.26</v>
      </c>
      <c r="X56" s="31">
        <v>1073.22</v>
      </c>
      <c r="Y56" s="31">
        <f>37921.88+37921.88+7600</f>
        <v>83443.76</v>
      </c>
      <c r="Z56" s="31">
        <f>18340.33+16634.51</f>
        <v>34974.84</v>
      </c>
      <c r="AA56" s="31">
        <v>249</v>
      </c>
      <c r="AB56" s="31">
        <f t="shared" si="2"/>
        <v>748465.77</v>
      </c>
    </row>
    <row r="57" spans="1:28" ht="12.75">
      <c r="A57" s="36" t="s">
        <v>25</v>
      </c>
      <c r="B57" s="10"/>
      <c r="C57" s="10"/>
      <c r="D57" s="10"/>
      <c r="E57" s="10"/>
      <c r="F57" s="10"/>
      <c r="G57" s="10"/>
      <c r="H57" s="31">
        <f>90976.88+89038.13</f>
        <v>180015.01</v>
      </c>
      <c r="I57" s="31"/>
      <c r="J57" s="31">
        <f>(227650*0.5)+223510*0.5</f>
        <v>225580</v>
      </c>
      <c r="K57" s="31">
        <f>30442.3+29545.14+8117.95+7878.7</f>
        <v>75984.09</v>
      </c>
      <c r="L57" s="31">
        <f>925.61+231.4+883.7+220.92</f>
        <v>2261.63</v>
      </c>
      <c r="M57" s="31">
        <f>1035.44+207.09+988.55+197.71</f>
        <v>2428.79</v>
      </c>
      <c r="N57" s="31">
        <f>14150.83+2021.55+13641.99+1948.86</f>
        <v>31763.23</v>
      </c>
      <c r="O57" s="31">
        <f>1924.3+384.86+1848.64+369.72</f>
        <v>4527.52</v>
      </c>
      <c r="P57" s="31">
        <f>846.79+282.26+816.93+272.31</f>
        <v>2218.29</v>
      </c>
      <c r="Q57" s="31">
        <f>3681.03+981.61+3551.22+946.99</f>
        <v>9160.85</v>
      </c>
      <c r="R57" s="31">
        <f>1706.63+455.1+1650.82+440.22</f>
        <v>4252.77</v>
      </c>
      <c r="S57" s="31"/>
      <c r="T57" s="31">
        <f>6108.99+5922.79+2036.33+1974.26</f>
        <v>16042.369999999999</v>
      </c>
      <c r="U57" s="31">
        <f>3963.55+3857.36+1056.95+1028.63</f>
        <v>9906.490000000002</v>
      </c>
      <c r="V57" s="31">
        <f>10838.75+10635.63</f>
        <v>21474.379999999997</v>
      </c>
      <c r="W57" s="31">
        <f>12161.88+11907.5</f>
        <v>24069.379999999997</v>
      </c>
      <c r="X57" s="31">
        <v>236.63</v>
      </c>
      <c r="Y57" s="31">
        <f>36740.63+36740.63+7337.5</f>
        <v>80818.76</v>
      </c>
      <c r="Z57" s="31">
        <f>14901.39+13140.55</f>
        <v>28041.94</v>
      </c>
      <c r="AA57" s="31">
        <v>128</v>
      </c>
      <c r="AB57" s="31">
        <f t="shared" si="2"/>
        <v>718910.1299999999</v>
      </c>
    </row>
    <row r="58" spans="1:28" ht="12.75">
      <c r="A58" s="36" t="s">
        <v>26</v>
      </c>
      <c r="B58" s="10"/>
      <c r="C58" s="10"/>
      <c r="D58" s="10"/>
      <c r="E58" s="10"/>
      <c r="F58" s="10"/>
      <c r="G58" s="10"/>
      <c r="H58" s="31">
        <f>89038.13+87037.5</f>
        <v>176075.63</v>
      </c>
      <c r="I58" s="31"/>
      <c r="J58" s="31">
        <f>(223510*0.5)+219260*0.5</f>
        <v>221385</v>
      </c>
      <c r="K58" s="31">
        <f>28644.61+27740.7+7638.56+7397.52</f>
        <v>71421.39</v>
      </c>
      <c r="L58" s="31">
        <f>841.57+210.39+799.24+199.81</f>
        <v>2051.01</v>
      </c>
      <c r="M58" s="31">
        <f>941.43+188.29+894.07+178.81</f>
        <v>2202.6</v>
      </c>
      <c r="N58" s="31">
        <f>13128.69+1875.53+12610.91+1801.56</f>
        <v>29416.690000000002</v>
      </c>
      <c r="O58" s="31">
        <f>1772.59+354.52+1696.17+339.23</f>
        <v>4162.51</v>
      </c>
      <c r="P58" s="31">
        <f>786.96+262.32+756.87+252.29</f>
        <v>2058.44</v>
      </c>
      <c r="Q58" s="31">
        <f>3420.93+912.25+3290.15+877.37</f>
        <v>8500.7</v>
      </c>
      <c r="R58" s="31">
        <f>1594.79+425.27+1538.55+410.28</f>
        <v>3968.8899999999994</v>
      </c>
      <c r="S58" s="31"/>
      <c r="T58" s="31">
        <f>5735.89+5548.3+1911.96+1849.43</f>
        <v>15045.580000000002</v>
      </c>
      <c r="U58" s="31">
        <f>3750.77+3643.79+1000.21+971.68</f>
        <v>9366.45</v>
      </c>
      <c r="V58" s="31">
        <f>10635.63+10424.38</f>
        <v>21060.01</v>
      </c>
      <c r="W58" s="31">
        <f>11907.5+11646.25</f>
        <v>23553.75</v>
      </c>
      <c r="X58" s="31"/>
      <c r="Y58" s="31">
        <f>35559.38+35559.38+7075</f>
        <v>78193.76</v>
      </c>
      <c r="Z58" s="31">
        <f>11351.52+9533.88</f>
        <v>20885.4</v>
      </c>
      <c r="AA58" s="31">
        <v>18</v>
      </c>
      <c r="AB58" s="31">
        <f t="shared" si="2"/>
        <v>689365.81</v>
      </c>
    </row>
    <row r="59" spans="1:28" ht="12.75">
      <c r="A59" s="36" t="s">
        <v>27</v>
      </c>
      <c r="B59" s="10"/>
      <c r="C59" s="10"/>
      <c r="D59" s="10"/>
      <c r="E59" s="10"/>
      <c r="F59" s="10"/>
      <c r="G59" s="10"/>
      <c r="H59" s="31">
        <f>87037.5+84975</f>
        <v>172012.5</v>
      </c>
      <c r="I59" s="31"/>
      <c r="J59" s="31">
        <f>(219260*0.5)+214900*0.5</f>
        <v>217080</v>
      </c>
      <c r="K59" s="31">
        <f>26833.41+25922.71+7155.58+6912.72</f>
        <v>66824.42</v>
      </c>
      <c r="L59" s="31">
        <f>756.7+189.17+713.94+178.48</f>
        <v>1838.29</v>
      </c>
      <c r="M59" s="31">
        <f>846.48+169.3+798.65+159.73</f>
        <v>1974.1599999999999</v>
      </c>
      <c r="N59" s="31">
        <f>12088.59+1726.94+11561.71+1651.67</f>
        <v>27028.909999999996</v>
      </c>
      <c r="O59" s="31">
        <f>1619.36+323.87+1542.18+308.43</f>
        <v>3793.8399999999997</v>
      </c>
      <c r="P59" s="31">
        <f>726.68+245.23+696.37+232.12</f>
        <v>1900.4</v>
      </c>
      <c r="Q59" s="31">
        <f>3158.88+842.37+3027.12+807.23</f>
        <v>7835.6</v>
      </c>
      <c r="R59" s="31">
        <f>1482.11+395.23+1425.44+380.11</f>
        <v>3682.89</v>
      </c>
      <c r="S59" s="31"/>
      <c r="T59" s="31">
        <f>5359.99+5170.98+1786.66+1723.66</f>
        <v>14041.289999999999</v>
      </c>
      <c r="U59" s="31">
        <f>3536.4+3428.61+943.04+914.3</f>
        <v>8822.35</v>
      </c>
      <c r="V59" s="31">
        <f>10424.38+10205</f>
        <v>20629.379999999997</v>
      </c>
      <c r="W59" s="31">
        <f>11646.25+11378.13</f>
        <v>23024.379999999997</v>
      </c>
      <c r="X59" s="31"/>
      <c r="Y59" s="31">
        <f>34321.88+34321.88+6800</f>
        <v>75443.76</v>
      </c>
      <c r="Z59" s="31">
        <f>7687.15+5810.88</f>
        <v>13498.029999999999</v>
      </c>
      <c r="AA59" s="31"/>
      <c r="AB59" s="31">
        <f t="shared" si="2"/>
        <v>659430.2</v>
      </c>
    </row>
    <row r="60" spans="1:28" ht="12.75">
      <c r="A60" s="36" t="s">
        <v>28</v>
      </c>
      <c r="B60" s="10"/>
      <c r="C60" s="10"/>
      <c r="D60" s="10"/>
      <c r="E60" s="10"/>
      <c r="F60" s="10"/>
      <c r="G60" s="10"/>
      <c r="H60" s="31">
        <f>84975+82843.75</f>
        <v>167818.75</v>
      </c>
      <c r="I60" s="31"/>
      <c r="J60" s="31">
        <f>(214900*0.5)+210420*0.5</f>
        <v>212660</v>
      </c>
      <c r="K60" s="31">
        <f>25008.6+24091.06+6668.96+6424.28</f>
        <v>62192.9</v>
      </c>
      <c r="L60" s="31">
        <f>670.97+167.74+627.78+156.95</f>
        <v>1623.44</v>
      </c>
      <c r="M60" s="31">
        <f>750.58+150.12+702.27+140.45</f>
        <v>1743.42</v>
      </c>
      <c r="N60" s="31">
        <f>11030.21+1575.74+10494.06+1499.15</f>
        <v>24599.16</v>
      </c>
      <c r="O60" s="31">
        <f>1464.6+292.92+1386.63+277.33</f>
        <v>3421.48</v>
      </c>
      <c r="P60" s="31">
        <f>665.94+221.98+635.4+211.8</f>
        <v>1735.1200000000001</v>
      </c>
      <c r="Q60" s="31">
        <f>2894.86+771.96+2762.11+736.56</f>
        <v>7165.49</v>
      </c>
      <c r="R60" s="31">
        <f>1368.37+364.95+1311.48+349.73</f>
        <v>3394.53</v>
      </c>
      <c r="S60" s="31"/>
      <c r="T60" s="31">
        <f>4981.26+4790.83+1660.42+1596.94</f>
        <v>13029.45</v>
      </c>
      <c r="U60" s="31">
        <f>3320.42+3211.82+885.45+856.49</f>
        <v>8274.18</v>
      </c>
      <c r="V60" s="31">
        <f>10205+9977.5</f>
        <v>20182.5</v>
      </c>
      <c r="W60" s="31">
        <f>11378.13+11103.13</f>
        <v>22481.26</v>
      </c>
      <c r="X60" s="31"/>
      <c r="Y60" s="31">
        <f>33084.38+33084.38+6525</f>
        <v>72693.76</v>
      </c>
      <c r="Z60" s="31">
        <f>3904.58+1967.81</f>
        <v>5872.389999999999</v>
      </c>
      <c r="AA60" s="31"/>
      <c r="AB60" s="31">
        <f t="shared" si="2"/>
        <v>628887.83</v>
      </c>
    </row>
    <row r="61" spans="1:28" ht="12.75">
      <c r="A61" s="36" t="s">
        <v>29</v>
      </c>
      <c r="B61" s="10"/>
      <c r="C61" s="10"/>
      <c r="D61" s="10"/>
      <c r="E61" s="10"/>
      <c r="F61" s="10"/>
      <c r="G61" s="10"/>
      <c r="H61" s="31">
        <f>82843.75+80643.75</f>
        <v>163487.5</v>
      </c>
      <c r="I61" s="31"/>
      <c r="J61" s="31">
        <f>(210420*0.5)+205810*0.5</f>
        <v>208115</v>
      </c>
      <c r="K61" s="31">
        <f>23170.08+22245.64+6178.69+5932.17</f>
        <v>57526.58</v>
      </c>
      <c r="L61" s="31">
        <f>584.38+146.09+540.76+135.19</f>
        <v>1406.42</v>
      </c>
      <c r="M61" s="31">
        <f>653.72+130.74+604.92+120.98</f>
        <v>1510.3600000000001</v>
      </c>
      <c r="N61" s="31">
        <f>9953.22+1421.89+9407.65+1343.95</f>
        <v>22126.71</v>
      </c>
      <c r="O61" s="31">
        <f>1308.28+261.66+1229.54+245.91</f>
        <v>3045.39</v>
      </c>
      <c r="P61" s="31">
        <f>604.75+201.58+573.98+191.33</f>
        <v>1571.6399999999999</v>
      </c>
      <c r="Q61" s="31">
        <f>2628.86+701.03+2495.11+665.36</f>
        <v>6490.36</v>
      </c>
      <c r="R61" s="31">
        <f>1254.19+334.45+1196.67+319.11</f>
        <v>3104.4200000000005</v>
      </c>
      <c r="S61" s="31"/>
      <c r="T61" s="31">
        <f>4599.69+4407.83+1533.23+1469.28</f>
        <v>12010.03</v>
      </c>
      <c r="U61" s="31">
        <f>3102.82+2993.4+827.42+798.24</f>
        <v>7721.88</v>
      </c>
      <c r="V61" s="31">
        <f>9977.5+9741.88</f>
        <v>19719.379999999997</v>
      </c>
      <c r="W61" s="31">
        <f>11103.13+10821.25</f>
        <v>21924.379999999997</v>
      </c>
      <c r="X61" s="31"/>
      <c r="Y61" s="31">
        <f>31790.63+31790.63+6237.5</f>
        <v>69818.76000000001</v>
      </c>
      <c r="Z61" s="31"/>
      <c r="AA61" s="31"/>
      <c r="AB61" s="31">
        <f t="shared" si="2"/>
        <v>599578.81</v>
      </c>
    </row>
    <row r="62" spans="1:28" ht="12.75">
      <c r="A62" s="36" t="s">
        <v>30</v>
      </c>
      <c r="B62" s="10"/>
      <c r="C62" s="10"/>
      <c r="D62" s="10"/>
      <c r="E62" s="10"/>
      <c r="F62" s="10"/>
      <c r="G62" s="10"/>
      <c r="H62" s="31">
        <f>80643.75+78375</f>
        <v>159018.75</v>
      </c>
      <c r="I62" s="31"/>
      <c r="J62" s="31">
        <f>(205810*0.5)+201080*0.5</f>
        <v>203445</v>
      </c>
      <c r="K62" s="31">
        <f>21317.74+20386.36+5684.73+5436.36</f>
        <v>52825.19</v>
      </c>
      <c r="L62" s="31">
        <f>496.952+124.23+452.86+113.22</f>
        <v>1187.262</v>
      </c>
      <c r="M62" s="31">
        <f>555.88+111.18+506.6+101.32</f>
        <v>1274.9799999999998</v>
      </c>
      <c r="N62" s="31">
        <f>8857.31+1265.33+8302.15+1186.02</f>
        <v>19610.81</v>
      </c>
      <c r="O62" s="31">
        <f>1150.4+230.08+1070.86+214.17</f>
        <v>2665.51</v>
      </c>
      <c r="P62" s="31">
        <f>543.1+181.03+512.1+170.7</f>
        <v>1406.93</v>
      </c>
      <c r="Q62" s="31">
        <f>2360.86+629.56+2226.11+593.63</f>
        <v>5810.160000000001</v>
      </c>
      <c r="R62" s="31">
        <f>1138.94+303.71+1080.99+288.27</f>
        <v>2811.9100000000003</v>
      </c>
      <c r="S62" s="31"/>
      <c r="T62" s="31">
        <f>4215.25+4021.95+1405.08+1340.65</f>
        <v>10982.93</v>
      </c>
      <c r="U62" s="31">
        <f>2883.58+2773.34+768.95+739.56</f>
        <v>7165.43</v>
      </c>
      <c r="V62" s="31">
        <f>9741.88+9498.13</f>
        <v>19240.01</v>
      </c>
      <c r="W62" s="31">
        <f>10821.25+10532.5</f>
        <v>21353.75</v>
      </c>
      <c r="X62" s="31"/>
      <c r="Y62" s="31">
        <f>30496.88+30496.88+5950</f>
        <v>66943.76000000001</v>
      </c>
      <c r="Z62" s="31"/>
      <c r="AA62" s="31"/>
      <c r="AB62" s="31">
        <f t="shared" si="2"/>
        <v>575742.382</v>
      </c>
    </row>
    <row r="63" spans="1:28" ht="12.75">
      <c r="A63" s="36" t="s">
        <v>31</v>
      </c>
      <c r="B63" s="10"/>
      <c r="C63" s="10"/>
      <c r="D63" s="10"/>
      <c r="E63" s="10"/>
      <c r="F63" s="10"/>
      <c r="G63" s="10"/>
      <c r="H63" s="31">
        <f>79375+76030.63</f>
        <v>155405.63</v>
      </c>
      <c r="I63" s="31"/>
      <c r="J63" s="31">
        <f>(201080*0.5)+196220*0.5</f>
        <v>198650</v>
      </c>
      <c r="K63" s="31">
        <f>19451.48+18513.1+5187.06+4936.83</f>
        <v>48088.47</v>
      </c>
      <c r="L63" s="31">
        <f>408.59+102.15+364.09+91.02</f>
        <v>965.8499999999999</v>
      </c>
      <c r="M63" s="31">
        <f>457.07+91.41+407.29+81.46</f>
        <v>1037.23</v>
      </c>
      <c r="N63" s="31">
        <f>7742.13+1106.02+7177.21+1025.32</f>
        <v>17050.68</v>
      </c>
      <c r="O63" s="31">
        <f>990.94+198.19+910.6+182.12</f>
        <v>2281.85</v>
      </c>
      <c r="P63" s="31">
        <f>480.98+160.33+449.75+149.92</f>
        <v>1240.98</v>
      </c>
      <c r="Q63" s="31">
        <f>2090.85+557.56+1955.08+521.35</f>
        <v>5124.84</v>
      </c>
      <c r="R63" s="31">
        <f>1022.83+272.75+964.45+257.19</f>
        <v>2517.22</v>
      </c>
      <c r="S63" s="31"/>
      <c r="T63" s="31">
        <f>3827.92+3633.17+1275.97+1211.06</f>
        <v>9948.119999999999</v>
      </c>
      <c r="U63" s="31">
        <f>2662.69+2551.62+710.05+680.43</f>
        <v>6604.79</v>
      </c>
      <c r="V63" s="31">
        <f>9498.13+9246.25</f>
        <v>18744.379999999997</v>
      </c>
      <c r="W63" s="31">
        <f>10532.5+10236.88</f>
        <v>20769.379999999997</v>
      </c>
      <c r="X63" s="31"/>
      <c r="Y63" s="31">
        <f>29146.88+29146.88+5650</f>
        <v>63943.76</v>
      </c>
      <c r="Z63" s="31"/>
      <c r="AA63" s="31"/>
      <c r="AB63" s="31">
        <f t="shared" si="2"/>
        <v>552373.1799999998</v>
      </c>
    </row>
    <row r="64" spans="1:28" ht="12.75">
      <c r="A64" s="36" t="s">
        <v>32</v>
      </c>
      <c r="B64" s="10"/>
      <c r="C64" s="10"/>
      <c r="D64" s="10"/>
      <c r="E64" s="10"/>
      <c r="F64" s="10"/>
      <c r="G64" s="10"/>
      <c r="H64" s="31">
        <f>76030.63+73610.63</f>
        <v>149641.26</v>
      </c>
      <c r="I64" s="31"/>
      <c r="J64" s="31">
        <f>(196220*0.5)+191230*0.5</f>
        <v>193725</v>
      </c>
      <c r="K64" s="31">
        <f>17571.2+16625.77+4685.65+4433.54</f>
        <v>43316.16</v>
      </c>
      <c r="L64" s="31">
        <f>319.37+79.384+274.42+68.61</f>
        <v>741.784</v>
      </c>
      <c r="M64" s="31">
        <f>357.26+71.45+306.99+61.4</f>
        <v>797.1</v>
      </c>
      <c r="N64" s="31">
        <f>6607.35+943.91+6032.51+861.79</f>
        <v>14445.560000000001</v>
      </c>
      <c r="O64" s="31">
        <f>829.87+165.97+748.73+149.74</f>
        <v>1894.3100000000002</v>
      </c>
      <c r="P64" s="31">
        <f>418.4+139.47+386.93+128.98</f>
        <v>1073.78</v>
      </c>
      <c r="Q64" s="31">
        <f>1818.8+485.01+1682.01+448.54</f>
        <v>4434.36</v>
      </c>
      <c r="R64" s="31">
        <f>905.85+241.56+847.03+225.88</f>
        <v>2220.32</v>
      </c>
      <c r="S64" s="31"/>
      <c r="T64" s="31">
        <f>3437.68+3241.46+1145.89+1080.49</f>
        <v>8905.52</v>
      </c>
      <c r="U64" s="31">
        <f>2440.14+2328.24+650.7+620.86</f>
        <v>6039.939999999999</v>
      </c>
      <c r="V64" s="31">
        <f>9246.25+8986.25</f>
        <v>18232.5</v>
      </c>
      <c r="W64" s="31">
        <f>10236.88+9927.5</f>
        <v>20164.379999999997</v>
      </c>
      <c r="X64" s="31"/>
      <c r="Y64" s="31">
        <f>27721.88+27721.88+5350</f>
        <v>60793.76</v>
      </c>
      <c r="Z64" s="31"/>
      <c r="AA64" s="31"/>
      <c r="AB64" s="31">
        <f t="shared" si="2"/>
        <v>526425.734</v>
      </c>
    </row>
    <row r="65" spans="1:28" ht="12.75">
      <c r="A65" s="36" t="s">
        <v>33</v>
      </c>
      <c r="B65" s="10"/>
      <c r="C65" s="10"/>
      <c r="D65" s="10"/>
      <c r="E65" s="10"/>
      <c r="F65" s="10"/>
      <c r="G65" s="10"/>
      <c r="H65" s="31">
        <f>73610.63+71108.13</f>
        <v>144718.76</v>
      </c>
      <c r="I65" s="31"/>
      <c r="J65" s="31">
        <f>(191230*0.5)+186100*0.5</f>
        <v>188665</v>
      </c>
      <c r="K65" s="31">
        <f>15676.8+14724.26+4180.48+3926.47</f>
        <v>38508.009999999995</v>
      </c>
      <c r="L65" s="31">
        <f>229.26+57.31+183.86+45.97</f>
        <v>516.4</v>
      </c>
      <c r="M65" s="31">
        <f>256.46+51.29+205.68+41.14</f>
        <v>554.57</v>
      </c>
      <c r="N65" s="31">
        <f>5452.63+778.95+4867.68+695.38</f>
        <v>11794.64</v>
      </c>
      <c r="O65" s="31">
        <f>667.19+133.44+585.25+117.05</f>
        <v>1502.93</v>
      </c>
      <c r="P65" s="31">
        <f>355.35+118.45+323.65+107.88</f>
        <v>905.33</v>
      </c>
      <c r="Q65" s="31">
        <f>1544.71+411.92+1406.9+375.17</f>
        <v>3738.7000000000003</v>
      </c>
      <c r="R65" s="31">
        <f>787.99+210.13+728.73+194.33</f>
        <v>1921.1799999999998</v>
      </c>
      <c r="S65" s="31"/>
      <c r="T65" s="31">
        <f>3044.51+2846.82+1014.84+948.94</f>
        <v>7855.110000000001</v>
      </c>
      <c r="U65" s="31">
        <f>2215.92+2103.18+590.91+560.85</f>
        <v>5470.860000000001</v>
      </c>
      <c r="V65" s="31">
        <f>8986.25+8718.13</f>
        <v>17704.379999999997</v>
      </c>
      <c r="W65" s="31">
        <f>9927.5+9611.25</f>
        <v>19538.75</v>
      </c>
      <c r="X65" s="31"/>
      <c r="Y65" s="31">
        <f>26159.38+26159.38+5037.5</f>
        <v>57356.26</v>
      </c>
      <c r="Z65" s="31"/>
      <c r="AA65" s="31"/>
      <c r="AB65" s="31">
        <f t="shared" si="2"/>
        <v>500750.88000000006</v>
      </c>
    </row>
    <row r="66" spans="1:28" ht="12.75">
      <c r="A66" s="36" t="s">
        <v>34</v>
      </c>
      <c r="B66" s="10"/>
      <c r="C66" s="10"/>
      <c r="D66" s="10"/>
      <c r="E66" s="10"/>
      <c r="F66" s="10"/>
      <c r="G66" s="10"/>
      <c r="H66" s="31">
        <f>71108.13+68530</f>
        <v>139638.13</v>
      </c>
      <c r="I66" s="31"/>
      <c r="J66" s="31">
        <f>(186100*0.5)+180820*0.5</f>
        <v>183460</v>
      </c>
      <c r="K66" s="31">
        <f>13768.15+12808.46+3671.51+3415.59</f>
        <v>33663.71000000001</v>
      </c>
      <c r="L66" s="31">
        <f>138.24+34.56+92.39+23.1</f>
        <v>288.29</v>
      </c>
      <c r="M66" s="31">
        <f>154.64+30.93+103.35+20.67</f>
        <v>309.59</v>
      </c>
      <c r="N66" s="31">
        <f>4277.61+611.09+3682.38+526.05</f>
        <v>9097.13</v>
      </c>
      <c r="O66" s="31">
        <f>502.88+100.58+420.11+84.02</f>
        <v>1107.5900000000001</v>
      </c>
      <c r="P66" s="31">
        <f>291.82+97.27+259.88+86.63</f>
        <v>735.6</v>
      </c>
      <c r="Q66" s="31">
        <f>1268.57+338.28+1129.72+301.26</f>
        <v>3037.83</v>
      </c>
      <c r="R66" s="31">
        <f>669.24+178.47+609.54+162.54</f>
        <v>1619.79</v>
      </c>
      <c r="S66" s="31"/>
      <c r="T66" s="31">
        <f>2648.38+2449.2+882.79+816.4</f>
        <v>6796.7699999999995</v>
      </c>
      <c r="U66" s="31">
        <f>1990.02+1876.43+530.67+500.38</f>
        <v>4897.5</v>
      </c>
      <c r="V66" s="31">
        <f>8718.13+8441.88</f>
        <v>17160.01</v>
      </c>
      <c r="W66" s="31">
        <f>9611.25+9288.13</f>
        <v>18899.379999999997</v>
      </c>
      <c r="X66" s="31"/>
      <c r="Y66" s="31">
        <f>24534.38+24534.38+4712.5</f>
        <v>53781.26</v>
      </c>
      <c r="Z66" s="31"/>
      <c r="AA66" s="31"/>
      <c r="AB66" s="31">
        <f t="shared" si="2"/>
        <v>474492.5800000001</v>
      </c>
    </row>
    <row r="67" spans="1:28" ht="12.75">
      <c r="A67" s="36" t="s">
        <v>35</v>
      </c>
      <c r="B67" s="10"/>
      <c r="C67" s="10"/>
      <c r="D67" s="10"/>
      <c r="E67" s="10"/>
      <c r="F67" s="10"/>
      <c r="G67" s="10"/>
      <c r="H67" s="31">
        <f>68530+65862.5</f>
        <v>134392.5</v>
      </c>
      <c r="I67" s="31"/>
      <c r="J67" s="31">
        <f>(180820*0.5)+175400*0.5</f>
        <v>178110</v>
      </c>
      <c r="K67" s="31">
        <f>11845.17+10878.27+3158.71+2900.87</f>
        <v>28783.02</v>
      </c>
      <c r="L67" s="31">
        <f>46.45+11.58</f>
        <v>58.03</v>
      </c>
      <c r="M67" s="31">
        <f>51.61+10.36</f>
        <v>61.97</v>
      </c>
      <c r="N67" s="31">
        <f>3081.94+440.28+2476.24+353.75</f>
        <v>6352.21</v>
      </c>
      <c r="O67" s="31">
        <f>336.92+67.38+253.33+50.67</f>
        <v>708.3</v>
      </c>
      <c r="P67" s="31">
        <f>227.82+75.94+195.64+65.21</f>
        <v>564.61</v>
      </c>
      <c r="Q67" s="31">
        <f>990.34+264.09+850.45+226.79</f>
        <v>2331.67</v>
      </c>
      <c r="R67" s="31">
        <f>549.61+146.56+489.44+130.52</f>
        <v>1316.13</v>
      </c>
      <c r="S67" s="31"/>
      <c r="T67" s="31">
        <f>2249.28+2048.61+749.76+682.87</f>
        <v>5730.52</v>
      </c>
      <c r="U67" s="31">
        <f>1762.42+1647.98+469.98+439.46</f>
        <v>4319.84</v>
      </c>
      <c r="V67" s="31">
        <f>8441.88+8157.5</f>
        <v>16599.379999999997</v>
      </c>
      <c r="W67" s="31">
        <f>9288.13+8958.13</f>
        <v>18246.26</v>
      </c>
      <c r="X67" s="31"/>
      <c r="Y67" s="31">
        <f>22828.13+22828.13+4387.5</f>
        <v>50043.76</v>
      </c>
      <c r="Z67" s="31"/>
      <c r="AA67" s="31"/>
      <c r="AB67" s="31">
        <f t="shared" si="2"/>
        <v>447618.20000000007</v>
      </c>
    </row>
    <row r="68" spans="1:28" ht="12.75">
      <c r="A68" s="36" t="s">
        <v>36</v>
      </c>
      <c r="B68" s="10"/>
      <c r="C68" s="10"/>
      <c r="D68" s="10"/>
      <c r="E68" s="10"/>
      <c r="F68" s="10"/>
      <c r="G68" s="10"/>
      <c r="H68" s="31">
        <f>65862.5+63112.5</f>
        <v>128975</v>
      </c>
      <c r="I68" s="31"/>
      <c r="J68" s="31">
        <f>(175400*0.5)+169830*0.5</f>
        <v>172615</v>
      </c>
      <c r="K68" s="31">
        <f>9907.74+8933.57+2642.06+2382.28</f>
        <v>23865.649999999998</v>
      </c>
      <c r="L68" s="31"/>
      <c r="M68" s="31"/>
      <c r="N68" s="31">
        <f>1865.25+266.45+1248.91+178.42</f>
        <v>3559.0299999999997</v>
      </c>
      <c r="O68" s="31">
        <f>169.3+33.86+84.7+16.97</f>
        <v>304.83000000000004</v>
      </c>
      <c r="P68" s="31">
        <f>163.34+54.45+130.91+43.64</f>
        <v>392.34000000000003</v>
      </c>
      <c r="Q68" s="31">
        <f>710.03+189.34+569.09+151.76</f>
        <v>1620.22</v>
      </c>
      <c r="R68" s="31">
        <f>429.06+114.42+368.46+98.25</f>
        <v>1010.19</v>
      </c>
      <c r="S68" s="31"/>
      <c r="T68" s="31">
        <f>1847.18+1645+615.73+548.33</f>
        <v>4656.24</v>
      </c>
      <c r="U68" s="31">
        <f>1533.11+1417.81+408.83+378.08</f>
        <v>3737.83</v>
      </c>
      <c r="V68" s="31">
        <f>8157.5+7865</f>
        <v>16022.5</v>
      </c>
      <c r="W68" s="31">
        <f>8958.13+8614.38</f>
        <v>17572.51</v>
      </c>
      <c r="X68" s="31"/>
      <c r="Y68" s="31">
        <f>21056.25+21056.25+4050</f>
        <v>46162.5</v>
      </c>
      <c r="Z68" s="31"/>
      <c r="AA68" s="31"/>
      <c r="AB68" s="31">
        <f t="shared" si="2"/>
        <v>420493.8400000001</v>
      </c>
    </row>
    <row r="69" spans="1:28" ht="12.75">
      <c r="A69" s="36" t="s">
        <v>37</v>
      </c>
      <c r="B69" s="10"/>
      <c r="C69" s="10"/>
      <c r="D69" s="10"/>
      <c r="E69" s="10"/>
      <c r="F69" s="10"/>
      <c r="G69" s="10"/>
      <c r="H69" s="31">
        <f>63112.5+60273.13</f>
        <v>123385.63</v>
      </c>
      <c r="I69" s="31"/>
      <c r="J69" s="31">
        <f>(169830*0.5)+164110*0.5</f>
        <v>166970</v>
      </c>
      <c r="K69" s="31">
        <f>7955.74+6974.26+2121.53+1859.8</f>
        <v>18911.329999999998</v>
      </c>
      <c r="L69" s="31"/>
      <c r="M69" s="31"/>
      <c r="N69" s="31">
        <f>627.35+89.6</f>
        <v>716.95</v>
      </c>
      <c r="O69" s="31"/>
      <c r="P69" s="31">
        <f>98.37+32.79+65.7+21.9</f>
        <v>218.76000000000002</v>
      </c>
      <c r="Q69" s="31">
        <f>427.61+114.03+285.61+76.16</f>
        <v>903.41</v>
      </c>
      <c r="R69" s="31">
        <f>307.62+82.03+246.55+65.75</f>
        <v>701.95</v>
      </c>
      <c r="S69" s="31"/>
      <c r="T69" s="31">
        <f>1442.05+1238.35+480.68+412.78</f>
        <v>3573.8599999999997</v>
      </c>
      <c r="U69" s="31">
        <f>1302.07+1185.91+347.22+316.24</f>
        <v>3151.4399999999996</v>
      </c>
      <c r="V69" s="31">
        <f>7865+7564.38</f>
        <v>15429.380000000001</v>
      </c>
      <c r="W69" s="31">
        <f>8314.38+8263.75</f>
        <v>16578.129999999997</v>
      </c>
      <c r="X69" s="31"/>
      <c r="Y69" s="31">
        <f>19131.25+19131.25+3700</f>
        <v>41962.5</v>
      </c>
      <c r="Z69" s="31"/>
      <c r="AA69" s="31"/>
      <c r="AB69" s="31">
        <f t="shared" si="2"/>
        <v>392503.34</v>
      </c>
    </row>
    <row r="70" spans="1:28" ht="12.75">
      <c r="A70" s="36" t="s">
        <v>38</v>
      </c>
      <c r="B70" s="10"/>
      <c r="C70" s="10"/>
      <c r="D70" s="10"/>
      <c r="E70" s="10"/>
      <c r="F70" s="10"/>
      <c r="G70" s="10"/>
      <c r="H70" s="31">
        <f>60273.13+57337.5</f>
        <v>117610.63</v>
      </c>
      <c r="I70" s="31"/>
      <c r="J70" s="31">
        <f>(164110*0.5)+158230*0.5</f>
        <v>161170</v>
      </c>
      <c r="K70" s="31">
        <f>5989.09+5000.22+1597.09+1333.39</f>
        <v>13919.79</v>
      </c>
      <c r="L70" s="31"/>
      <c r="M70" s="31"/>
      <c r="N70" s="31"/>
      <c r="O70" s="31"/>
      <c r="P70" s="31">
        <f>33.01+10.97</f>
        <v>43.98</v>
      </c>
      <c r="Q70" s="31">
        <f>142.9+38.15</f>
        <v>181.05</v>
      </c>
      <c r="R70" s="31">
        <f>185.26+49.41+123.74+33</f>
        <v>391.40999999999997</v>
      </c>
      <c r="S70" s="31"/>
      <c r="T70" s="31">
        <f>1033.89+828.66+344.63+276.22</f>
        <v>2483.4000000000005</v>
      </c>
      <c r="U70" s="31">
        <f>1069.3+952.26+285.15+253.94</f>
        <v>2560.65</v>
      </c>
      <c r="V70" s="31">
        <f>7564.38+7247.5</f>
        <v>14811.880000000001</v>
      </c>
      <c r="W70" s="31">
        <f>8263.75+7906.25</f>
        <v>16170</v>
      </c>
      <c r="X70" s="31"/>
      <c r="Y70" s="31">
        <f>17137.5+17137.5+3337.5</f>
        <v>37612.5</v>
      </c>
      <c r="Z70" s="31"/>
      <c r="AA70" s="31"/>
      <c r="AB70" s="31">
        <f t="shared" si="2"/>
        <v>366955.29</v>
      </c>
    </row>
    <row r="71" spans="1:28" ht="12.75">
      <c r="A71" s="36" t="s">
        <v>39</v>
      </c>
      <c r="B71" s="10"/>
      <c r="C71" s="10"/>
      <c r="D71" s="10"/>
      <c r="E71" s="10"/>
      <c r="F71" s="10"/>
      <c r="G71" s="10"/>
      <c r="H71" s="31">
        <f>57337.5+54305.63</f>
        <v>111643.13</v>
      </c>
      <c r="I71" s="31"/>
      <c r="J71" s="31">
        <f>(158230*0.5)+152190*0.5</f>
        <v>155210</v>
      </c>
      <c r="K71" s="31">
        <f>4007.65+3011.36+1068.71+803.03</f>
        <v>8890.75</v>
      </c>
      <c r="L71" s="31"/>
      <c r="M71" s="31"/>
      <c r="N71" s="31"/>
      <c r="O71" s="31"/>
      <c r="P71" s="31"/>
      <c r="Q71" s="31"/>
      <c r="R71" s="31">
        <f>61.99+16.53</f>
        <v>78.52000000000001</v>
      </c>
      <c r="S71" s="31"/>
      <c r="T71" s="31">
        <f>622.65+415.88+207.55+138.63</f>
        <v>1384.71</v>
      </c>
      <c r="U71" s="31">
        <f>834.78+716.86+222.61+191.16</f>
        <v>1965.41</v>
      </c>
      <c r="V71" s="31">
        <f>7247.5+6922.5</f>
        <v>14170</v>
      </c>
      <c r="W71" s="31">
        <f>7906.25+7535</f>
        <v>15441.25</v>
      </c>
      <c r="X71" s="31"/>
      <c r="Y71" s="31">
        <f>15075+15075+2962.5</f>
        <v>33112.5</v>
      </c>
      <c r="Z71" s="31"/>
      <c r="AA71" s="31"/>
      <c r="AB71" s="31">
        <f t="shared" si="2"/>
        <v>341896.27</v>
      </c>
    </row>
    <row r="72" spans="1:28" ht="12.75">
      <c r="A72" s="36" t="s">
        <v>40</v>
      </c>
      <c r="B72" s="10"/>
      <c r="C72" s="10"/>
      <c r="D72" s="10"/>
      <c r="E72" s="10"/>
      <c r="F72" s="10"/>
      <c r="G72" s="10"/>
      <c r="H72" s="31">
        <f>54305.63+51177.5</f>
        <v>105483.13</v>
      </c>
      <c r="I72" s="31"/>
      <c r="J72" s="31">
        <f>(152190*0.5)+145990*0.5</f>
        <v>149090</v>
      </c>
      <c r="K72" s="31">
        <f>2011.32+1007.68+536.35+268.68</f>
        <v>3824.0299999999997</v>
      </c>
      <c r="L72" s="31"/>
      <c r="M72" s="31"/>
      <c r="N72" s="31"/>
      <c r="O72" s="31"/>
      <c r="P72" s="31"/>
      <c r="Q72" s="31"/>
      <c r="R72" s="31"/>
      <c r="S72" s="31"/>
      <c r="T72" s="31">
        <f>208.15+69.44</f>
        <v>277.59000000000003</v>
      </c>
      <c r="U72" s="31">
        <f>598.5+479.69+159.6+127.92</f>
        <v>1365.71</v>
      </c>
      <c r="V72" s="31">
        <f>6922.5+6589.38</f>
        <v>13511.880000000001</v>
      </c>
      <c r="W72" s="31">
        <f>7535+7156.88</f>
        <v>14691.880000000001</v>
      </c>
      <c r="X72" s="31"/>
      <c r="Y72" s="31">
        <f>12750+12750+2575</f>
        <v>28075</v>
      </c>
      <c r="Z72" s="31"/>
      <c r="AA72" s="31"/>
      <c r="AB72" s="31">
        <f t="shared" si="2"/>
        <v>316319.22</v>
      </c>
    </row>
    <row r="73" spans="1:28" ht="12.75">
      <c r="A73" s="36" t="s">
        <v>41</v>
      </c>
      <c r="B73" s="10"/>
      <c r="C73" s="10"/>
      <c r="D73" s="10"/>
      <c r="E73" s="10"/>
      <c r="F73" s="10"/>
      <c r="G73" s="10"/>
      <c r="H73" s="31">
        <f>51177.5+47946.25</f>
        <v>99123.75</v>
      </c>
      <c r="I73" s="31"/>
      <c r="J73" s="31">
        <f>(145990*0.5)+139610*0.5</f>
        <v>142800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f>360.44+240.74+96.12+64.2</f>
        <v>761.5000000000001</v>
      </c>
      <c r="V73" s="31">
        <f>6589.38+6240</f>
        <v>12829.380000000001</v>
      </c>
      <c r="W73" s="31">
        <f>7156.88+6765</f>
        <v>13921.880000000001</v>
      </c>
      <c r="X73" s="31"/>
      <c r="Y73" s="31">
        <f>10350+10350+2175</f>
        <v>22875</v>
      </c>
      <c r="Z73" s="31"/>
      <c r="AA73" s="31"/>
      <c r="AB73" s="31">
        <f t="shared" si="2"/>
        <v>292311.51</v>
      </c>
    </row>
    <row r="74" spans="1:28" ht="12.75">
      <c r="A74" s="36" t="s">
        <v>42</v>
      </c>
      <c r="B74" s="10"/>
      <c r="C74" s="10"/>
      <c r="D74" s="10"/>
      <c r="E74" s="10"/>
      <c r="F74" s="10"/>
      <c r="G74" s="10"/>
      <c r="H74" s="31">
        <f>47946.255+44611.88</f>
        <v>92558.135</v>
      </c>
      <c r="I74" s="31"/>
      <c r="J74" s="31">
        <f>(139610*0.5)+133050*0.5</f>
        <v>136330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f>120.76+32.16</f>
        <v>152.92000000000002</v>
      </c>
      <c r="V74" s="31">
        <f>6240+5882.5</f>
        <v>12122.5</v>
      </c>
      <c r="W74" s="31">
        <f>6765+6366.25</f>
        <v>13131.25</v>
      </c>
      <c r="X74" s="31"/>
      <c r="Y74" s="31">
        <f>7875+7875+1762.5</f>
        <v>17512.5</v>
      </c>
      <c r="Z74" s="31"/>
      <c r="AA74" s="31"/>
      <c r="AB74" s="31">
        <f t="shared" si="2"/>
        <v>271807.30500000005</v>
      </c>
    </row>
    <row r="75" spans="1:28" ht="12.75">
      <c r="A75" s="36" t="s">
        <v>43</v>
      </c>
      <c r="B75" s="10"/>
      <c r="C75" s="10"/>
      <c r="D75" s="10"/>
      <c r="E75" s="10"/>
      <c r="F75" s="10"/>
      <c r="G75" s="10"/>
      <c r="H75" s="31">
        <f>44611.88+41167.5</f>
        <v>85779.38</v>
      </c>
      <c r="I75" s="31"/>
      <c r="J75" s="31">
        <f>(133050*0.5)+126310*0.5</f>
        <v>129680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>
        <f>5882.5+5508.75</f>
        <v>11391.25</v>
      </c>
      <c r="W75" s="31">
        <f>6366.25+5953.75</f>
        <v>12320</v>
      </c>
      <c r="X75" s="31"/>
      <c r="Y75" s="31">
        <f>5325+5325+887.5</f>
        <v>11537.5</v>
      </c>
      <c r="Z75" s="31"/>
      <c r="AA75" s="31"/>
      <c r="AB75" s="31">
        <f t="shared" si="2"/>
        <v>250708.13</v>
      </c>
    </row>
    <row r="76" spans="1:28" ht="12.75">
      <c r="A76" s="36" t="s">
        <v>44</v>
      </c>
      <c r="B76" s="10"/>
      <c r="C76" s="10"/>
      <c r="D76" s="10"/>
      <c r="E76" s="10"/>
      <c r="F76" s="10"/>
      <c r="G76" s="10"/>
      <c r="H76" s="31">
        <f>41167.5+37613.13</f>
        <v>78780.63</v>
      </c>
      <c r="I76" s="31"/>
      <c r="J76" s="31">
        <f>(126310*0.5)+119400*0.5</f>
        <v>122855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>
        <f>5508.75+5126.88</f>
        <v>10635.630000000001</v>
      </c>
      <c r="W76" s="31">
        <f>5953.75+5527.5</f>
        <v>11481.25</v>
      </c>
      <c r="X76" s="31"/>
      <c r="Y76" s="31">
        <f>2700+2700+450</f>
        <v>5850</v>
      </c>
      <c r="Z76" s="31"/>
      <c r="AA76" s="31"/>
      <c r="AB76" s="31">
        <f t="shared" si="2"/>
        <v>229602.51</v>
      </c>
    </row>
    <row r="77" spans="1:28" ht="12.75">
      <c r="A77" s="36" t="s">
        <v>45</v>
      </c>
      <c r="B77" s="10"/>
      <c r="C77" s="10"/>
      <c r="D77" s="10"/>
      <c r="E77" s="10"/>
      <c r="F77" s="10"/>
      <c r="G77" s="10"/>
      <c r="H77" s="31">
        <f>37613.13+33941.88</f>
        <v>71555.01</v>
      </c>
      <c r="I77" s="31"/>
      <c r="J77" s="31">
        <f>(119400*0.5)+112290*0.5</f>
        <v>115845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>
        <f>5126.88+4728.75</f>
        <v>9855.630000000001</v>
      </c>
      <c r="W77" s="31">
        <f>5527.5+5094.38</f>
        <v>10621.880000000001</v>
      </c>
      <c r="X77" s="31"/>
      <c r="Y77" s="31"/>
      <c r="Z77" s="31"/>
      <c r="AA77" s="31"/>
      <c r="AB77" s="31">
        <f t="shared" si="2"/>
        <v>207877.52000000002</v>
      </c>
    </row>
    <row r="78" spans="1:28" ht="12.75">
      <c r="A78" s="36" t="s">
        <v>46</v>
      </c>
      <c r="B78" s="10"/>
      <c r="C78" s="10"/>
      <c r="D78" s="10"/>
      <c r="E78" s="10"/>
      <c r="F78" s="10"/>
      <c r="G78" s="10"/>
      <c r="H78" s="31">
        <f>33941.88+30153.75</f>
        <v>64095.63</v>
      </c>
      <c r="I78" s="31"/>
      <c r="J78" s="31">
        <f>(112290*0.5)+104990*0.5</f>
        <v>108640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>
        <f>4728.75+4322.5</f>
        <v>9051.25</v>
      </c>
      <c r="W78" s="31">
        <f>5094.38+4647.5</f>
        <v>9741.880000000001</v>
      </c>
      <c r="X78" s="31"/>
      <c r="Z78" s="31"/>
      <c r="AA78" s="31"/>
      <c r="AB78" s="31">
        <f t="shared" si="2"/>
        <v>191528.76</v>
      </c>
    </row>
    <row r="79" spans="1:28" ht="12.75">
      <c r="A79" s="36" t="s">
        <v>61</v>
      </c>
      <c r="B79" s="10"/>
      <c r="C79" s="10"/>
      <c r="D79" s="10"/>
      <c r="E79" s="10"/>
      <c r="F79" s="10"/>
      <c r="G79" s="10"/>
      <c r="H79" s="31">
        <f>30153.75+26241.88</f>
        <v>56395.630000000005</v>
      </c>
      <c r="I79" s="31"/>
      <c r="J79" s="31">
        <f>(104990*0.5)+97480*0.5</f>
        <v>101235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>
        <f>4322.5+3900</f>
        <v>8222.5</v>
      </c>
      <c r="W79" s="31">
        <f>4647.5+4186.88</f>
        <v>8834.380000000001</v>
      </c>
      <c r="X79" s="31"/>
      <c r="Y79" s="31"/>
      <c r="Z79" s="31"/>
      <c r="AA79" s="31"/>
      <c r="AB79" s="31">
        <f t="shared" si="2"/>
        <v>174687.51</v>
      </c>
    </row>
    <row r="80" spans="1:28" ht="12.75">
      <c r="A80" s="36" t="s">
        <v>62</v>
      </c>
      <c r="B80" s="10"/>
      <c r="C80" s="10"/>
      <c r="D80" s="10"/>
      <c r="E80" s="10"/>
      <c r="F80" s="10"/>
      <c r="G80" s="10"/>
      <c r="H80" s="31">
        <f>26241.88+22199.38</f>
        <v>48441.26</v>
      </c>
      <c r="I80" s="31"/>
      <c r="J80" s="31">
        <f>(97480*0.5)+89760*0.5</f>
        <v>93620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>
        <f>3900+3461.25</f>
        <v>7361.25</v>
      </c>
      <c r="W80" s="31">
        <f>4186.88+3712.5</f>
        <v>7899.38</v>
      </c>
      <c r="X80" s="31"/>
      <c r="Y80" s="31"/>
      <c r="Z80" s="31"/>
      <c r="AA80" s="31"/>
      <c r="AB80" s="31">
        <f t="shared" si="2"/>
        <v>157321.89</v>
      </c>
    </row>
    <row r="81" spans="1:28" ht="12.75">
      <c r="A81" s="36" t="s">
        <v>63</v>
      </c>
      <c r="B81" s="10"/>
      <c r="C81" s="10"/>
      <c r="D81" s="10"/>
      <c r="E81" s="10"/>
      <c r="F81" s="10"/>
      <c r="G81" s="10"/>
      <c r="H81" s="31">
        <f>22199.38+18026.25</f>
        <v>40225.630000000005</v>
      </c>
      <c r="I81" s="31"/>
      <c r="J81" s="31">
        <f>(89760*0.5)+81840*0.5</f>
        <v>85800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>
        <f>3461.25+3006.25</f>
        <v>6467.5</v>
      </c>
      <c r="W81" s="31">
        <f>3712.5+3224.38</f>
        <v>6936.88</v>
      </c>
      <c r="X81" s="31"/>
      <c r="Y81" s="31"/>
      <c r="Z81" s="31"/>
      <c r="AA81" s="31"/>
      <c r="AB81" s="31">
        <f t="shared" si="2"/>
        <v>139430.01</v>
      </c>
    </row>
    <row r="82" spans="1:28" ht="12.75">
      <c r="A82" s="36" t="s">
        <v>64</v>
      </c>
      <c r="B82" s="10"/>
      <c r="C82" s="10"/>
      <c r="D82" s="10"/>
      <c r="E82" s="10"/>
      <c r="F82" s="10"/>
      <c r="G82" s="10"/>
      <c r="H82" s="31">
        <f>18026.25+13722.5</f>
        <v>31748.75</v>
      </c>
      <c r="I82" s="31"/>
      <c r="J82" s="31">
        <f>(81840*0.5)+73700*0.5</f>
        <v>77770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>
        <f>3006.25+2535</f>
        <v>5541.25</v>
      </c>
      <c r="W82" s="31">
        <f>3224.38+2722.5</f>
        <v>5946.88</v>
      </c>
      <c r="X82" s="31"/>
      <c r="Y82" s="31"/>
      <c r="Z82" s="31"/>
      <c r="AA82" s="31"/>
      <c r="AB82" s="31">
        <f t="shared" si="2"/>
        <v>121006.88</v>
      </c>
    </row>
    <row r="83" spans="1:28" ht="12.75">
      <c r="A83" s="36" t="s">
        <v>65</v>
      </c>
      <c r="B83" s="10"/>
      <c r="C83" s="10"/>
      <c r="D83" s="10"/>
      <c r="E83" s="10"/>
      <c r="F83" s="10"/>
      <c r="G83" s="10"/>
      <c r="H83" s="31">
        <f>13722.5+9274.38</f>
        <v>22996.879999999997</v>
      </c>
      <c r="I83" s="31"/>
      <c r="J83" s="31">
        <f>(73700*0.5)+65340*0.5</f>
        <v>69520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>
        <f>2535+2047.5</f>
        <v>4582.5</v>
      </c>
      <c r="W83" s="31">
        <f>2722.5+2206.88</f>
        <v>4929.38</v>
      </c>
      <c r="X83" s="31"/>
      <c r="Y83" s="31"/>
      <c r="Z83" s="31"/>
      <c r="AA83" s="31"/>
      <c r="AB83" s="31">
        <f t="shared" si="2"/>
        <v>102028.76000000001</v>
      </c>
    </row>
    <row r="84" spans="1:28" ht="12.75">
      <c r="A84" s="36" t="s">
        <v>66</v>
      </c>
      <c r="B84" s="10"/>
      <c r="C84" s="10"/>
      <c r="D84" s="10"/>
      <c r="E84" s="10"/>
      <c r="F84" s="10"/>
      <c r="G84" s="10"/>
      <c r="H84" s="31">
        <f>9274.38+4681.88</f>
        <v>13956.259999999998</v>
      </c>
      <c r="I84" s="31"/>
      <c r="J84" s="31">
        <f>(65340*0.5)+56750*0.5</f>
        <v>61045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>
        <f>2047.5+1543.75</f>
        <v>3591.25</v>
      </c>
      <c r="W84" s="31">
        <f>2206.88+1677.5</f>
        <v>3884.38</v>
      </c>
      <c r="X84" s="31"/>
      <c r="Y84" s="31"/>
      <c r="Z84" s="31"/>
      <c r="AA84" s="31"/>
      <c r="AB84" s="31">
        <f t="shared" si="2"/>
        <v>82476.89</v>
      </c>
    </row>
    <row r="85" spans="1:28" ht="12.75">
      <c r="A85" s="36" t="s">
        <v>72</v>
      </c>
      <c r="B85" s="10"/>
      <c r="C85" s="10"/>
      <c r="D85" s="10"/>
      <c r="E85" s="10"/>
      <c r="F85" s="10"/>
      <c r="G85" s="10"/>
      <c r="H85" s="31">
        <v>4681.88</v>
      </c>
      <c r="I85" s="31"/>
      <c r="J85" s="31">
        <f>(56750*0.5)+47920*0.5</f>
        <v>52335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>
        <f>1543.75+1023.75</f>
        <v>2567.5</v>
      </c>
      <c r="W85" s="31">
        <f>1677.5+1134.38</f>
        <v>2811.88</v>
      </c>
      <c r="X85" s="31"/>
      <c r="Y85" s="31"/>
      <c r="Z85" s="31"/>
      <c r="AA85" s="31"/>
      <c r="AB85" s="31">
        <f t="shared" si="2"/>
        <v>62396.259999999995</v>
      </c>
    </row>
    <row r="86" spans="1:28" ht="12.75">
      <c r="A86" s="36" t="s">
        <v>83</v>
      </c>
      <c r="B86" s="10"/>
      <c r="C86" s="10"/>
      <c r="D86" s="10"/>
      <c r="E86" s="10"/>
      <c r="F86" s="10"/>
      <c r="G86" s="10"/>
      <c r="H86" s="31"/>
      <c r="I86" s="31"/>
      <c r="J86" s="31">
        <f>(47920*0.5)+38850*0.5</f>
        <v>43385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>
        <f>1023.75+487.5</f>
        <v>1511.25</v>
      </c>
      <c r="W86" s="31">
        <f>1134.38+577.5</f>
        <v>1711.88</v>
      </c>
      <c r="X86" s="31"/>
      <c r="Y86" s="31"/>
      <c r="Z86" s="31"/>
      <c r="AA86" s="31"/>
      <c r="AB86" s="31">
        <f t="shared" si="2"/>
        <v>46608.13</v>
      </c>
    </row>
    <row r="87" spans="1:28" ht="12.75">
      <c r="A87" s="36" t="s">
        <v>84</v>
      </c>
      <c r="B87" s="10"/>
      <c r="C87" s="10"/>
      <c r="D87" s="10"/>
      <c r="E87" s="10"/>
      <c r="F87" s="10"/>
      <c r="G87" s="10"/>
      <c r="H87" s="31"/>
      <c r="I87" s="31"/>
      <c r="J87" s="31">
        <f>(38850*0.5)+29530*0.5</f>
        <v>34190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>
        <v>487.5</v>
      </c>
      <c r="W87" s="31">
        <v>577.5</v>
      </c>
      <c r="X87" s="31"/>
      <c r="Y87" s="31"/>
      <c r="Z87" s="31"/>
      <c r="AA87" s="31"/>
      <c r="AB87" s="31">
        <f t="shared" si="2"/>
        <v>35255</v>
      </c>
    </row>
    <row r="88" spans="1:28" ht="12.75">
      <c r="A88" s="36" t="s">
        <v>93</v>
      </c>
      <c r="B88" s="10"/>
      <c r="C88" s="10"/>
      <c r="D88" s="10"/>
      <c r="E88" s="10"/>
      <c r="F88" s="10"/>
      <c r="G88" s="10"/>
      <c r="H88" s="31"/>
      <c r="I88" s="31"/>
      <c r="J88" s="31">
        <f>(29530*0.5)+19940*0.5</f>
        <v>24735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>
        <f t="shared" si="2"/>
        <v>24735</v>
      </c>
    </row>
    <row r="89" spans="1:28" ht="12.75">
      <c r="A89" s="36" t="s">
        <v>94</v>
      </c>
      <c r="B89" s="10"/>
      <c r="C89" s="10"/>
      <c r="D89" s="10"/>
      <c r="E89" s="10"/>
      <c r="F89" s="10"/>
      <c r="G89" s="10"/>
      <c r="H89" s="31"/>
      <c r="I89" s="31"/>
      <c r="J89" s="31">
        <f>(19940*0.5)+10100*0.5</f>
        <v>15020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>
        <f t="shared" si="2"/>
        <v>15020</v>
      </c>
    </row>
    <row r="90" spans="1:28" ht="12.75">
      <c r="A90" s="36" t="s">
        <v>95</v>
      </c>
      <c r="B90" s="10"/>
      <c r="C90" s="10"/>
      <c r="D90" s="10"/>
      <c r="E90" s="10"/>
      <c r="F90" s="10"/>
      <c r="G90" s="10"/>
      <c r="H90" s="31"/>
      <c r="I90" s="31"/>
      <c r="J90" s="31">
        <v>10100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>
        <f t="shared" si="2"/>
        <v>10100</v>
      </c>
    </row>
    <row r="91" spans="1:28" ht="12.75">
      <c r="A91" s="36" t="s">
        <v>96</v>
      </c>
      <c r="B91" s="10"/>
      <c r="C91" s="10"/>
      <c r="D91" s="10"/>
      <c r="E91" s="10"/>
      <c r="F91" s="10"/>
      <c r="G91" s="1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>
        <f t="shared" si="2"/>
        <v>0</v>
      </c>
    </row>
    <row r="92" spans="1:28" ht="12.75">
      <c r="A92" s="36"/>
      <c r="B92" s="10"/>
      <c r="C92" s="10"/>
      <c r="D92" s="10"/>
      <c r="E92" s="10"/>
      <c r="F92" s="10"/>
      <c r="G92" s="1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>
        <f>SUM(B92:Z92)</f>
        <v>0</v>
      </c>
    </row>
    <row r="93" spans="1:28" ht="12.75">
      <c r="A93" s="36"/>
      <c r="B93" s="10"/>
      <c r="C93" s="10"/>
      <c r="D93" s="10"/>
      <c r="E93" s="10"/>
      <c r="F93" s="10"/>
      <c r="G93" s="1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>
        <f>SUM(B93:Z93)</f>
        <v>0</v>
      </c>
    </row>
    <row r="94" spans="1:28" ht="12.75">
      <c r="A94" s="36"/>
      <c r="B94" s="10"/>
      <c r="C94" s="10"/>
      <c r="D94" s="10"/>
      <c r="E94" s="31"/>
      <c r="F94" s="10"/>
      <c r="G94" s="1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>
        <f>SUM(B94:Z94)</f>
        <v>0</v>
      </c>
    </row>
    <row r="95" spans="1:28" ht="13.5" thickBot="1">
      <c r="A95" s="36"/>
      <c r="B95" s="40">
        <f aca="true" t="shared" si="3" ref="B95:AB95">SUM(B53:B94)</f>
        <v>0</v>
      </c>
      <c r="C95" s="40">
        <f t="shared" si="3"/>
        <v>0</v>
      </c>
      <c r="D95" s="40">
        <f t="shared" si="3"/>
        <v>0</v>
      </c>
      <c r="E95" s="40">
        <f t="shared" si="3"/>
        <v>0</v>
      </c>
      <c r="F95" s="40">
        <f t="shared" si="3"/>
        <v>0</v>
      </c>
      <c r="G95" s="40">
        <f t="shared" si="3"/>
        <v>0</v>
      </c>
      <c r="H95" s="40">
        <f t="shared" si="3"/>
        <v>3602111.3949999977</v>
      </c>
      <c r="I95" s="40">
        <f t="shared" si="3"/>
        <v>420</v>
      </c>
      <c r="J95" s="40">
        <f t="shared" si="3"/>
        <v>5161595</v>
      </c>
      <c r="K95" s="40">
        <f t="shared" si="3"/>
        <v>903534.9500000001</v>
      </c>
      <c r="L95" s="40">
        <f t="shared" si="3"/>
        <v>20966.215999999997</v>
      </c>
      <c r="M95" s="40">
        <f t="shared" si="3"/>
        <v>22515.87</v>
      </c>
      <c r="N95" s="40">
        <f t="shared" si="3"/>
        <v>326528.7400000001</v>
      </c>
      <c r="O95" s="40">
        <f t="shared" si="3"/>
        <v>45152.630000000005</v>
      </c>
      <c r="P95" s="40">
        <f t="shared" si="3"/>
        <v>23668.34</v>
      </c>
      <c r="Q95" s="40">
        <f t="shared" si="3"/>
        <v>97729.58</v>
      </c>
      <c r="R95" s="40">
        <f t="shared" si="3"/>
        <v>47432.58</v>
      </c>
      <c r="S95" s="40">
        <f t="shared" si="3"/>
        <v>0</v>
      </c>
      <c r="T95" s="40">
        <f t="shared" si="3"/>
        <v>186797.3699999999</v>
      </c>
      <c r="U95" s="40">
        <f t="shared" si="3"/>
        <v>119103.93999999999</v>
      </c>
      <c r="V95" s="40">
        <f t="shared" si="3"/>
        <v>457665.10000000003</v>
      </c>
      <c r="W95" s="40">
        <f t="shared" si="3"/>
        <v>504393.89000000013</v>
      </c>
      <c r="X95" s="40">
        <f t="shared" si="3"/>
        <v>5824.870000000001</v>
      </c>
      <c r="Y95" s="40">
        <f t="shared" si="3"/>
        <v>1234112.6400000001</v>
      </c>
      <c r="Z95" s="40">
        <f t="shared" si="3"/>
        <v>193161.21999999997</v>
      </c>
      <c r="AA95" s="40">
        <f t="shared" si="3"/>
        <v>1248</v>
      </c>
      <c r="AB95" s="40">
        <f t="shared" si="3"/>
        <v>12953962.331</v>
      </c>
    </row>
    <row r="96" ht="13.5" thickTop="1"/>
    <row r="97" spans="1:28" ht="12.75">
      <c r="A97" s="30"/>
      <c r="B97" s="31"/>
      <c r="C97" s="31"/>
      <c r="D97" s="31"/>
      <c r="E97" s="31"/>
      <c r="F97" s="31"/>
      <c r="G97" s="31"/>
      <c r="AB97" s="31"/>
    </row>
    <row r="98" spans="1:28" ht="12.75">
      <c r="A98" s="30"/>
      <c r="B98" s="31"/>
      <c r="C98" s="31"/>
      <c r="D98" s="31"/>
      <c r="E98" s="31"/>
      <c r="F98" s="31"/>
      <c r="G98" s="31"/>
      <c r="AB98" s="31"/>
    </row>
    <row r="99" spans="1:28" ht="12.75">
      <c r="A99" s="33" t="s">
        <v>48</v>
      </c>
      <c r="B99" s="31"/>
      <c r="C99" s="31"/>
      <c r="D99" s="31"/>
      <c r="E99" s="31"/>
      <c r="F99" s="31"/>
      <c r="G99" s="31"/>
      <c r="Y99" s="57" t="s">
        <v>124</v>
      </c>
      <c r="Z99" s="58" t="s">
        <v>21</v>
      </c>
      <c r="AA99" s="61">
        <v>2020</v>
      </c>
      <c r="AB99" s="31"/>
    </row>
    <row r="100" spans="1:28" s="43" customFormat="1" ht="12.75">
      <c r="A100" s="41"/>
      <c r="B100" s="42" t="s">
        <v>113</v>
      </c>
      <c r="C100" s="42"/>
      <c r="D100" s="42" t="s">
        <v>112</v>
      </c>
      <c r="E100" s="42" t="s">
        <v>111</v>
      </c>
      <c r="F100" s="42" t="s">
        <v>110</v>
      </c>
      <c r="G100" s="42" t="s">
        <v>109</v>
      </c>
      <c r="H100" s="43" t="s">
        <v>101</v>
      </c>
      <c r="I100" s="43" t="s">
        <v>114</v>
      </c>
      <c r="J100" s="43" t="s">
        <v>118</v>
      </c>
      <c r="K100" s="43" t="s">
        <v>120</v>
      </c>
      <c r="L100" s="43" t="s">
        <v>108</v>
      </c>
      <c r="M100" s="43" t="s">
        <v>107</v>
      </c>
      <c r="N100" s="43" t="s">
        <v>100</v>
      </c>
      <c r="O100" s="43" t="s">
        <v>106</v>
      </c>
      <c r="P100" s="43" t="s">
        <v>105</v>
      </c>
      <c r="Q100" s="43" t="s">
        <v>104</v>
      </c>
      <c r="R100" s="43" t="s">
        <v>102</v>
      </c>
      <c r="T100" s="43" t="s">
        <v>117</v>
      </c>
      <c r="V100" s="68" t="s">
        <v>103</v>
      </c>
      <c r="W100" s="68"/>
      <c r="X100" s="54" t="s">
        <v>121</v>
      </c>
      <c r="Y100" s="54" t="s">
        <v>125</v>
      </c>
      <c r="Z100" s="54" t="s">
        <v>126</v>
      </c>
      <c r="AA100" s="54" t="s">
        <v>128</v>
      </c>
      <c r="AB100" s="42"/>
    </row>
    <row r="101" spans="1:28" s="51" customFormat="1" ht="12.75">
      <c r="A101" s="44" t="s">
        <v>3</v>
      </c>
      <c r="B101" s="45" t="s">
        <v>5</v>
      </c>
      <c r="C101" s="45" t="s">
        <v>56</v>
      </c>
      <c r="D101" s="45" t="s">
        <v>8</v>
      </c>
      <c r="E101" s="45">
        <v>2004</v>
      </c>
      <c r="F101" s="45" t="s">
        <v>49</v>
      </c>
      <c r="G101" s="45" t="s">
        <v>50</v>
      </c>
      <c r="H101" s="45">
        <v>2011</v>
      </c>
      <c r="I101" s="45" t="s">
        <v>67</v>
      </c>
      <c r="J101" s="45">
        <v>2016</v>
      </c>
      <c r="K101" s="45" t="s">
        <v>119</v>
      </c>
      <c r="L101" s="45" t="s">
        <v>71</v>
      </c>
      <c r="M101" s="45" t="s">
        <v>73</v>
      </c>
      <c r="N101" s="45" t="s">
        <v>85</v>
      </c>
      <c r="O101" s="45" t="s">
        <v>86</v>
      </c>
      <c r="P101" s="45" t="s">
        <v>89</v>
      </c>
      <c r="Q101" s="45" t="s">
        <v>90</v>
      </c>
      <c r="R101" s="45" t="s">
        <v>91</v>
      </c>
      <c r="S101" s="45" t="s">
        <v>78</v>
      </c>
      <c r="T101" s="45" t="s">
        <v>115</v>
      </c>
      <c r="U101" s="45" t="s">
        <v>130</v>
      </c>
      <c r="V101" s="45" t="s">
        <v>76</v>
      </c>
      <c r="W101" s="45" t="s">
        <v>77</v>
      </c>
      <c r="X101" s="45" t="s">
        <v>122</v>
      </c>
      <c r="Y101" s="45" t="s">
        <v>122</v>
      </c>
      <c r="Z101" s="45" t="s">
        <v>127</v>
      </c>
      <c r="AA101" s="45" t="s">
        <v>129</v>
      </c>
      <c r="AB101" s="45" t="s">
        <v>11</v>
      </c>
    </row>
    <row r="102" spans="1:28" ht="12.75">
      <c r="A102" s="36" t="s">
        <v>22</v>
      </c>
      <c r="B102" s="31"/>
      <c r="C102" s="10"/>
      <c r="D102" s="10"/>
      <c r="E102" s="31">
        <f aca="true" t="shared" si="4" ref="E102:R102">+E9+E54</f>
        <v>0</v>
      </c>
      <c r="F102" s="31">
        <f t="shared" si="4"/>
        <v>0</v>
      </c>
      <c r="G102" s="31">
        <f t="shared" si="4"/>
        <v>0</v>
      </c>
      <c r="H102" s="31">
        <f t="shared" si="4"/>
        <v>319097.5</v>
      </c>
      <c r="I102" s="31">
        <f t="shared" si="4"/>
        <v>15420</v>
      </c>
      <c r="J102" s="31">
        <f t="shared" si="4"/>
        <v>375985</v>
      </c>
      <c r="K102" s="31">
        <f t="shared" si="4"/>
        <v>558207.91</v>
      </c>
      <c r="L102" s="31">
        <f t="shared" si="4"/>
        <v>19192.71</v>
      </c>
      <c r="M102" s="31">
        <f t="shared" si="4"/>
        <v>21341.02</v>
      </c>
      <c r="N102" s="31">
        <f>+N9+N54</f>
        <v>149428.65000000002</v>
      </c>
      <c r="O102" s="31">
        <f t="shared" si="4"/>
        <v>35047.97</v>
      </c>
      <c r="P102" s="31">
        <f t="shared" si="4"/>
        <v>18291.83</v>
      </c>
      <c r="Q102" s="31">
        <f t="shared" si="4"/>
        <v>78930.20000000001</v>
      </c>
      <c r="R102" s="31">
        <f t="shared" si="4"/>
        <v>34254.61</v>
      </c>
      <c r="S102" s="31"/>
      <c r="T102" s="31">
        <f>+T9+T54</f>
        <v>116272.12</v>
      </c>
      <c r="U102" s="31">
        <f>+U9+U54</f>
        <v>33193.29</v>
      </c>
      <c r="V102" s="31">
        <f aca="true" t="shared" si="5" ref="V102:AA102">+V9+V54</f>
        <v>34128.13</v>
      </c>
      <c r="W102" s="31">
        <f t="shared" si="5"/>
        <v>42533.75</v>
      </c>
      <c r="X102" s="31">
        <f t="shared" si="5"/>
        <v>12346.8</v>
      </c>
      <c r="Y102" s="31">
        <f>+Y9+Y54</f>
        <v>260193.76</v>
      </c>
      <c r="Z102" s="31">
        <f t="shared" si="5"/>
        <v>249908.7</v>
      </c>
      <c r="AA102" s="31">
        <f t="shared" si="5"/>
        <v>6875</v>
      </c>
      <c r="AB102" s="31">
        <f>SUM(B102:AA102)</f>
        <v>2380648.95</v>
      </c>
    </row>
    <row r="103" spans="1:28" ht="12.75">
      <c r="A103" s="36" t="s">
        <v>23</v>
      </c>
      <c r="B103" s="31"/>
      <c r="C103" s="10"/>
      <c r="D103" s="10"/>
      <c r="E103" s="31">
        <f aca="true" t="shared" si="6" ref="E103:H124">+E10+E55</f>
        <v>0</v>
      </c>
      <c r="F103" s="31">
        <f t="shared" si="6"/>
        <v>0</v>
      </c>
      <c r="G103" s="31">
        <f t="shared" si="6"/>
        <v>0</v>
      </c>
      <c r="H103" s="31">
        <f t="shared" si="6"/>
        <v>319522.5</v>
      </c>
      <c r="I103" s="31"/>
      <c r="J103" s="31">
        <f aca="true" t="shared" si="7" ref="J103:R103">+J10+J55</f>
        <v>376120</v>
      </c>
      <c r="K103" s="31">
        <f t="shared" si="7"/>
        <v>557268.67</v>
      </c>
      <c r="L103" s="31">
        <f t="shared" si="7"/>
        <v>19151.829999999998</v>
      </c>
      <c r="M103" s="31">
        <f t="shared" si="7"/>
        <v>21304.43</v>
      </c>
      <c r="N103" s="31">
        <f t="shared" si="7"/>
        <v>149150.26</v>
      </c>
      <c r="O103" s="31">
        <f t="shared" si="7"/>
        <v>34988.93</v>
      </c>
      <c r="P103" s="31">
        <f t="shared" si="7"/>
        <v>18252.75</v>
      </c>
      <c r="Q103" s="31">
        <f t="shared" si="7"/>
        <v>78794.31999999999</v>
      </c>
      <c r="R103" s="31">
        <f t="shared" si="7"/>
        <v>34196.18</v>
      </c>
      <c r="S103" s="31"/>
      <c r="T103" s="31">
        <f aca="true" t="shared" si="8" ref="T103:Y120">+T10+T55</f>
        <v>116028.45</v>
      </c>
      <c r="U103" s="31">
        <f>+U10+U55</f>
        <v>66870.54000000001</v>
      </c>
      <c r="V103" s="31">
        <f t="shared" si="8"/>
        <v>33754.38</v>
      </c>
      <c r="W103" s="31">
        <f t="shared" si="8"/>
        <v>42559.38</v>
      </c>
      <c r="X103" s="31">
        <f t="shared" si="8"/>
        <v>12346.800000000001</v>
      </c>
      <c r="Y103" s="31">
        <f t="shared" si="8"/>
        <v>185943.76</v>
      </c>
      <c r="Z103" s="31">
        <f aca="true" t="shared" si="9" ref="Z103:AA109">+Z10+Z55</f>
        <v>249908.7</v>
      </c>
      <c r="AA103" s="31">
        <f t="shared" si="9"/>
        <v>6875</v>
      </c>
      <c r="AB103" s="31">
        <f aca="true" t="shared" si="10" ref="AB103:AB112">SUM(B103:AA103)</f>
        <v>2323036.88</v>
      </c>
    </row>
    <row r="104" spans="1:28" ht="12.75">
      <c r="A104" s="36" t="s">
        <v>24</v>
      </c>
      <c r="B104" s="10"/>
      <c r="C104" s="10"/>
      <c r="D104" s="10"/>
      <c r="E104" s="31">
        <f t="shared" si="6"/>
        <v>0</v>
      </c>
      <c r="F104" s="31">
        <f t="shared" si="6"/>
        <v>0</v>
      </c>
      <c r="G104" s="31">
        <f t="shared" si="6"/>
        <v>0</v>
      </c>
      <c r="H104" s="31">
        <f t="shared" si="6"/>
        <v>320330.63</v>
      </c>
      <c r="I104" s="31"/>
      <c r="J104" s="31">
        <f aca="true" t="shared" si="11" ref="J104:R104">+J11+J56</f>
        <v>375655</v>
      </c>
      <c r="K104" s="31">
        <f t="shared" si="11"/>
        <v>556322.38</v>
      </c>
      <c r="L104" s="31">
        <f t="shared" si="11"/>
        <v>19110.530000000002</v>
      </c>
      <c r="M104" s="31">
        <f t="shared" si="11"/>
        <v>21267.480000000003</v>
      </c>
      <c r="N104" s="31">
        <f t="shared" si="11"/>
        <v>148866.99</v>
      </c>
      <c r="O104" s="31">
        <f t="shared" si="11"/>
        <v>34929.3</v>
      </c>
      <c r="P104" s="31">
        <f t="shared" si="11"/>
        <v>18213.38</v>
      </c>
      <c r="Q104" s="31">
        <f t="shared" si="11"/>
        <v>78657.4</v>
      </c>
      <c r="R104" s="31">
        <f t="shared" si="11"/>
        <v>34137.29</v>
      </c>
      <c r="S104" s="31"/>
      <c r="T104" s="31">
        <f t="shared" si="8"/>
        <v>115782.95999999999</v>
      </c>
      <c r="U104" s="31">
        <f t="shared" si="8"/>
        <v>66758.54000000001</v>
      </c>
      <c r="V104" s="31">
        <f t="shared" si="8"/>
        <v>33872.5</v>
      </c>
      <c r="W104" s="31">
        <f t="shared" si="8"/>
        <v>42571.259999999995</v>
      </c>
      <c r="X104" s="31">
        <f t="shared" si="8"/>
        <v>12346.8</v>
      </c>
      <c r="Y104" s="31">
        <f t="shared" si="8"/>
        <v>188443.76</v>
      </c>
      <c r="Z104" s="31">
        <f t="shared" si="9"/>
        <v>249908.69999999998</v>
      </c>
      <c r="AA104" s="31">
        <f t="shared" si="9"/>
        <v>6875</v>
      </c>
      <c r="AB104" s="31">
        <f t="shared" si="10"/>
        <v>2324049.9</v>
      </c>
    </row>
    <row r="105" spans="1:28" ht="12.75">
      <c r="A105" s="36" t="s">
        <v>25</v>
      </c>
      <c r="B105" s="10"/>
      <c r="C105" s="10"/>
      <c r="D105" s="10"/>
      <c r="E105" s="31">
        <f t="shared" si="6"/>
        <v>0</v>
      </c>
      <c r="F105" s="31">
        <f t="shared" si="6"/>
        <v>0</v>
      </c>
      <c r="G105" s="31">
        <f t="shared" si="6"/>
        <v>0</v>
      </c>
      <c r="H105" s="31">
        <f t="shared" si="6"/>
        <v>321015.01</v>
      </c>
      <c r="I105" s="31"/>
      <c r="J105" s="31">
        <f aca="true" t="shared" si="12" ref="J105:R105">+J12+J57</f>
        <v>376080</v>
      </c>
      <c r="K105" s="31">
        <f t="shared" si="12"/>
        <v>555368.97</v>
      </c>
      <c r="L105" s="31">
        <f t="shared" si="12"/>
        <v>19068.82</v>
      </c>
      <c r="M105" s="31">
        <f t="shared" si="12"/>
        <v>21230.16</v>
      </c>
      <c r="N105" s="31">
        <f t="shared" si="12"/>
        <v>148578.75</v>
      </c>
      <c r="O105" s="31">
        <f t="shared" si="12"/>
        <v>34869.06</v>
      </c>
      <c r="P105" s="31">
        <f t="shared" si="12"/>
        <v>18173.71</v>
      </c>
      <c r="Q105" s="31">
        <f t="shared" si="12"/>
        <v>78519.46</v>
      </c>
      <c r="R105" s="31">
        <f t="shared" si="12"/>
        <v>34077.979999999996</v>
      </c>
      <c r="S105" s="31"/>
      <c r="T105" s="31">
        <f t="shared" si="8"/>
        <v>115535.60999999999</v>
      </c>
      <c r="U105" s="31">
        <f t="shared" si="8"/>
        <v>66645.7</v>
      </c>
      <c r="V105" s="31">
        <f t="shared" si="8"/>
        <v>33974.38</v>
      </c>
      <c r="W105" s="31">
        <f t="shared" si="8"/>
        <v>42569.38</v>
      </c>
      <c r="X105" s="31">
        <f t="shared" si="8"/>
        <v>8430.339999999998</v>
      </c>
      <c r="Y105" s="31">
        <f t="shared" si="8"/>
        <v>185818.76</v>
      </c>
      <c r="Z105" s="31">
        <f t="shared" si="9"/>
        <v>249908.7</v>
      </c>
      <c r="AA105" s="31">
        <f t="shared" si="9"/>
        <v>6875</v>
      </c>
      <c r="AB105" s="31">
        <f t="shared" si="10"/>
        <v>2316739.7899999996</v>
      </c>
    </row>
    <row r="106" spans="1:28" ht="12.75">
      <c r="A106" s="36" t="s">
        <v>26</v>
      </c>
      <c r="B106" s="31"/>
      <c r="C106" s="31"/>
      <c r="D106" s="31"/>
      <c r="E106" s="31">
        <f t="shared" si="6"/>
        <v>0</v>
      </c>
      <c r="F106" s="31">
        <f t="shared" si="6"/>
        <v>0</v>
      </c>
      <c r="G106" s="31">
        <f t="shared" si="6"/>
        <v>0</v>
      </c>
      <c r="H106" s="31">
        <f t="shared" si="6"/>
        <v>321575.63</v>
      </c>
      <c r="I106" s="31"/>
      <c r="J106" s="31">
        <f aca="true" t="shared" si="13" ref="J106:R106">+J13+J58</f>
        <v>375885</v>
      </c>
      <c r="K106" s="31">
        <f t="shared" si="13"/>
        <v>554408.4</v>
      </c>
      <c r="L106" s="31">
        <f t="shared" si="13"/>
        <v>19026.700000000004</v>
      </c>
      <c r="M106" s="31">
        <f t="shared" si="13"/>
        <v>21192.46</v>
      </c>
      <c r="N106" s="31">
        <f t="shared" si="13"/>
        <v>148285.43</v>
      </c>
      <c r="O106" s="31">
        <f t="shared" si="13"/>
        <v>34808.23</v>
      </c>
      <c r="P106" s="31">
        <f t="shared" si="13"/>
        <v>18133.75</v>
      </c>
      <c r="Q106" s="31">
        <f t="shared" si="13"/>
        <v>78380.48</v>
      </c>
      <c r="R106" s="31">
        <f t="shared" si="13"/>
        <v>34018.21</v>
      </c>
      <c r="S106" s="31"/>
      <c r="T106" s="31">
        <f t="shared" si="8"/>
        <v>115286.41</v>
      </c>
      <c r="U106" s="31">
        <f t="shared" si="8"/>
        <v>66532.01</v>
      </c>
      <c r="V106" s="31">
        <f t="shared" si="8"/>
        <v>34060.009999999995</v>
      </c>
      <c r="W106" s="31">
        <f t="shared" si="8"/>
        <v>42553.75</v>
      </c>
      <c r="X106" s="31">
        <f t="shared" si="8"/>
        <v>0</v>
      </c>
      <c r="Y106" s="31">
        <f t="shared" si="8"/>
        <v>188193.76</v>
      </c>
      <c r="Z106" s="31">
        <f t="shared" si="9"/>
        <v>249908.69999999998</v>
      </c>
      <c r="AA106" s="31">
        <f t="shared" si="9"/>
        <v>3437</v>
      </c>
      <c r="AB106" s="31">
        <f t="shared" si="10"/>
        <v>2305685.9299999997</v>
      </c>
    </row>
    <row r="107" spans="1:28" ht="12.75">
      <c r="A107" s="36" t="s">
        <v>27</v>
      </c>
      <c r="B107" s="31"/>
      <c r="C107" s="31"/>
      <c r="D107" s="31"/>
      <c r="E107" s="31">
        <f t="shared" si="6"/>
        <v>0</v>
      </c>
      <c r="F107" s="31">
        <f t="shared" si="6"/>
        <v>0</v>
      </c>
      <c r="G107" s="31">
        <f t="shared" si="6"/>
        <v>0</v>
      </c>
      <c r="H107" s="31">
        <f t="shared" si="6"/>
        <v>322012.5</v>
      </c>
      <c r="I107" s="31"/>
      <c r="J107" s="31">
        <f aca="true" t="shared" si="14" ref="J107:R107">+J14+J59</f>
        <v>375580</v>
      </c>
      <c r="K107" s="31">
        <f t="shared" si="14"/>
        <v>553440.62</v>
      </c>
      <c r="L107" s="31">
        <f t="shared" si="14"/>
        <v>18984.15</v>
      </c>
      <c r="M107" s="31">
        <f t="shared" si="14"/>
        <v>21154.44</v>
      </c>
      <c r="N107" s="31">
        <f t="shared" si="14"/>
        <v>147986.95</v>
      </c>
      <c r="O107" s="31">
        <f t="shared" si="14"/>
        <v>34746.78</v>
      </c>
      <c r="P107" s="31">
        <f t="shared" si="14"/>
        <v>18096.49</v>
      </c>
      <c r="Q107" s="31">
        <f t="shared" si="14"/>
        <v>78240.46</v>
      </c>
      <c r="R107" s="31">
        <f t="shared" si="14"/>
        <v>33958</v>
      </c>
      <c r="S107" s="31"/>
      <c r="T107" s="31">
        <f t="shared" si="8"/>
        <v>115035.33999999998</v>
      </c>
      <c r="U107" s="31">
        <f t="shared" si="8"/>
        <v>66417.46</v>
      </c>
      <c r="V107" s="31">
        <f t="shared" si="8"/>
        <v>34129.38</v>
      </c>
      <c r="W107" s="31">
        <f t="shared" si="8"/>
        <v>42524.38</v>
      </c>
      <c r="X107" s="31">
        <f t="shared" si="8"/>
        <v>0</v>
      </c>
      <c r="Y107" s="31">
        <f t="shared" si="8"/>
        <v>185443.76</v>
      </c>
      <c r="Z107" s="31">
        <f t="shared" si="9"/>
        <v>249908.69999999998</v>
      </c>
      <c r="AA107" s="31">
        <f>+AA14+AA59</f>
        <v>0</v>
      </c>
      <c r="AB107" s="31">
        <f t="shared" si="10"/>
        <v>2297659.4099999997</v>
      </c>
    </row>
    <row r="108" spans="1:28" ht="12.75">
      <c r="A108" s="36" t="s">
        <v>28</v>
      </c>
      <c r="B108" s="31"/>
      <c r="C108" s="31"/>
      <c r="D108" s="31"/>
      <c r="E108" s="31">
        <f t="shared" si="6"/>
        <v>0</v>
      </c>
      <c r="F108" s="31">
        <f t="shared" si="6"/>
        <v>0</v>
      </c>
      <c r="G108" s="31">
        <f t="shared" si="6"/>
        <v>0</v>
      </c>
      <c r="H108" s="31">
        <f t="shared" si="6"/>
        <v>322818.75</v>
      </c>
      <c r="I108" s="31"/>
      <c r="J108" s="31">
        <f aca="true" t="shared" si="15" ref="J108:R108">+J15+J60</f>
        <v>375660</v>
      </c>
      <c r="K108" s="31">
        <f t="shared" si="15"/>
        <v>552465.56</v>
      </c>
      <c r="L108" s="31">
        <f t="shared" si="15"/>
        <v>18941.19</v>
      </c>
      <c r="M108" s="31">
        <f t="shared" si="15"/>
        <v>21115.93</v>
      </c>
      <c r="N108" s="31">
        <f t="shared" si="15"/>
        <v>147683.23</v>
      </c>
      <c r="O108" s="31">
        <f t="shared" si="15"/>
        <v>34684.73</v>
      </c>
      <c r="P108" s="31">
        <f t="shared" si="15"/>
        <v>18052.92</v>
      </c>
      <c r="Q108" s="31">
        <f t="shared" si="15"/>
        <v>78099.38</v>
      </c>
      <c r="R108" s="31">
        <f t="shared" si="15"/>
        <v>33897.14</v>
      </c>
      <c r="S108" s="31"/>
      <c r="T108" s="31">
        <f t="shared" si="8"/>
        <v>114782.37999999999</v>
      </c>
      <c r="U108" s="31">
        <f t="shared" si="8"/>
        <v>66302.06</v>
      </c>
      <c r="V108" s="31">
        <f t="shared" si="8"/>
        <v>34182.5</v>
      </c>
      <c r="W108" s="31">
        <f t="shared" si="8"/>
        <v>42481.259999999995</v>
      </c>
      <c r="X108" s="31">
        <f t="shared" si="8"/>
        <v>0</v>
      </c>
      <c r="Y108" s="31">
        <f t="shared" si="8"/>
        <v>187693.76</v>
      </c>
      <c r="Z108" s="31">
        <f t="shared" si="9"/>
        <v>249908.7</v>
      </c>
      <c r="AA108" s="31">
        <f>+AA15+AA60</f>
        <v>0</v>
      </c>
      <c r="AB108" s="31">
        <f t="shared" si="10"/>
        <v>2298769.4899999998</v>
      </c>
    </row>
    <row r="109" spans="1:28" ht="12.75">
      <c r="A109" s="36" t="s">
        <v>29</v>
      </c>
      <c r="B109" s="31"/>
      <c r="C109" s="31"/>
      <c r="D109" s="31"/>
      <c r="E109" s="31">
        <f t="shared" si="6"/>
        <v>0</v>
      </c>
      <c r="F109" s="31">
        <f t="shared" si="6"/>
        <v>0</v>
      </c>
      <c r="G109" s="31">
        <f t="shared" si="6"/>
        <v>0</v>
      </c>
      <c r="H109" s="31">
        <f t="shared" si="6"/>
        <v>323487.5</v>
      </c>
      <c r="I109" s="31"/>
      <c r="J109" s="31">
        <f aca="true" t="shared" si="16" ref="J109:R109">+J16+J61</f>
        <v>375615</v>
      </c>
      <c r="K109" s="31">
        <f t="shared" si="16"/>
        <v>551483.1799999999</v>
      </c>
      <c r="L109" s="31">
        <f t="shared" si="16"/>
        <v>18897.78</v>
      </c>
      <c r="M109" s="31">
        <f t="shared" si="16"/>
        <v>21077.08</v>
      </c>
      <c r="N109" s="31">
        <f t="shared" si="16"/>
        <v>147374.18</v>
      </c>
      <c r="O109" s="31">
        <f t="shared" si="16"/>
        <v>34622.05</v>
      </c>
      <c r="P109" s="31">
        <f t="shared" si="16"/>
        <v>18012.05</v>
      </c>
      <c r="Q109" s="31">
        <f t="shared" si="16"/>
        <v>77957.25</v>
      </c>
      <c r="R109" s="31">
        <f t="shared" si="16"/>
        <v>33836.22</v>
      </c>
      <c r="S109" s="31"/>
      <c r="T109" s="31">
        <f t="shared" si="8"/>
        <v>114527.53</v>
      </c>
      <c r="U109" s="31">
        <f t="shared" si="8"/>
        <v>66185.78</v>
      </c>
      <c r="V109" s="31">
        <f t="shared" si="8"/>
        <v>34219.38</v>
      </c>
      <c r="W109" s="31">
        <f t="shared" si="8"/>
        <v>42424.38</v>
      </c>
      <c r="X109" s="31">
        <f t="shared" si="8"/>
        <v>0</v>
      </c>
      <c r="Y109" s="31">
        <f t="shared" si="8"/>
        <v>184818.76</v>
      </c>
      <c r="Z109" s="31">
        <f t="shared" si="9"/>
        <v>0</v>
      </c>
      <c r="AA109" s="31"/>
      <c r="AB109" s="31">
        <f t="shared" si="10"/>
        <v>2044538.1199999999</v>
      </c>
    </row>
    <row r="110" spans="1:28" ht="12.75">
      <c r="A110" s="36" t="s">
        <v>30</v>
      </c>
      <c r="B110" s="31"/>
      <c r="C110" s="31"/>
      <c r="D110" s="31"/>
      <c r="E110" s="31">
        <f t="shared" si="6"/>
        <v>0</v>
      </c>
      <c r="F110" s="31">
        <f t="shared" si="6"/>
        <v>0</v>
      </c>
      <c r="G110" s="31">
        <f t="shared" si="6"/>
        <v>0</v>
      </c>
      <c r="H110" s="31">
        <f t="shared" si="6"/>
        <v>324018.75</v>
      </c>
      <c r="I110" s="31"/>
      <c r="J110" s="31">
        <f aca="true" t="shared" si="17" ref="J110:R110">+J17+J62</f>
        <v>375445</v>
      </c>
      <c r="K110" s="31">
        <f t="shared" si="17"/>
        <v>550493.4099999999</v>
      </c>
      <c r="L110" s="31">
        <f t="shared" si="17"/>
        <v>18853.982</v>
      </c>
      <c r="M110" s="31">
        <f t="shared" si="17"/>
        <v>21037.859999999997</v>
      </c>
      <c r="N110" s="31">
        <f t="shared" si="17"/>
        <v>147059.69</v>
      </c>
      <c r="O110" s="31">
        <f t="shared" si="17"/>
        <v>34558.73</v>
      </c>
      <c r="P110" s="31">
        <f t="shared" si="17"/>
        <v>17970.87</v>
      </c>
      <c r="Q110" s="31">
        <f t="shared" si="17"/>
        <v>77814.05</v>
      </c>
      <c r="R110" s="31">
        <f t="shared" si="17"/>
        <v>33774.64</v>
      </c>
      <c r="S110" s="31"/>
      <c r="T110" s="31">
        <f t="shared" si="8"/>
        <v>114270.75</v>
      </c>
      <c r="U110" s="31">
        <f t="shared" si="8"/>
        <v>66068.63</v>
      </c>
      <c r="V110" s="31">
        <f t="shared" si="8"/>
        <v>34240.009999999995</v>
      </c>
      <c r="W110" s="31">
        <f t="shared" si="8"/>
        <v>42353.75</v>
      </c>
      <c r="X110" s="31">
        <f t="shared" si="8"/>
        <v>0</v>
      </c>
      <c r="Y110" s="31">
        <f t="shared" si="8"/>
        <v>186943.76</v>
      </c>
      <c r="Z110" s="31"/>
      <c r="AA110" s="31"/>
      <c r="AB110" s="31">
        <f t="shared" si="10"/>
        <v>2044903.8820000002</v>
      </c>
    </row>
    <row r="111" spans="1:28" ht="12.75">
      <c r="A111" s="36" t="s">
        <v>31</v>
      </c>
      <c r="B111" s="31"/>
      <c r="C111" s="31"/>
      <c r="D111" s="31"/>
      <c r="E111" s="31">
        <f t="shared" si="6"/>
        <v>0</v>
      </c>
      <c r="F111" s="31">
        <f t="shared" si="6"/>
        <v>0</v>
      </c>
      <c r="G111" s="31">
        <f t="shared" si="6"/>
        <v>0</v>
      </c>
      <c r="H111" s="31">
        <f t="shared" si="6"/>
        <v>325905.63</v>
      </c>
      <c r="I111" s="31"/>
      <c r="J111" s="31">
        <f aca="true" t="shared" si="18" ref="J111:R111">+J18+J63</f>
        <v>375650</v>
      </c>
      <c r="K111" s="31">
        <f t="shared" si="18"/>
        <v>549496.21</v>
      </c>
      <c r="L111" s="31">
        <f t="shared" si="18"/>
        <v>18809.67</v>
      </c>
      <c r="M111" s="31">
        <f t="shared" si="18"/>
        <v>20998.23</v>
      </c>
      <c r="N111" s="31">
        <f t="shared" si="18"/>
        <v>146739.68</v>
      </c>
      <c r="O111" s="31">
        <f t="shared" si="18"/>
        <v>34494.79</v>
      </c>
      <c r="P111" s="31">
        <f t="shared" si="18"/>
        <v>17929.39</v>
      </c>
      <c r="Q111" s="31">
        <f t="shared" si="18"/>
        <v>77669.76999999999</v>
      </c>
      <c r="R111" s="31">
        <f t="shared" si="18"/>
        <v>33712.6</v>
      </c>
      <c r="S111" s="31"/>
      <c r="T111" s="31">
        <f t="shared" si="8"/>
        <v>114012.04999999999</v>
      </c>
      <c r="U111" s="31">
        <f t="shared" si="8"/>
        <v>65950.59999999999</v>
      </c>
      <c r="V111" s="31">
        <f t="shared" si="8"/>
        <v>34244.38</v>
      </c>
      <c r="W111" s="31">
        <f t="shared" si="8"/>
        <v>42269.38</v>
      </c>
      <c r="X111" s="31">
        <f t="shared" si="8"/>
        <v>0</v>
      </c>
      <c r="Y111" s="31">
        <f t="shared" si="8"/>
        <v>183943.76</v>
      </c>
      <c r="Z111" s="31"/>
      <c r="AA111" s="31"/>
      <c r="AB111" s="31">
        <f t="shared" si="10"/>
        <v>2041826.1399999997</v>
      </c>
    </row>
    <row r="112" spans="1:28" ht="12.75">
      <c r="A112" s="36" t="s">
        <v>32</v>
      </c>
      <c r="B112" s="31"/>
      <c r="C112" s="31"/>
      <c r="D112" s="31"/>
      <c r="E112" s="31">
        <f t="shared" si="6"/>
        <v>0</v>
      </c>
      <c r="F112" s="31">
        <f t="shared" si="6"/>
        <v>0</v>
      </c>
      <c r="G112" s="31">
        <f t="shared" si="6"/>
        <v>0</v>
      </c>
      <c r="H112" s="31">
        <f t="shared" si="6"/>
        <v>325641.26</v>
      </c>
      <c r="I112" s="31"/>
      <c r="J112" s="31">
        <f aca="true" t="shared" si="19" ref="J112:R112">+J19+J64</f>
        <v>375225</v>
      </c>
      <c r="K112" s="31">
        <f t="shared" si="19"/>
        <v>548491.51</v>
      </c>
      <c r="L112" s="31">
        <f t="shared" si="19"/>
        <v>18764.494</v>
      </c>
      <c r="M112" s="31">
        <f t="shared" si="19"/>
        <v>20958.21</v>
      </c>
      <c r="N112" s="31">
        <f t="shared" si="19"/>
        <v>146414.04</v>
      </c>
      <c r="O112" s="31">
        <f t="shared" si="19"/>
        <v>34430.19</v>
      </c>
      <c r="P112" s="31">
        <f t="shared" si="19"/>
        <v>17887.589999999997</v>
      </c>
      <c r="Q112" s="31">
        <f t="shared" si="19"/>
        <v>77524.40999999999</v>
      </c>
      <c r="R112" s="31">
        <f t="shared" si="19"/>
        <v>33650.1</v>
      </c>
      <c r="S112" s="31"/>
      <c r="T112" s="31">
        <f t="shared" si="8"/>
        <v>113751.40000000001</v>
      </c>
      <c r="U112" s="31">
        <f t="shared" si="8"/>
        <v>65831.68</v>
      </c>
      <c r="V112" s="31">
        <f t="shared" si="8"/>
        <v>34232.5</v>
      </c>
      <c r="W112" s="31">
        <f t="shared" si="8"/>
        <v>42664.38</v>
      </c>
      <c r="X112" s="31">
        <f t="shared" si="8"/>
        <v>0</v>
      </c>
      <c r="Y112" s="31">
        <f t="shared" si="8"/>
        <v>185793.76</v>
      </c>
      <c r="Z112" s="31"/>
      <c r="AA112" s="31"/>
      <c r="AB112" s="31">
        <f t="shared" si="10"/>
        <v>2041260.5239999997</v>
      </c>
    </row>
    <row r="113" spans="1:28" ht="12.75">
      <c r="A113" s="36" t="s">
        <v>33</v>
      </c>
      <c r="B113" s="31"/>
      <c r="C113" s="31"/>
      <c r="D113" s="31"/>
      <c r="E113" s="31">
        <f t="shared" si="6"/>
        <v>0</v>
      </c>
      <c r="F113" s="31">
        <f t="shared" si="6"/>
        <v>0</v>
      </c>
      <c r="G113" s="31">
        <f t="shared" si="6"/>
        <v>0</v>
      </c>
      <c r="H113" s="31">
        <f t="shared" si="6"/>
        <v>326718.76</v>
      </c>
      <c r="I113" s="31"/>
      <c r="J113" s="31">
        <f aca="true" t="shared" si="20" ref="J113:R113">+J20+J65</f>
        <v>375165</v>
      </c>
      <c r="K113" s="31">
        <f t="shared" si="20"/>
        <v>547479.27</v>
      </c>
      <c r="L113" s="31">
        <f t="shared" si="20"/>
        <v>18719.78</v>
      </c>
      <c r="M113" s="31">
        <f t="shared" si="20"/>
        <v>20917.79</v>
      </c>
      <c r="N113" s="31">
        <f t="shared" si="20"/>
        <v>146082.66999999998</v>
      </c>
      <c r="O113" s="31">
        <f t="shared" si="20"/>
        <v>34364.97</v>
      </c>
      <c r="P113" s="31">
        <f t="shared" si="20"/>
        <v>17845.47</v>
      </c>
      <c r="Q113" s="31">
        <f t="shared" si="20"/>
        <v>77377.95</v>
      </c>
      <c r="R113" s="31">
        <f t="shared" si="20"/>
        <v>33587.02</v>
      </c>
      <c r="S113" s="31"/>
      <c r="T113" s="31">
        <f t="shared" si="8"/>
        <v>113488.8</v>
      </c>
      <c r="U113" s="31">
        <f t="shared" si="8"/>
        <v>65711.88</v>
      </c>
      <c r="V113" s="31">
        <f t="shared" si="8"/>
        <v>34204.38</v>
      </c>
      <c r="W113" s="31">
        <f t="shared" si="8"/>
        <v>42538.75</v>
      </c>
      <c r="X113" s="31">
        <f t="shared" si="8"/>
        <v>0</v>
      </c>
      <c r="Y113" s="31">
        <f t="shared" si="8"/>
        <v>187356.26</v>
      </c>
      <c r="Z113" s="31"/>
      <c r="AA113" s="31"/>
      <c r="AB113" s="31">
        <f aca="true" t="shared" si="21" ref="AB113:AB143">SUM(B113:Z113)</f>
        <v>2041558.7499999998</v>
      </c>
    </row>
    <row r="114" spans="1:28" ht="12.75">
      <c r="A114" s="36" t="s">
        <v>34</v>
      </c>
      <c r="B114" s="31"/>
      <c r="C114" s="31"/>
      <c r="D114" s="31"/>
      <c r="E114" s="31">
        <f t="shared" si="6"/>
        <v>0</v>
      </c>
      <c r="F114" s="31">
        <f t="shared" si="6"/>
        <v>0</v>
      </c>
      <c r="G114" s="31">
        <f t="shared" si="6"/>
        <v>0</v>
      </c>
      <c r="H114" s="31">
        <f t="shared" si="6"/>
        <v>327138.13</v>
      </c>
      <c r="I114" s="31"/>
      <c r="J114" s="31">
        <f aca="true" t="shared" si="22" ref="J114:R114">+J21+J66</f>
        <v>375460</v>
      </c>
      <c r="K114" s="31">
        <f t="shared" si="22"/>
        <v>546459.42</v>
      </c>
      <c r="L114" s="31">
        <f t="shared" si="22"/>
        <v>18674.160000000003</v>
      </c>
      <c r="M114" s="31">
        <f t="shared" si="22"/>
        <v>20876.960000000003</v>
      </c>
      <c r="N114" s="31">
        <f t="shared" si="22"/>
        <v>145745.47999999998</v>
      </c>
      <c r="O114" s="31">
        <f t="shared" si="22"/>
        <v>34299.08</v>
      </c>
      <c r="P114" s="31">
        <f t="shared" si="22"/>
        <v>17803.04</v>
      </c>
      <c r="Q114" s="31">
        <f t="shared" si="22"/>
        <v>77230.40000000001</v>
      </c>
      <c r="R114" s="31">
        <f t="shared" si="22"/>
        <v>33523.67</v>
      </c>
      <c r="S114" s="31"/>
      <c r="T114" s="31">
        <f t="shared" si="8"/>
        <v>113224.21</v>
      </c>
      <c r="U114" s="31">
        <f t="shared" si="8"/>
        <v>65591.17</v>
      </c>
      <c r="V114" s="31">
        <f t="shared" si="8"/>
        <v>34160.009999999995</v>
      </c>
      <c r="W114" s="31">
        <f t="shared" si="8"/>
        <v>42399.38</v>
      </c>
      <c r="X114" s="31">
        <f t="shared" si="8"/>
        <v>0</v>
      </c>
      <c r="Y114" s="31">
        <f t="shared" si="8"/>
        <v>183781.26</v>
      </c>
      <c r="Z114" s="31"/>
      <c r="AA114" s="31"/>
      <c r="AB114" s="31">
        <f t="shared" si="21"/>
        <v>2036366.3699999996</v>
      </c>
    </row>
    <row r="115" spans="1:28" ht="12.75">
      <c r="A115" s="36" t="s">
        <v>35</v>
      </c>
      <c r="B115" s="31"/>
      <c r="C115" s="31"/>
      <c r="D115" s="31"/>
      <c r="E115" s="31">
        <f t="shared" si="6"/>
        <v>0</v>
      </c>
      <c r="F115" s="31">
        <f t="shared" si="6"/>
        <v>0</v>
      </c>
      <c r="G115" s="31">
        <f t="shared" si="6"/>
        <v>0</v>
      </c>
      <c r="H115" s="31">
        <f t="shared" si="6"/>
        <v>328392.5</v>
      </c>
      <c r="I115" s="31"/>
      <c r="J115" s="31">
        <f aca="true" t="shared" si="23" ref="J115:R115">+J22+J67</f>
        <v>375110</v>
      </c>
      <c r="K115" s="31">
        <f t="shared" si="23"/>
        <v>545431.9</v>
      </c>
      <c r="L115" s="31">
        <f t="shared" si="23"/>
        <v>9319.83</v>
      </c>
      <c r="M115" s="31">
        <f t="shared" si="23"/>
        <v>10423.039999999999</v>
      </c>
      <c r="N115" s="31">
        <f t="shared" si="23"/>
        <v>145402.36999999997</v>
      </c>
      <c r="O115" s="31">
        <f t="shared" si="23"/>
        <v>34232.53</v>
      </c>
      <c r="P115" s="31">
        <f t="shared" si="23"/>
        <v>17760.29</v>
      </c>
      <c r="Q115" s="31">
        <f t="shared" si="23"/>
        <v>77081.74</v>
      </c>
      <c r="R115" s="31">
        <f t="shared" si="23"/>
        <v>33459.74</v>
      </c>
      <c r="S115" s="31"/>
      <c r="T115" s="31">
        <f t="shared" si="8"/>
        <v>112957.65000000001</v>
      </c>
      <c r="U115" s="31">
        <f t="shared" si="8"/>
        <v>65469.56</v>
      </c>
      <c r="V115" s="31">
        <f t="shared" si="8"/>
        <v>34099.38</v>
      </c>
      <c r="W115" s="31">
        <f t="shared" si="8"/>
        <v>42246.259999999995</v>
      </c>
      <c r="X115" s="31">
        <f t="shared" si="8"/>
        <v>0</v>
      </c>
      <c r="Y115" s="31">
        <f t="shared" si="8"/>
        <v>185043.76</v>
      </c>
      <c r="Z115" s="31"/>
      <c r="AA115" s="31"/>
      <c r="AB115" s="31">
        <f t="shared" si="21"/>
        <v>2016430.5499999998</v>
      </c>
    </row>
    <row r="116" spans="1:28" ht="12.75">
      <c r="A116" s="36" t="s">
        <v>36</v>
      </c>
      <c r="B116" s="31"/>
      <c r="C116" s="31"/>
      <c r="D116" s="31"/>
      <c r="E116" s="31">
        <f t="shared" si="6"/>
        <v>0</v>
      </c>
      <c r="F116" s="31">
        <f t="shared" si="6"/>
        <v>0</v>
      </c>
      <c r="G116" s="31">
        <f t="shared" si="6"/>
        <v>0</v>
      </c>
      <c r="H116" s="31">
        <f t="shared" si="6"/>
        <v>328975</v>
      </c>
      <c r="I116" s="31"/>
      <c r="J116" s="31">
        <f aca="true" t="shared" si="24" ref="J116:R116">+J23+J68</f>
        <v>375115</v>
      </c>
      <c r="K116" s="31">
        <f t="shared" si="24"/>
        <v>544396.66</v>
      </c>
      <c r="L116" s="31">
        <f t="shared" si="24"/>
        <v>0</v>
      </c>
      <c r="M116" s="31">
        <f t="shared" si="24"/>
        <v>0</v>
      </c>
      <c r="N116" s="31">
        <f t="shared" si="24"/>
        <v>145053.21</v>
      </c>
      <c r="O116" s="31">
        <f t="shared" si="24"/>
        <v>34165.31</v>
      </c>
      <c r="P116" s="31">
        <f t="shared" si="24"/>
        <v>17717.23</v>
      </c>
      <c r="Q116" s="31">
        <f t="shared" si="24"/>
        <v>76931.95999999999</v>
      </c>
      <c r="R116" s="31">
        <f t="shared" si="24"/>
        <v>33395.33</v>
      </c>
      <c r="S116" s="31"/>
      <c r="T116" s="31">
        <f t="shared" si="8"/>
        <v>112689.08</v>
      </c>
      <c r="U116" s="31">
        <f t="shared" si="8"/>
        <v>65347.03</v>
      </c>
      <c r="V116" s="31">
        <f t="shared" si="8"/>
        <v>34022.5</v>
      </c>
      <c r="W116" s="31">
        <f t="shared" si="8"/>
        <v>42572.509999999995</v>
      </c>
      <c r="X116" s="31">
        <f t="shared" si="8"/>
        <v>0</v>
      </c>
      <c r="Y116" s="31">
        <f t="shared" si="8"/>
        <v>186162.5</v>
      </c>
      <c r="Z116" s="31"/>
      <c r="AA116" s="31"/>
      <c r="AB116" s="31">
        <f t="shared" si="21"/>
        <v>1996543.3200000003</v>
      </c>
    </row>
    <row r="117" spans="1:28" ht="12.75">
      <c r="A117" s="36" t="s">
        <v>37</v>
      </c>
      <c r="B117" s="31"/>
      <c r="C117" s="31"/>
      <c r="D117" s="31"/>
      <c r="E117" s="31">
        <f t="shared" si="6"/>
        <v>0</v>
      </c>
      <c r="F117" s="31">
        <f t="shared" si="6"/>
        <v>0</v>
      </c>
      <c r="G117" s="31">
        <f t="shared" si="6"/>
        <v>0</v>
      </c>
      <c r="H117" s="31">
        <f t="shared" si="6"/>
        <v>329885.63</v>
      </c>
      <c r="I117" s="31"/>
      <c r="J117" s="31">
        <f aca="true" t="shared" si="25" ref="J117:R117">+J24+J69</f>
        <v>374970</v>
      </c>
      <c r="K117" s="31">
        <f t="shared" si="25"/>
        <v>543353.65</v>
      </c>
      <c r="L117" s="31">
        <f t="shared" si="25"/>
        <v>0</v>
      </c>
      <c r="M117" s="31">
        <f t="shared" si="25"/>
        <v>0</v>
      </c>
      <c r="N117" s="31">
        <f t="shared" si="25"/>
        <v>72393.77</v>
      </c>
      <c r="O117" s="31">
        <f t="shared" si="25"/>
        <v>0</v>
      </c>
      <c r="P117" s="31">
        <f t="shared" si="25"/>
        <v>17673.829999999998</v>
      </c>
      <c r="Q117" s="31">
        <f t="shared" si="25"/>
        <v>76781.05</v>
      </c>
      <c r="R117" s="31">
        <f t="shared" si="25"/>
        <v>33330.439999999995</v>
      </c>
      <c r="S117" s="31"/>
      <c r="T117" s="31">
        <f t="shared" si="8"/>
        <v>112418.48</v>
      </c>
      <c r="U117" s="31">
        <f t="shared" si="8"/>
        <v>65223.58</v>
      </c>
      <c r="V117" s="31">
        <f t="shared" si="8"/>
        <v>33929.380000000005</v>
      </c>
      <c r="W117" s="31">
        <f t="shared" si="8"/>
        <v>42078.13</v>
      </c>
      <c r="X117" s="31">
        <f t="shared" si="8"/>
        <v>0</v>
      </c>
      <c r="Y117" s="31">
        <f t="shared" si="8"/>
        <v>186962.5</v>
      </c>
      <c r="Z117" s="31"/>
      <c r="AA117" s="31"/>
      <c r="AB117" s="31">
        <f t="shared" si="21"/>
        <v>1889000.44</v>
      </c>
    </row>
    <row r="118" spans="1:28" ht="12.75">
      <c r="A118" s="36" t="s">
        <v>38</v>
      </c>
      <c r="B118" s="31"/>
      <c r="C118" s="31"/>
      <c r="D118" s="31"/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331110.63</v>
      </c>
      <c r="I118" s="31"/>
      <c r="J118" s="31">
        <f aca="true" t="shared" si="26" ref="J118:R118">+J25+J70</f>
        <v>375170</v>
      </c>
      <c r="K118" s="31">
        <f t="shared" si="26"/>
        <v>542302.8</v>
      </c>
      <c r="L118" s="31">
        <f t="shared" si="26"/>
        <v>0</v>
      </c>
      <c r="M118" s="31">
        <f t="shared" si="26"/>
        <v>0</v>
      </c>
      <c r="N118" s="31">
        <f t="shared" si="26"/>
        <v>0</v>
      </c>
      <c r="O118" s="31">
        <f t="shared" si="26"/>
        <v>0</v>
      </c>
      <c r="P118" s="31">
        <f t="shared" si="26"/>
        <v>8820.539999999999</v>
      </c>
      <c r="Q118" s="31">
        <f t="shared" si="26"/>
        <v>38333.58</v>
      </c>
      <c r="R118" s="31">
        <f t="shared" si="26"/>
        <v>33265.07000000001</v>
      </c>
      <c r="S118" s="31"/>
      <c r="T118" s="31">
        <f t="shared" si="8"/>
        <v>112145.87</v>
      </c>
      <c r="U118" s="31">
        <f t="shared" si="8"/>
        <v>65099.21</v>
      </c>
      <c r="V118" s="31">
        <f t="shared" si="8"/>
        <v>34311.880000000005</v>
      </c>
      <c r="W118" s="31">
        <f t="shared" si="8"/>
        <v>42170</v>
      </c>
      <c r="X118" s="31">
        <f t="shared" si="8"/>
        <v>0</v>
      </c>
      <c r="Y118" s="31">
        <f t="shared" si="8"/>
        <v>187612.5</v>
      </c>
      <c r="Z118" s="31"/>
      <c r="AA118" s="31"/>
      <c r="AB118" s="31">
        <f t="shared" si="21"/>
        <v>1770342.08</v>
      </c>
    </row>
    <row r="119" spans="1:28" ht="12.75">
      <c r="A119" s="36" t="s">
        <v>39</v>
      </c>
      <c r="B119" s="31"/>
      <c r="C119" s="31"/>
      <c r="D119" s="31"/>
      <c r="E119" s="31">
        <f t="shared" si="6"/>
        <v>0</v>
      </c>
      <c r="F119" s="31">
        <f t="shared" si="6"/>
        <v>0</v>
      </c>
      <c r="G119" s="31">
        <f t="shared" si="6"/>
        <v>0</v>
      </c>
      <c r="H119" s="31">
        <f t="shared" si="6"/>
        <v>332143.13</v>
      </c>
      <c r="I119" s="31"/>
      <c r="J119" s="31">
        <f aca="true" t="shared" si="27" ref="J119:R119">+J26+J71</f>
        <v>374710</v>
      </c>
      <c r="K119" s="31">
        <f t="shared" si="27"/>
        <v>541244.06</v>
      </c>
      <c r="L119" s="31">
        <f t="shared" si="27"/>
        <v>0</v>
      </c>
      <c r="M119" s="31">
        <f t="shared" si="27"/>
        <v>0</v>
      </c>
      <c r="N119" s="31">
        <f t="shared" si="27"/>
        <v>0</v>
      </c>
      <c r="O119" s="31">
        <f t="shared" si="27"/>
        <v>0</v>
      </c>
      <c r="P119" s="31">
        <f t="shared" si="27"/>
        <v>0</v>
      </c>
      <c r="Q119" s="31">
        <f t="shared" si="27"/>
        <v>0</v>
      </c>
      <c r="R119" s="31">
        <f t="shared" si="27"/>
        <v>16607.86</v>
      </c>
      <c r="S119" s="31"/>
      <c r="T119" s="31">
        <f t="shared" si="8"/>
        <v>111871.2</v>
      </c>
      <c r="U119" s="31">
        <f t="shared" si="8"/>
        <v>64973.89</v>
      </c>
      <c r="V119" s="31">
        <f t="shared" si="8"/>
        <v>34170</v>
      </c>
      <c r="W119" s="31">
        <f t="shared" si="8"/>
        <v>42441.25</v>
      </c>
      <c r="X119" s="31">
        <f t="shared" si="8"/>
        <v>0</v>
      </c>
      <c r="Y119" s="31">
        <f t="shared" si="8"/>
        <v>188112.5</v>
      </c>
      <c r="Z119" s="31"/>
      <c r="AA119" s="31"/>
      <c r="AB119" s="31">
        <f t="shared" si="21"/>
        <v>1706273.89</v>
      </c>
    </row>
    <row r="120" spans="1:28" ht="12.75">
      <c r="A120" s="36" t="s">
        <v>40</v>
      </c>
      <c r="B120" s="31"/>
      <c r="C120" s="31"/>
      <c r="D120" s="31"/>
      <c r="E120" s="31">
        <f t="shared" si="6"/>
        <v>0</v>
      </c>
      <c r="F120" s="31">
        <f t="shared" si="6"/>
        <v>0</v>
      </c>
      <c r="G120" s="31">
        <f t="shared" si="6"/>
        <v>0</v>
      </c>
      <c r="H120" s="31">
        <f t="shared" si="6"/>
        <v>332983.13</v>
      </c>
      <c r="I120" s="31"/>
      <c r="J120" s="31">
        <f aca="true" t="shared" si="28" ref="J120:R120">+J27+J72</f>
        <v>374590</v>
      </c>
      <c r="K120" s="31">
        <f t="shared" si="28"/>
        <v>540177.3500000001</v>
      </c>
      <c r="L120" s="31">
        <f t="shared" si="28"/>
        <v>0</v>
      </c>
      <c r="M120" s="31">
        <f t="shared" si="28"/>
        <v>0</v>
      </c>
      <c r="N120" s="31">
        <f t="shared" si="28"/>
        <v>0</v>
      </c>
      <c r="O120" s="31">
        <f t="shared" si="28"/>
        <v>0</v>
      </c>
      <c r="P120" s="31">
        <f t="shared" si="28"/>
        <v>0</v>
      </c>
      <c r="Q120" s="31">
        <f t="shared" si="28"/>
        <v>0</v>
      </c>
      <c r="R120" s="31">
        <f t="shared" si="28"/>
        <v>0</v>
      </c>
      <c r="S120" s="31"/>
      <c r="T120" s="31">
        <f t="shared" si="8"/>
        <v>55831.95</v>
      </c>
      <c r="U120" s="31">
        <f t="shared" si="8"/>
        <v>64847.64</v>
      </c>
      <c r="V120" s="31">
        <f t="shared" si="8"/>
        <v>34011.880000000005</v>
      </c>
      <c r="W120" s="31">
        <f t="shared" si="8"/>
        <v>42191.880000000005</v>
      </c>
      <c r="X120" s="31">
        <f t="shared" si="8"/>
        <v>0</v>
      </c>
      <c r="Y120" s="31">
        <f t="shared" si="8"/>
        <v>188075</v>
      </c>
      <c r="Z120" s="31"/>
      <c r="AA120" s="31"/>
      <c r="AB120" s="31">
        <f t="shared" si="21"/>
        <v>1632708.8299999996</v>
      </c>
    </row>
    <row r="121" spans="1:28" ht="12.75">
      <c r="A121" s="36" t="s">
        <v>41</v>
      </c>
      <c r="B121" s="31"/>
      <c r="C121" s="31"/>
      <c r="D121" s="31"/>
      <c r="E121" s="31">
        <f t="shared" si="6"/>
        <v>0</v>
      </c>
      <c r="F121" s="31">
        <f t="shared" si="6"/>
        <v>0</v>
      </c>
      <c r="G121" s="31">
        <f t="shared" si="6"/>
        <v>0</v>
      </c>
      <c r="H121" s="31">
        <f t="shared" si="6"/>
        <v>334123.75</v>
      </c>
      <c r="I121" s="31"/>
      <c r="J121" s="31">
        <f aca="true" t="shared" si="29" ref="J121:R121">+J28+J73</f>
        <v>374800</v>
      </c>
      <c r="K121" s="31">
        <f t="shared" si="29"/>
        <v>0</v>
      </c>
      <c r="L121" s="31">
        <f t="shared" si="29"/>
        <v>0</v>
      </c>
      <c r="M121" s="31">
        <f t="shared" si="29"/>
        <v>0</v>
      </c>
      <c r="N121" s="31">
        <f t="shared" si="29"/>
        <v>0</v>
      </c>
      <c r="O121" s="31">
        <f t="shared" si="29"/>
        <v>0</v>
      </c>
      <c r="P121" s="31">
        <f t="shared" si="29"/>
        <v>0</v>
      </c>
      <c r="Q121" s="31">
        <f t="shared" si="29"/>
        <v>0</v>
      </c>
      <c r="R121" s="31">
        <f t="shared" si="29"/>
        <v>0</v>
      </c>
      <c r="S121" s="31"/>
      <c r="T121" s="31"/>
      <c r="U121" s="31">
        <f>+U28+U73</f>
        <v>64720.44</v>
      </c>
      <c r="V121" s="31">
        <f aca="true" t="shared" si="30" ref="V121:Y139">+V28+V73</f>
        <v>34329.380000000005</v>
      </c>
      <c r="W121" s="31">
        <f t="shared" si="30"/>
        <v>42421.880000000005</v>
      </c>
      <c r="X121" s="31">
        <f t="shared" si="30"/>
        <v>0</v>
      </c>
      <c r="Y121" s="31">
        <f t="shared" si="30"/>
        <v>187875</v>
      </c>
      <c r="Z121" s="31"/>
      <c r="AA121" s="31"/>
      <c r="AB121" s="31">
        <f t="shared" si="21"/>
        <v>1038270.45</v>
      </c>
    </row>
    <row r="122" spans="1:28" ht="12.75">
      <c r="A122" s="36" t="s">
        <v>42</v>
      </c>
      <c r="B122" s="31"/>
      <c r="C122" s="31"/>
      <c r="D122" s="31"/>
      <c r="E122" s="31">
        <f t="shared" si="6"/>
        <v>0</v>
      </c>
      <c r="F122" s="31">
        <f t="shared" si="6"/>
        <v>0</v>
      </c>
      <c r="G122" s="31">
        <f t="shared" si="6"/>
        <v>0</v>
      </c>
      <c r="H122" s="31">
        <f t="shared" si="6"/>
        <v>335058.135</v>
      </c>
      <c r="I122" s="31"/>
      <c r="J122" s="31">
        <f aca="true" t="shared" si="31" ref="J122:P122">+J29+J74</f>
        <v>374830</v>
      </c>
      <c r="K122" s="31">
        <f t="shared" si="31"/>
        <v>0</v>
      </c>
      <c r="L122" s="31">
        <f t="shared" si="31"/>
        <v>0</v>
      </c>
      <c r="M122" s="31">
        <f t="shared" si="31"/>
        <v>0</v>
      </c>
      <c r="N122" s="31">
        <f t="shared" si="31"/>
        <v>0</v>
      </c>
      <c r="O122" s="31">
        <f t="shared" si="31"/>
        <v>0</v>
      </c>
      <c r="P122" s="31">
        <f t="shared" si="31"/>
        <v>0</v>
      </c>
      <c r="Q122" s="31"/>
      <c r="R122" s="31">
        <f aca="true" t="shared" si="32" ref="R122:R133">+R29+R74</f>
        <v>0</v>
      </c>
      <c r="S122" s="31"/>
      <c r="T122" s="31"/>
      <c r="U122" s="31">
        <f>+U29+U74</f>
        <v>32312.219999999998</v>
      </c>
      <c r="V122" s="31">
        <f t="shared" si="30"/>
        <v>34122.5</v>
      </c>
      <c r="W122" s="31">
        <f t="shared" si="30"/>
        <v>42131.25</v>
      </c>
      <c r="X122" s="31">
        <f t="shared" si="30"/>
        <v>0</v>
      </c>
      <c r="Y122" s="31">
        <f t="shared" si="30"/>
        <v>187512.5</v>
      </c>
      <c r="Z122" s="31"/>
      <c r="AA122" s="31"/>
      <c r="AB122" s="31">
        <f t="shared" si="21"/>
        <v>1005966.605</v>
      </c>
    </row>
    <row r="123" spans="1:28" ht="12.75">
      <c r="A123" s="36" t="s">
        <v>43</v>
      </c>
      <c r="B123" s="31"/>
      <c r="C123" s="31"/>
      <c r="D123" s="31"/>
      <c r="E123" s="31">
        <f t="shared" si="6"/>
        <v>0</v>
      </c>
      <c r="F123" s="31">
        <f t="shared" si="6"/>
        <v>0</v>
      </c>
      <c r="G123" s="31">
        <f t="shared" si="6"/>
        <v>0</v>
      </c>
      <c r="H123" s="31">
        <f t="shared" si="6"/>
        <v>336279.38</v>
      </c>
      <c r="I123" s="31"/>
      <c r="J123" s="31">
        <f aca="true" t="shared" si="33" ref="J123:M133">+J30+J75</f>
        <v>374680</v>
      </c>
      <c r="K123" s="31">
        <f t="shared" si="33"/>
        <v>0</v>
      </c>
      <c r="L123" s="31">
        <f t="shared" si="33"/>
        <v>0</v>
      </c>
      <c r="M123" s="31">
        <f t="shared" si="33"/>
        <v>0</v>
      </c>
      <c r="N123" s="31"/>
      <c r="O123" s="31">
        <f aca="true" t="shared" si="34" ref="O123:P127">+O30+O75</f>
        <v>0</v>
      </c>
      <c r="P123" s="31">
        <f t="shared" si="34"/>
        <v>0</v>
      </c>
      <c r="Q123" s="31"/>
      <c r="R123" s="31">
        <f t="shared" si="32"/>
        <v>0</v>
      </c>
      <c r="S123" s="31"/>
      <c r="T123" s="31"/>
      <c r="U123" s="31"/>
      <c r="V123" s="31">
        <f t="shared" si="30"/>
        <v>34391.25</v>
      </c>
      <c r="W123" s="31">
        <f t="shared" si="30"/>
        <v>42320</v>
      </c>
      <c r="X123" s="31">
        <f t="shared" si="30"/>
        <v>0</v>
      </c>
      <c r="Y123" s="31">
        <f t="shared" si="30"/>
        <v>186537.5</v>
      </c>
      <c r="Z123" s="31"/>
      <c r="AA123" s="31"/>
      <c r="AB123" s="31">
        <f t="shared" si="21"/>
        <v>974208.13</v>
      </c>
    </row>
    <row r="124" spans="1:28" ht="12.75">
      <c r="A124" s="36" t="s">
        <v>44</v>
      </c>
      <c r="B124" s="31"/>
      <c r="C124" s="31"/>
      <c r="D124" s="31"/>
      <c r="E124" s="31">
        <f t="shared" si="6"/>
        <v>0</v>
      </c>
      <c r="F124" s="31">
        <f t="shared" si="6"/>
        <v>0</v>
      </c>
      <c r="G124" s="31">
        <f t="shared" si="6"/>
        <v>0</v>
      </c>
      <c r="H124" s="31">
        <f t="shared" si="6"/>
        <v>337280.63</v>
      </c>
      <c r="I124" s="31"/>
      <c r="J124" s="31">
        <f t="shared" si="33"/>
        <v>374355</v>
      </c>
      <c r="K124" s="31">
        <f t="shared" si="33"/>
        <v>0</v>
      </c>
      <c r="L124" s="31">
        <f t="shared" si="33"/>
        <v>0</v>
      </c>
      <c r="M124" s="31">
        <f t="shared" si="33"/>
        <v>0</v>
      </c>
      <c r="N124" s="31"/>
      <c r="O124" s="31">
        <f t="shared" si="34"/>
        <v>0</v>
      </c>
      <c r="P124" s="31">
        <f t="shared" si="34"/>
        <v>0</v>
      </c>
      <c r="Q124" s="31"/>
      <c r="R124" s="31">
        <f t="shared" si="32"/>
        <v>0</v>
      </c>
      <c r="S124" s="31"/>
      <c r="T124" s="31"/>
      <c r="U124" s="31"/>
      <c r="V124" s="31">
        <f t="shared" si="30"/>
        <v>34135.630000000005</v>
      </c>
      <c r="W124" s="31">
        <f t="shared" si="30"/>
        <v>42481.25</v>
      </c>
      <c r="X124" s="31">
        <f t="shared" si="30"/>
        <v>0</v>
      </c>
      <c r="Y124" s="31">
        <f t="shared" si="30"/>
        <v>185850</v>
      </c>
      <c r="Z124" s="31"/>
      <c r="AA124" s="31"/>
      <c r="AB124" s="31">
        <f t="shared" si="21"/>
        <v>974102.51</v>
      </c>
    </row>
    <row r="125" spans="1:28" ht="12.75">
      <c r="A125" s="36" t="s">
        <v>45</v>
      </c>
      <c r="B125" s="31"/>
      <c r="C125" s="31"/>
      <c r="D125" s="31"/>
      <c r="E125" s="31"/>
      <c r="F125" s="31"/>
      <c r="G125" s="31"/>
      <c r="H125" s="31">
        <f aca="true" t="shared" si="35" ref="H125:H134">+H32+H77</f>
        <v>338555.01</v>
      </c>
      <c r="I125" s="31"/>
      <c r="J125" s="31">
        <f t="shared" si="33"/>
        <v>374345</v>
      </c>
      <c r="K125" s="31">
        <f t="shared" si="33"/>
        <v>0</v>
      </c>
      <c r="L125" s="31">
        <f t="shared" si="33"/>
        <v>0</v>
      </c>
      <c r="M125" s="31">
        <f t="shared" si="33"/>
        <v>0</v>
      </c>
      <c r="N125" s="31"/>
      <c r="O125" s="31">
        <f t="shared" si="34"/>
        <v>0</v>
      </c>
      <c r="P125" s="31">
        <f t="shared" si="34"/>
        <v>0</v>
      </c>
      <c r="Q125" s="31"/>
      <c r="R125" s="31">
        <f t="shared" si="32"/>
        <v>0</v>
      </c>
      <c r="S125" s="31"/>
      <c r="T125" s="31"/>
      <c r="U125" s="31"/>
      <c r="V125" s="31">
        <f t="shared" si="30"/>
        <v>34355.630000000005</v>
      </c>
      <c r="W125" s="31">
        <f t="shared" si="30"/>
        <v>42121.880000000005</v>
      </c>
      <c r="X125" s="31">
        <f t="shared" si="30"/>
        <v>0</v>
      </c>
      <c r="Y125" s="31">
        <f t="shared" si="30"/>
        <v>0</v>
      </c>
      <c r="Z125" s="31"/>
      <c r="AA125" s="31"/>
      <c r="AB125" s="31">
        <f t="shared" si="21"/>
        <v>789377.52</v>
      </c>
    </row>
    <row r="126" spans="1:28" ht="12.75">
      <c r="A126" s="36" t="s">
        <v>46</v>
      </c>
      <c r="B126" s="31"/>
      <c r="C126" s="31"/>
      <c r="D126" s="31"/>
      <c r="E126" s="31"/>
      <c r="F126" s="31"/>
      <c r="G126" s="31"/>
      <c r="H126" s="31">
        <f t="shared" si="35"/>
        <v>339595.63</v>
      </c>
      <c r="I126" s="31"/>
      <c r="J126" s="31">
        <f t="shared" si="33"/>
        <v>374140</v>
      </c>
      <c r="K126" s="31">
        <f t="shared" si="33"/>
        <v>0</v>
      </c>
      <c r="L126" s="31">
        <f t="shared" si="33"/>
        <v>0</v>
      </c>
      <c r="M126" s="31">
        <f t="shared" si="33"/>
        <v>0</v>
      </c>
      <c r="N126" s="31"/>
      <c r="O126" s="31">
        <f t="shared" si="34"/>
        <v>0</v>
      </c>
      <c r="P126" s="31">
        <f t="shared" si="34"/>
        <v>0</v>
      </c>
      <c r="Q126" s="31"/>
      <c r="R126" s="31">
        <f t="shared" si="32"/>
        <v>0</v>
      </c>
      <c r="S126" s="31"/>
      <c r="T126" s="31"/>
      <c r="U126" s="31"/>
      <c r="V126" s="31">
        <f t="shared" si="30"/>
        <v>34051.25</v>
      </c>
      <c r="W126" s="31">
        <f t="shared" si="30"/>
        <v>42241.880000000005</v>
      </c>
      <c r="X126" s="31">
        <f t="shared" si="30"/>
        <v>0</v>
      </c>
      <c r="Y126" s="31">
        <f t="shared" si="30"/>
        <v>0</v>
      </c>
      <c r="Z126" s="31"/>
      <c r="AA126" s="31"/>
      <c r="AB126" s="31">
        <f t="shared" si="21"/>
        <v>790028.76</v>
      </c>
    </row>
    <row r="127" spans="1:28" ht="12.75">
      <c r="A127" s="36" t="s">
        <v>61</v>
      </c>
      <c r="B127" s="31"/>
      <c r="C127" s="31"/>
      <c r="D127" s="31"/>
      <c r="E127" s="31"/>
      <c r="F127" s="31"/>
      <c r="G127" s="31"/>
      <c r="H127" s="31">
        <f t="shared" si="35"/>
        <v>340895.63</v>
      </c>
      <c r="I127" s="31"/>
      <c r="J127" s="31">
        <f t="shared" si="33"/>
        <v>374235</v>
      </c>
      <c r="K127" s="31">
        <f t="shared" si="33"/>
        <v>0</v>
      </c>
      <c r="L127" s="31">
        <f t="shared" si="33"/>
        <v>0</v>
      </c>
      <c r="M127" s="31">
        <f t="shared" si="33"/>
        <v>0</v>
      </c>
      <c r="N127" s="31"/>
      <c r="O127" s="31">
        <f t="shared" si="34"/>
        <v>0</v>
      </c>
      <c r="P127" s="31">
        <f t="shared" si="34"/>
        <v>0</v>
      </c>
      <c r="Q127" s="31"/>
      <c r="R127" s="31">
        <f t="shared" si="32"/>
        <v>0</v>
      </c>
      <c r="S127" s="31"/>
      <c r="T127" s="31"/>
      <c r="U127" s="31"/>
      <c r="V127" s="31">
        <f t="shared" si="30"/>
        <v>34222.5</v>
      </c>
      <c r="W127" s="31">
        <f t="shared" si="30"/>
        <v>42334.380000000005</v>
      </c>
      <c r="X127" s="31">
        <f t="shared" si="30"/>
        <v>0</v>
      </c>
      <c r="Y127" s="31">
        <f t="shared" si="30"/>
        <v>0</v>
      </c>
      <c r="Z127" s="31"/>
      <c r="AA127" s="31"/>
      <c r="AB127" s="31">
        <f t="shared" si="21"/>
        <v>791687.51</v>
      </c>
    </row>
    <row r="128" spans="1:28" ht="12.75">
      <c r="A128" s="36" t="s">
        <v>62</v>
      </c>
      <c r="B128" s="31"/>
      <c r="C128" s="31"/>
      <c r="D128" s="31"/>
      <c r="E128" s="31"/>
      <c r="F128" s="31"/>
      <c r="G128" s="31"/>
      <c r="H128" s="31">
        <f t="shared" si="35"/>
        <v>342441.26</v>
      </c>
      <c r="I128" s="31"/>
      <c r="J128" s="31">
        <f t="shared" si="33"/>
        <v>374120</v>
      </c>
      <c r="K128" s="31">
        <f t="shared" si="33"/>
        <v>0</v>
      </c>
      <c r="L128" s="31">
        <f t="shared" si="33"/>
        <v>0</v>
      </c>
      <c r="M128" s="31">
        <f t="shared" si="33"/>
        <v>0</v>
      </c>
      <c r="N128" s="31"/>
      <c r="O128" s="31"/>
      <c r="P128" s="31"/>
      <c r="Q128" s="31"/>
      <c r="R128" s="31">
        <f t="shared" si="32"/>
        <v>0</v>
      </c>
      <c r="S128" s="31"/>
      <c r="T128" s="31"/>
      <c r="U128" s="31"/>
      <c r="V128" s="31">
        <f t="shared" si="30"/>
        <v>34361.25</v>
      </c>
      <c r="W128" s="31">
        <f t="shared" si="30"/>
        <v>42399.38</v>
      </c>
      <c r="X128" s="31">
        <f t="shared" si="30"/>
        <v>0</v>
      </c>
      <c r="Y128" s="31">
        <f t="shared" si="30"/>
        <v>0</v>
      </c>
      <c r="Z128" s="31"/>
      <c r="AA128" s="31"/>
      <c r="AB128" s="31">
        <f t="shared" si="21"/>
        <v>793321.89</v>
      </c>
    </row>
    <row r="129" spans="1:28" ht="12.75">
      <c r="A129" s="36" t="s">
        <v>63</v>
      </c>
      <c r="B129" s="31"/>
      <c r="C129" s="31"/>
      <c r="D129" s="31"/>
      <c r="E129" s="31"/>
      <c r="F129" s="31"/>
      <c r="G129" s="31"/>
      <c r="H129" s="31">
        <f t="shared" si="35"/>
        <v>343725.63</v>
      </c>
      <c r="I129" s="31"/>
      <c r="J129" s="31">
        <f t="shared" si="33"/>
        <v>373800</v>
      </c>
      <c r="K129" s="31">
        <f t="shared" si="33"/>
        <v>0</v>
      </c>
      <c r="L129" s="31">
        <f t="shared" si="33"/>
        <v>0</v>
      </c>
      <c r="M129" s="31">
        <f t="shared" si="33"/>
        <v>0</v>
      </c>
      <c r="N129" s="31"/>
      <c r="O129" s="31"/>
      <c r="P129" s="31"/>
      <c r="Q129" s="31"/>
      <c r="R129" s="31">
        <f t="shared" si="32"/>
        <v>0</v>
      </c>
      <c r="S129" s="31"/>
      <c r="T129" s="31"/>
      <c r="U129" s="31"/>
      <c r="V129" s="31">
        <f t="shared" si="30"/>
        <v>34467.5</v>
      </c>
      <c r="W129" s="31">
        <f t="shared" si="30"/>
        <v>42436.88</v>
      </c>
      <c r="X129" s="31">
        <f t="shared" si="30"/>
        <v>0</v>
      </c>
      <c r="Y129" s="31">
        <f t="shared" si="30"/>
        <v>0</v>
      </c>
      <c r="Z129" s="31"/>
      <c r="AA129" s="31"/>
      <c r="AB129" s="31">
        <f t="shared" si="21"/>
        <v>794430.01</v>
      </c>
    </row>
    <row r="130" spans="1:28" ht="12.75">
      <c r="A130" s="36" t="s">
        <v>64</v>
      </c>
      <c r="B130" s="31"/>
      <c r="C130" s="31"/>
      <c r="D130" s="31"/>
      <c r="E130" s="31"/>
      <c r="F130" s="31"/>
      <c r="G130" s="31"/>
      <c r="H130" s="31">
        <f t="shared" si="35"/>
        <v>344748.75</v>
      </c>
      <c r="I130" s="31"/>
      <c r="J130" s="31">
        <f t="shared" si="33"/>
        <v>373770</v>
      </c>
      <c r="K130" s="31">
        <f t="shared" si="33"/>
        <v>0</v>
      </c>
      <c r="L130" s="31">
        <f t="shared" si="33"/>
        <v>0</v>
      </c>
      <c r="M130" s="31">
        <f t="shared" si="33"/>
        <v>0</v>
      </c>
      <c r="N130" s="31"/>
      <c r="O130" s="31"/>
      <c r="P130" s="31"/>
      <c r="Q130" s="31"/>
      <c r="R130" s="31">
        <f t="shared" si="32"/>
        <v>0</v>
      </c>
      <c r="S130" s="31"/>
      <c r="T130" s="31"/>
      <c r="U130" s="31"/>
      <c r="V130" s="31">
        <f t="shared" si="30"/>
        <v>34541.25</v>
      </c>
      <c r="W130" s="31">
        <f t="shared" si="30"/>
        <v>42446.88</v>
      </c>
      <c r="X130" s="31">
        <f t="shared" si="30"/>
        <v>0</v>
      </c>
      <c r="Y130" s="31">
        <f t="shared" si="30"/>
        <v>0</v>
      </c>
      <c r="Z130" s="31"/>
      <c r="AA130" s="31"/>
      <c r="AB130" s="31">
        <f t="shared" si="21"/>
        <v>795506.88</v>
      </c>
    </row>
    <row r="131" spans="1:28" ht="12.75">
      <c r="A131" s="36" t="s">
        <v>65</v>
      </c>
      <c r="B131" s="31"/>
      <c r="C131" s="31"/>
      <c r="D131" s="31"/>
      <c r="E131" s="31"/>
      <c r="F131" s="31"/>
      <c r="G131" s="31"/>
      <c r="H131" s="31">
        <f t="shared" si="35"/>
        <v>346496.88</v>
      </c>
      <c r="I131" s="31"/>
      <c r="J131" s="31">
        <f t="shared" si="33"/>
        <v>373520</v>
      </c>
      <c r="K131" s="31">
        <f t="shared" si="33"/>
        <v>0</v>
      </c>
      <c r="L131" s="31">
        <f t="shared" si="33"/>
        <v>0</v>
      </c>
      <c r="M131" s="31">
        <f t="shared" si="33"/>
        <v>0</v>
      </c>
      <c r="N131" s="31"/>
      <c r="O131" s="31"/>
      <c r="P131" s="31"/>
      <c r="Q131" s="31"/>
      <c r="R131" s="31">
        <f t="shared" si="32"/>
        <v>0</v>
      </c>
      <c r="S131" s="31"/>
      <c r="T131" s="31"/>
      <c r="U131" s="31"/>
      <c r="V131" s="31">
        <f t="shared" si="30"/>
        <v>34582.5</v>
      </c>
      <c r="W131" s="31">
        <f t="shared" si="30"/>
        <v>42429.38</v>
      </c>
      <c r="X131" s="31">
        <f t="shared" si="30"/>
        <v>0</v>
      </c>
      <c r="Y131" s="31">
        <f t="shared" si="30"/>
        <v>0</v>
      </c>
      <c r="Z131" s="31"/>
      <c r="AA131" s="31"/>
      <c r="AB131" s="31">
        <f t="shared" si="21"/>
        <v>797028.76</v>
      </c>
    </row>
    <row r="132" spans="1:28" ht="12.75">
      <c r="A132" s="36" t="s">
        <v>66</v>
      </c>
      <c r="B132" s="31"/>
      <c r="C132" s="31"/>
      <c r="D132" s="31"/>
      <c r="E132" s="31"/>
      <c r="F132" s="31"/>
      <c r="G132" s="31"/>
      <c r="H132" s="31">
        <f t="shared" si="35"/>
        <v>347956.26</v>
      </c>
      <c r="I132" s="31"/>
      <c r="J132" s="31">
        <f t="shared" si="33"/>
        <v>373545</v>
      </c>
      <c r="K132" s="31">
        <f t="shared" si="33"/>
        <v>0</v>
      </c>
      <c r="L132" s="31">
        <f t="shared" si="33"/>
        <v>0</v>
      </c>
      <c r="M132" s="31">
        <f t="shared" si="33"/>
        <v>0</v>
      </c>
      <c r="N132" s="31"/>
      <c r="O132" s="31"/>
      <c r="P132" s="31"/>
      <c r="Q132" s="31"/>
      <c r="R132" s="31">
        <f t="shared" si="32"/>
        <v>0</v>
      </c>
      <c r="S132" s="31"/>
      <c r="T132" s="31"/>
      <c r="U132" s="31"/>
      <c r="V132" s="31">
        <f t="shared" si="30"/>
        <v>34591.25</v>
      </c>
      <c r="W132" s="31">
        <f t="shared" si="30"/>
        <v>42384.38</v>
      </c>
      <c r="X132" s="31">
        <f t="shared" si="30"/>
        <v>0</v>
      </c>
      <c r="Y132" s="31">
        <f t="shared" si="30"/>
        <v>0</v>
      </c>
      <c r="Z132" s="31"/>
      <c r="AA132" s="31"/>
      <c r="AB132" s="31">
        <f t="shared" si="21"/>
        <v>798476.89</v>
      </c>
    </row>
    <row r="133" spans="1:28" ht="12.75">
      <c r="A133" s="36" t="s">
        <v>72</v>
      </c>
      <c r="B133" s="31"/>
      <c r="C133" s="31"/>
      <c r="D133" s="31"/>
      <c r="E133" s="31"/>
      <c r="F133" s="31"/>
      <c r="G133" s="31"/>
      <c r="H133" s="31">
        <f t="shared" si="35"/>
        <v>345181.88</v>
      </c>
      <c r="I133" s="31"/>
      <c r="J133" s="31">
        <f t="shared" si="33"/>
        <v>373335</v>
      </c>
      <c r="K133" s="31">
        <f t="shared" si="33"/>
        <v>0</v>
      </c>
      <c r="L133" s="31">
        <f t="shared" si="33"/>
        <v>0</v>
      </c>
      <c r="M133" s="31">
        <f t="shared" si="33"/>
        <v>0</v>
      </c>
      <c r="N133" s="31"/>
      <c r="O133" s="31"/>
      <c r="P133" s="31"/>
      <c r="Q133" s="31"/>
      <c r="R133" s="31">
        <f t="shared" si="32"/>
        <v>0</v>
      </c>
      <c r="S133" s="31"/>
      <c r="T133" s="31"/>
      <c r="U133" s="31"/>
      <c r="V133" s="31">
        <f t="shared" si="30"/>
        <v>34567.5</v>
      </c>
      <c r="W133" s="31">
        <f t="shared" si="30"/>
        <v>42311.88</v>
      </c>
      <c r="X133" s="31">
        <f t="shared" si="30"/>
        <v>0</v>
      </c>
      <c r="Y133" s="31">
        <f>+Y40+Y85</f>
        <v>0</v>
      </c>
      <c r="Z133" s="31"/>
      <c r="AA133" s="31"/>
      <c r="AB133" s="31">
        <f t="shared" si="21"/>
        <v>795396.26</v>
      </c>
    </row>
    <row r="134" spans="1:28" ht="12.75">
      <c r="A134" s="36" t="s">
        <v>83</v>
      </c>
      <c r="B134" s="31"/>
      <c r="C134" s="31"/>
      <c r="D134" s="31"/>
      <c r="E134" s="31"/>
      <c r="F134" s="31"/>
      <c r="G134" s="31"/>
      <c r="H134" s="31">
        <f t="shared" si="35"/>
        <v>0</v>
      </c>
      <c r="I134" s="31"/>
      <c r="J134" s="31">
        <f aca="true" t="shared" si="36" ref="J134:K138">+J41+J86</f>
        <v>373385</v>
      </c>
      <c r="K134" s="31">
        <f t="shared" si="36"/>
        <v>0</v>
      </c>
      <c r="L134" s="31">
        <f>+L45+L86</f>
        <v>0</v>
      </c>
      <c r="M134" s="31">
        <f>+M45+M86</f>
        <v>0</v>
      </c>
      <c r="N134" s="31"/>
      <c r="O134" s="31"/>
      <c r="P134" s="31"/>
      <c r="Q134" s="31"/>
      <c r="R134" s="31"/>
      <c r="S134" s="31"/>
      <c r="T134" s="31"/>
      <c r="U134" s="31"/>
      <c r="V134" s="31">
        <f t="shared" si="30"/>
        <v>34511.25</v>
      </c>
      <c r="W134" s="31">
        <f t="shared" si="30"/>
        <v>42211.88</v>
      </c>
      <c r="X134" s="31">
        <f t="shared" si="30"/>
        <v>0</v>
      </c>
      <c r="Y134" s="31">
        <f>+Y41+Y86</f>
        <v>0</v>
      </c>
      <c r="Z134" s="31"/>
      <c r="AA134" s="31"/>
      <c r="AB134" s="31">
        <f t="shared" si="21"/>
        <v>450108.13</v>
      </c>
    </row>
    <row r="135" spans="1:28" ht="12.75">
      <c r="A135" s="36" t="s">
        <v>84</v>
      </c>
      <c r="B135" s="31"/>
      <c r="C135" s="31"/>
      <c r="D135" s="31"/>
      <c r="E135" s="31"/>
      <c r="F135" s="31"/>
      <c r="G135" s="31"/>
      <c r="H135" s="31"/>
      <c r="I135" s="31"/>
      <c r="J135" s="31">
        <f t="shared" si="36"/>
        <v>373190</v>
      </c>
      <c r="K135" s="31">
        <f t="shared" si="36"/>
        <v>0</v>
      </c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>
        <f t="shared" si="30"/>
        <v>30487.5</v>
      </c>
      <c r="W135" s="31">
        <f t="shared" si="30"/>
        <v>42577.5</v>
      </c>
      <c r="X135" s="31">
        <f t="shared" si="30"/>
        <v>0</v>
      </c>
      <c r="Y135" s="31">
        <f>+Y42+Y87</f>
        <v>0</v>
      </c>
      <c r="Z135" s="31"/>
      <c r="AA135" s="31"/>
      <c r="AB135" s="31">
        <f t="shared" si="21"/>
        <v>446255</v>
      </c>
    </row>
    <row r="136" spans="1:28" ht="12.75">
      <c r="A136" s="36" t="s">
        <v>93</v>
      </c>
      <c r="B136" s="31"/>
      <c r="C136" s="31"/>
      <c r="D136" s="31"/>
      <c r="E136" s="31"/>
      <c r="F136" s="31"/>
      <c r="G136" s="31"/>
      <c r="H136" s="31"/>
      <c r="I136" s="31"/>
      <c r="J136" s="31">
        <f t="shared" si="36"/>
        <v>373235</v>
      </c>
      <c r="K136" s="31">
        <f t="shared" si="36"/>
        <v>0</v>
      </c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>
        <f t="shared" si="30"/>
        <v>0</v>
      </c>
      <c r="W136" s="31">
        <f t="shared" si="30"/>
        <v>0</v>
      </c>
      <c r="X136" s="31">
        <f t="shared" si="30"/>
        <v>0</v>
      </c>
      <c r="Y136" s="31">
        <f>+Y43+Y88</f>
        <v>0</v>
      </c>
      <c r="Z136" s="31"/>
      <c r="AA136" s="31"/>
      <c r="AB136" s="31">
        <f t="shared" si="21"/>
        <v>373235</v>
      </c>
    </row>
    <row r="137" spans="1:28" ht="12.75">
      <c r="A137" s="36" t="s">
        <v>94</v>
      </c>
      <c r="B137" s="31"/>
      <c r="C137" s="31"/>
      <c r="D137" s="31"/>
      <c r="E137" s="31"/>
      <c r="F137" s="31"/>
      <c r="G137" s="31"/>
      <c r="H137" s="31"/>
      <c r="I137" s="31"/>
      <c r="J137" s="31">
        <f t="shared" si="36"/>
        <v>373020</v>
      </c>
      <c r="K137" s="31">
        <f t="shared" si="36"/>
        <v>0</v>
      </c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>
        <f t="shared" si="30"/>
        <v>0</v>
      </c>
      <c r="W137" s="31">
        <f t="shared" si="30"/>
        <v>0</v>
      </c>
      <c r="X137" s="31">
        <f t="shared" si="30"/>
        <v>0</v>
      </c>
      <c r="Y137" s="31"/>
      <c r="Z137" s="31"/>
      <c r="AA137" s="31"/>
      <c r="AB137" s="31">
        <f t="shared" si="21"/>
        <v>373020</v>
      </c>
    </row>
    <row r="138" spans="1:28" ht="12.75">
      <c r="A138" s="36" t="s">
        <v>95</v>
      </c>
      <c r="B138" s="31"/>
      <c r="C138" s="31"/>
      <c r="D138" s="31"/>
      <c r="E138" s="31"/>
      <c r="F138" s="31"/>
      <c r="G138" s="31"/>
      <c r="H138" s="31"/>
      <c r="I138" s="31"/>
      <c r="J138" s="31">
        <f t="shared" si="36"/>
        <v>377100</v>
      </c>
      <c r="K138" s="31">
        <f t="shared" si="36"/>
        <v>0</v>
      </c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>
        <f t="shared" si="30"/>
        <v>0</v>
      </c>
      <c r="W138" s="31">
        <f t="shared" si="30"/>
        <v>0</v>
      </c>
      <c r="X138" s="31">
        <f t="shared" si="30"/>
        <v>0</v>
      </c>
      <c r="Y138" s="31"/>
      <c r="Z138" s="31"/>
      <c r="AA138" s="31"/>
      <c r="AB138" s="31">
        <f t="shared" si="21"/>
        <v>377100</v>
      </c>
    </row>
    <row r="139" spans="1:28" ht="12.75">
      <c r="A139" s="36" t="s">
        <v>96</v>
      </c>
      <c r="B139" s="31"/>
      <c r="C139" s="31"/>
      <c r="D139" s="31"/>
      <c r="E139" s="31"/>
      <c r="F139" s="31"/>
      <c r="G139" s="31"/>
      <c r="H139" s="31"/>
      <c r="I139" s="31"/>
      <c r="J139" s="31">
        <f>+J46+J91</f>
        <v>0</v>
      </c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>
        <f t="shared" si="30"/>
        <v>0</v>
      </c>
      <c r="W139" s="31">
        <f t="shared" si="30"/>
        <v>0</v>
      </c>
      <c r="X139" s="31">
        <f t="shared" si="30"/>
        <v>0</v>
      </c>
      <c r="Y139" s="31"/>
      <c r="Z139" s="31"/>
      <c r="AA139" s="31"/>
      <c r="AB139" s="31">
        <f t="shared" si="21"/>
        <v>0</v>
      </c>
    </row>
    <row r="140" spans="1:28" ht="12.75">
      <c r="A140" s="36" t="s">
        <v>97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>
        <f t="shared" si="21"/>
        <v>0</v>
      </c>
    </row>
    <row r="141" spans="1:28" ht="12.75">
      <c r="A141" s="36" t="s">
        <v>98</v>
      </c>
      <c r="B141" s="31"/>
      <c r="C141" s="31"/>
      <c r="D141" s="31"/>
      <c r="E141" s="31"/>
      <c r="F141" s="31"/>
      <c r="G141" s="31"/>
      <c r="H141" s="31"/>
      <c r="I141" s="31"/>
      <c r="J141" s="31">
        <f>+J48+J93</f>
        <v>0</v>
      </c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>
        <f t="shared" si="21"/>
        <v>0</v>
      </c>
    </row>
    <row r="142" spans="1:28" ht="12.75">
      <c r="A142" s="36" t="s">
        <v>99</v>
      </c>
      <c r="B142" s="31"/>
      <c r="C142" s="31"/>
      <c r="D142" s="31"/>
      <c r="E142" s="31"/>
      <c r="F142" s="31"/>
      <c r="G142" s="31"/>
      <c r="H142" s="31"/>
      <c r="I142" s="31"/>
      <c r="J142" s="31">
        <f>+J49+J94</f>
        <v>0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>
        <f t="shared" si="21"/>
        <v>0</v>
      </c>
    </row>
    <row r="143" spans="1:28" ht="12.75">
      <c r="A143" s="36"/>
      <c r="B143" s="31"/>
      <c r="C143" s="31"/>
      <c r="D143" s="31"/>
      <c r="E143" s="39"/>
      <c r="F143" s="31">
        <f>+F32+F77</f>
        <v>0</v>
      </c>
      <c r="G143" s="31">
        <f>+G32+G77</f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>
        <f t="shared" si="21"/>
        <v>0</v>
      </c>
    </row>
    <row r="144" spans="2:28" ht="13.5" thickBot="1">
      <c r="B144" s="40">
        <f aca="true" t="shared" si="37" ref="B144:AB144">SUM(B102:B143)</f>
        <v>0</v>
      </c>
      <c r="C144" s="40">
        <f t="shared" si="37"/>
        <v>0</v>
      </c>
      <c r="D144" s="40">
        <f t="shared" si="37"/>
        <v>0</v>
      </c>
      <c r="E144" s="40">
        <f t="shared" si="37"/>
        <v>0</v>
      </c>
      <c r="F144" s="40">
        <f t="shared" si="37"/>
        <v>0</v>
      </c>
      <c r="G144" s="40">
        <f t="shared" si="37"/>
        <v>0</v>
      </c>
      <c r="H144" s="40">
        <f t="shared" si="37"/>
        <v>10615111.395000001</v>
      </c>
      <c r="I144" s="40">
        <f t="shared" si="37"/>
        <v>15420</v>
      </c>
      <c r="J144" s="40">
        <f t="shared" si="37"/>
        <v>13866595</v>
      </c>
      <c r="K144" s="40">
        <f t="shared" si="37"/>
        <v>10438291.930000002</v>
      </c>
      <c r="L144" s="40">
        <f t="shared" si="37"/>
        <v>255515.62599999996</v>
      </c>
      <c r="M144" s="40">
        <f t="shared" si="37"/>
        <v>284895.08999999997</v>
      </c>
      <c r="N144" s="40">
        <f t="shared" si="37"/>
        <v>2282245.3499999996</v>
      </c>
      <c r="O144" s="40">
        <f t="shared" si="37"/>
        <v>519242.64999999997</v>
      </c>
      <c r="P144" s="40">
        <f t="shared" si="37"/>
        <v>296635.13</v>
      </c>
      <c r="Q144" s="40">
        <f t="shared" si="37"/>
        <v>1284323.86</v>
      </c>
      <c r="R144" s="40">
        <f t="shared" si="37"/>
        <v>590682.1</v>
      </c>
      <c r="S144" s="40">
        <f t="shared" si="37"/>
        <v>0</v>
      </c>
      <c r="T144" s="40">
        <f t="shared" si="37"/>
        <v>2109912.2399999998</v>
      </c>
      <c r="U144" s="40">
        <f t="shared" si="37"/>
        <v>1316052.91</v>
      </c>
      <c r="V144" s="40">
        <f t="shared" si="37"/>
        <v>1159665.1</v>
      </c>
      <c r="W144" s="40">
        <f t="shared" si="37"/>
        <v>1441393.8899999992</v>
      </c>
      <c r="X144" s="40">
        <f t="shared" si="37"/>
        <v>45470.73999999999</v>
      </c>
      <c r="Y144" s="40">
        <f t="shared" si="37"/>
        <v>4364112.64</v>
      </c>
      <c r="Z144" s="40">
        <f t="shared" si="37"/>
        <v>1749360.9</v>
      </c>
      <c r="AA144" s="40"/>
      <c r="AB144" s="40">
        <f t="shared" si="37"/>
        <v>52665863.551</v>
      </c>
    </row>
    <row r="145" spans="2:28" ht="13.5" thickTop="1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2:28" ht="12.75">
      <c r="B146" s="31">
        <f aca="true" t="shared" si="38" ref="B146:AB146">+B95+B47</f>
        <v>0</v>
      </c>
      <c r="C146" s="31">
        <f t="shared" si="38"/>
        <v>0</v>
      </c>
      <c r="D146" s="31">
        <f t="shared" si="38"/>
        <v>0</v>
      </c>
      <c r="E146" s="31">
        <f t="shared" si="38"/>
        <v>0</v>
      </c>
      <c r="F146" s="31">
        <f t="shared" si="38"/>
        <v>0</v>
      </c>
      <c r="G146" s="31">
        <f t="shared" si="38"/>
        <v>0</v>
      </c>
      <c r="H146" s="31">
        <f t="shared" si="38"/>
        <v>10615111.394999998</v>
      </c>
      <c r="I146" s="31">
        <f t="shared" si="38"/>
        <v>15420</v>
      </c>
      <c r="J146" s="31">
        <f t="shared" si="38"/>
        <v>13866595</v>
      </c>
      <c r="K146" s="31">
        <f t="shared" si="38"/>
        <v>10438291.93</v>
      </c>
      <c r="L146" s="31">
        <f t="shared" si="38"/>
        <v>255515.62599999996</v>
      </c>
      <c r="M146" s="31">
        <f t="shared" si="38"/>
        <v>284895.08999999997</v>
      </c>
      <c r="N146" s="31">
        <f t="shared" si="38"/>
        <v>2282245.3499999996</v>
      </c>
      <c r="O146" s="31">
        <f t="shared" si="38"/>
        <v>519242.64999999997</v>
      </c>
      <c r="P146" s="31">
        <f t="shared" si="38"/>
        <v>296635.13000000006</v>
      </c>
      <c r="Q146" s="31">
        <f t="shared" si="38"/>
        <v>1284323.86</v>
      </c>
      <c r="R146" s="31">
        <f t="shared" si="38"/>
        <v>590682.0999999999</v>
      </c>
      <c r="S146" s="31">
        <f t="shared" si="38"/>
        <v>0</v>
      </c>
      <c r="T146" s="31">
        <f t="shared" si="38"/>
        <v>2109912.2399999998</v>
      </c>
      <c r="U146" s="31">
        <f t="shared" si="38"/>
        <v>1316052.91</v>
      </c>
      <c r="V146" s="31">
        <f t="shared" si="38"/>
        <v>1159665.1</v>
      </c>
      <c r="W146" s="31">
        <f t="shared" si="38"/>
        <v>1441393.8900000001</v>
      </c>
      <c r="X146" s="31">
        <f t="shared" si="38"/>
        <v>45470.740000000005</v>
      </c>
      <c r="Y146" s="31">
        <f t="shared" si="38"/>
        <v>4364112.640000001</v>
      </c>
      <c r="Z146" s="31">
        <f t="shared" si="38"/>
        <v>1749360.9</v>
      </c>
      <c r="AA146" s="31"/>
      <c r="AB146" s="31">
        <f t="shared" si="38"/>
        <v>52665863.55100001</v>
      </c>
    </row>
  </sheetData>
  <sheetProtection/>
  <mergeCells count="3">
    <mergeCell ref="V6:W6"/>
    <mergeCell ref="V51:W51"/>
    <mergeCell ref="V100:W100"/>
  </mergeCells>
  <printOptions/>
  <pageMargins left="0.7" right="0.7" top="0.75" bottom="0.75" header="0.3" footer="0.3"/>
  <pageSetup fitToHeight="3" fitToWidth="1" horizontalDpi="600" verticalDpi="600" orientation="landscape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3"/>
  <sheetViews>
    <sheetView tabSelected="1" zoomScalePageLayoutView="0" workbookViewId="0" topLeftCell="N1">
      <pane ySplit="7" topLeftCell="A20" activePane="bottomLeft" state="frozen"/>
      <selection pane="topLeft" activeCell="A1" sqref="A1"/>
      <selection pane="bottomLeft" activeCell="X53" sqref="X53"/>
    </sheetView>
  </sheetViews>
  <sheetFormatPr defaultColWidth="11.7109375" defaultRowHeight="12.75"/>
  <cols>
    <col min="1" max="1" width="11.7109375" style="32" customWidth="1"/>
    <col min="2" max="3" width="11.140625" style="32" hidden="1" customWidth="1"/>
    <col min="4" max="7" width="11.00390625" style="32" hidden="1" customWidth="1"/>
    <col min="8" max="12" width="11.7109375" style="32" customWidth="1"/>
    <col min="13" max="13" width="13.421875" style="32" customWidth="1"/>
    <col min="14" max="17" width="11.7109375" style="32" customWidth="1"/>
    <col min="18" max="18" width="11.7109375" style="32" hidden="1" customWidth="1"/>
    <col min="19" max="26" width="11.7109375" style="32" customWidth="1"/>
    <col min="27" max="27" width="14.140625" style="32" customWidth="1"/>
    <col min="28" max="28" width="15.57421875" style="32" bestFit="1" customWidth="1"/>
    <col min="29" max="16384" width="11.7109375" style="32" customWidth="1"/>
  </cols>
  <sheetData>
    <row r="1" ht="12.75">
      <c r="A1" s="49" t="s">
        <v>0</v>
      </c>
    </row>
    <row r="2" ht="12.75">
      <c r="A2" s="49" t="s">
        <v>1</v>
      </c>
    </row>
    <row r="3" ht="12.75">
      <c r="A3" s="50">
        <v>44377</v>
      </c>
    </row>
    <row r="4" spans="1:25" ht="12.75">
      <c r="A4" s="30"/>
      <c r="X4" s="32" t="s">
        <v>59</v>
      </c>
      <c r="Y4" s="32" t="s">
        <v>59</v>
      </c>
    </row>
    <row r="5" spans="1:26" ht="12.75">
      <c r="A5" s="33" t="s">
        <v>2</v>
      </c>
      <c r="W5" s="63" t="s">
        <v>123</v>
      </c>
      <c r="X5" s="64" t="s">
        <v>124</v>
      </c>
      <c r="Y5" s="58" t="s">
        <v>21</v>
      </c>
      <c r="Z5" s="65">
        <v>2020</v>
      </c>
    </row>
    <row r="6" spans="1:26" ht="12.75">
      <c r="A6" s="30"/>
      <c r="H6" s="32" t="s">
        <v>59</v>
      </c>
      <c r="I6" s="32" t="s">
        <v>59</v>
      </c>
      <c r="J6" s="32" t="s">
        <v>59</v>
      </c>
      <c r="K6" s="32" t="s">
        <v>59</v>
      </c>
      <c r="L6" s="32" t="s">
        <v>59</v>
      </c>
      <c r="M6" s="32" t="s">
        <v>59</v>
      </c>
      <c r="N6" s="32" t="s">
        <v>59</v>
      </c>
      <c r="O6" s="32" t="s">
        <v>59</v>
      </c>
      <c r="P6" s="32" t="s">
        <v>59</v>
      </c>
      <c r="Q6" s="32" t="s">
        <v>59</v>
      </c>
      <c r="S6" s="32" t="s">
        <v>59</v>
      </c>
      <c r="T6" s="32" t="s">
        <v>59</v>
      </c>
      <c r="U6" s="68" t="s">
        <v>59</v>
      </c>
      <c r="V6" s="68"/>
      <c r="W6" s="62" t="s">
        <v>121</v>
      </c>
      <c r="X6" s="62" t="s">
        <v>125</v>
      </c>
      <c r="Y6" s="54" t="s">
        <v>126</v>
      </c>
      <c r="Z6" s="62" t="s">
        <v>128</v>
      </c>
    </row>
    <row r="7" spans="1:27" s="51" customFormat="1" ht="12.75">
      <c r="A7" s="44" t="s">
        <v>3</v>
      </c>
      <c r="B7" s="45" t="s">
        <v>5</v>
      </c>
      <c r="C7" s="45" t="s">
        <v>56</v>
      </c>
      <c r="D7" s="45" t="s">
        <v>8</v>
      </c>
      <c r="E7" s="45">
        <v>2004</v>
      </c>
      <c r="F7" s="45" t="s">
        <v>9</v>
      </c>
      <c r="G7" s="45" t="s">
        <v>10</v>
      </c>
      <c r="H7" s="53">
        <v>2011</v>
      </c>
      <c r="I7" s="53">
        <v>2016</v>
      </c>
      <c r="J7" s="45" t="s">
        <v>119</v>
      </c>
      <c r="K7" s="53" t="s">
        <v>71</v>
      </c>
      <c r="L7" s="53" t="s">
        <v>73</v>
      </c>
      <c r="M7" s="53" t="s">
        <v>85</v>
      </c>
      <c r="N7" s="53" t="s">
        <v>86</v>
      </c>
      <c r="O7" s="53" t="s">
        <v>89</v>
      </c>
      <c r="P7" s="53" t="s">
        <v>90</v>
      </c>
      <c r="Q7" s="53" t="s">
        <v>91</v>
      </c>
      <c r="R7" s="45" t="s">
        <v>78</v>
      </c>
      <c r="S7" s="53" t="s">
        <v>115</v>
      </c>
      <c r="T7" s="53" t="s">
        <v>130</v>
      </c>
      <c r="U7" s="53" t="s">
        <v>76</v>
      </c>
      <c r="V7" s="53" t="s">
        <v>77</v>
      </c>
      <c r="W7" s="53" t="s">
        <v>122</v>
      </c>
      <c r="X7" s="53" t="s">
        <v>122</v>
      </c>
      <c r="Y7" s="45" t="s">
        <v>127</v>
      </c>
      <c r="Z7" s="53" t="s">
        <v>129</v>
      </c>
      <c r="AA7" s="45" t="s">
        <v>11</v>
      </c>
    </row>
    <row r="8" spans="1:27" ht="12.75">
      <c r="A8" s="36"/>
      <c r="B8" s="31"/>
      <c r="C8" s="31"/>
      <c r="D8" s="31"/>
      <c r="E8" s="31"/>
      <c r="F8" s="31"/>
      <c r="G8" s="31"/>
      <c r="X8" s="48"/>
      <c r="Y8" s="48"/>
      <c r="Z8" s="48"/>
      <c r="AA8" s="31"/>
    </row>
    <row r="9" spans="1:27" ht="12.75">
      <c r="A9" s="36" t="s">
        <v>23</v>
      </c>
      <c r="B9" s="10"/>
      <c r="C9" s="10"/>
      <c r="D9" s="10"/>
      <c r="E9" s="10"/>
      <c r="F9" s="10"/>
      <c r="G9" s="10"/>
      <c r="H9" s="46">
        <v>132000</v>
      </c>
      <c r="I9" s="46">
        <v>142500</v>
      </c>
      <c r="J9" s="46">
        <f>235688.59+236572.42</f>
        <v>472261.01</v>
      </c>
      <c r="K9" s="46">
        <f>8217.06+8258.15</f>
        <v>16475.21</v>
      </c>
      <c r="L9" s="46">
        <f>9192.02+9237.98</f>
        <v>18430</v>
      </c>
      <c r="M9" s="46">
        <f>56161.73+56653.14</f>
        <v>112814.87</v>
      </c>
      <c r="N9" s="46">
        <f>14834.03+14908.19</f>
        <v>29742.22</v>
      </c>
      <c r="O9" s="46">
        <f>7844.45+7873.87</f>
        <v>15718.32</v>
      </c>
      <c r="P9" s="46">
        <f>34100.02+34227.9</f>
        <v>68327.92</v>
      </c>
      <c r="Q9" s="46">
        <f>14663.5+14718.49</f>
        <v>29381.989999999998</v>
      </c>
      <c r="R9" s="46"/>
      <c r="S9" s="46">
        <f>48915.64+49099.08</f>
        <v>98014.72</v>
      </c>
      <c r="T9" s="46">
        <f>27895.72+28000.33</f>
        <v>55896.05</v>
      </c>
      <c r="U9" s="46">
        <v>11500</v>
      </c>
      <c r="V9" s="46">
        <v>17500</v>
      </c>
      <c r="W9" s="46">
        <v>10464.7</v>
      </c>
      <c r="X9" s="31">
        <v>100000</v>
      </c>
      <c r="Y9" s="31">
        <f>103282.53+104935.05</f>
        <v>208217.58000000002</v>
      </c>
      <c r="Z9" s="31">
        <v>6507</v>
      </c>
      <c r="AA9" s="31">
        <f>SUM(B9:Z9)</f>
        <v>1545751.59</v>
      </c>
    </row>
    <row r="10" spans="1:27" ht="12.75">
      <c r="A10" s="36" t="s">
        <v>24</v>
      </c>
      <c r="B10" s="10"/>
      <c r="C10" s="10"/>
      <c r="D10" s="10"/>
      <c r="E10" s="10"/>
      <c r="F10" s="10"/>
      <c r="G10" s="10"/>
      <c r="H10" s="46">
        <v>136500</v>
      </c>
      <c r="I10" s="46">
        <v>146000</v>
      </c>
      <c r="J10" s="46">
        <f>237459.57+238350.04</f>
        <v>475809.61</v>
      </c>
      <c r="K10" s="46">
        <f>8299.44+8340.93</f>
        <v>16640.370000000003</v>
      </c>
      <c r="L10" s="46">
        <f>9284.17+9330.59</f>
        <v>18614.760000000002</v>
      </c>
      <c r="M10" s="46">
        <f>57148.86+57648.91</f>
        <v>114797.77</v>
      </c>
      <c r="N10" s="46">
        <f>14982.74+15057.65</f>
        <v>30040.39</v>
      </c>
      <c r="O10" s="46">
        <f>7903.39+7933.03</f>
        <v>15836.42</v>
      </c>
      <c r="P10" s="46">
        <f>34356.25+34485.09</f>
        <v>68841.34</v>
      </c>
      <c r="Q10" s="46">
        <f>14773.68+14829.09</f>
        <v>29602.77</v>
      </c>
      <c r="R10" s="46"/>
      <c r="S10" s="46">
        <f>49283.2+49468.01</f>
        <v>98751.20999999999</v>
      </c>
      <c r="T10" s="46">
        <f>28105.33+28210.72</f>
        <v>56316.05</v>
      </c>
      <c r="U10" s="46">
        <v>12000</v>
      </c>
      <c r="V10" s="46">
        <v>18000</v>
      </c>
      <c r="W10" s="46">
        <v>11273.58</v>
      </c>
      <c r="X10" s="31">
        <v>105000</v>
      </c>
      <c r="Y10" s="31">
        <f>106614.02+108319.84</f>
        <v>214933.86</v>
      </c>
      <c r="Z10" s="31">
        <v>6626</v>
      </c>
      <c r="AA10" s="31">
        <f>SUM(B10:Z10)</f>
        <v>1575584.13</v>
      </c>
    </row>
    <row r="11" spans="1:27" ht="12.75">
      <c r="A11" s="36" t="s">
        <v>25</v>
      </c>
      <c r="B11" s="10"/>
      <c r="C11" s="10"/>
      <c r="D11" s="10"/>
      <c r="E11" s="10"/>
      <c r="F11" s="10"/>
      <c r="G11" s="10"/>
      <c r="H11" s="46">
        <v>141000</v>
      </c>
      <c r="I11" s="46">
        <v>150500</v>
      </c>
      <c r="J11" s="46">
        <f>239243.86+240141.02</f>
        <v>479384.88</v>
      </c>
      <c r="K11" s="46">
        <f>8382.64+8424.55</f>
        <v>16807.19</v>
      </c>
      <c r="L11" s="46">
        <f>9377.24+9424.13</f>
        <v>18801.37</v>
      </c>
      <c r="M11" s="46">
        <f>58153.34+58662.18</f>
        <v>116815.51999999999</v>
      </c>
      <c r="N11" s="46">
        <f>15132.94+15208.6</f>
        <v>30341.54</v>
      </c>
      <c r="O11" s="46">
        <f>7962.78+7992.64</f>
        <v>15955.42</v>
      </c>
      <c r="P11" s="46">
        <f>34614.4+34744.21</f>
        <v>69358.61</v>
      </c>
      <c r="Q11" s="46">
        <f>14884.7+14940.51</f>
        <v>29825.21</v>
      </c>
      <c r="R11" s="46"/>
      <c r="S11" s="46">
        <f>49653.52+49839.72</f>
        <v>99493.23999999999</v>
      </c>
      <c r="T11" s="46">
        <f>28316.51+28422.7</f>
        <v>56739.21</v>
      </c>
      <c r="U11" s="46">
        <v>12500</v>
      </c>
      <c r="V11" s="46">
        <v>18500</v>
      </c>
      <c r="W11" s="46">
        <v>8193.71</v>
      </c>
      <c r="X11" s="31">
        <v>105000</v>
      </c>
      <c r="Y11" s="31">
        <f>110052.96+111813.8</f>
        <v>221866.76</v>
      </c>
      <c r="Z11" s="31">
        <v>6747</v>
      </c>
      <c r="AA11" s="31">
        <f>SUM(B11:Z11)</f>
        <v>1597829.66</v>
      </c>
    </row>
    <row r="12" spans="1:27" ht="12.75">
      <c r="A12" s="36" t="s">
        <v>26</v>
      </c>
      <c r="B12" s="10"/>
      <c r="C12" s="10"/>
      <c r="D12" s="10"/>
      <c r="E12" s="10"/>
      <c r="F12" s="10"/>
      <c r="G12" s="10"/>
      <c r="H12" s="46">
        <v>145500</v>
      </c>
      <c r="I12" s="46">
        <v>154500</v>
      </c>
      <c r="J12" s="46">
        <f>241041.55+241945.46</f>
        <v>482987.01</v>
      </c>
      <c r="K12" s="46">
        <f>8466.68+8509.01</f>
        <v>16975.690000000002</v>
      </c>
      <c r="L12" s="46">
        <f>9471.25+9518.61</f>
        <v>18989.86</v>
      </c>
      <c r="M12" s="46">
        <f>59175.48+59693.26</f>
        <v>118868.74</v>
      </c>
      <c r="N12" s="46">
        <f>15284.65+15361.07</f>
        <v>30645.72</v>
      </c>
      <c r="O12" s="46">
        <f>8022.61+8052.7</f>
        <v>16075.31</v>
      </c>
      <c r="P12" s="46">
        <f>34874.5+35005.28</f>
        <v>69879.78</v>
      </c>
      <c r="Q12" s="46">
        <f>14996.54+15052.78</f>
        <v>30049.32</v>
      </c>
      <c r="R12" s="46"/>
      <c r="S12" s="46">
        <f>50026.62+50214.21</f>
        <v>100240.83</v>
      </c>
      <c r="T12" s="46">
        <f>28529.29+28636.27</f>
        <v>57165.56</v>
      </c>
      <c r="U12" s="46">
        <v>13000</v>
      </c>
      <c r="V12" s="46">
        <v>19000</v>
      </c>
      <c r="W12" s="46"/>
      <c r="X12" s="31">
        <v>110000</v>
      </c>
      <c r="Y12" s="31">
        <f>113602.83+115420.47</f>
        <v>229023.3</v>
      </c>
      <c r="Z12" s="31">
        <v>3419</v>
      </c>
      <c r="AA12" s="31">
        <f>SUM(B12:Z12)</f>
        <v>1616320.12</v>
      </c>
    </row>
    <row r="13" spans="1:27" ht="12.75">
      <c r="A13" s="36" t="s">
        <v>27</v>
      </c>
      <c r="B13" s="10"/>
      <c r="C13" s="10"/>
      <c r="D13" s="10"/>
      <c r="E13" s="10"/>
      <c r="F13" s="10"/>
      <c r="G13" s="10"/>
      <c r="H13" s="46">
        <v>150000</v>
      </c>
      <c r="I13" s="46">
        <v>158500</v>
      </c>
      <c r="J13" s="46">
        <f>242852.75+243763.45</f>
        <v>486616.2</v>
      </c>
      <c r="K13" s="46">
        <f>8551.55+8594.31</f>
        <v>17145.86</v>
      </c>
      <c r="L13" s="46">
        <f>9566.25+9614.03</f>
        <v>19180.28</v>
      </c>
      <c r="M13" s="46">
        <f>60215.58+60742.46</f>
        <v>120958.04000000001</v>
      </c>
      <c r="N13" s="46">
        <f>15437.88+15515.06</f>
        <v>30952.94</v>
      </c>
      <c r="O13" s="46">
        <f>8082.89+8113.2</f>
        <v>16196.09</v>
      </c>
      <c r="P13" s="46">
        <f>35136.55+35268.31</f>
        <v>70404.86</v>
      </c>
      <c r="Q13" s="46">
        <f>15109.22+15165.89</f>
        <v>30275.11</v>
      </c>
      <c r="R13" s="46"/>
      <c r="S13" s="46">
        <f>50402.52+50591.53</f>
        <v>100994.04999999999</v>
      </c>
      <c r="T13" s="46">
        <f>28743.66+28851.45</f>
        <v>57595.11</v>
      </c>
      <c r="U13" s="46">
        <v>13500</v>
      </c>
      <c r="V13" s="46">
        <v>19500</v>
      </c>
      <c r="W13" s="46"/>
      <c r="X13" s="31">
        <v>110000</v>
      </c>
      <c r="Y13" s="31">
        <f>117267.2+119143.47</f>
        <v>236410.66999999998</v>
      </c>
      <c r="Z13" s="31"/>
      <c r="AA13" s="31">
        <f aca="true" t="shared" si="0" ref="AA13:AA45">SUM(B13:Y13)</f>
        <v>1638229.2100000002</v>
      </c>
    </row>
    <row r="14" spans="1:27" ht="12.75">
      <c r="A14" s="36" t="s">
        <v>28</v>
      </c>
      <c r="B14" s="10"/>
      <c r="C14" s="10"/>
      <c r="D14" s="10"/>
      <c r="E14" s="10"/>
      <c r="F14" s="10"/>
      <c r="G14" s="10"/>
      <c r="H14" s="46">
        <v>155000</v>
      </c>
      <c r="I14" s="46">
        <v>163000</v>
      </c>
      <c r="J14" s="46">
        <f>244677.56+245595.1</f>
        <v>490272.66000000003</v>
      </c>
      <c r="K14" s="46">
        <f>8637.28+8680.47</f>
        <v>17317.75</v>
      </c>
      <c r="L14" s="46">
        <f>9662.1+9710.41</f>
        <v>19372.510000000002</v>
      </c>
      <c r="M14" s="46">
        <f>61273.96+61810.11</f>
        <v>123084.07</v>
      </c>
      <c r="N14" s="46">
        <f>15592.64+15670.61</f>
        <v>31263.25</v>
      </c>
      <c r="O14" s="46">
        <f>8143.63+8174.17</f>
        <v>16317.8</v>
      </c>
      <c r="P14" s="46">
        <f>35400.57+35533.32</f>
        <v>70933.89</v>
      </c>
      <c r="Q14" s="46">
        <f>15222.76+15279.85</f>
        <v>30502.61</v>
      </c>
      <c r="R14" s="46"/>
      <c r="S14" s="46">
        <f>50781.25+50971.68</f>
        <v>101752.93</v>
      </c>
      <c r="T14" s="46">
        <f>28959.64+29068.24</f>
        <v>58027.880000000005</v>
      </c>
      <c r="U14" s="46">
        <v>14000</v>
      </c>
      <c r="V14" s="46">
        <v>20000</v>
      </c>
      <c r="W14" s="46"/>
      <c r="X14" s="31">
        <v>115000</v>
      </c>
      <c r="Y14" s="31">
        <f>121049.77+122986.54</f>
        <v>244036.31</v>
      </c>
      <c r="Z14" s="31"/>
      <c r="AA14" s="31">
        <f t="shared" si="0"/>
        <v>1669881.6600000001</v>
      </c>
    </row>
    <row r="15" spans="1:27" ht="12.75">
      <c r="A15" s="36" t="s">
        <v>29</v>
      </c>
      <c r="B15" s="10"/>
      <c r="C15" s="10"/>
      <c r="D15" s="10"/>
      <c r="E15" s="10"/>
      <c r="F15" s="10"/>
      <c r="G15" s="10"/>
      <c r="H15" s="46">
        <v>160000</v>
      </c>
      <c r="I15" s="46">
        <v>167500</v>
      </c>
      <c r="J15" s="46">
        <f>246516.08+247440.52</f>
        <v>493956.6</v>
      </c>
      <c r="K15" s="46">
        <f>8723.87+8767.49</f>
        <v>17491.36</v>
      </c>
      <c r="L15" s="46">
        <f>9758.96+9807.76</f>
        <v>19566.72</v>
      </c>
      <c r="M15" s="46">
        <f>62350.95+62896.52</f>
        <v>125247.47</v>
      </c>
      <c r="N15" s="46">
        <f>15748.96+15827.7</f>
        <v>31576.66</v>
      </c>
      <c r="O15" s="46">
        <f>8204.82+8235.59</f>
        <v>16440.41</v>
      </c>
      <c r="P15" s="46">
        <f>35666.57+35800.32</f>
        <v>71466.89</v>
      </c>
      <c r="Q15" s="46">
        <f>15337.14+15394.66</f>
        <v>30731.8</v>
      </c>
      <c r="R15" s="46"/>
      <c r="S15" s="46">
        <f>51162.82+51354.68</f>
        <v>102517.5</v>
      </c>
      <c r="T15" s="46">
        <f>29177.24+29286.66</f>
        <v>58463.9</v>
      </c>
      <c r="U15" s="46">
        <v>14500</v>
      </c>
      <c r="V15" s="46">
        <v>20500</v>
      </c>
      <c r="W15" s="46"/>
      <c r="X15" s="31">
        <v>115000</v>
      </c>
      <c r="Y15" s="31"/>
      <c r="Z15" s="31"/>
      <c r="AA15" s="31">
        <f t="shared" si="0"/>
        <v>1444959.3099999998</v>
      </c>
    </row>
    <row r="16" spans="1:27" ht="12.75">
      <c r="A16" s="36" t="s">
        <v>30</v>
      </c>
      <c r="B16" s="10"/>
      <c r="C16" s="10"/>
      <c r="D16" s="10"/>
      <c r="E16" s="10"/>
      <c r="F16" s="10"/>
      <c r="G16" s="10"/>
      <c r="H16" s="46">
        <v>165000</v>
      </c>
      <c r="I16" s="46">
        <v>172000</v>
      </c>
      <c r="J16" s="46">
        <f>248368.42+249299.8</f>
        <v>497668.22</v>
      </c>
      <c r="K16" s="46">
        <f>8811.33+8855.39</f>
        <v>17666.72</v>
      </c>
      <c r="L16" s="46">
        <f>9856.8+9906.08</f>
        <v>19762.879999999997</v>
      </c>
      <c r="M16" s="46">
        <f>63446.86+64002.02</f>
        <v>127448.88</v>
      </c>
      <c r="N16" s="46">
        <f>15906.84+15986.38</f>
        <v>31893.22</v>
      </c>
      <c r="O16" s="46">
        <f>8266.47+8297.47</f>
        <v>16563.94</v>
      </c>
      <c r="P16" s="46">
        <f>35934.57+36069.32</f>
        <v>72003.89</v>
      </c>
      <c r="Q16" s="46">
        <f>15452.39+15510.34</f>
        <v>30962.73</v>
      </c>
      <c r="R16" s="46"/>
      <c r="S16" s="46">
        <f>51547.26+51740.56</f>
        <v>103287.82</v>
      </c>
      <c r="T16" s="46">
        <f>29396.48+29506.72</f>
        <v>58903.2</v>
      </c>
      <c r="U16" s="46">
        <v>15000</v>
      </c>
      <c r="V16" s="46">
        <v>21000</v>
      </c>
      <c r="W16" s="46"/>
      <c r="X16" s="31">
        <v>120000</v>
      </c>
      <c r="Y16" s="31"/>
      <c r="Z16" s="31"/>
      <c r="AA16" s="31">
        <f t="shared" si="0"/>
        <v>1469161.4999999998</v>
      </c>
    </row>
    <row r="17" spans="1:27" ht="12.75">
      <c r="A17" s="36" t="s">
        <v>31</v>
      </c>
      <c r="B17" s="10"/>
      <c r="C17" s="10"/>
      <c r="D17" s="10"/>
      <c r="E17" s="10"/>
      <c r="F17" s="10"/>
      <c r="G17" s="10"/>
      <c r="H17" s="46">
        <v>170500</v>
      </c>
      <c r="I17" s="46">
        <v>177000</v>
      </c>
      <c r="J17" s="46">
        <f>250234.68+251173.06</f>
        <v>501407.74</v>
      </c>
      <c r="K17" s="46">
        <f>8899.66+8944.16</f>
        <v>17843.82</v>
      </c>
      <c r="L17" s="46">
        <f>9955.61+10005.39</f>
        <v>19961</v>
      </c>
      <c r="M17" s="46">
        <f>64562.04+65126.96</f>
        <v>129689</v>
      </c>
      <c r="N17" s="46">
        <f>16066.3+16146.64</f>
        <v>32212.94</v>
      </c>
      <c r="O17" s="46">
        <f>8328.59+8359.82</f>
        <v>16688.41</v>
      </c>
      <c r="P17" s="46">
        <f>36204.58+36340.35</f>
        <v>72544.93</v>
      </c>
      <c r="Q17" s="46">
        <f>15568.5+15626.88</f>
        <v>31195.379999999997</v>
      </c>
      <c r="R17" s="46"/>
      <c r="S17" s="46">
        <f>51934.59+52129.34</f>
        <v>104063.93</v>
      </c>
      <c r="T17" s="46">
        <f>29617.37+29728.44</f>
        <v>59345.81</v>
      </c>
      <c r="U17" s="46">
        <v>15500</v>
      </c>
      <c r="V17" s="46">
        <v>21500</v>
      </c>
      <c r="W17" s="46"/>
      <c r="X17" s="31">
        <v>120000</v>
      </c>
      <c r="Y17" s="31"/>
      <c r="Z17" s="31"/>
      <c r="AA17" s="31">
        <f t="shared" si="0"/>
        <v>1489452.9599999997</v>
      </c>
    </row>
    <row r="18" spans="1:27" ht="12.75">
      <c r="A18" s="36" t="s">
        <v>32</v>
      </c>
      <c r="B18" s="10"/>
      <c r="C18" s="10"/>
      <c r="D18" s="10"/>
      <c r="E18" s="10"/>
      <c r="F18" s="10"/>
      <c r="G18" s="10"/>
      <c r="H18" s="46">
        <v>176000</v>
      </c>
      <c r="I18" s="46">
        <v>181500</v>
      </c>
      <c r="J18" s="46">
        <f>252114.96+253060.39</f>
        <v>505175.35</v>
      </c>
      <c r="K18" s="46">
        <f>8988.88+9033.83</f>
        <v>18022.71</v>
      </c>
      <c r="L18" s="46">
        <f>10055.42+10105.69</f>
        <v>20161.11</v>
      </c>
      <c r="M18" s="46">
        <f>65696.82+66271.66</f>
        <v>131968.48</v>
      </c>
      <c r="N18" s="46">
        <f>16227.37+16308.51</f>
        <v>32535.88</v>
      </c>
      <c r="O18" s="46">
        <f>8391.17+8422.64</f>
        <v>16813.809999999998</v>
      </c>
      <c r="P18" s="46">
        <f>36476.63+36613.42</f>
        <v>73090.04999999999</v>
      </c>
      <c r="Q18" s="46">
        <f>15685.48+15744.3</f>
        <v>31429.78</v>
      </c>
      <c r="R18" s="46"/>
      <c r="S18" s="46">
        <f>52324.83+52521.05</f>
        <v>104845.88</v>
      </c>
      <c r="T18" s="46">
        <f>29839.92+29951.82</f>
        <v>59791.74</v>
      </c>
      <c r="U18" s="46">
        <v>16000</v>
      </c>
      <c r="V18" s="46">
        <v>22500</v>
      </c>
      <c r="W18" s="46"/>
      <c r="X18" s="31">
        <v>125000</v>
      </c>
      <c r="Y18" s="31"/>
      <c r="Z18" s="31"/>
      <c r="AA18" s="31">
        <f t="shared" si="0"/>
        <v>1514834.7899999998</v>
      </c>
    </row>
    <row r="19" spans="1:27" ht="12.75">
      <c r="A19" s="36" t="s">
        <v>33</v>
      </c>
      <c r="B19" s="10"/>
      <c r="C19" s="10"/>
      <c r="D19" s="10"/>
      <c r="E19" s="10"/>
      <c r="F19" s="10"/>
      <c r="G19" s="10"/>
      <c r="H19" s="46">
        <v>182000</v>
      </c>
      <c r="I19" s="46">
        <v>186500</v>
      </c>
      <c r="J19" s="46">
        <f>254009.36+254961.9</f>
        <v>508971.26</v>
      </c>
      <c r="K19" s="46">
        <f>9078.99+9124.39</f>
        <v>18203.379999999997</v>
      </c>
      <c r="L19" s="46">
        <f>10156.22+10207</f>
        <v>20363.22</v>
      </c>
      <c r="M19" s="46">
        <f>66851.54+67436.49</f>
        <v>134288.03</v>
      </c>
      <c r="N19" s="46">
        <f>16390.05+16471.99</f>
        <v>32862.04</v>
      </c>
      <c r="O19" s="46">
        <f>8454.22+8485.92</f>
        <v>16940.14</v>
      </c>
      <c r="P19" s="46">
        <f>36750.72+36888.53</f>
        <v>73639.25</v>
      </c>
      <c r="Q19" s="46">
        <f>15803.24+15862.6</f>
        <v>31665.84</v>
      </c>
      <c r="R19" s="46"/>
      <c r="S19" s="46">
        <f>52718+52915.69</f>
        <v>105633.69</v>
      </c>
      <c r="T19" s="46">
        <f>30064.14+30176.88</f>
        <v>60241.020000000004</v>
      </c>
      <c r="U19" s="46">
        <v>16500</v>
      </c>
      <c r="V19" s="46">
        <v>23000</v>
      </c>
      <c r="W19" s="46"/>
      <c r="X19" s="31">
        <v>130000</v>
      </c>
      <c r="Y19" s="31"/>
      <c r="Z19" s="31"/>
      <c r="AA19" s="31">
        <f t="shared" si="0"/>
        <v>1540807.8699999999</v>
      </c>
    </row>
    <row r="20" spans="1:27" ht="12.75">
      <c r="A20" s="36" t="s">
        <v>34</v>
      </c>
      <c r="B20" s="10"/>
      <c r="C20" s="10"/>
      <c r="D20" s="10"/>
      <c r="E20" s="10"/>
      <c r="F20" s="10"/>
      <c r="G20" s="10"/>
      <c r="H20" s="46">
        <v>187500</v>
      </c>
      <c r="I20" s="46">
        <v>192000</v>
      </c>
      <c r="J20" s="46">
        <f>255918.01+256877.7</f>
        <v>512795.71</v>
      </c>
      <c r="K20" s="46">
        <f>9170.01+9215.86</f>
        <v>18385.870000000003</v>
      </c>
      <c r="L20" s="46">
        <f>10258.04+10309.33</f>
        <v>20567.370000000003</v>
      </c>
      <c r="M20" s="46">
        <f>68026.56+68621.79</f>
        <v>136648.34999999998</v>
      </c>
      <c r="N20" s="46">
        <f>16554.36+16637.13</f>
        <v>33191.490000000005</v>
      </c>
      <c r="O20" s="46">
        <f>8517.75+8549.69</f>
        <v>17067.440000000002</v>
      </c>
      <c r="P20" s="46">
        <f>37026.86+37165.71</f>
        <v>74192.57</v>
      </c>
      <c r="Q20" s="46">
        <f>15922.09+15981.79</f>
        <v>31903.88</v>
      </c>
      <c r="R20" s="46"/>
      <c r="S20" s="46">
        <f>53114.13+53313.31</f>
        <v>106427.44</v>
      </c>
      <c r="T20" s="46">
        <f>30290.04+30403.63</f>
        <v>60693.67</v>
      </c>
      <c r="U20" s="46">
        <v>17000</v>
      </c>
      <c r="V20" s="46">
        <v>23500</v>
      </c>
      <c r="W20" s="46"/>
      <c r="X20" s="31">
        <v>130000</v>
      </c>
      <c r="Y20" s="31"/>
      <c r="Z20" s="31"/>
      <c r="AA20" s="31">
        <f t="shared" si="0"/>
        <v>1561873.7899999996</v>
      </c>
    </row>
    <row r="21" spans="1:27" ht="12.75">
      <c r="A21" s="36" t="s">
        <v>35</v>
      </c>
      <c r="B21" s="10"/>
      <c r="C21" s="10"/>
      <c r="D21" s="10"/>
      <c r="E21" s="10"/>
      <c r="F21" s="10"/>
      <c r="G21" s="10"/>
      <c r="H21" s="46">
        <v>194000</v>
      </c>
      <c r="I21" s="46">
        <v>197000</v>
      </c>
      <c r="J21" s="46">
        <f>257840.99+258807.89</f>
        <v>516648.88</v>
      </c>
      <c r="K21" s="46">
        <v>9261.8</v>
      </c>
      <c r="L21" s="46">
        <v>10361.07</v>
      </c>
      <c r="M21" s="46">
        <f>69222.23+69827.93</f>
        <v>139050.15999999997</v>
      </c>
      <c r="N21" s="46">
        <f>16720.32+16803.91</f>
        <v>33524.229999999996</v>
      </c>
      <c r="O21" s="46">
        <f>8581.75+8613.93</f>
        <v>17195.68</v>
      </c>
      <c r="P21" s="46">
        <f>37305.09+37444.98</f>
        <v>74750.07</v>
      </c>
      <c r="Q21" s="46">
        <f>16041.72+16101.89</f>
        <v>32143.61</v>
      </c>
      <c r="R21" s="46"/>
      <c r="S21" s="46">
        <f>53513.23+53713.9</f>
        <v>107227.13</v>
      </c>
      <c r="T21" s="46">
        <f>30517.64+30632.08</f>
        <v>61149.72</v>
      </c>
      <c r="U21" s="46">
        <v>17500</v>
      </c>
      <c r="V21" s="46">
        <v>24000</v>
      </c>
      <c r="W21" s="46"/>
      <c r="X21" s="31">
        <v>135000</v>
      </c>
      <c r="Y21" s="31"/>
      <c r="Z21" s="31"/>
      <c r="AA21" s="31">
        <f t="shared" si="0"/>
        <v>1568812.3499999999</v>
      </c>
    </row>
    <row r="22" spans="1:27" ht="12.75">
      <c r="A22" s="36" t="s">
        <v>36</v>
      </c>
      <c r="B22" s="10"/>
      <c r="C22" s="10"/>
      <c r="D22" s="10"/>
      <c r="E22" s="10"/>
      <c r="F22" s="10"/>
      <c r="G22" s="10"/>
      <c r="H22" s="46">
        <v>200000</v>
      </c>
      <c r="I22" s="46">
        <v>202500</v>
      </c>
      <c r="J22" s="46">
        <f>259778.42+260752.59</f>
        <v>520531.01</v>
      </c>
      <c r="K22" s="46"/>
      <c r="L22" s="46"/>
      <c r="M22" s="46">
        <f>70438.92+71055.26</f>
        <v>141494.18</v>
      </c>
      <c r="N22" s="46">
        <f>16887.94+16972.54</f>
        <v>33860.479999999996</v>
      </c>
      <c r="O22" s="46">
        <f>8646.23+8678.66</f>
        <v>17324.89</v>
      </c>
      <c r="P22" s="46">
        <f>37585.4+37726.34</f>
        <v>75311.73999999999</v>
      </c>
      <c r="Q22" s="46">
        <f>16162.27+16222.87</f>
        <v>32385.14</v>
      </c>
      <c r="R22" s="46"/>
      <c r="S22" s="46">
        <f>53915.33+54117.51</f>
        <v>108032.84</v>
      </c>
      <c r="T22" s="46">
        <f>30746.95+30862.25</f>
        <v>61609.2</v>
      </c>
      <c r="U22" s="46">
        <v>18000</v>
      </c>
      <c r="V22" s="46">
        <v>25000</v>
      </c>
      <c r="W22" s="46"/>
      <c r="X22" s="31">
        <v>140000</v>
      </c>
      <c r="Y22" s="31"/>
      <c r="Z22" s="31"/>
      <c r="AA22" s="31">
        <f t="shared" si="0"/>
        <v>1576049.4799999997</v>
      </c>
    </row>
    <row r="23" spans="1:27" ht="12.75">
      <c r="A23" s="36" t="s">
        <v>37</v>
      </c>
      <c r="B23" s="10"/>
      <c r="C23" s="10"/>
      <c r="D23" s="10"/>
      <c r="E23" s="10"/>
      <c r="F23" s="10"/>
      <c r="G23" s="10"/>
      <c r="H23" s="46">
        <v>206500</v>
      </c>
      <c r="I23" s="46">
        <v>208000</v>
      </c>
      <c r="J23" s="46">
        <f>261730.42+262711.9</f>
        <v>524442.3200000001</v>
      </c>
      <c r="K23" s="46"/>
      <c r="L23" s="46"/>
      <c r="M23" s="46">
        <v>71676.82</v>
      </c>
      <c r="N23" s="31"/>
      <c r="O23" s="46">
        <f>8711.2+8743.87</f>
        <v>17455.07</v>
      </c>
      <c r="P23" s="46">
        <f>37867.82+38009.82</f>
        <v>75877.64</v>
      </c>
      <c r="Q23" s="46">
        <f>16283.71+16344.78</f>
        <v>32628.489999999998</v>
      </c>
      <c r="R23" s="46"/>
      <c r="S23" s="46">
        <f>54320.46+54524.16</f>
        <v>108844.62</v>
      </c>
      <c r="T23" s="46">
        <f>30977.99+31094.15</f>
        <v>62072.14</v>
      </c>
      <c r="U23" s="46">
        <v>18500</v>
      </c>
      <c r="V23" s="46">
        <v>25500</v>
      </c>
      <c r="W23" s="46"/>
      <c r="X23" s="31">
        <v>145000</v>
      </c>
      <c r="Y23" s="31"/>
      <c r="Z23" s="31"/>
      <c r="AA23" s="31">
        <f t="shared" si="0"/>
        <v>1496497.0999999999</v>
      </c>
    </row>
    <row r="24" spans="1:27" ht="12.75">
      <c r="A24" s="36" t="s">
        <v>38</v>
      </c>
      <c r="B24" s="10"/>
      <c r="C24" s="10"/>
      <c r="D24" s="10"/>
      <c r="E24" s="10"/>
      <c r="F24" s="10"/>
      <c r="G24" s="10"/>
      <c r="H24" s="46">
        <v>213500</v>
      </c>
      <c r="I24" s="46">
        <v>214000</v>
      </c>
      <c r="J24" s="46">
        <f>263697.07+264685.94</f>
        <v>528383.01</v>
      </c>
      <c r="K24" s="46"/>
      <c r="L24" s="46"/>
      <c r="M24" s="46"/>
      <c r="N24" s="46"/>
      <c r="O24" s="46">
        <v>8776.56</v>
      </c>
      <c r="P24" s="46">
        <v>38152.53</v>
      </c>
      <c r="Q24" s="46">
        <f>16406.07+16467.59</f>
        <v>32873.66</v>
      </c>
      <c r="R24" s="46"/>
      <c r="S24" s="46">
        <f>54728.62+54933.85</f>
        <v>109662.47</v>
      </c>
      <c r="T24" s="46">
        <f>31210.76+31327.8</f>
        <v>62538.56</v>
      </c>
      <c r="U24" s="46">
        <v>19500</v>
      </c>
      <c r="V24" s="46">
        <v>26000</v>
      </c>
      <c r="W24" s="46"/>
      <c r="X24" s="31">
        <v>150000</v>
      </c>
      <c r="Y24" s="31"/>
      <c r="Z24" s="31"/>
      <c r="AA24" s="31">
        <f t="shared" si="0"/>
        <v>1403386.7900000003</v>
      </c>
    </row>
    <row r="25" spans="1:27" ht="12.75">
      <c r="A25" s="36" t="s">
        <v>39</v>
      </c>
      <c r="B25" s="10"/>
      <c r="C25" s="10"/>
      <c r="D25" s="10"/>
      <c r="E25" s="10"/>
      <c r="F25" s="10"/>
      <c r="G25" s="10"/>
      <c r="H25" s="46">
        <v>220500</v>
      </c>
      <c r="I25" s="46">
        <v>219500</v>
      </c>
      <c r="J25" s="46">
        <f>265678.51+266674.8</f>
        <v>532353.31</v>
      </c>
      <c r="K25" s="46"/>
      <c r="L25" s="46"/>
      <c r="M25" s="46"/>
      <c r="N25" s="46"/>
      <c r="O25" s="46"/>
      <c r="P25" s="46"/>
      <c r="Q25" s="46">
        <v>16529.34</v>
      </c>
      <c r="R25" s="46"/>
      <c r="S25" s="46">
        <f>55139.86+55346.63</f>
        <v>110486.48999999999</v>
      </c>
      <c r="T25" s="46">
        <f>31445.28+31563.2</f>
        <v>63008.479999999996</v>
      </c>
      <c r="U25" s="46">
        <v>20000</v>
      </c>
      <c r="V25" s="46">
        <v>27000</v>
      </c>
      <c r="W25" s="46"/>
      <c r="X25" s="31">
        <v>155000</v>
      </c>
      <c r="Y25" s="31"/>
      <c r="Z25" s="31"/>
      <c r="AA25" s="31">
        <f t="shared" si="0"/>
        <v>1364377.62</v>
      </c>
    </row>
    <row r="26" spans="1:27" ht="12.75">
      <c r="A26" s="36" t="s">
        <v>40</v>
      </c>
      <c r="B26" s="10"/>
      <c r="C26" s="10"/>
      <c r="D26" s="10"/>
      <c r="E26" s="10"/>
      <c r="F26" s="10"/>
      <c r="G26" s="10"/>
      <c r="H26" s="46">
        <v>227500</v>
      </c>
      <c r="I26" s="46">
        <v>225500</v>
      </c>
      <c r="J26" s="46">
        <f>267674.84+268678.48</f>
        <v>536353.3200000001</v>
      </c>
      <c r="K26" s="46"/>
      <c r="L26" s="46"/>
      <c r="M26" s="46"/>
      <c r="N26" s="46"/>
      <c r="O26" s="46"/>
      <c r="P26" s="46"/>
      <c r="Q26" s="46"/>
      <c r="R26" s="46"/>
      <c r="S26" s="46">
        <v>55554.36</v>
      </c>
      <c r="T26" s="46">
        <f>31681.56+31800.37</f>
        <v>63481.93</v>
      </c>
      <c r="U26" s="46">
        <v>20500</v>
      </c>
      <c r="V26" s="46">
        <v>27500</v>
      </c>
      <c r="W26" s="46"/>
      <c r="X26" s="31">
        <v>160000</v>
      </c>
      <c r="Y26" s="31"/>
      <c r="Z26" s="31"/>
      <c r="AA26" s="31">
        <f t="shared" si="0"/>
        <v>1316389.61</v>
      </c>
    </row>
    <row r="27" spans="1:27" ht="12.75">
      <c r="A27" s="36" t="s">
        <v>41</v>
      </c>
      <c r="B27" s="10"/>
      <c r="C27" s="10"/>
      <c r="D27" s="10"/>
      <c r="E27" s="10"/>
      <c r="F27" s="10"/>
      <c r="G27" s="10"/>
      <c r="H27" s="46">
        <v>235000</v>
      </c>
      <c r="I27" s="46">
        <v>232000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>
        <f>31919.62+32039.32</f>
        <v>63958.94</v>
      </c>
      <c r="U27" s="46">
        <v>21500</v>
      </c>
      <c r="V27" s="46">
        <v>28500</v>
      </c>
      <c r="W27" s="46"/>
      <c r="X27" s="31">
        <v>165000</v>
      </c>
      <c r="Y27" s="31"/>
      <c r="Z27" s="31"/>
      <c r="AA27" s="31">
        <f t="shared" si="0"/>
        <v>745958.94</v>
      </c>
    </row>
    <row r="28" spans="1:27" ht="12.75">
      <c r="A28" s="36" t="s">
        <v>42</v>
      </c>
      <c r="B28" s="10"/>
      <c r="C28" s="10"/>
      <c r="D28" s="10"/>
      <c r="E28" s="10"/>
      <c r="F28" s="10"/>
      <c r="G28" s="10"/>
      <c r="H28" s="46">
        <v>242500</v>
      </c>
      <c r="I28" s="46">
        <v>238500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32159.3</v>
      </c>
      <c r="U28" s="46">
        <v>22000</v>
      </c>
      <c r="V28" s="46">
        <v>29000</v>
      </c>
      <c r="W28" s="46"/>
      <c r="X28" s="31">
        <v>170000</v>
      </c>
      <c r="Y28" s="31"/>
      <c r="Z28" s="31"/>
      <c r="AA28" s="31">
        <f t="shared" si="0"/>
        <v>734159.3</v>
      </c>
    </row>
    <row r="29" spans="1:27" ht="12.75">
      <c r="A29" s="36" t="s">
        <v>43</v>
      </c>
      <c r="B29" s="10"/>
      <c r="C29" s="10"/>
      <c r="D29" s="10"/>
      <c r="E29" s="10"/>
      <c r="F29" s="10"/>
      <c r="G29" s="10"/>
      <c r="H29" s="46">
        <v>250500</v>
      </c>
      <c r="I29" s="46">
        <v>245000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>
        <v>23000</v>
      </c>
      <c r="V29" s="46">
        <v>30000</v>
      </c>
      <c r="W29" s="46"/>
      <c r="X29" s="31">
        <v>175000</v>
      </c>
      <c r="Y29" s="31"/>
      <c r="Z29" s="31"/>
      <c r="AA29" s="31">
        <f t="shared" si="0"/>
        <v>723500</v>
      </c>
    </row>
    <row r="30" spans="1:27" ht="12.75">
      <c r="A30" s="36" t="s">
        <v>44</v>
      </c>
      <c r="B30" s="10"/>
      <c r="C30" s="10"/>
      <c r="D30" s="10"/>
      <c r="E30" s="10"/>
      <c r="F30" s="10"/>
      <c r="G30" s="10"/>
      <c r="H30" s="46">
        <v>258500</v>
      </c>
      <c r="I30" s="46">
        <v>251500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>
        <v>23500</v>
      </c>
      <c r="V30" s="46">
        <v>31000</v>
      </c>
      <c r="W30" s="46"/>
      <c r="X30" s="31">
        <v>180000</v>
      </c>
      <c r="Y30" s="31"/>
      <c r="Z30" s="31"/>
      <c r="AA30" s="31">
        <f t="shared" si="0"/>
        <v>744500</v>
      </c>
    </row>
    <row r="31" spans="1:27" ht="12.75">
      <c r="A31" s="36" t="s">
        <v>45</v>
      </c>
      <c r="B31" s="10"/>
      <c r="C31" s="10"/>
      <c r="D31" s="10"/>
      <c r="E31" s="10"/>
      <c r="F31" s="10"/>
      <c r="G31" s="10"/>
      <c r="H31" s="46">
        <v>267000</v>
      </c>
      <c r="I31" s="46">
        <v>258500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>
        <v>24500</v>
      </c>
      <c r="V31" s="46">
        <v>31500</v>
      </c>
      <c r="W31" s="46"/>
      <c r="AA31" s="31">
        <f t="shared" si="0"/>
        <v>581500</v>
      </c>
    </row>
    <row r="32" spans="1:27" ht="12.75">
      <c r="A32" s="52">
        <v>2045</v>
      </c>
      <c r="B32" s="10"/>
      <c r="C32" s="10"/>
      <c r="D32" s="10"/>
      <c r="E32" s="10"/>
      <c r="F32" s="10"/>
      <c r="G32" s="10"/>
      <c r="H32" s="46">
        <v>275500</v>
      </c>
      <c r="I32" s="46">
        <v>265500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>
        <v>25000</v>
      </c>
      <c r="V32" s="46">
        <v>32500</v>
      </c>
      <c r="W32" s="46"/>
      <c r="X32" s="46"/>
      <c r="Y32" s="46"/>
      <c r="Z32" s="46"/>
      <c r="AA32" s="31">
        <f t="shared" si="0"/>
        <v>598500</v>
      </c>
    </row>
    <row r="33" spans="1:27" ht="12.75">
      <c r="A33" s="52">
        <v>2046</v>
      </c>
      <c r="B33" s="10"/>
      <c r="C33" s="10"/>
      <c r="D33" s="10"/>
      <c r="E33" s="10"/>
      <c r="F33" s="10"/>
      <c r="G33" s="10"/>
      <c r="H33" s="46">
        <v>284500</v>
      </c>
      <c r="I33" s="46">
        <v>273000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>
        <v>26000</v>
      </c>
      <c r="V33" s="46">
        <v>33500</v>
      </c>
      <c r="W33" s="46"/>
      <c r="X33" s="46"/>
      <c r="Y33" s="46"/>
      <c r="Z33" s="46"/>
      <c r="AA33" s="31">
        <f t="shared" si="0"/>
        <v>617000</v>
      </c>
    </row>
    <row r="34" spans="1:27" ht="12.75">
      <c r="A34" s="52">
        <v>2047</v>
      </c>
      <c r="B34" s="10"/>
      <c r="C34" s="10"/>
      <c r="D34" s="10"/>
      <c r="E34" s="10"/>
      <c r="F34" s="10"/>
      <c r="G34" s="10"/>
      <c r="H34" s="46">
        <v>294000</v>
      </c>
      <c r="I34" s="46">
        <v>280500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>
        <v>27000</v>
      </c>
      <c r="V34" s="46">
        <v>34500</v>
      </c>
      <c r="W34" s="46"/>
      <c r="X34" s="46"/>
      <c r="Y34" s="46"/>
      <c r="Z34" s="46"/>
      <c r="AA34" s="31">
        <f t="shared" si="0"/>
        <v>636000</v>
      </c>
    </row>
    <row r="35" spans="1:27" ht="12.75">
      <c r="A35" s="52">
        <v>2048</v>
      </c>
      <c r="B35" s="10"/>
      <c r="C35" s="10"/>
      <c r="D35" s="10"/>
      <c r="E35" s="10"/>
      <c r="F35" s="10"/>
      <c r="G35" s="10"/>
      <c r="H35" s="46">
        <v>303500</v>
      </c>
      <c r="I35" s="46">
        <v>288000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>
        <v>28000</v>
      </c>
      <c r="V35" s="46">
        <v>35500</v>
      </c>
      <c r="W35" s="46"/>
      <c r="X35" s="46"/>
      <c r="Y35" s="46"/>
      <c r="Z35" s="46"/>
      <c r="AA35" s="31">
        <f t="shared" si="0"/>
        <v>655000</v>
      </c>
    </row>
    <row r="36" spans="1:27" ht="12.75">
      <c r="A36" s="52">
        <v>2049</v>
      </c>
      <c r="B36" s="10"/>
      <c r="C36" s="10"/>
      <c r="D36" s="10"/>
      <c r="E36" s="10"/>
      <c r="F36" s="10"/>
      <c r="G36" s="10"/>
      <c r="H36" s="46">
        <v>313000</v>
      </c>
      <c r="I36" s="46">
        <v>296000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>
        <v>29000</v>
      </c>
      <c r="V36" s="46">
        <v>36500</v>
      </c>
      <c r="W36" s="46"/>
      <c r="X36" s="46"/>
      <c r="Y36" s="46"/>
      <c r="Z36" s="46"/>
      <c r="AA36" s="31">
        <f t="shared" si="0"/>
        <v>674500</v>
      </c>
    </row>
    <row r="37" spans="1:27" ht="12.75">
      <c r="A37" s="52">
        <v>2050</v>
      </c>
      <c r="B37" s="10"/>
      <c r="C37" s="10"/>
      <c r="D37" s="10"/>
      <c r="E37" s="31"/>
      <c r="F37" s="10"/>
      <c r="G37" s="10"/>
      <c r="H37" s="46">
        <v>323500</v>
      </c>
      <c r="I37" s="46">
        <v>304000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v>30000</v>
      </c>
      <c r="V37" s="46">
        <v>37500</v>
      </c>
      <c r="W37" s="46"/>
      <c r="X37" s="46"/>
      <c r="Y37" s="46"/>
      <c r="Z37" s="46"/>
      <c r="AA37" s="31">
        <f t="shared" si="0"/>
        <v>695000</v>
      </c>
    </row>
    <row r="38" spans="1:27" ht="12.75">
      <c r="A38" s="52">
        <v>2051</v>
      </c>
      <c r="B38" s="10"/>
      <c r="C38" s="10"/>
      <c r="D38" s="10"/>
      <c r="E38" s="31"/>
      <c r="F38" s="10"/>
      <c r="G38" s="10"/>
      <c r="H38" s="46">
        <v>334000</v>
      </c>
      <c r="I38" s="46">
        <v>312500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>
        <v>31000</v>
      </c>
      <c r="V38" s="46">
        <v>38500</v>
      </c>
      <c r="W38" s="46"/>
      <c r="X38" s="46"/>
      <c r="Y38" s="46"/>
      <c r="Z38" s="46"/>
      <c r="AA38" s="31">
        <f t="shared" si="0"/>
        <v>716000</v>
      </c>
    </row>
    <row r="39" spans="1:27" ht="12.75">
      <c r="A39" s="52">
        <v>2052</v>
      </c>
      <c r="B39" s="10"/>
      <c r="C39" s="10"/>
      <c r="D39" s="10"/>
      <c r="E39" s="31"/>
      <c r="F39" s="10"/>
      <c r="G39" s="10"/>
      <c r="H39" s="46">
        <v>340500</v>
      </c>
      <c r="I39" s="46">
        <v>321000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>
        <v>32000</v>
      </c>
      <c r="V39" s="46">
        <v>39500</v>
      </c>
      <c r="W39" s="46"/>
      <c r="X39" s="46"/>
      <c r="Y39" s="46"/>
      <c r="Z39" s="46"/>
      <c r="AA39" s="31">
        <f t="shared" si="0"/>
        <v>733000</v>
      </c>
    </row>
    <row r="40" spans="1:27" ht="12.75">
      <c r="A40" s="52">
        <v>2053</v>
      </c>
      <c r="B40" s="10"/>
      <c r="C40" s="10"/>
      <c r="D40" s="10"/>
      <c r="E40" s="31"/>
      <c r="F40" s="10"/>
      <c r="G40" s="10"/>
      <c r="H40" s="46"/>
      <c r="I40" s="46">
        <v>330000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>
        <v>33000</v>
      </c>
      <c r="V40" s="46">
        <v>40500</v>
      </c>
      <c r="W40" s="46"/>
      <c r="X40" s="46"/>
      <c r="Y40" s="46"/>
      <c r="Z40" s="46"/>
      <c r="AA40" s="31">
        <f t="shared" si="0"/>
        <v>403500</v>
      </c>
    </row>
    <row r="41" spans="1:27" ht="12.75">
      <c r="A41" s="52">
        <v>2054</v>
      </c>
      <c r="B41" s="10"/>
      <c r="C41" s="10"/>
      <c r="D41" s="10"/>
      <c r="E41" s="31"/>
      <c r="F41" s="10"/>
      <c r="G41" s="10"/>
      <c r="H41" s="46"/>
      <c r="I41" s="46">
        <v>339000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>
        <v>30000</v>
      </c>
      <c r="V41" s="46">
        <v>42000</v>
      </c>
      <c r="W41" s="46"/>
      <c r="X41" s="46"/>
      <c r="Y41" s="46"/>
      <c r="Z41" s="46"/>
      <c r="AA41" s="31">
        <f t="shared" si="0"/>
        <v>411000</v>
      </c>
    </row>
    <row r="42" spans="1:27" ht="12.75">
      <c r="A42" s="52">
        <v>2055</v>
      </c>
      <c r="B42" s="10"/>
      <c r="C42" s="10"/>
      <c r="D42" s="10"/>
      <c r="E42" s="31"/>
      <c r="F42" s="10"/>
      <c r="G42" s="10"/>
      <c r="H42" s="46"/>
      <c r="I42" s="46">
        <v>348500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31">
        <f t="shared" si="0"/>
        <v>348500</v>
      </c>
    </row>
    <row r="43" spans="1:27" ht="12.75">
      <c r="A43" s="52">
        <v>2056</v>
      </c>
      <c r="B43" s="10"/>
      <c r="C43" s="10"/>
      <c r="D43" s="10"/>
      <c r="E43" s="31"/>
      <c r="F43" s="10"/>
      <c r="G43" s="10"/>
      <c r="H43" s="46"/>
      <c r="I43" s="46">
        <v>358000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31">
        <f t="shared" si="0"/>
        <v>358000</v>
      </c>
    </row>
    <row r="44" spans="1:27" ht="12.75">
      <c r="A44" s="52">
        <v>2057</v>
      </c>
      <c r="B44" s="31"/>
      <c r="C44" s="31"/>
      <c r="D44" s="31"/>
      <c r="E44" s="31"/>
      <c r="F44" s="31"/>
      <c r="G44" s="31"/>
      <c r="H44" s="46"/>
      <c r="I44" s="46">
        <v>367000</v>
      </c>
      <c r="J44" s="46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>
        <f t="shared" si="0"/>
        <v>367000</v>
      </c>
    </row>
    <row r="45" spans="1:27" ht="12.75">
      <c r="A45" s="52">
        <v>2058</v>
      </c>
      <c r="B45" s="31"/>
      <c r="C45" s="31"/>
      <c r="D45" s="31"/>
      <c r="E45" s="31"/>
      <c r="F45" s="31"/>
      <c r="G45" s="31"/>
      <c r="H45" s="46"/>
      <c r="I45" s="46"/>
      <c r="J45" s="4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>
        <f t="shared" si="0"/>
        <v>0</v>
      </c>
    </row>
    <row r="46" spans="1:27" ht="13.5" thickBot="1">
      <c r="A46" s="36"/>
      <c r="B46" s="47">
        <f aca="true" t="shared" si="1" ref="B46:AA46">SUM(B9:B44)</f>
        <v>0</v>
      </c>
      <c r="C46" s="47">
        <f t="shared" si="1"/>
        <v>0</v>
      </c>
      <c r="D46" s="47">
        <f t="shared" si="1"/>
        <v>0</v>
      </c>
      <c r="E46" s="47">
        <f t="shared" si="1"/>
        <v>0</v>
      </c>
      <c r="F46" s="47">
        <f t="shared" si="1"/>
        <v>0</v>
      </c>
      <c r="G46" s="47">
        <f t="shared" si="1"/>
        <v>0</v>
      </c>
      <c r="H46" s="47">
        <f t="shared" si="1"/>
        <v>6885000</v>
      </c>
      <c r="I46" s="47">
        <f t="shared" si="1"/>
        <v>8566500</v>
      </c>
      <c r="J46" s="47">
        <f t="shared" si="1"/>
        <v>9066018.1</v>
      </c>
      <c r="K46" s="47">
        <f t="shared" si="1"/>
        <v>218237.73</v>
      </c>
      <c r="L46" s="47">
        <f t="shared" si="1"/>
        <v>244132.15</v>
      </c>
      <c r="M46" s="47">
        <f t="shared" si="1"/>
        <v>1844850.3799999997</v>
      </c>
      <c r="N46" s="47">
        <f t="shared" si="1"/>
        <v>444642.99999999994</v>
      </c>
      <c r="O46" s="47">
        <f t="shared" si="1"/>
        <v>257365.71000000002</v>
      </c>
      <c r="P46" s="47">
        <f t="shared" si="1"/>
        <v>1118775.9600000002</v>
      </c>
      <c r="Q46" s="47">
        <f t="shared" si="1"/>
        <v>514086.66</v>
      </c>
      <c r="R46" s="47">
        <f t="shared" si="1"/>
        <v>0</v>
      </c>
      <c r="S46" s="47">
        <f t="shared" si="1"/>
        <v>1825831.1500000001</v>
      </c>
      <c r="T46" s="47">
        <f t="shared" si="1"/>
        <v>1169157.47</v>
      </c>
      <c r="U46" s="47">
        <f t="shared" si="1"/>
        <v>690500</v>
      </c>
      <c r="V46" s="47">
        <f t="shared" si="1"/>
        <v>920000</v>
      </c>
      <c r="W46" s="47">
        <f t="shared" si="1"/>
        <v>29931.989999999998</v>
      </c>
      <c r="X46" s="47">
        <f t="shared" si="1"/>
        <v>2960000</v>
      </c>
      <c r="Y46" s="47">
        <f t="shared" si="1"/>
        <v>1354488.48</v>
      </c>
      <c r="Z46" s="47">
        <f t="shared" si="1"/>
        <v>23299</v>
      </c>
      <c r="AA46" s="47">
        <f t="shared" si="1"/>
        <v>38132817.78</v>
      </c>
    </row>
    <row r="47" spans="1:27" ht="13.5" thickTop="1">
      <c r="A47" s="3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2.75">
      <c r="A48" s="3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2.75">
      <c r="A49" s="33" t="s">
        <v>116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57" t="s">
        <v>124</v>
      </c>
      <c r="Y49" s="58" t="s">
        <v>21</v>
      </c>
      <c r="Z49" s="61">
        <v>2020</v>
      </c>
      <c r="AA49" s="31"/>
    </row>
    <row r="50" spans="1:27" ht="12.75">
      <c r="A50" s="3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68"/>
      <c r="V50" s="68"/>
      <c r="W50" s="54" t="s">
        <v>121</v>
      </c>
      <c r="X50" s="54" t="s">
        <v>125</v>
      </c>
      <c r="Y50" s="54" t="s">
        <v>126</v>
      </c>
      <c r="Z50" s="54" t="s">
        <v>128</v>
      </c>
      <c r="AA50" s="31"/>
    </row>
    <row r="51" spans="1:27" s="51" customFormat="1" ht="12.75">
      <c r="A51" s="44" t="s">
        <v>3</v>
      </c>
      <c r="B51" s="45" t="s">
        <v>5</v>
      </c>
      <c r="C51" s="45" t="s">
        <v>56</v>
      </c>
      <c r="D51" s="45" t="s">
        <v>8</v>
      </c>
      <c r="E51" s="45">
        <v>2004</v>
      </c>
      <c r="F51" s="45" t="s">
        <v>9</v>
      </c>
      <c r="G51" s="45" t="s">
        <v>10</v>
      </c>
      <c r="H51" s="53">
        <v>2011</v>
      </c>
      <c r="I51" s="53">
        <v>2016</v>
      </c>
      <c r="J51" s="53" t="s">
        <v>119</v>
      </c>
      <c r="K51" s="53" t="s">
        <v>71</v>
      </c>
      <c r="L51" s="53" t="s">
        <v>73</v>
      </c>
      <c r="M51" s="53" t="s">
        <v>85</v>
      </c>
      <c r="N51" s="53" t="s">
        <v>86</v>
      </c>
      <c r="O51" s="53" t="s">
        <v>89</v>
      </c>
      <c r="P51" s="53" t="s">
        <v>90</v>
      </c>
      <c r="Q51" s="53" t="s">
        <v>91</v>
      </c>
      <c r="R51" s="45" t="s">
        <v>78</v>
      </c>
      <c r="S51" s="53" t="s">
        <v>115</v>
      </c>
      <c r="T51" s="53" t="s">
        <v>130</v>
      </c>
      <c r="U51" s="53" t="s">
        <v>76</v>
      </c>
      <c r="V51" s="53" t="s">
        <v>77</v>
      </c>
      <c r="W51" s="45" t="s">
        <v>122</v>
      </c>
      <c r="X51" s="53" t="s">
        <v>122</v>
      </c>
      <c r="Y51" s="45" t="s">
        <v>127</v>
      </c>
      <c r="Z51" s="45" t="s">
        <v>129</v>
      </c>
      <c r="AA51" s="45" t="s">
        <v>11</v>
      </c>
    </row>
    <row r="52" spans="1:27" ht="12.75">
      <c r="A52" s="36"/>
      <c r="B52" s="31"/>
      <c r="C52" s="31"/>
      <c r="D52" s="31"/>
      <c r="E52" s="31"/>
      <c r="F52" s="31"/>
      <c r="G52" s="3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31"/>
    </row>
    <row r="53" spans="1:27" ht="12.75">
      <c r="A53" s="36" t="s">
        <v>23</v>
      </c>
      <c r="B53" s="10"/>
      <c r="C53" s="10"/>
      <c r="D53" s="10"/>
      <c r="E53" s="10"/>
      <c r="F53" s="10"/>
      <c r="G53" s="10"/>
      <c r="H53" s="31">
        <f>94668.75+92853.75</f>
        <v>187522.5</v>
      </c>
      <c r="I53" s="31">
        <f>(235580*0.5)+231660*0.5</f>
        <v>233620</v>
      </c>
      <c r="J53" s="31">
        <f>33997.57+33113.74+9066.02+8830.33</f>
        <v>85007.66</v>
      </c>
      <c r="K53" s="31">
        <f>1091.19+272.8+1050.1+262.53</f>
        <v>2676.62</v>
      </c>
      <c r="L53" s="31">
        <f>1220.66+244.13+1174.7+234.94</f>
        <v>2874.43</v>
      </c>
      <c r="M53" s="31">
        <f>16142.44+2306.06+15651.03+2235.86</f>
        <v>36335.39</v>
      </c>
      <c r="N53" s="31">
        <f>2223.21+444.64+2149.05+429.81</f>
        <v>5246.71</v>
      </c>
      <c r="O53" s="31">
        <f>965.12+321.71+935.7+311.9</f>
        <v>2534.43</v>
      </c>
      <c r="P53" s="31">
        <f>4195.41+1118.78+4067.53+1084.68</f>
        <v>10466.4</v>
      </c>
      <c r="Q53" s="31">
        <f>1927.83+514.09+1872.84+499.43</f>
        <v>4814.1900000000005</v>
      </c>
      <c r="R53" s="31"/>
      <c r="S53" s="31">
        <f>6846.87+6663.43+2282.29+2221.14</f>
        <v>18013.73</v>
      </c>
      <c r="T53" s="31">
        <f>4384.34+4279.73+1169.16+1141.26</f>
        <v>10974.49</v>
      </c>
      <c r="U53" s="31">
        <f>11220.63+11033.75</f>
        <v>22254.379999999997</v>
      </c>
      <c r="V53" s="31">
        <f>12650+12409.38</f>
        <v>25059.379999999997</v>
      </c>
      <c r="W53" s="31">
        <v>1882.1</v>
      </c>
      <c r="X53" s="31">
        <f>39046.88+39046.88+7850</f>
        <v>85943.76</v>
      </c>
      <c r="Y53" s="31">
        <f>21671.82+20019.3</f>
        <v>41691.119999999995</v>
      </c>
      <c r="Z53" s="31">
        <v>368</v>
      </c>
      <c r="AA53" s="31">
        <f aca="true" t="shared" si="2" ref="AA53:AA89">SUM(B53:Z53)</f>
        <v>777285.2899999999</v>
      </c>
    </row>
    <row r="54" spans="1:27" ht="12.75">
      <c r="A54" s="36" t="s">
        <v>24</v>
      </c>
      <c r="B54" s="10"/>
      <c r="C54" s="10"/>
      <c r="D54" s="10"/>
      <c r="E54" s="10"/>
      <c r="F54" s="10"/>
      <c r="G54" s="10"/>
      <c r="H54" s="31">
        <f>92853.75+90976.88</f>
        <v>183830.63</v>
      </c>
      <c r="I54" s="31">
        <f>(231660*0.5)+227650*0.5</f>
        <v>229655</v>
      </c>
      <c r="J54" s="31">
        <f>32226.59+31336.12+8593.76+8356.3</f>
        <v>80512.77</v>
      </c>
      <c r="K54" s="31">
        <f>1008.81+252.2+967.32+241.83</f>
        <v>2470.16</v>
      </c>
      <c r="L54" s="31">
        <f>1128.51+225.7+1082.09+216.42</f>
        <v>2652.7200000000003</v>
      </c>
      <c r="M54" s="31">
        <f>15155.31+2165.04+14655.26+2093.61</f>
        <v>34069.22</v>
      </c>
      <c r="N54" s="31">
        <f>2074.5+414.9+1999.59+399.92</f>
        <v>4888.91</v>
      </c>
      <c r="O54" s="31">
        <f>906.18+302.06+876.54+292.18</f>
        <v>2376.9599999999996</v>
      </c>
      <c r="P54" s="31">
        <f>3939.18+1050.45+3810.34+1016.09</f>
        <v>9816.060000000001</v>
      </c>
      <c r="Q54" s="31">
        <f>1817.65+484.7+1762.24+469.93</f>
        <v>4534.52</v>
      </c>
      <c r="R54" s="31"/>
      <c r="S54" s="31">
        <f>6479.31+6294.5+2159.77+2098.17</f>
        <v>17031.75</v>
      </c>
      <c r="T54" s="31">
        <f>4174.73+4069.34+1113.26+1085.16</f>
        <v>10442.49</v>
      </c>
      <c r="U54" s="31">
        <f>11033.75+10838.75</f>
        <v>21872.5</v>
      </c>
      <c r="V54" s="31">
        <f>12409.38+12161.88</f>
        <v>24571.26</v>
      </c>
      <c r="W54" s="31">
        <v>1073.22</v>
      </c>
      <c r="X54" s="31">
        <f>37921.88+37921.88+7600</f>
        <v>83443.76</v>
      </c>
      <c r="Y54" s="31">
        <f>18340.33+16634.51</f>
        <v>34974.84</v>
      </c>
      <c r="Z54" s="31">
        <v>249</v>
      </c>
      <c r="AA54" s="31">
        <f t="shared" si="2"/>
        <v>748465.77</v>
      </c>
    </row>
    <row r="55" spans="1:27" ht="12.75">
      <c r="A55" s="36" t="s">
        <v>25</v>
      </c>
      <c r="B55" s="10"/>
      <c r="C55" s="10"/>
      <c r="D55" s="10"/>
      <c r="E55" s="10"/>
      <c r="F55" s="10"/>
      <c r="G55" s="10"/>
      <c r="H55" s="31">
        <f>90976.88+89038.13</f>
        <v>180015.01</v>
      </c>
      <c r="I55" s="31">
        <f>(227650*0.5)+223510*0.5</f>
        <v>225580</v>
      </c>
      <c r="J55" s="31">
        <f>30442.3+29545.14+8117.95+7878.7</f>
        <v>75984.09</v>
      </c>
      <c r="K55" s="31">
        <f>925.61+231.4+883.7+220.92</f>
        <v>2261.63</v>
      </c>
      <c r="L55" s="31">
        <f>1035.44+207.09+988.55+197.71</f>
        <v>2428.79</v>
      </c>
      <c r="M55" s="31">
        <f>14150.83+2021.55+13641.99+1948.86</f>
        <v>31763.23</v>
      </c>
      <c r="N55" s="31">
        <f>1924.3+384.86+1848.64+369.72</f>
        <v>4527.52</v>
      </c>
      <c r="O55" s="31">
        <f>846.79+282.26+816.93+272.31</f>
        <v>2218.29</v>
      </c>
      <c r="P55" s="31">
        <f>3681.03+981.61+3551.22+946.99</f>
        <v>9160.85</v>
      </c>
      <c r="Q55" s="31">
        <f>1706.63+455.1+1650.82+440.22</f>
        <v>4252.77</v>
      </c>
      <c r="R55" s="31"/>
      <c r="S55" s="31">
        <f>6108.99+5922.79+2036.33+1974.26</f>
        <v>16042.369999999999</v>
      </c>
      <c r="T55" s="31">
        <f>3963.55+3857.36+1056.95+1028.63</f>
        <v>9906.490000000002</v>
      </c>
      <c r="U55" s="31">
        <f>10838.75+10635.63</f>
        <v>21474.379999999997</v>
      </c>
      <c r="V55" s="31">
        <f>12161.88+11907.5</f>
        <v>24069.379999999997</v>
      </c>
      <c r="W55" s="31">
        <v>236.63</v>
      </c>
      <c r="X55" s="31">
        <f>36740.63+36740.63+7337.5</f>
        <v>80818.76</v>
      </c>
      <c r="Y55" s="31">
        <f>14901.39+13140.55</f>
        <v>28041.94</v>
      </c>
      <c r="Z55" s="31">
        <v>128</v>
      </c>
      <c r="AA55" s="31">
        <f t="shared" si="2"/>
        <v>718910.1299999999</v>
      </c>
    </row>
    <row r="56" spans="1:27" ht="12.75">
      <c r="A56" s="36" t="s">
        <v>26</v>
      </c>
      <c r="B56" s="10"/>
      <c r="C56" s="10"/>
      <c r="D56" s="10"/>
      <c r="E56" s="10"/>
      <c r="F56" s="10"/>
      <c r="G56" s="10"/>
      <c r="H56" s="31">
        <f>89038.13+87037.5</f>
        <v>176075.63</v>
      </c>
      <c r="I56" s="31">
        <f>(223510*0.5)+219260*0.5</f>
        <v>221385</v>
      </c>
      <c r="J56" s="31">
        <f>28644.61+27740.7+7638.56+7397.52</f>
        <v>71421.39</v>
      </c>
      <c r="K56" s="31">
        <f>841.57+210.39+799.24+199.81</f>
        <v>2051.01</v>
      </c>
      <c r="L56" s="31">
        <f>941.43+188.29+894.07+178.81</f>
        <v>2202.6</v>
      </c>
      <c r="M56" s="31">
        <f>13128.69+1875.53+12610.91+1801.56</f>
        <v>29416.690000000002</v>
      </c>
      <c r="N56" s="31">
        <f>1772.59+354.52+1696.17+339.23</f>
        <v>4162.51</v>
      </c>
      <c r="O56" s="31">
        <f>786.96+262.32+756.87+252.29</f>
        <v>2058.44</v>
      </c>
      <c r="P56" s="31">
        <f>3420.93+912.25+3290.15+877.37</f>
        <v>8500.7</v>
      </c>
      <c r="Q56" s="31">
        <f>1594.79+425.27+1538.55+410.28</f>
        <v>3968.8899999999994</v>
      </c>
      <c r="R56" s="31"/>
      <c r="S56" s="31">
        <f>5735.89+5548.3+1911.96+1849.43</f>
        <v>15045.580000000002</v>
      </c>
      <c r="T56" s="31">
        <f>3750.77+3643.79+1000.21+971.68</f>
        <v>9366.45</v>
      </c>
      <c r="U56" s="31">
        <f>10635.63+10424.38</f>
        <v>21060.01</v>
      </c>
      <c r="V56" s="31">
        <f>11907.5+11646.25</f>
        <v>23553.75</v>
      </c>
      <c r="W56" s="31"/>
      <c r="X56" s="31">
        <f>35559.38+35559.38+7075</f>
        <v>78193.76</v>
      </c>
      <c r="Y56" s="31">
        <f>11351.52+9533.88</f>
        <v>20885.4</v>
      </c>
      <c r="Z56" s="31">
        <v>18</v>
      </c>
      <c r="AA56" s="31">
        <f t="shared" si="2"/>
        <v>689365.81</v>
      </c>
    </row>
    <row r="57" spans="1:27" ht="12.75">
      <c r="A57" s="36" t="s">
        <v>27</v>
      </c>
      <c r="B57" s="10"/>
      <c r="C57" s="10"/>
      <c r="D57" s="10"/>
      <c r="E57" s="10"/>
      <c r="F57" s="10"/>
      <c r="G57" s="10"/>
      <c r="H57" s="31">
        <f>87037.5+84975</f>
        <v>172012.5</v>
      </c>
      <c r="I57" s="31">
        <f>(219260*0.5)+214900*0.5</f>
        <v>217080</v>
      </c>
      <c r="J57" s="31">
        <f>26833.41+25922.71+7155.58+6912.72</f>
        <v>66824.42</v>
      </c>
      <c r="K57" s="31">
        <f>756.7+189.17+713.94+178.48</f>
        <v>1838.29</v>
      </c>
      <c r="L57" s="31">
        <f>846.48+169.3+798.65+159.73</f>
        <v>1974.1599999999999</v>
      </c>
      <c r="M57" s="31">
        <f>12088.59+1726.94+11561.71+1651.67</f>
        <v>27028.909999999996</v>
      </c>
      <c r="N57" s="31">
        <f>1619.36+323.87+1542.18+308.43</f>
        <v>3793.8399999999997</v>
      </c>
      <c r="O57" s="31">
        <f>726.68+245.23+696.37+232.12</f>
        <v>1900.4</v>
      </c>
      <c r="P57" s="31">
        <f>3158.88+842.37+3027.12+807.23</f>
        <v>7835.6</v>
      </c>
      <c r="Q57" s="31">
        <f>1482.11+395.23+1425.44+380.11</f>
        <v>3682.89</v>
      </c>
      <c r="R57" s="31"/>
      <c r="S57" s="31">
        <f>5359.99+5170.98+1786.66+1723.66</f>
        <v>14041.289999999999</v>
      </c>
      <c r="T57" s="31">
        <f>3536.4+3428.61+943.04+914.3</f>
        <v>8822.35</v>
      </c>
      <c r="U57" s="31">
        <f>10424.38+10205</f>
        <v>20629.379999999997</v>
      </c>
      <c r="V57" s="31">
        <f>11646.25+11378.13</f>
        <v>23024.379999999997</v>
      </c>
      <c r="W57" s="31"/>
      <c r="X57" s="31">
        <f>34321.88+34321.88+6800</f>
        <v>75443.76</v>
      </c>
      <c r="Y57" s="31">
        <f>7687.15+5810.88</f>
        <v>13498.029999999999</v>
      </c>
      <c r="Z57" s="31"/>
      <c r="AA57" s="31">
        <f t="shared" si="2"/>
        <v>659430.2</v>
      </c>
    </row>
    <row r="58" spans="1:27" ht="12.75">
      <c r="A58" s="36" t="s">
        <v>28</v>
      </c>
      <c r="B58" s="10"/>
      <c r="C58" s="10"/>
      <c r="D58" s="10"/>
      <c r="E58" s="10"/>
      <c r="F58" s="10"/>
      <c r="G58" s="10"/>
      <c r="H58" s="31">
        <f>84975+82843.75</f>
        <v>167818.75</v>
      </c>
      <c r="I58" s="31">
        <f>(214900*0.5)+210420*0.5</f>
        <v>212660</v>
      </c>
      <c r="J58" s="31">
        <f>25008.6+24091.06+6668.96+6424.28</f>
        <v>62192.9</v>
      </c>
      <c r="K58" s="31">
        <f>670.97+167.74+627.78+156.95</f>
        <v>1623.44</v>
      </c>
      <c r="L58" s="31">
        <f>750.58+150.12+702.27+140.45</f>
        <v>1743.42</v>
      </c>
      <c r="M58" s="31">
        <f>11030.21+1575.74+10494.06+1499.15</f>
        <v>24599.16</v>
      </c>
      <c r="N58" s="31">
        <f>1464.6+292.92+1386.63+277.33</f>
        <v>3421.48</v>
      </c>
      <c r="O58" s="31">
        <f>665.94+221.98+635.4+211.8</f>
        <v>1735.1200000000001</v>
      </c>
      <c r="P58" s="31">
        <f>2894.86+771.96+2762.11+736.56</f>
        <v>7165.49</v>
      </c>
      <c r="Q58" s="31">
        <f>1368.37+364.95+1311.48+349.73</f>
        <v>3394.53</v>
      </c>
      <c r="R58" s="31"/>
      <c r="S58" s="31">
        <f>4981.26+4790.83+1660.42+1596.94</f>
        <v>13029.45</v>
      </c>
      <c r="T58" s="31">
        <f>3320.42+3211.82+885.45+856.49</f>
        <v>8274.18</v>
      </c>
      <c r="U58" s="31">
        <f>10205+9977.5</f>
        <v>20182.5</v>
      </c>
      <c r="V58" s="31">
        <f>11378.13+11103.13</f>
        <v>22481.26</v>
      </c>
      <c r="W58" s="31"/>
      <c r="X58" s="31">
        <f>33084.38+33084.38+6525</f>
        <v>72693.76</v>
      </c>
      <c r="Y58" s="31">
        <f>3904.58+1967.81</f>
        <v>5872.389999999999</v>
      </c>
      <c r="Z58" s="31"/>
      <c r="AA58" s="31">
        <f t="shared" si="2"/>
        <v>628887.83</v>
      </c>
    </row>
    <row r="59" spans="1:27" ht="12.75">
      <c r="A59" s="36" t="s">
        <v>29</v>
      </c>
      <c r="B59" s="10"/>
      <c r="C59" s="10"/>
      <c r="D59" s="10"/>
      <c r="E59" s="10"/>
      <c r="F59" s="10"/>
      <c r="G59" s="10"/>
      <c r="H59" s="31">
        <f>82843.75+80643.75</f>
        <v>163487.5</v>
      </c>
      <c r="I59" s="31">
        <f>(210420*0.5)+205810*0.5</f>
        <v>208115</v>
      </c>
      <c r="J59" s="31">
        <f>23170.08+22245.64+6178.69+5932.17</f>
        <v>57526.58</v>
      </c>
      <c r="K59" s="31">
        <f>584.38+146.09+540.76+135.19</f>
        <v>1406.42</v>
      </c>
      <c r="L59" s="31">
        <f>653.72+130.74+604.92+120.98</f>
        <v>1510.3600000000001</v>
      </c>
      <c r="M59" s="31">
        <f>9953.22+1421.89+9407.65+1343.95</f>
        <v>22126.71</v>
      </c>
      <c r="N59" s="31">
        <f>1308.28+261.66+1229.54+245.91</f>
        <v>3045.39</v>
      </c>
      <c r="O59" s="31">
        <f>604.75+201.58+573.98+191.33</f>
        <v>1571.6399999999999</v>
      </c>
      <c r="P59" s="31">
        <f>2628.86+701.03+2495.11+665.36</f>
        <v>6490.36</v>
      </c>
      <c r="Q59" s="31">
        <f>1254.19+334.45+1196.67+319.11</f>
        <v>3104.4200000000005</v>
      </c>
      <c r="R59" s="31"/>
      <c r="S59" s="31">
        <f>4599.69+4407.83+1533.23+1469.28</f>
        <v>12010.03</v>
      </c>
      <c r="T59" s="31">
        <f>3102.82+2993.4+827.42+798.24</f>
        <v>7721.88</v>
      </c>
      <c r="U59" s="31">
        <f>9977.5+9741.88</f>
        <v>19719.379999999997</v>
      </c>
      <c r="V59" s="31">
        <f>11103.13+10821.25</f>
        <v>21924.379999999997</v>
      </c>
      <c r="W59" s="31"/>
      <c r="X59" s="31">
        <f>31790.63+31790.63+6237.5</f>
        <v>69818.76000000001</v>
      </c>
      <c r="Y59" s="31"/>
      <c r="Z59" s="31"/>
      <c r="AA59" s="31">
        <f t="shared" si="2"/>
        <v>599578.81</v>
      </c>
    </row>
    <row r="60" spans="1:27" ht="12.75">
      <c r="A60" s="36" t="s">
        <v>30</v>
      </c>
      <c r="B60" s="10"/>
      <c r="C60" s="10"/>
      <c r="D60" s="10"/>
      <c r="E60" s="10"/>
      <c r="F60" s="10"/>
      <c r="G60" s="10"/>
      <c r="H60" s="31">
        <f>80643.75+78375</f>
        <v>159018.75</v>
      </c>
      <c r="I60" s="31">
        <f>(205810*0.5)+201080*0.5</f>
        <v>203445</v>
      </c>
      <c r="J60" s="31">
        <f>21317.74+20386.36+5684.73+5436.36</f>
        <v>52825.19</v>
      </c>
      <c r="K60" s="31">
        <f>496.952+124.23+452.86+113.22</f>
        <v>1187.262</v>
      </c>
      <c r="L60" s="31">
        <f>555.88+111.18+506.6+101.32</f>
        <v>1274.9799999999998</v>
      </c>
      <c r="M60" s="31">
        <f>8857.31+1265.33+8302.15+1186.02</f>
        <v>19610.81</v>
      </c>
      <c r="N60" s="31">
        <f>1150.4+230.08+1070.86+214.17</f>
        <v>2665.51</v>
      </c>
      <c r="O60" s="31">
        <f>543.1+181.03+512.1+170.7</f>
        <v>1406.93</v>
      </c>
      <c r="P60" s="31">
        <f>2360.86+629.56+2226.11+593.63</f>
        <v>5810.160000000001</v>
      </c>
      <c r="Q60" s="31">
        <f>1138.94+303.71+1080.99+288.27</f>
        <v>2811.9100000000003</v>
      </c>
      <c r="R60" s="31"/>
      <c r="S60" s="31">
        <f>4215.25+4021.95+1405.08+1340.65</f>
        <v>10982.93</v>
      </c>
      <c r="T60" s="31">
        <f>2883.58+2773.34+768.95+739.56</f>
        <v>7165.43</v>
      </c>
      <c r="U60" s="31">
        <f>9741.88+9498.13</f>
        <v>19240.01</v>
      </c>
      <c r="V60" s="31">
        <f>10821.25+10532.5</f>
        <v>21353.75</v>
      </c>
      <c r="W60" s="31"/>
      <c r="X60" s="31">
        <f>30496.88+30496.88+5950</f>
        <v>66943.76000000001</v>
      </c>
      <c r="Y60" s="31"/>
      <c r="Z60" s="31"/>
      <c r="AA60" s="31">
        <f t="shared" si="2"/>
        <v>575742.382</v>
      </c>
    </row>
    <row r="61" spans="1:27" ht="12.75">
      <c r="A61" s="36" t="s">
        <v>31</v>
      </c>
      <c r="B61" s="10"/>
      <c r="C61" s="10"/>
      <c r="D61" s="10"/>
      <c r="E61" s="10"/>
      <c r="F61" s="10"/>
      <c r="G61" s="10"/>
      <c r="H61" s="31">
        <f>79375+76030.63</f>
        <v>155405.63</v>
      </c>
      <c r="I61" s="31">
        <f>(201080*0.5)+196220*0.5</f>
        <v>198650</v>
      </c>
      <c r="J61" s="31">
        <f>19451.48+18513.1+5187.06+4936.83</f>
        <v>48088.47</v>
      </c>
      <c r="K61" s="31">
        <f>408.59+102.15+364.09+91.02</f>
        <v>965.8499999999999</v>
      </c>
      <c r="L61" s="31">
        <f>457.07+91.41+407.29+81.46</f>
        <v>1037.23</v>
      </c>
      <c r="M61" s="31">
        <f>7742.13+1106.02+7177.21+1025.32</f>
        <v>17050.68</v>
      </c>
      <c r="N61" s="31">
        <f>990.94+198.19+910.6+182.12</f>
        <v>2281.85</v>
      </c>
      <c r="O61" s="31">
        <f>480.98+160.33+449.75+149.92</f>
        <v>1240.98</v>
      </c>
      <c r="P61" s="31">
        <f>2090.85+557.56+1955.08+521.35</f>
        <v>5124.84</v>
      </c>
      <c r="Q61" s="31">
        <f>1022.83+272.75+964.45+257.19</f>
        <v>2517.22</v>
      </c>
      <c r="R61" s="31"/>
      <c r="S61" s="31">
        <f>3827.92+3633.17+1275.97+1211.06</f>
        <v>9948.119999999999</v>
      </c>
      <c r="T61" s="31">
        <f>2662.69+2551.62+710.05+680.43</f>
        <v>6604.79</v>
      </c>
      <c r="U61" s="31">
        <f>9498.13+9246.25</f>
        <v>18744.379999999997</v>
      </c>
      <c r="V61" s="31">
        <f>10532.5+10236.88</f>
        <v>20769.379999999997</v>
      </c>
      <c r="W61" s="31"/>
      <c r="X61" s="31">
        <f>29146.88+29146.88+5650</f>
        <v>63943.76</v>
      </c>
      <c r="Y61" s="31"/>
      <c r="Z61" s="31"/>
      <c r="AA61" s="31">
        <f t="shared" si="2"/>
        <v>552373.1799999998</v>
      </c>
    </row>
    <row r="62" spans="1:27" ht="12.75">
      <c r="A62" s="36" t="s">
        <v>32</v>
      </c>
      <c r="B62" s="10"/>
      <c r="C62" s="10"/>
      <c r="D62" s="10"/>
      <c r="E62" s="10"/>
      <c r="F62" s="10"/>
      <c r="G62" s="10"/>
      <c r="H62" s="31">
        <f>76030.63+73610.63</f>
        <v>149641.26</v>
      </c>
      <c r="I62" s="31">
        <f>(196220*0.5)+191230*0.5</f>
        <v>193725</v>
      </c>
      <c r="J62" s="31">
        <f>17571.2+16625.77+4685.65+4433.54</f>
        <v>43316.16</v>
      </c>
      <c r="K62" s="31">
        <f>319.37+79.384+274.42+68.61</f>
        <v>741.784</v>
      </c>
      <c r="L62" s="31">
        <f>357.26+71.45+306.99+61.4</f>
        <v>797.1</v>
      </c>
      <c r="M62" s="31">
        <f>6607.35+943.91+6032.51+861.79</f>
        <v>14445.560000000001</v>
      </c>
      <c r="N62" s="31">
        <f>829.87+165.97+748.73+149.74</f>
        <v>1894.3100000000002</v>
      </c>
      <c r="O62" s="31">
        <f>418.4+139.47+386.93+128.98</f>
        <v>1073.78</v>
      </c>
      <c r="P62" s="31">
        <f>1818.8+485.01+1682.01+448.54</f>
        <v>4434.36</v>
      </c>
      <c r="Q62" s="31">
        <f>905.85+241.56+847.03+225.88</f>
        <v>2220.32</v>
      </c>
      <c r="R62" s="31"/>
      <c r="S62" s="31">
        <f>3437.68+3241.46+1145.89+1080.49</f>
        <v>8905.52</v>
      </c>
      <c r="T62" s="31">
        <f>2440.14+2328.24+650.7+620.86</f>
        <v>6039.939999999999</v>
      </c>
      <c r="U62" s="31">
        <f>9246.25+8986.25</f>
        <v>18232.5</v>
      </c>
      <c r="V62" s="31">
        <f>10236.88+9927.5</f>
        <v>20164.379999999997</v>
      </c>
      <c r="W62" s="31"/>
      <c r="X62" s="31">
        <f>27721.88+27721.88+5350</f>
        <v>60793.76</v>
      </c>
      <c r="Y62" s="31"/>
      <c r="Z62" s="31"/>
      <c r="AA62" s="31">
        <f t="shared" si="2"/>
        <v>526425.734</v>
      </c>
    </row>
    <row r="63" spans="1:27" ht="12.75">
      <c r="A63" s="36" t="s">
        <v>33</v>
      </c>
      <c r="B63" s="10"/>
      <c r="C63" s="10"/>
      <c r="D63" s="10"/>
      <c r="E63" s="10"/>
      <c r="F63" s="10"/>
      <c r="G63" s="10"/>
      <c r="H63" s="31">
        <f>73610.63+71108.13</f>
        <v>144718.76</v>
      </c>
      <c r="I63" s="31">
        <f>(191230*0.5)+186100*0.5</f>
        <v>188665</v>
      </c>
      <c r="J63" s="31">
        <f>15676.8+14724.26+4180.48+3926.47</f>
        <v>38508.009999999995</v>
      </c>
      <c r="K63" s="31">
        <f>229.26+57.31+183.86+45.97</f>
        <v>516.4</v>
      </c>
      <c r="L63" s="31">
        <f>256.46+51.29+205.68+41.14</f>
        <v>554.57</v>
      </c>
      <c r="M63" s="31">
        <f>5452.63+778.95+4867.68+695.38</f>
        <v>11794.64</v>
      </c>
      <c r="N63" s="31">
        <f>667.19+133.44+585.25+117.05</f>
        <v>1502.93</v>
      </c>
      <c r="O63" s="31">
        <f>355.35+118.45+323.65+107.88</f>
        <v>905.33</v>
      </c>
      <c r="P63" s="31">
        <f>1544.71+411.92+1406.9+375.17</f>
        <v>3738.7000000000003</v>
      </c>
      <c r="Q63" s="31">
        <f>787.99+210.13+728.73+194.33</f>
        <v>1921.1799999999998</v>
      </c>
      <c r="R63" s="31"/>
      <c r="S63" s="31">
        <f>3044.51+2846.82+1014.84+948.94</f>
        <v>7855.110000000001</v>
      </c>
      <c r="T63" s="31">
        <f>2215.92+2103.18+590.91+560.85</f>
        <v>5470.860000000001</v>
      </c>
      <c r="U63" s="31">
        <f>8986.25+8718.13</f>
        <v>17704.379999999997</v>
      </c>
      <c r="V63" s="31">
        <f>9927.5+9611.25</f>
        <v>19538.75</v>
      </c>
      <c r="W63" s="31"/>
      <c r="X63" s="31">
        <f>26159.38+26159.38+5037.5</f>
        <v>57356.26</v>
      </c>
      <c r="Y63" s="31"/>
      <c r="Z63" s="31"/>
      <c r="AA63" s="31">
        <f t="shared" si="2"/>
        <v>500750.88000000006</v>
      </c>
    </row>
    <row r="64" spans="1:27" ht="12.75">
      <c r="A64" s="36" t="s">
        <v>34</v>
      </c>
      <c r="B64" s="10"/>
      <c r="C64" s="10"/>
      <c r="D64" s="10"/>
      <c r="E64" s="10"/>
      <c r="F64" s="10"/>
      <c r="G64" s="10"/>
      <c r="H64" s="31">
        <f>71108.13+68530</f>
        <v>139638.13</v>
      </c>
      <c r="I64" s="31">
        <f>(186100*0.5)+180820*0.5</f>
        <v>183460</v>
      </c>
      <c r="J64" s="31">
        <f>13768.15+12808.46+3671.51+3415.59</f>
        <v>33663.71000000001</v>
      </c>
      <c r="K64" s="31">
        <f>138.24+34.56+92.39+23.1</f>
        <v>288.29</v>
      </c>
      <c r="L64" s="31">
        <f>154.64+30.93+103.35+20.67</f>
        <v>309.59</v>
      </c>
      <c r="M64" s="31">
        <f>4277.61+611.09+3682.38+526.05</f>
        <v>9097.13</v>
      </c>
      <c r="N64" s="31">
        <f>502.88+100.58+420.11+84.02</f>
        <v>1107.5900000000001</v>
      </c>
      <c r="O64" s="31">
        <f>291.82+97.27+259.88+86.63</f>
        <v>735.6</v>
      </c>
      <c r="P64" s="31">
        <f>1268.57+338.28+1129.72+301.26</f>
        <v>3037.83</v>
      </c>
      <c r="Q64" s="31">
        <f>669.24+178.47+609.54+162.54</f>
        <v>1619.79</v>
      </c>
      <c r="R64" s="31"/>
      <c r="S64" s="31">
        <f>2648.38+2449.2+882.79+816.4</f>
        <v>6796.7699999999995</v>
      </c>
      <c r="T64" s="31">
        <f>1990.02+1876.43+530.67+500.38</f>
        <v>4897.5</v>
      </c>
      <c r="U64" s="31">
        <f>8718.13+8441.88</f>
        <v>17160.01</v>
      </c>
      <c r="V64" s="31">
        <f>9611.25+9288.13</f>
        <v>18899.379999999997</v>
      </c>
      <c r="W64" s="31"/>
      <c r="X64" s="31">
        <f>24534.38+24534.38+4712.5</f>
        <v>53781.26</v>
      </c>
      <c r="Y64" s="31"/>
      <c r="Z64" s="31"/>
      <c r="AA64" s="31">
        <f t="shared" si="2"/>
        <v>474492.5800000001</v>
      </c>
    </row>
    <row r="65" spans="1:27" ht="12.75">
      <c r="A65" s="36" t="s">
        <v>35</v>
      </c>
      <c r="B65" s="10"/>
      <c r="C65" s="10"/>
      <c r="D65" s="10"/>
      <c r="E65" s="10"/>
      <c r="F65" s="10"/>
      <c r="G65" s="10"/>
      <c r="H65" s="31">
        <f>68530+65862.5</f>
        <v>134392.5</v>
      </c>
      <c r="I65" s="31">
        <f>(180820*0.5)+175400*0.5</f>
        <v>178110</v>
      </c>
      <c r="J65" s="31">
        <f>11845.17+10878.27+3158.71+2900.87</f>
        <v>28783.02</v>
      </c>
      <c r="K65" s="31">
        <f>46.45+11.58</f>
        <v>58.03</v>
      </c>
      <c r="L65" s="31">
        <f>51.61+10.36</f>
        <v>61.97</v>
      </c>
      <c r="M65" s="31">
        <f>3081.94+440.28+2476.24+353.75</f>
        <v>6352.21</v>
      </c>
      <c r="N65" s="31">
        <f>336.92+67.38+253.33+50.67</f>
        <v>708.3</v>
      </c>
      <c r="O65" s="31">
        <f>227.82+75.94+195.64+65.21</f>
        <v>564.61</v>
      </c>
      <c r="P65" s="31">
        <f>990.34+264.09+850.45+226.79</f>
        <v>2331.67</v>
      </c>
      <c r="Q65" s="31">
        <f>549.61+146.56+489.44+130.52</f>
        <v>1316.13</v>
      </c>
      <c r="R65" s="31"/>
      <c r="S65" s="31">
        <f>2249.28+2048.61+749.76+682.87</f>
        <v>5730.52</v>
      </c>
      <c r="T65" s="31">
        <f>1762.42+1647.98+469.98+439.46</f>
        <v>4319.84</v>
      </c>
      <c r="U65" s="31">
        <f>8441.88+8157.5</f>
        <v>16599.379999999997</v>
      </c>
      <c r="V65" s="31">
        <f>9288.13+8958.13</f>
        <v>18246.26</v>
      </c>
      <c r="W65" s="31"/>
      <c r="X65" s="31">
        <f>22828.13+22828.13+4387.5</f>
        <v>50043.76</v>
      </c>
      <c r="Y65" s="31"/>
      <c r="Z65" s="31"/>
      <c r="AA65" s="31">
        <f t="shared" si="2"/>
        <v>447618.20000000007</v>
      </c>
    </row>
    <row r="66" spans="1:27" ht="12.75">
      <c r="A66" s="36" t="s">
        <v>36</v>
      </c>
      <c r="B66" s="10"/>
      <c r="C66" s="10"/>
      <c r="D66" s="10"/>
      <c r="E66" s="10"/>
      <c r="F66" s="10"/>
      <c r="G66" s="10"/>
      <c r="H66" s="31">
        <f>65862.5+63112.5</f>
        <v>128975</v>
      </c>
      <c r="I66" s="31">
        <f>(175400*0.5)+169830*0.5</f>
        <v>172615</v>
      </c>
      <c r="J66" s="31">
        <f>9907.74+8933.57+2642.06+2382.28</f>
        <v>23865.649999999998</v>
      </c>
      <c r="K66" s="31"/>
      <c r="L66" s="31"/>
      <c r="M66" s="31">
        <f>1865.25+266.45+1248.91+178.42</f>
        <v>3559.0299999999997</v>
      </c>
      <c r="N66" s="31">
        <f>169.3+33.86+84.7+16.97</f>
        <v>304.83000000000004</v>
      </c>
      <c r="O66" s="31">
        <f>163.34+54.45+130.91+43.64</f>
        <v>392.34000000000003</v>
      </c>
      <c r="P66" s="31">
        <f>710.03+189.34+569.09+151.76</f>
        <v>1620.22</v>
      </c>
      <c r="Q66" s="31">
        <f>429.06+114.42+368.46+98.25</f>
        <v>1010.19</v>
      </c>
      <c r="R66" s="31"/>
      <c r="S66" s="31">
        <f>1847.18+1645+615.73+548.33</f>
        <v>4656.24</v>
      </c>
      <c r="T66" s="31">
        <f>1533.11+1417.81+408.83+378.08</f>
        <v>3737.83</v>
      </c>
      <c r="U66" s="31">
        <f>8157.5+7865</f>
        <v>16022.5</v>
      </c>
      <c r="V66" s="31">
        <f>8958.13+8614.38</f>
        <v>17572.51</v>
      </c>
      <c r="W66" s="31"/>
      <c r="X66" s="31">
        <f>21056.25+21056.25+4050</f>
        <v>46162.5</v>
      </c>
      <c r="Y66" s="31"/>
      <c r="Z66" s="31"/>
      <c r="AA66" s="31">
        <f t="shared" si="2"/>
        <v>420493.8400000001</v>
      </c>
    </row>
    <row r="67" spans="1:27" ht="12.75">
      <c r="A67" s="36" t="s">
        <v>37</v>
      </c>
      <c r="B67" s="10"/>
      <c r="C67" s="10"/>
      <c r="D67" s="10"/>
      <c r="E67" s="10"/>
      <c r="F67" s="10"/>
      <c r="G67" s="10"/>
      <c r="H67" s="31">
        <f>63112.5+60273.13</f>
        <v>123385.63</v>
      </c>
      <c r="I67" s="31">
        <f>(169830*0.5)+164110*0.5</f>
        <v>166970</v>
      </c>
      <c r="J67" s="31">
        <f>7955.74+6974.26+2121.53+1859.8</f>
        <v>18911.329999999998</v>
      </c>
      <c r="K67" s="31"/>
      <c r="L67" s="31"/>
      <c r="M67" s="31">
        <f>627.35+89.6</f>
        <v>716.95</v>
      </c>
      <c r="N67" s="31"/>
      <c r="O67" s="31">
        <f>98.37+32.79+65.7+21.9</f>
        <v>218.76000000000002</v>
      </c>
      <c r="P67" s="31">
        <f>427.61+114.03+285.61+76.16</f>
        <v>903.41</v>
      </c>
      <c r="Q67" s="31">
        <f>307.62+82.03+246.55+65.75</f>
        <v>701.95</v>
      </c>
      <c r="R67" s="31"/>
      <c r="S67" s="31">
        <f>1442.05+1238.35+480.68+412.78</f>
        <v>3573.8599999999997</v>
      </c>
      <c r="T67" s="31">
        <f>1302.07+1185.91+347.22+316.24</f>
        <v>3151.4399999999996</v>
      </c>
      <c r="U67" s="31">
        <f>7865+7564.38</f>
        <v>15429.380000000001</v>
      </c>
      <c r="V67" s="31">
        <f>8314.38+8263.75</f>
        <v>16578.129999999997</v>
      </c>
      <c r="W67" s="31"/>
      <c r="X67" s="31">
        <f>19131.25+19131.25+3700</f>
        <v>41962.5</v>
      </c>
      <c r="Y67" s="31"/>
      <c r="Z67" s="31"/>
      <c r="AA67" s="31">
        <f t="shared" si="2"/>
        <v>392503.34</v>
      </c>
    </row>
    <row r="68" spans="1:27" ht="12.75">
      <c r="A68" s="36" t="s">
        <v>38</v>
      </c>
      <c r="B68" s="10"/>
      <c r="C68" s="10"/>
      <c r="D68" s="10"/>
      <c r="E68" s="10"/>
      <c r="F68" s="10"/>
      <c r="G68" s="10"/>
      <c r="H68" s="31">
        <f>60273.13+57337.5</f>
        <v>117610.63</v>
      </c>
      <c r="I68" s="31">
        <f>(164110*0.5)+158230*0.5</f>
        <v>161170</v>
      </c>
      <c r="J68" s="31">
        <f>5989.09+5000.22+1597.09+1333.39</f>
        <v>13919.79</v>
      </c>
      <c r="K68" s="31"/>
      <c r="L68" s="31"/>
      <c r="M68" s="31"/>
      <c r="N68" s="31"/>
      <c r="O68" s="31">
        <f>33.01+10.97</f>
        <v>43.98</v>
      </c>
      <c r="P68" s="31">
        <f>142.9+38.15</f>
        <v>181.05</v>
      </c>
      <c r="Q68" s="31">
        <f>185.26+49.41+123.74+33</f>
        <v>391.40999999999997</v>
      </c>
      <c r="R68" s="31"/>
      <c r="S68" s="31">
        <f>1033.89+828.66+344.63+276.22</f>
        <v>2483.4000000000005</v>
      </c>
      <c r="T68" s="31">
        <f>1069.3+952.26+285.15+253.94</f>
        <v>2560.65</v>
      </c>
      <c r="U68" s="31">
        <f>7564.38+7247.5</f>
        <v>14811.880000000001</v>
      </c>
      <c r="V68" s="31">
        <f>8263.75+7906.25</f>
        <v>16170</v>
      </c>
      <c r="W68" s="31"/>
      <c r="X68" s="31">
        <f>17137.5+17137.5+3337.5</f>
        <v>37612.5</v>
      </c>
      <c r="Y68" s="31"/>
      <c r="Z68" s="31"/>
      <c r="AA68" s="31">
        <f t="shared" si="2"/>
        <v>366955.29</v>
      </c>
    </row>
    <row r="69" spans="1:27" ht="12.75">
      <c r="A69" s="36" t="s">
        <v>39</v>
      </c>
      <c r="B69" s="10"/>
      <c r="C69" s="10"/>
      <c r="D69" s="10"/>
      <c r="E69" s="10"/>
      <c r="F69" s="10"/>
      <c r="G69" s="10"/>
      <c r="H69" s="31">
        <f>57337.5+54305.63</f>
        <v>111643.13</v>
      </c>
      <c r="I69" s="31">
        <f>(158230*0.5)+152190*0.5</f>
        <v>155210</v>
      </c>
      <c r="J69" s="31">
        <f>4007.65+3011.36+1068.71+803.03</f>
        <v>8890.75</v>
      </c>
      <c r="K69" s="31"/>
      <c r="L69" s="31"/>
      <c r="M69" s="31"/>
      <c r="N69" s="31"/>
      <c r="O69" s="31"/>
      <c r="P69" s="31"/>
      <c r="Q69" s="31">
        <f>61.99+16.53</f>
        <v>78.52000000000001</v>
      </c>
      <c r="R69" s="31"/>
      <c r="S69" s="31">
        <f>622.65+415.88+207.55+138.63</f>
        <v>1384.71</v>
      </c>
      <c r="T69" s="31">
        <f>834.78+716.86+222.61+191.16</f>
        <v>1965.41</v>
      </c>
      <c r="U69" s="31">
        <f>7247.5+6922.5</f>
        <v>14170</v>
      </c>
      <c r="V69" s="31">
        <f>7906.25+7535</f>
        <v>15441.25</v>
      </c>
      <c r="W69" s="31"/>
      <c r="X69" s="31">
        <f>15075+15075+2962.5</f>
        <v>33112.5</v>
      </c>
      <c r="Y69" s="31"/>
      <c r="Z69" s="31"/>
      <c r="AA69" s="31">
        <f t="shared" si="2"/>
        <v>341896.27</v>
      </c>
    </row>
    <row r="70" spans="1:27" ht="12.75">
      <c r="A70" s="36" t="s">
        <v>40</v>
      </c>
      <c r="B70" s="10"/>
      <c r="C70" s="10"/>
      <c r="D70" s="10"/>
      <c r="E70" s="10"/>
      <c r="F70" s="10"/>
      <c r="G70" s="10"/>
      <c r="H70" s="31">
        <f>54305.63+51177.5</f>
        <v>105483.13</v>
      </c>
      <c r="I70" s="31">
        <f>(152190*0.5)+145990*0.5</f>
        <v>149090</v>
      </c>
      <c r="J70" s="31">
        <f>2011.32+1007.68+536.35+268.68</f>
        <v>3824.0299999999997</v>
      </c>
      <c r="K70" s="31"/>
      <c r="L70" s="31"/>
      <c r="M70" s="31"/>
      <c r="N70" s="31"/>
      <c r="O70" s="31"/>
      <c r="P70" s="31"/>
      <c r="Q70" s="31"/>
      <c r="R70" s="31"/>
      <c r="S70" s="31">
        <f>208.15+69.44</f>
        <v>277.59000000000003</v>
      </c>
      <c r="T70" s="31">
        <f>598.5+479.69+159.6+127.92</f>
        <v>1365.71</v>
      </c>
      <c r="U70" s="31">
        <f>6922.5+6589.38</f>
        <v>13511.880000000001</v>
      </c>
      <c r="V70" s="31">
        <f>7535+7156.88</f>
        <v>14691.880000000001</v>
      </c>
      <c r="W70" s="31"/>
      <c r="X70" s="31">
        <f>12750+12750+2575</f>
        <v>28075</v>
      </c>
      <c r="Y70" s="31"/>
      <c r="Z70" s="31"/>
      <c r="AA70" s="31">
        <f t="shared" si="2"/>
        <v>316319.22</v>
      </c>
    </row>
    <row r="71" spans="1:27" ht="12.75">
      <c r="A71" s="36" t="s">
        <v>41</v>
      </c>
      <c r="B71" s="10"/>
      <c r="C71" s="10"/>
      <c r="D71" s="10"/>
      <c r="E71" s="10"/>
      <c r="F71" s="10"/>
      <c r="G71" s="10"/>
      <c r="H71" s="31">
        <f>51177.5+47946.25</f>
        <v>99123.75</v>
      </c>
      <c r="I71" s="31">
        <f>(145990*0.5)+139610*0.5</f>
        <v>142800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f>360.44+240.74+96.12+64.2</f>
        <v>761.5000000000001</v>
      </c>
      <c r="U71" s="31">
        <f>6589.38+6240</f>
        <v>12829.380000000001</v>
      </c>
      <c r="V71" s="31">
        <f>7156.88+6765</f>
        <v>13921.880000000001</v>
      </c>
      <c r="W71" s="31"/>
      <c r="X71" s="31">
        <f>10350+10350+2175</f>
        <v>22875</v>
      </c>
      <c r="Y71" s="31"/>
      <c r="Z71" s="31"/>
      <c r="AA71" s="31">
        <f t="shared" si="2"/>
        <v>292311.51</v>
      </c>
    </row>
    <row r="72" spans="1:27" ht="12.75">
      <c r="A72" s="36" t="s">
        <v>42</v>
      </c>
      <c r="B72" s="10"/>
      <c r="C72" s="10"/>
      <c r="D72" s="10"/>
      <c r="E72" s="10"/>
      <c r="F72" s="10"/>
      <c r="G72" s="10"/>
      <c r="H72" s="31">
        <f>47946.255+44611.88</f>
        <v>92558.135</v>
      </c>
      <c r="I72" s="31">
        <f>(139610*0.5)+133050*0.5</f>
        <v>136330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f>120.76+32.16</f>
        <v>152.92000000000002</v>
      </c>
      <c r="U72" s="31">
        <f>6240+5882.5</f>
        <v>12122.5</v>
      </c>
      <c r="V72" s="31">
        <f>6765+6366.25</f>
        <v>13131.25</v>
      </c>
      <c r="W72" s="31"/>
      <c r="X72" s="31">
        <f>7875+7875+1762.5</f>
        <v>17512.5</v>
      </c>
      <c r="Y72" s="31"/>
      <c r="Z72" s="31"/>
      <c r="AA72" s="31">
        <f t="shared" si="2"/>
        <v>271807.30500000005</v>
      </c>
    </row>
    <row r="73" spans="1:27" ht="12.75">
      <c r="A73" s="36" t="s">
        <v>43</v>
      </c>
      <c r="B73" s="10"/>
      <c r="C73" s="10"/>
      <c r="D73" s="10"/>
      <c r="E73" s="10"/>
      <c r="F73" s="10"/>
      <c r="G73" s="10"/>
      <c r="H73" s="31">
        <f>44611.88+41167.5</f>
        <v>85779.38</v>
      </c>
      <c r="I73" s="31">
        <f>(133050*0.5)+126310*0.5</f>
        <v>129680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>
        <f>5882.5+5508.75</f>
        <v>11391.25</v>
      </c>
      <c r="V73" s="31">
        <f>6366.25+5953.75</f>
        <v>12320</v>
      </c>
      <c r="W73" s="31"/>
      <c r="X73" s="31">
        <f>5325+5325+887.5</f>
        <v>11537.5</v>
      </c>
      <c r="Y73" s="31"/>
      <c r="Z73" s="31"/>
      <c r="AA73" s="31">
        <f t="shared" si="2"/>
        <v>250708.13</v>
      </c>
    </row>
    <row r="74" spans="1:27" ht="12.75">
      <c r="A74" s="36" t="s">
        <v>44</v>
      </c>
      <c r="B74" s="10"/>
      <c r="C74" s="10"/>
      <c r="D74" s="10"/>
      <c r="E74" s="10"/>
      <c r="F74" s="10"/>
      <c r="G74" s="10"/>
      <c r="H74" s="31">
        <f>41167.5+37613.13</f>
        <v>78780.63</v>
      </c>
      <c r="I74" s="31">
        <f>(126310*0.5)+119400*0.5</f>
        <v>122855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>
        <f>5508.75+5126.88</f>
        <v>10635.630000000001</v>
      </c>
      <c r="V74" s="31">
        <f>5953.75+5527.5</f>
        <v>11481.25</v>
      </c>
      <c r="W74" s="31"/>
      <c r="X74" s="31">
        <f>2700+2700+450</f>
        <v>5850</v>
      </c>
      <c r="Y74" s="31"/>
      <c r="Z74" s="31"/>
      <c r="AA74" s="31">
        <f t="shared" si="2"/>
        <v>229602.51</v>
      </c>
    </row>
    <row r="75" spans="1:27" ht="12.75">
      <c r="A75" s="36" t="s">
        <v>45</v>
      </c>
      <c r="B75" s="10"/>
      <c r="C75" s="10"/>
      <c r="D75" s="10"/>
      <c r="E75" s="10"/>
      <c r="F75" s="10"/>
      <c r="G75" s="10"/>
      <c r="H75" s="31">
        <f>37613.13+33941.88</f>
        <v>71555.01</v>
      </c>
      <c r="I75" s="31">
        <f>(119400*0.5)+112290*0.5</f>
        <v>115845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>
        <f>5126.88+4728.75</f>
        <v>9855.630000000001</v>
      </c>
      <c r="V75" s="31">
        <f>5527.5+5094.38</f>
        <v>10621.880000000001</v>
      </c>
      <c r="W75" s="31"/>
      <c r="X75" s="31"/>
      <c r="Y75" s="31"/>
      <c r="Z75" s="31"/>
      <c r="AA75" s="31">
        <f t="shared" si="2"/>
        <v>207877.52000000002</v>
      </c>
    </row>
    <row r="76" spans="1:27" ht="12.75">
      <c r="A76" s="36" t="s">
        <v>46</v>
      </c>
      <c r="B76" s="10"/>
      <c r="C76" s="10"/>
      <c r="D76" s="10"/>
      <c r="E76" s="10"/>
      <c r="F76" s="10"/>
      <c r="G76" s="10"/>
      <c r="H76" s="31">
        <f>33941.88+30153.75</f>
        <v>64095.63</v>
      </c>
      <c r="I76" s="31">
        <f>(112290*0.5)+104990*0.5</f>
        <v>108640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f>4728.75+4322.5</f>
        <v>9051.25</v>
      </c>
      <c r="V76" s="31">
        <f>5094.38+4647.5</f>
        <v>9741.880000000001</v>
      </c>
      <c r="W76" s="31"/>
      <c r="Y76" s="31"/>
      <c r="Z76" s="31"/>
      <c r="AA76" s="31">
        <f t="shared" si="2"/>
        <v>191528.76</v>
      </c>
    </row>
    <row r="77" spans="1:27" ht="12.75">
      <c r="A77" s="36" t="s">
        <v>61</v>
      </c>
      <c r="B77" s="10"/>
      <c r="C77" s="10"/>
      <c r="D77" s="10"/>
      <c r="E77" s="10"/>
      <c r="F77" s="10"/>
      <c r="G77" s="10"/>
      <c r="H77" s="31">
        <f>30153.75+26241.88</f>
        <v>56395.630000000005</v>
      </c>
      <c r="I77" s="31">
        <f>(104990*0.5)+97480*0.5</f>
        <v>101235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>
        <f>4322.5+3900</f>
        <v>8222.5</v>
      </c>
      <c r="V77" s="31">
        <f>4647.5+4186.88</f>
        <v>8834.380000000001</v>
      </c>
      <c r="W77" s="31"/>
      <c r="X77" s="31"/>
      <c r="Y77" s="31"/>
      <c r="Z77" s="31"/>
      <c r="AA77" s="31">
        <f t="shared" si="2"/>
        <v>174687.51</v>
      </c>
    </row>
    <row r="78" spans="1:27" ht="12.75">
      <c r="A78" s="36" t="s">
        <v>62</v>
      </c>
      <c r="B78" s="10"/>
      <c r="C78" s="10"/>
      <c r="D78" s="10"/>
      <c r="E78" s="10"/>
      <c r="F78" s="10"/>
      <c r="G78" s="10"/>
      <c r="H78" s="31">
        <f>26241.88+22199.38</f>
        <v>48441.26</v>
      </c>
      <c r="I78" s="31">
        <f>(97480*0.5)+89760*0.5</f>
        <v>93620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>
        <f>3900+3461.25</f>
        <v>7361.25</v>
      </c>
      <c r="V78" s="31">
        <f>4186.88+3712.5</f>
        <v>7899.38</v>
      </c>
      <c r="W78" s="31"/>
      <c r="X78" s="31"/>
      <c r="Y78" s="31"/>
      <c r="Z78" s="31"/>
      <c r="AA78" s="31">
        <f t="shared" si="2"/>
        <v>157321.89</v>
      </c>
    </row>
    <row r="79" spans="1:27" ht="12.75">
      <c r="A79" s="36" t="s">
        <v>63</v>
      </c>
      <c r="B79" s="10"/>
      <c r="C79" s="10"/>
      <c r="D79" s="10"/>
      <c r="E79" s="10"/>
      <c r="F79" s="10"/>
      <c r="G79" s="10"/>
      <c r="H79" s="31">
        <f>22199.38+18026.25</f>
        <v>40225.630000000005</v>
      </c>
      <c r="I79" s="31">
        <f>(89760*0.5)+81840*0.5</f>
        <v>85800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>
        <f>3461.25+3006.25</f>
        <v>6467.5</v>
      </c>
      <c r="V79" s="31">
        <f>3712.5+3224.38</f>
        <v>6936.88</v>
      </c>
      <c r="W79" s="31"/>
      <c r="X79" s="31"/>
      <c r="Y79" s="31"/>
      <c r="Z79" s="31"/>
      <c r="AA79" s="31">
        <f t="shared" si="2"/>
        <v>139430.01</v>
      </c>
    </row>
    <row r="80" spans="1:27" ht="12.75">
      <c r="A80" s="36" t="s">
        <v>64</v>
      </c>
      <c r="B80" s="10"/>
      <c r="C80" s="10"/>
      <c r="D80" s="10"/>
      <c r="E80" s="10"/>
      <c r="F80" s="10"/>
      <c r="G80" s="10"/>
      <c r="H80" s="31">
        <f>18026.25+13722.5</f>
        <v>31748.75</v>
      </c>
      <c r="I80" s="31">
        <f>(81840*0.5)+73700*0.5</f>
        <v>77770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>
        <f>3006.25+2535</f>
        <v>5541.25</v>
      </c>
      <c r="V80" s="31">
        <f>3224.38+2722.5</f>
        <v>5946.88</v>
      </c>
      <c r="W80" s="31"/>
      <c r="X80" s="31"/>
      <c r="Y80" s="31"/>
      <c r="Z80" s="31"/>
      <c r="AA80" s="31">
        <f t="shared" si="2"/>
        <v>121006.88</v>
      </c>
    </row>
    <row r="81" spans="1:27" ht="12.75">
      <c r="A81" s="36" t="s">
        <v>65</v>
      </c>
      <c r="B81" s="10"/>
      <c r="C81" s="10"/>
      <c r="D81" s="10"/>
      <c r="E81" s="10"/>
      <c r="F81" s="10"/>
      <c r="G81" s="10"/>
      <c r="H81" s="31">
        <f>13722.5+9274.38</f>
        <v>22996.879999999997</v>
      </c>
      <c r="I81" s="31">
        <f>(73700*0.5)+65340*0.5</f>
        <v>69520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>
        <f>2535+2047.5</f>
        <v>4582.5</v>
      </c>
      <c r="V81" s="31">
        <f>2722.5+2206.88</f>
        <v>4929.38</v>
      </c>
      <c r="W81" s="31"/>
      <c r="X81" s="31"/>
      <c r="Y81" s="31"/>
      <c r="Z81" s="31"/>
      <c r="AA81" s="31">
        <f t="shared" si="2"/>
        <v>102028.76000000001</v>
      </c>
    </row>
    <row r="82" spans="1:27" ht="12.75">
      <c r="A82" s="36" t="s">
        <v>66</v>
      </c>
      <c r="B82" s="10"/>
      <c r="C82" s="10"/>
      <c r="D82" s="10"/>
      <c r="E82" s="10"/>
      <c r="F82" s="10"/>
      <c r="G82" s="10"/>
      <c r="H82" s="31">
        <f>9274.38+4681.88</f>
        <v>13956.259999999998</v>
      </c>
      <c r="I82" s="31">
        <f>(65340*0.5)+56750*0.5</f>
        <v>61045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>
        <f>2047.5+1543.75</f>
        <v>3591.25</v>
      </c>
      <c r="V82" s="31">
        <f>2206.88+1677.5</f>
        <v>3884.38</v>
      </c>
      <c r="W82" s="31"/>
      <c r="X82" s="31"/>
      <c r="Y82" s="31"/>
      <c r="Z82" s="31"/>
      <c r="AA82" s="31">
        <f t="shared" si="2"/>
        <v>82476.89</v>
      </c>
    </row>
    <row r="83" spans="1:27" ht="12.75">
      <c r="A83" s="36" t="s">
        <v>72</v>
      </c>
      <c r="B83" s="10"/>
      <c r="C83" s="10"/>
      <c r="D83" s="10"/>
      <c r="E83" s="10"/>
      <c r="F83" s="10"/>
      <c r="G83" s="10"/>
      <c r="H83" s="31">
        <v>4681.88</v>
      </c>
      <c r="I83" s="31">
        <f>(56750*0.5)+47920*0.5</f>
        <v>52335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>
        <f>1543.75+1023.75</f>
        <v>2567.5</v>
      </c>
      <c r="V83" s="31">
        <f>1677.5+1134.38</f>
        <v>2811.88</v>
      </c>
      <c r="W83" s="31"/>
      <c r="X83" s="31"/>
      <c r="Y83" s="31"/>
      <c r="Z83" s="31"/>
      <c r="AA83" s="31">
        <f t="shared" si="2"/>
        <v>62396.259999999995</v>
      </c>
    </row>
    <row r="84" spans="1:27" ht="12.75">
      <c r="A84" s="36" t="s">
        <v>83</v>
      </c>
      <c r="B84" s="10"/>
      <c r="C84" s="10"/>
      <c r="D84" s="10"/>
      <c r="E84" s="10"/>
      <c r="F84" s="10"/>
      <c r="G84" s="10"/>
      <c r="H84" s="31"/>
      <c r="I84" s="31">
        <f>(47920*0.5)+38850*0.5</f>
        <v>43385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>
        <f>1023.75+487.5</f>
        <v>1511.25</v>
      </c>
      <c r="V84" s="31">
        <f>1134.38+577.5</f>
        <v>1711.88</v>
      </c>
      <c r="W84" s="31"/>
      <c r="X84" s="31"/>
      <c r="Y84" s="31"/>
      <c r="Z84" s="31"/>
      <c r="AA84" s="31">
        <f t="shared" si="2"/>
        <v>46608.13</v>
      </c>
    </row>
    <row r="85" spans="1:27" ht="12.75">
      <c r="A85" s="36" t="s">
        <v>84</v>
      </c>
      <c r="B85" s="10"/>
      <c r="C85" s="10"/>
      <c r="D85" s="10"/>
      <c r="E85" s="10"/>
      <c r="F85" s="10"/>
      <c r="G85" s="10"/>
      <c r="H85" s="31"/>
      <c r="I85" s="31">
        <f>(38850*0.5)+29530*0.5</f>
        <v>34190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>
        <v>487.5</v>
      </c>
      <c r="V85" s="31">
        <v>577.5</v>
      </c>
      <c r="W85" s="31"/>
      <c r="X85" s="31"/>
      <c r="Y85" s="31"/>
      <c r="Z85" s="31"/>
      <c r="AA85" s="31">
        <f t="shared" si="2"/>
        <v>35255</v>
      </c>
    </row>
    <row r="86" spans="1:27" ht="12.75">
      <c r="A86" s="36" t="s">
        <v>93</v>
      </c>
      <c r="B86" s="10"/>
      <c r="C86" s="10"/>
      <c r="D86" s="10"/>
      <c r="E86" s="10"/>
      <c r="F86" s="10"/>
      <c r="G86" s="10"/>
      <c r="H86" s="31"/>
      <c r="I86" s="31">
        <f>(29530*0.5)+19940*0.5</f>
        <v>24735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>
        <f t="shared" si="2"/>
        <v>24735</v>
      </c>
    </row>
    <row r="87" spans="1:27" ht="12.75">
      <c r="A87" s="36" t="s">
        <v>94</v>
      </c>
      <c r="B87" s="10"/>
      <c r="C87" s="10"/>
      <c r="D87" s="10"/>
      <c r="E87" s="10"/>
      <c r="F87" s="10"/>
      <c r="G87" s="10"/>
      <c r="H87" s="31"/>
      <c r="I87" s="31">
        <f>(19940*0.5)+10100*0.5</f>
        <v>15020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>
        <f t="shared" si="2"/>
        <v>15020</v>
      </c>
    </row>
    <row r="88" spans="1:27" ht="12.75">
      <c r="A88" s="36" t="s">
        <v>95</v>
      </c>
      <c r="B88" s="10"/>
      <c r="C88" s="10"/>
      <c r="D88" s="10"/>
      <c r="E88" s="10"/>
      <c r="F88" s="10"/>
      <c r="G88" s="10"/>
      <c r="H88" s="31"/>
      <c r="I88" s="31">
        <v>10100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>
        <f t="shared" si="2"/>
        <v>10100</v>
      </c>
    </row>
    <row r="89" spans="1:27" ht="12.75">
      <c r="A89" s="36" t="s">
        <v>96</v>
      </c>
      <c r="B89" s="10"/>
      <c r="C89" s="10"/>
      <c r="D89" s="10"/>
      <c r="E89" s="10"/>
      <c r="F89" s="10"/>
      <c r="G89" s="1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>
        <f t="shared" si="2"/>
        <v>0</v>
      </c>
    </row>
    <row r="90" spans="1:27" ht="12.75">
      <c r="A90" s="36"/>
      <c r="B90" s="10"/>
      <c r="C90" s="10"/>
      <c r="D90" s="10"/>
      <c r="E90" s="10"/>
      <c r="F90" s="10"/>
      <c r="G90" s="1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>
        <f>SUM(B90:Y90)</f>
        <v>0</v>
      </c>
    </row>
    <row r="91" spans="1:27" ht="12.75">
      <c r="A91" s="36"/>
      <c r="B91" s="10"/>
      <c r="C91" s="10"/>
      <c r="D91" s="10"/>
      <c r="E91" s="10"/>
      <c r="F91" s="10"/>
      <c r="G91" s="1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>
        <f>SUM(B91:Y91)</f>
        <v>0</v>
      </c>
    </row>
    <row r="92" spans="1:27" ht="12.75">
      <c r="A92" s="36"/>
      <c r="B92" s="10"/>
      <c r="C92" s="10"/>
      <c r="D92" s="10"/>
      <c r="E92" s="31"/>
      <c r="F92" s="10"/>
      <c r="G92" s="1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>
        <f>SUM(B92:Y92)</f>
        <v>0</v>
      </c>
    </row>
    <row r="93" spans="1:27" ht="13.5" thickBot="1">
      <c r="A93" s="36"/>
      <c r="B93" s="40">
        <f aca="true" t="shared" si="3" ref="B93:AA93">SUM(B52:B92)</f>
        <v>0</v>
      </c>
      <c r="C93" s="40">
        <f t="shared" si="3"/>
        <v>0</v>
      </c>
      <c r="D93" s="40">
        <f t="shared" si="3"/>
        <v>0</v>
      </c>
      <c r="E93" s="40">
        <f t="shared" si="3"/>
        <v>0</v>
      </c>
      <c r="F93" s="40">
        <f t="shared" si="3"/>
        <v>0</v>
      </c>
      <c r="G93" s="40">
        <f t="shared" si="3"/>
        <v>0</v>
      </c>
      <c r="H93" s="40">
        <f t="shared" si="3"/>
        <v>3411013.8949999977</v>
      </c>
      <c r="I93" s="40">
        <f t="shared" si="3"/>
        <v>4924110</v>
      </c>
      <c r="J93" s="40">
        <f t="shared" si="3"/>
        <v>814065.92</v>
      </c>
      <c r="K93" s="40">
        <f t="shared" si="3"/>
        <v>18085.186</v>
      </c>
      <c r="L93" s="40">
        <f t="shared" si="3"/>
        <v>19421.92</v>
      </c>
      <c r="M93" s="40">
        <f t="shared" si="3"/>
        <v>287966.32000000007</v>
      </c>
      <c r="N93" s="40">
        <f t="shared" si="3"/>
        <v>39551.68000000001</v>
      </c>
      <c r="O93" s="40">
        <f t="shared" si="3"/>
        <v>20977.589999999997</v>
      </c>
      <c r="P93" s="40">
        <f t="shared" si="3"/>
        <v>86617.7</v>
      </c>
      <c r="Q93" s="40">
        <f t="shared" si="3"/>
        <v>42340.83</v>
      </c>
      <c r="R93" s="40">
        <f t="shared" si="3"/>
        <v>0</v>
      </c>
      <c r="S93" s="40">
        <f t="shared" si="3"/>
        <v>167808.96999999988</v>
      </c>
      <c r="T93" s="40">
        <f t="shared" si="3"/>
        <v>113702.15</v>
      </c>
      <c r="U93" s="40">
        <f t="shared" si="3"/>
        <v>435036.9700000001</v>
      </c>
      <c r="V93" s="40">
        <f t="shared" si="3"/>
        <v>478860.1400000001</v>
      </c>
      <c r="W93" s="40">
        <f t="shared" si="3"/>
        <v>3191.95</v>
      </c>
      <c r="X93" s="40">
        <f t="shared" si="3"/>
        <v>1143918.8800000001</v>
      </c>
      <c r="Y93" s="40">
        <f t="shared" si="3"/>
        <v>144963.71999999997</v>
      </c>
      <c r="Z93" s="40">
        <f t="shared" si="3"/>
        <v>763</v>
      </c>
      <c r="AA93" s="40">
        <f t="shared" si="3"/>
        <v>12152396.821</v>
      </c>
    </row>
    <row r="94" ht="13.5" thickTop="1"/>
    <row r="95" spans="1:27" ht="12.75">
      <c r="A95" s="30"/>
      <c r="B95" s="31"/>
      <c r="C95" s="31"/>
      <c r="D95" s="31"/>
      <c r="E95" s="31"/>
      <c r="F95" s="31"/>
      <c r="G95" s="31"/>
      <c r="AA95" s="31"/>
    </row>
    <row r="96" spans="1:27" ht="12.75">
      <c r="A96" s="30"/>
      <c r="B96" s="31"/>
      <c r="C96" s="31"/>
      <c r="D96" s="31"/>
      <c r="E96" s="31"/>
      <c r="F96" s="31"/>
      <c r="G96" s="31"/>
      <c r="AA96" s="31"/>
    </row>
    <row r="97" spans="1:27" ht="12.75">
      <c r="A97" s="33" t="s">
        <v>48</v>
      </c>
      <c r="B97" s="31"/>
      <c r="C97" s="31"/>
      <c r="D97" s="31"/>
      <c r="E97" s="31"/>
      <c r="F97" s="31"/>
      <c r="G97" s="31"/>
      <c r="X97" s="57" t="s">
        <v>124</v>
      </c>
      <c r="Y97" s="58" t="s">
        <v>21</v>
      </c>
      <c r="Z97" s="61">
        <v>2020</v>
      </c>
      <c r="AA97" s="31"/>
    </row>
    <row r="98" spans="1:27" s="43" customFormat="1" ht="12.75">
      <c r="A98" s="41"/>
      <c r="B98" s="42" t="s">
        <v>113</v>
      </c>
      <c r="C98" s="42"/>
      <c r="D98" s="42" t="s">
        <v>112</v>
      </c>
      <c r="E98" s="42" t="s">
        <v>111</v>
      </c>
      <c r="F98" s="42" t="s">
        <v>110</v>
      </c>
      <c r="G98" s="42" t="s">
        <v>109</v>
      </c>
      <c r="H98" s="43" t="s">
        <v>101</v>
      </c>
      <c r="I98" s="43" t="s">
        <v>118</v>
      </c>
      <c r="J98" s="43" t="s">
        <v>120</v>
      </c>
      <c r="K98" s="43" t="s">
        <v>108</v>
      </c>
      <c r="L98" s="43" t="s">
        <v>107</v>
      </c>
      <c r="M98" s="43" t="s">
        <v>100</v>
      </c>
      <c r="N98" s="43" t="s">
        <v>106</v>
      </c>
      <c r="O98" s="43" t="s">
        <v>105</v>
      </c>
      <c r="P98" s="43" t="s">
        <v>104</v>
      </c>
      <c r="Q98" s="43" t="s">
        <v>102</v>
      </c>
      <c r="S98" s="43" t="s">
        <v>117</v>
      </c>
      <c r="U98" s="68" t="s">
        <v>103</v>
      </c>
      <c r="V98" s="68"/>
      <c r="W98" s="54" t="s">
        <v>121</v>
      </c>
      <c r="X98" s="54" t="s">
        <v>125</v>
      </c>
      <c r="Y98" s="54" t="s">
        <v>126</v>
      </c>
      <c r="Z98" s="54" t="s">
        <v>128</v>
      </c>
      <c r="AA98" s="42"/>
    </row>
    <row r="99" spans="1:28" s="51" customFormat="1" ht="12.75">
      <c r="A99" s="44" t="s">
        <v>3</v>
      </c>
      <c r="B99" s="45" t="s">
        <v>5</v>
      </c>
      <c r="C99" s="45" t="s">
        <v>56</v>
      </c>
      <c r="D99" s="45" t="s">
        <v>8</v>
      </c>
      <c r="E99" s="45">
        <v>2004</v>
      </c>
      <c r="F99" s="45" t="s">
        <v>49</v>
      </c>
      <c r="G99" s="45" t="s">
        <v>50</v>
      </c>
      <c r="H99" s="45">
        <v>2011</v>
      </c>
      <c r="I99" s="45">
        <v>2016</v>
      </c>
      <c r="J99" s="53" t="s">
        <v>119</v>
      </c>
      <c r="K99" s="53" t="s">
        <v>71</v>
      </c>
      <c r="L99" s="53" t="s">
        <v>73</v>
      </c>
      <c r="M99" s="53" t="s">
        <v>85</v>
      </c>
      <c r="N99" s="53" t="s">
        <v>86</v>
      </c>
      <c r="O99" s="53" t="s">
        <v>89</v>
      </c>
      <c r="P99" s="53" t="s">
        <v>90</v>
      </c>
      <c r="Q99" s="53" t="s">
        <v>91</v>
      </c>
      <c r="R99" s="45" t="s">
        <v>78</v>
      </c>
      <c r="S99" s="53" t="s">
        <v>115</v>
      </c>
      <c r="T99" s="53" t="s">
        <v>130</v>
      </c>
      <c r="U99" s="45" t="s">
        <v>76</v>
      </c>
      <c r="V99" s="45" t="s">
        <v>77</v>
      </c>
      <c r="W99" s="45" t="s">
        <v>122</v>
      </c>
      <c r="X99" s="45" t="s">
        <v>122</v>
      </c>
      <c r="Y99" s="45" t="s">
        <v>127</v>
      </c>
      <c r="Z99" s="45" t="s">
        <v>129</v>
      </c>
      <c r="AA99" s="45" t="s">
        <v>11</v>
      </c>
      <c r="AB99" s="45" t="s">
        <v>51</v>
      </c>
    </row>
    <row r="100" spans="1:28" ht="12.75">
      <c r="A100" s="36" t="s">
        <v>23</v>
      </c>
      <c r="B100" s="31"/>
      <c r="C100" s="10"/>
      <c r="D100" s="10"/>
      <c r="E100" s="31">
        <f aca="true" t="shared" si="4" ref="E100:H121">+E9+E53</f>
        <v>0</v>
      </c>
      <c r="F100" s="31">
        <f t="shared" si="4"/>
        <v>0</v>
      </c>
      <c r="G100" s="31">
        <f t="shared" si="4"/>
        <v>0</v>
      </c>
      <c r="H100" s="31">
        <f t="shared" si="4"/>
        <v>319522.5</v>
      </c>
      <c r="I100" s="31">
        <f aca="true" t="shared" si="5" ref="I100:Q100">+I9+I53</f>
        <v>376120</v>
      </c>
      <c r="J100" s="31">
        <f t="shared" si="5"/>
        <v>557268.67</v>
      </c>
      <c r="K100" s="31">
        <f t="shared" si="5"/>
        <v>19151.829999999998</v>
      </c>
      <c r="L100" s="31">
        <f t="shared" si="5"/>
        <v>21304.43</v>
      </c>
      <c r="M100" s="31">
        <f t="shared" si="5"/>
        <v>149150.26</v>
      </c>
      <c r="N100" s="31">
        <f t="shared" si="5"/>
        <v>34988.93</v>
      </c>
      <c r="O100" s="31">
        <f t="shared" si="5"/>
        <v>18252.75</v>
      </c>
      <c r="P100" s="31">
        <f t="shared" si="5"/>
        <v>78794.31999999999</v>
      </c>
      <c r="Q100" s="31">
        <f t="shared" si="5"/>
        <v>34196.18</v>
      </c>
      <c r="R100" s="31"/>
      <c r="S100" s="31">
        <f aca="true" t="shared" si="6" ref="S100:Z105">+S9+S53</f>
        <v>116028.45</v>
      </c>
      <c r="T100" s="31">
        <f t="shared" si="6"/>
        <v>66870.54000000001</v>
      </c>
      <c r="U100" s="31">
        <f t="shared" si="6"/>
        <v>33754.38</v>
      </c>
      <c r="V100" s="31">
        <f t="shared" si="6"/>
        <v>42559.38</v>
      </c>
      <c r="W100" s="31">
        <f t="shared" si="6"/>
        <v>12346.800000000001</v>
      </c>
      <c r="X100" s="31">
        <f t="shared" si="6"/>
        <v>185943.76</v>
      </c>
      <c r="Y100" s="31">
        <f t="shared" si="6"/>
        <v>249908.7</v>
      </c>
      <c r="Z100" s="31">
        <f t="shared" si="6"/>
        <v>6875</v>
      </c>
      <c r="AA100" s="31">
        <f aca="true" t="shared" si="7" ref="AA100:AA109">SUM(B100:Z100)</f>
        <v>2323036.88</v>
      </c>
      <c r="AB100" s="31" t="e">
        <f>+F100+G100+H100+#REF!+I100</f>
        <v>#REF!</v>
      </c>
    </row>
    <row r="101" spans="1:28" ht="12.75">
      <c r="A101" s="36" t="s">
        <v>24</v>
      </c>
      <c r="B101" s="10"/>
      <c r="C101" s="10"/>
      <c r="D101" s="10"/>
      <c r="E101" s="31">
        <f t="shared" si="4"/>
        <v>0</v>
      </c>
      <c r="F101" s="31">
        <f t="shared" si="4"/>
        <v>0</v>
      </c>
      <c r="G101" s="31">
        <f t="shared" si="4"/>
        <v>0</v>
      </c>
      <c r="H101" s="31">
        <f t="shared" si="4"/>
        <v>320330.63</v>
      </c>
      <c r="I101" s="31">
        <f aca="true" t="shared" si="8" ref="I101:Q101">+I10+I54</f>
        <v>375655</v>
      </c>
      <c r="J101" s="31">
        <f t="shared" si="8"/>
        <v>556322.38</v>
      </c>
      <c r="K101" s="31">
        <f t="shared" si="8"/>
        <v>19110.530000000002</v>
      </c>
      <c r="L101" s="31">
        <f t="shared" si="8"/>
        <v>21267.480000000003</v>
      </c>
      <c r="M101" s="31">
        <f t="shared" si="8"/>
        <v>148866.99</v>
      </c>
      <c r="N101" s="31">
        <f t="shared" si="8"/>
        <v>34929.3</v>
      </c>
      <c r="O101" s="31">
        <f t="shared" si="8"/>
        <v>18213.38</v>
      </c>
      <c r="P101" s="31">
        <f t="shared" si="8"/>
        <v>78657.4</v>
      </c>
      <c r="Q101" s="31">
        <f t="shared" si="8"/>
        <v>34137.29</v>
      </c>
      <c r="R101" s="31"/>
      <c r="S101" s="31">
        <f t="shared" si="6"/>
        <v>115782.95999999999</v>
      </c>
      <c r="T101" s="31">
        <f t="shared" si="6"/>
        <v>66758.54000000001</v>
      </c>
      <c r="U101" s="31">
        <f t="shared" si="6"/>
        <v>33872.5</v>
      </c>
      <c r="V101" s="31">
        <f t="shared" si="6"/>
        <v>42571.259999999995</v>
      </c>
      <c r="W101" s="31">
        <f t="shared" si="6"/>
        <v>12346.8</v>
      </c>
      <c r="X101" s="31">
        <f t="shared" si="6"/>
        <v>188443.76</v>
      </c>
      <c r="Y101" s="31">
        <f t="shared" si="6"/>
        <v>249908.69999999998</v>
      </c>
      <c r="Z101" s="31">
        <f t="shared" si="6"/>
        <v>6875</v>
      </c>
      <c r="AA101" s="31">
        <f t="shared" si="7"/>
        <v>2324049.9</v>
      </c>
      <c r="AB101" s="31" t="e">
        <f>+F101+G101+H101+#REF!+I101</f>
        <v>#REF!</v>
      </c>
    </row>
    <row r="102" spans="1:28" ht="12.75">
      <c r="A102" s="36" t="s">
        <v>25</v>
      </c>
      <c r="B102" s="10"/>
      <c r="C102" s="10"/>
      <c r="D102" s="10"/>
      <c r="E102" s="31">
        <f t="shared" si="4"/>
        <v>0</v>
      </c>
      <c r="F102" s="31">
        <f t="shared" si="4"/>
        <v>0</v>
      </c>
      <c r="G102" s="31">
        <f t="shared" si="4"/>
        <v>0</v>
      </c>
      <c r="H102" s="31">
        <f t="shared" si="4"/>
        <v>321015.01</v>
      </c>
      <c r="I102" s="31">
        <f aca="true" t="shared" si="9" ref="I102:Q102">+I11+I55</f>
        <v>376080</v>
      </c>
      <c r="J102" s="31">
        <f t="shared" si="9"/>
        <v>555368.97</v>
      </c>
      <c r="K102" s="31">
        <f t="shared" si="9"/>
        <v>19068.82</v>
      </c>
      <c r="L102" s="31">
        <f t="shared" si="9"/>
        <v>21230.16</v>
      </c>
      <c r="M102" s="31">
        <f t="shared" si="9"/>
        <v>148578.75</v>
      </c>
      <c r="N102" s="31">
        <f t="shared" si="9"/>
        <v>34869.06</v>
      </c>
      <c r="O102" s="31">
        <f t="shared" si="9"/>
        <v>18173.71</v>
      </c>
      <c r="P102" s="31">
        <f t="shared" si="9"/>
        <v>78519.46</v>
      </c>
      <c r="Q102" s="31">
        <f t="shared" si="9"/>
        <v>34077.979999999996</v>
      </c>
      <c r="R102" s="31"/>
      <c r="S102" s="31">
        <f t="shared" si="6"/>
        <v>115535.60999999999</v>
      </c>
      <c r="T102" s="31">
        <f t="shared" si="6"/>
        <v>66645.7</v>
      </c>
      <c r="U102" s="31">
        <f t="shared" si="6"/>
        <v>33974.38</v>
      </c>
      <c r="V102" s="31">
        <f t="shared" si="6"/>
        <v>42569.38</v>
      </c>
      <c r="W102" s="31">
        <f t="shared" si="6"/>
        <v>8430.339999999998</v>
      </c>
      <c r="X102" s="31">
        <f t="shared" si="6"/>
        <v>185818.76</v>
      </c>
      <c r="Y102" s="31">
        <f t="shared" si="6"/>
        <v>249908.7</v>
      </c>
      <c r="Z102" s="31">
        <f t="shared" si="6"/>
        <v>6875</v>
      </c>
      <c r="AA102" s="31">
        <f t="shared" si="7"/>
        <v>2316739.7899999996</v>
      </c>
      <c r="AB102" s="31" t="e">
        <f>+F102+G102+H102+#REF!+I102</f>
        <v>#REF!</v>
      </c>
    </row>
    <row r="103" spans="1:28" ht="12.75">
      <c r="A103" s="36" t="s">
        <v>26</v>
      </c>
      <c r="B103" s="31"/>
      <c r="C103" s="31"/>
      <c r="D103" s="31"/>
      <c r="E103" s="31">
        <f t="shared" si="4"/>
        <v>0</v>
      </c>
      <c r="F103" s="31">
        <f t="shared" si="4"/>
        <v>0</v>
      </c>
      <c r="G103" s="31">
        <f t="shared" si="4"/>
        <v>0</v>
      </c>
      <c r="H103" s="31">
        <f t="shared" si="4"/>
        <v>321575.63</v>
      </c>
      <c r="I103" s="31">
        <f aca="true" t="shared" si="10" ref="I103:Q103">+I12+I56</f>
        <v>375885</v>
      </c>
      <c r="J103" s="31">
        <f t="shared" si="10"/>
        <v>554408.4</v>
      </c>
      <c r="K103" s="31">
        <f t="shared" si="10"/>
        <v>19026.700000000004</v>
      </c>
      <c r="L103" s="31">
        <f t="shared" si="10"/>
        <v>21192.46</v>
      </c>
      <c r="M103" s="31">
        <f t="shared" si="10"/>
        <v>148285.43</v>
      </c>
      <c r="N103" s="31">
        <f t="shared" si="10"/>
        <v>34808.23</v>
      </c>
      <c r="O103" s="31">
        <f t="shared" si="10"/>
        <v>18133.75</v>
      </c>
      <c r="P103" s="31">
        <f t="shared" si="10"/>
        <v>78380.48</v>
      </c>
      <c r="Q103" s="31">
        <f t="shared" si="10"/>
        <v>34018.21</v>
      </c>
      <c r="R103" s="31"/>
      <c r="S103" s="31">
        <f t="shared" si="6"/>
        <v>115286.41</v>
      </c>
      <c r="T103" s="31">
        <f t="shared" si="6"/>
        <v>66532.01</v>
      </c>
      <c r="U103" s="31">
        <f t="shared" si="6"/>
        <v>34060.009999999995</v>
      </c>
      <c r="V103" s="31">
        <f t="shared" si="6"/>
        <v>42553.75</v>
      </c>
      <c r="W103" s="31">
        <f t="shared" si="6"/>
        <v>0</v>
      </c>
      <c r="X103" s="31">
        <f t="shared" si="6"/>
        <v>188193.76</v>
      </c>
      <c r="Y103" s="31">
        <f t="shared" si="6"/>
        <v>249908.69999999998</v>
      </c>
      <c r="Z103" s="31">
        <f t="shared" si="6"/>
        <v>3437</v>
      </c>
      <c r="AA103" s="31">
        <f t="shared" si="7"/>
        <v>2305685.9299999997</v>
      </c>
      <c r="AB103" s="31" t="e">
        <f>+F103+G103+H103+#REF!+I103</f>
        <v>#REF!</v>
      </c>
    </row>
    <row r="104" spans="1:28" ht="12.75">
      <c r="A104" s="36" t="s">
        <v>27</v>
      </c>
      <c r="B104" s="31"/>
      <c r="C104" s="31"/>
      <c r="D104" s="31"/>
      <c r="E104" s="31">
        <f t="shared" si="4"/>
        <v>0</v>
      </c>
      <c r="F104" s="31">
        <f t="shared" si="4"/>
        <v>0</v>
      </c>
      <c r="G104" s="31">
        <f t="shared" si="4"/>
        <v>0</v>
      </c>
      <c r="H104" s="31">
        <f t="shared" si="4"/>
        <v>322012.5</v>
      </c>
      <c r="I104" s="31">
        <f aca="true" t="shared" si="11" ref="I104:Q104">+I13+I57</f>
        <v>375580</v>
      </c>
      <c r="J104" s="31">
        <f t="shared" si="11"/>
        <v>553440.62</v>
      </c>
      <c r="K104" s="31">
        <f t="shared" si="11"/>
        <v>18984.15</v>
      </c>
      <c r="L104" s="31">
        <f t="shared" si="11"/>
        <v>21154.44</v>
      </c>
      <c r="M104" s="31">
        <f t="shared" si="11"/>
        <v>147986.95</v>
      </c>
      <c r="N104" s="31">
        <f t="shared" si="11"/>
        <v>34746.78</v>
      </c>
      <c r="O104" s="31">
        <f t="shared" si="11"/>
        <v>18096.49</v>
      </c>
      <c r="P104" s="31">
        <f t="shared" si="11"/>
        <v>78240.46</v>
      </c>
      <c r="Q104" s="31">
        <f t="shared" si="11"/>
        <v>33958</v>
      </c>
      <c r="R104" s="31"/>
      <c r="S104" s="31">
        <f t="shared" si="6"/>
        <v>115035.33999999998</v>
      </c>
      <c r="T104" s="31">
        <f t="shared" si="6"/>
        <v>66417.46</v>
      </c>
      <c r="U104" s="31">
        <f t="shared" si="6"/>
        <v>34129.38</v>
      </c>
      <c r="V104" s="31">
        <f t="shared" si="6"/>
        <v>42524.38</v>
      </c>
      <c r="W104" s="31">
        <f t="shared" si="6"/>
        <v>0</v>
      </c>
      <c r="X104" s="31">
        <f t="shared" si="6"/>
        <v>185443.76</v>
      </c>
      <c r="Y104" s="31">
        <f t="shared" si="6"/>
        <v>249908.69999999998</v>
      </c>
      <c r="Z104" s="31">
        <f t="shared" si="6"/>
        <v>0</v>
      </c>
      <c r="AA104" s="31">
        <f t="shared" si="7"/>
        <v>2297659.4099999997</v>
      </c>
      <c r="AB104" s="31" t="e">
        <f>+F104+G104+H104+#REF!+I104</f>
        <v>#REF!</v>
      </c>
    </row>
    <row r="105" spans="1:28" ht="12.75">
      <c r="A105" s="36" t="s">
        <v>28</v>
      </c>
      <c r="B105" s="31"/>
      <c r="C105" s="31"/>
      <c r="D105" s="31"/>
      <c r="E105" s="31">
        <f t="shared" si="4"/>
        <v>0</v>
      </c>
      <c r="F105" s="31">
        <f t="shared" si="4"/>
        <v>0</v>
      </c>
      <c r="G105" s="31">
        <f t="shared" si="4"/>
        <v>0</v>
      </c>
      <c r="H105" s="31">
        <f t="shared" si="4"/>
        <v>322818.75</v>
      </c>
      <c r="I105" s="31">
        <f aca="true" t="shared" si="12" ref="I105:Q105">+I14+I58</f>
        <v>375660</v>
      </c>
      <c r="J105" s="31">
        <f t="shared" si="12"/>
        <v>552465.56</v>
      </c>
      <c r="K105" s="31">
        <f t="shared" si="12"/>
        <v>18941.19</v>
      </c>
      <c r="L105" s="31">
        <f t="shared" si="12"/>
        <v>21115.93</v>
      </c>
      <c r="M105" s="31">
        <f t="shared" si="12"/>
        <v>147683.23</v>
      </c>
      <c r="N105" s="31">
        <f t="shared" si="12"/>
        <v>34684.73</v>
      </c>
      <c r="O105" s="31">
        <f t="shared" si="12"/>
        <v>18052.92</v>
      </c>
      <c r="P105" s="31">
        <f t="shared" si="12"/>
        <v>78099.38</v>
      </c>
      <c r="Q105" s="31">
        <f t="shared" si="12"/>
        <v>33897.14</v>
      </c>
      <c r="R105" s="31"/>
      <c r="S105" s="31">
        <f t="shared" si="6"/>
        <v>114782.37999999999</v>
      </c>
      <c r="T105" s="31">
        <f t="shared" si="6"/>
        <v>66302.06</v>
      </c>
      <c r="U105" s="31">
        <f t="shared" si="6"/>
        <v>34182.5</v>
      </c>
      <c r="V105" s="31">
        <f t="shared" si="6"/>
        <v>42481.259999999995</v>
      </c>
      <c r="W105" s="31">
        <f t="shared" si="6"/>
        <v>0</v>
      </c>
      <c r="X105" s="31">
        <f t="shared" si="6"/>
        <v>187693.76</v>
      </c>
      <c r="Y105" s="31">
        <f t="shared" si="6"/>
        <v>249908.7</v>
      </c>
      <c r="Z105" s="31">
        <f t="shared" si="6"/>
        <v>0</v>
      </c>
      <c r="AA105" s="31">
        <f t="shared" si="7"/>
        <v>2298769.4899999998</v>
      </c>
      <c r="AB105" s="31" t="e">
        <f>+F105+G105+H105+#REF!+I105</f>
        <v>#REF!</v>
      </c>
    </row>
    <row r="106" spans="1:28" ht="12.75">
      <c r="A106" s="36" t="s">
        <v>29</v>
      </c>
      <c r="B106" s="31"/>
      <c r="C106" s="31"/>
      <c r="D106" s="31"/>
      <c r="E106" s="31">
        <f t="shared" si="4"/>
        <v>0</v>
      </c>
      <c r="F106" s="31">
        <f t="shared" si="4"/>
        <v>0</v>
      </c>
      <c r="G106" s="31">
        <f t="shared" si="4"/>
        <v>0</v>
      </c>
      <c r="H106" s="31">
        <f t="shared" si="4"/>
        <v>323487.5</v>
      </c>
      <c r="I106" s="31">
        <f aca="true" t="shared" si="13" ref="I106:Q106">+I15+I59</f>
        <v>375615</v>
      </c>
      <c r="J106" s="31">
        <f t="shared" si="13"/>
        <v>551483.1799999999</v>
      </c>
      <c r="K106" s="31">
        <f t="shared" si="13"/>
        <v>18897.78</v>
      </c>
      <c r="L106" s="31">
        <f t="shared" si="13"/>
        <v>21077.08</v>
      </c>
      <c r="M106" s="31">
        <f t="shared" si="13"/>
        <v>147374.18</v>
      </c>
      <c r="N106" s="31">
        <f t="shared" si="13"/>
        <v>34622.05</v>
      </c>
      <c r="O106" s="31">
        <f t="shared" si="13"/>
        <v>18012.05</v>
      </c>
      <c r="P106" s="31">
        <f t="shared" si="13"/>
        <v>77957.25</v>
      </c>
      <c r="Q106" s="31">
        <f t="shared" si="13"/>
        <v>33836.22</v>
      </c>
      <c r="R106" s="31"/>
      <c r="S106" s="31">
        <f aca="true" t="shared" si="14" ref="S106:Y106">+S15+S59</f>
        <v>114527.53</v>
      </c>
      <c r="T106" s="31">
        <f t="shared" si="14"/>
        <v>66185.78</v>
      </c>
      <c r="U106" s="31">
        <f t="shared" si="14"/>
        <v>34219.38</v>
      </c>
      <c r="V106" s="31">
        <f t="shared" si="14"/>
        <v>42424.38</v>
      </c>
      <c r="W106" s="31">
        <f t="shared" si="14"/>
        <v>0</v>
      </c>
      <c r="X106" s="31">
        <f t="shared" si="14"/>
        <v>184818.76</v>
      </c>
      <c r="Y106" s="31">
        <f t="shared" si="14"/>
        <v>0</v>
      </c>
      <c r="Z106" s="31"/>
      <c r="AA106" s="31">
        <f t="shared" si="7"/>
        <v>2044538.1199999999</v>
      </c>
      <c r="AB106" s="31" t="e">
        <f>+F106+G106+H106+#REF!+I106</f>
        <v>#REF!</v>
      </c>
    </row>
    <row r="107" spans="1:28" ht="12.75">
      <c r="A107" s="36" t="s">
        <v>30</v>
      </c>
      <c r="B107" s="31"/>
      <c r="C107" s="31"/>
      <c r="D107" s="31"/>
      <c r="E107" s="31">
        <f t="shared" si="4"/>
        <v>0</v>
      </c>
      <c r="F107" s="31">
        <f t="shared" si="4"/>
        <v>0</v>
      </c>
      <c r="G107" s="31">
        <f t="shared" si="4"/>
        <v>0</v>
      </c>
      <c r="H107" s="31">
        <f t="shared" si="4"/>
        <v>324018.75</v>
      </c>
      <c r="I107" s="31">
        <f aca="true" t="shared" si="15" ref="I107:Q107">+I16+I60</f>
        <v>375445</v>
      </c>
      <c r="J107" s="31">
        <f t="shared" si="15"/>
        <v>550493.4099999999</v>
      </c>
      <c r="K107" s="31">
        <f t="shared" si="15"/>
        <v>18853.982</v>
      </c>
      <c r="L107" s="31">
        <f t="shared" si="15"/>
        <v>21037.859999999997</v>
      </c>
      <c r="M107" s="31">
        <f t="shared" si="15"/>
        <v>147059.69</v>
      </c>
      <c r="N107" s="31">
        <f t="shared" si="15"/>
        <v>34558.73</v>
      </c>
      <c r="O107" s="31">
        <f t="shared" si="15"/>
        <v>17970.87</v>
      </c>
      <c r="P107" s="31">
        <f t="shared" si="15"/>
        <v>77814.05</v>
      </c>
      <c r="Q107" s="31">
        <f t="shared" si="15"/>
        <v>33774.64</v>
      </c>
      <c r="R107" s="31"/>
      <c r="S107" s="31">
        <f aca="true" t="shared" si="16" ref="S107:X117">+S16+S60</f>
        <v>114270.75</v>
      </c>
      <c r="T107" s="31">
        <f t="shared" si="16"/>
        <v>66068.63</v>
      </c>
      <c r="U107" s="31">
        <f t="shared" si="16"/>
        <v>34240.009999999995</v>
      </c>
      <c r="V107" s="31">
        <f t="shared" si="16"/>
        <v>42353.75</v>
      </c>
      <c r="W107" s="31">
        <f t="shared" si="16"/>
        <v>0</v>
      </c>
      <c r="X107" s="31">
        <f t="shared" si="16"/>
        <v>186943.76</v>
      </c>
      <c r="Y107" s="31"/>
      <c r="Z107" s="31"/>
      <c r="AA107" s="31">
        <f t="shared" si="7"/>
        <v>2044903.8820000002</v>
      </c>
      <c r="AB107" s="31" t="e">
        <f>+F107+G107+H107+#REF!+I107</f>
        <v>#REF!</v>
      </c>
    </row>
    <row r="108" spans="1:28" ht="12.75">
      <c r="A108" s="36" t="s">
        <v>31</v>
      </c>
      <c r="B108" s="31"/>
      <c r="C108" s="31"/>
      <c r="D108" s="31"/>
      <c r="E108" s="31">
        <f t="shared" si="4"/>
        <v>0</v>
      </c>
      <c r="F108" s="31">
        <f t="shared" si="4"/>
        <v>0</v>
      </c>
      <c r="G108" s="31">
        <f t="shared" si="4"/>
        <v>0</v>
      </c>
      <c r="H108" s="31">
        <f t="shared" si="4"/>
        <v>325905.63</v>
      </c>
      <c r="I108" s="31">
        <f aca="true" t="shared" si="17" ref="I108:Q108">+I17+I61</f>
        <v>375650</v>
      </c>
      <c r="J108" s="31">
        <f t="shared" si="17"/>
        <v>549496.21</v>
      </c>
      <c r="K108" s="31">
        <f t="shared" si="17"/>
        <v>18809.67</v>
      </c>
      <c r="L108" s="31">
        <f t="shared" si="17"/>
        <v>20998.23</v>
      </c>
      <c r="M108" s="31">
        <f t="shared" si="17"/>
        <v>146739.68</v>
      </c>
      <c r="N108" s="31">
        <f t="shared" si="17"/>
        <v>34494.79</v>
      </c>
      <c r="O108" s="31">
        <f t="shared" si="17"/>
        <v>17929.39</v>
      </c>
      <c r="P108" s="31">
        <f t="shared" si="17"/>
        <v>77669.76999999999</v>
      </c>
      <c r="Q108" s="31">
        <f t="shared" si="17"/>
        <v>33712.6</v>
      </c>
      <c r="R108" s="31"/>
      <c r="S108" s="31">
        <f t="shared" si="16"/>
        <v>114012.04999999999</v>
      </c>
      <c r="T108" s="31">
        <f t="shared" si="16"/>
        <v>65950.59999999999</v>
      </c>
      <c r="U108" s="31">
        <f t="shared" si="16"/>
        <v>34244.38</v>
      </c>
      <c r="V108" s="31">
        <f t="shared" si="16"/>
        <v>42269.38</v>
      </c>
      <c r="W108" s="31">
        <f t="shared" si="16"/>
        <v>0</v>
      </c>
      <c r="X108" s="31">
        <f t="shared" si="16"/>
        <v>183943.76</v>
      </c>
      <c r="Y108" s="31"/>
      <c r="Z108" s="31"/>
      <c r="AA108" s="31">
        <f t="shared" si="7"/>
        <v>2041826.1399999997</v>
      </c>
      <c r="AB108" s="31" t="e">
        <f>+F108+G108+H108+#REF!+I108</f>
        <v>#REF!</v>
      </c>
    </row>
    <row r="109" spans="1:28" ht="12.75">
      <c r="A109" s="36" t="s">
        <v>32</v>
      </c>
      <c r="B109" s="31"/>
      <c r="C109" s="31"/>
      <c r="D109" s="31"/>
      <c r="E109" s="31">
        <f t="shared" si="4"/>
        <v>0</v>
      </c>
      <c r="F109" s="31">
        <f t="shared" si="4"/>
        <v>0</v>
      </c>
      <c r="G109" s="31">
        <f t="shared" si="4"/>
        <v>0</v>
      </c>
      <c r="H109" s="31">
        <f t="shared" si="4"/>
        <v>325641.26</v>
      </c>
      <c r="I109" s="31">
        <f aca="true" t="shared" si="18" ref="I109:Q109">+I18+I62</f>
        <v>375225</v>
      </c>
      <c r="J109" s="31">
        <f t="shared" si="18"/>
        <v>548491.51</v>
      </c>
      <c r="K109" s="31">
        <f t="shared" si="18"/>
        <v>18764.494</v>
      </c>
      <c r="L109" s="31">
        <f t="shared" si="18"/>
        <v>20958.21</v>
      </c>
      <c r="M109" s="31">
        <f t="shared" si="18"/>
        <v>146414.04</v>
      </c>
      <c r="N109" s="31">
        <f t="shared" si="18"/>
        <v>34430.19</v>
      </c>
      <c r="O109" s="31">
        <f t="shared" si="18"/>
        <v>17887.589999999997</v>
      </c>
      <c r="P109" s="31">
        <f t="shared" si="18"/>
        <v>77524.40999999999</v>
      </c>
      <c r="Q109" s="31">
        <f t="shared" si="18"/>
        <v>33650.1</v>
      </c>
      <c r="R109" s="31"/>
      <c r="S109" s="31">
        <f t="shared" si="16"/>
        <v>113751.40000000001</v>
      </c>
      <c r="T109" s="31">
        <f t="shared" si="16"/>
        <v>65831.68</v>
      </c>
      <c r="U109" s="31">
        <f t="shared" si="16"/>
        <v>34232.5</v>
      </c>
      <c r="V109" s="31">
        <f t="shared" si="16"/>
        <v>42664.38</v>
      </c>
      <c r="W109" s="31">
        <f t="shared" si="16"/>
        <v>0</v>
      </c>
      <c r="X109" s="31">
        <f t="shared" si="16"/>
        <v>185793.76</v>
      </c>
      <c r="Y109" s="31"/>
      <c r="Z109" s="31"/>
      <c r="AA109" s="31">
        <f t="shared" si="7"/>
        <v>2041260.5239999997</v>
      </c>
      <c r="AB109" s="31" t="e">
        <f>+F109+G109+H109+#REF!+I109</f>
        <v>#REF!</v>
      </c>
    </row>
    <row r="110" spans="1:28" ht="12.75">
      <c r="A110" s="36" t="s">
        <v>33</v>
      </c>
      <c r="B110" s="31"/>
      <c r="C110" s="31"/>
      <c r="D110" s="31"/>
      <c r="E110" s="31">
        <f t="shared" si="4"/>
        <v>0</v>
      </c>
      <c r="F110" s="31">
        <f t="shared" si="4"/>
        <v>0</v>
      </c>
      <c r="G110" s="31">
        <f t="shared" si="4"/>
        <v>0</v>
      </c>
      <c r="H110" s="31">
        <f t="shared" si="4"/>
        <v>326718.76</v>
      </c>
      <c r="I110" s="31">
        <f aca="true" t="shared" si="19" ref="I110:Q110">+I19+I63</f>
        <v>375165</v>
      </c>
      <c r="J110" s="31">
        <f t="shared" si="19"/>
        <v>547479.27</v>
      </c>
      <c r="K110" s="31">
        <f t="shared" si="19"/>
        <v>18719.78</v>
      </c>
      <c r="L110" s="31">
        <f t="shared" si="19"/>
        <v>20917.79</v>
      </c>
      <c r="M110" s="31">
        <f t="shared" si="19"/>
        <v>146082.66999999998</v>
      </c>
      <c r="N110" s="31">
        <f t="shared" si="19"/>
        <v>34364.97</v>
      </c>
      <c r="O110" s="31">
        <f t="shared" si="19"/>
        <v>17845.47</v>
      </c>
      <c r="P110" s="31">
        <f t="shared" si="19"/>
        <v>77377.95</v>
      </c>
      <c r="Q110" s="31">
        <f t="shared" si="19"/>
        <v>33587.02</v>
      </c>
      <c r="R110" s="31"/>
      <c r="S110" s="31">
        <f t="shared" si="16"/>
        <v>113488.8</v>
      </c>
      <c r="T110" s="31">
        <f t="shared" si="16"/>
        <v>65711.88</v>
      </c>
      <c r="U110" s="31">
        <f t="shared" si="16"/>
        <v>34204.38</v>
      </c>
      <c r="V110" s="31">
        <f t="shared" si="16"/>
        <v>42538.75</v>
      </c>
      <c r="W110" s="31">
        <f t="shared" si="16"/>
        <v>0</v>
      </c>
      <c r="X110" s="31">
        <f t="shared" si="16"/>
        <v>187356.26</v>
      </c>
      <c r="Y110" s="31"/>
      <c r="Z110" s="31"/>
      <c r="AA110" s="31">
        <f aca="true" t="shared" si="20" ref="AA110:AA140">SUM(B110:Y110)</f>
        <v>2041558.7499999998</v>
      </c>
      <c r="AB110" s="31" t="e">
        <f>+F110+G110+H110+#REF!+I110</f>
        <v>#REF!</v>
      </c>
    </row>
    <row r="111" spans="1:28" ht="12.75">
      <c r="A111" s="36" t="s">
        <v>34</v>
      </c>
      <c r="B111" s="31"/>
      <c r="C111" s="31"/>
      <c r="D111" s="31"/>
      <c r="E111" s="31">
        <f t="shared" si="4"/>
        <v>0</v>
      </c>
      <c r="F111" s="31">
        <f t="shared" si="4"/>
        <v>0</v>
      </c>
      <c r="G111" s="31">
        <f t="shared" si="4"/>
        <v>0</v>
      </c>
      <c r="H111" s="31">
        <f t="shared" si="4"/>
        <v>327138.13</v>
      </c>
      <c r="I111" s="31">
        <f aca="true" t="shared" si="21" ref="I111:Q111">+I20+I64</f>
        <v>375460</v>
      </c>
      <c r="J111" s="31">
        <f t="shared" si="21"/>
        <v>546459.42</v>
      </c>
      <c r="K111" s="31">
        <f t="shared" si="21"/>
        <v>18674.160000000003</v>
      </c>
      <c r="L111" s="31">
        <f t="shared" si="21"/>
        <v>20876.960000000003</v>
      </c>
      <c r="M111" s="31">
        <f t="shared" si="21"/>
        <v>145745.47999999998</v>
      </c>
      <c r="N111" s="31">
        <f t="shared" si="21"/>
        <v>34299.08</v>
      </c>
      <c r="O111" s="31">
        <f t="shared" si="21"/>
        <v>17803.04</v>
      </c>
      <c r="P111" s="31">
        <f t="shared" si="21"/>
        <v>77230.40000000001</v>
      </c>
      <c r="Q111" s="31">
        <f t="shared" si="21"/>
        <v>33523.67</v>
      </c>
      <c r="R111" s="31"/>
      <c r="S111" s="31">
        <f t="shared" si="16"/>
        <v>113224.21</v>
      </c>
      <c r="T111" s="31">
        <f t="shared" si="16"/>
        <v>65591.17</v>
      </c>
      <c r="U111" s="31">
        <f t="shared" si="16"/>
        <v>34160.009999999995</v>
      </c>
      <c r="V111" s="31">
        <f t="shared" si="16"/>
        <v>42399.38</v>
      </c>
      <c r="W111" s="31">
        <f t="shared" si="16"/>
        <v>0</v>
      </c>
      <c r="X111" s="31">
        <f t="shared" si="16"/>
        <v>183781.26</v>
      </c>
      <c r="Y111" s="31"/>
      <c r="Z111" s="31"/>
      <c r="AA111" s="31">
        <f t="shared" si="20"/>
        <v>2036366.3699999996</v>
      </c>
      <c r="AB111" s="31" t="e">
        <f>+F111+G111+H111+#REF!+I111</f>
        <v>#REF!</v>
      </c>
    </row>
    <row r="112" spans="1:28" ht="12.75">
      <c r="A112" s="36" t="s">
        <v>35</v>
      </c>
      <c r="B112" s="31"/>
      <c r="C112" s="31"/>
      <c r="D112" s="31"/>
      <c r="E112" s="31">
        <f t="shared" si="4"/>
        <v>0</v>
      </c>
      <c r="F112" s="31">
        <f t="shared" si="4"/>
        <v>0</v>
      </c>
      <c r="G112" s="31">
        <f t="shared" si="4"/>
        <v>0</v>
      </c>
      <c r="H112" s="31">
        <f t="shared" si="4"/>
        <v>328392.5</v>
      </c>
      <c r="I112" s="31">
        <f aca="true" t="shared" si="22" ref="I112:Q112">+I21+I65</f>
        <v>375110</v>
      </c>
      <c r="J112" s="31">
        <f t="shared" si="22"/>
        <v>545431.9</v>
      </c>
      <c r="K112" s="31">
        <f t="shared" si="22"/>
        <v>9319.83</v>
      </c>
      <c r="L112" s="31">
        <f t="shared" si="22"/>
        <v>10423.039999999999</v>
      </c>
      <c r="M112" s="31">
        <f t="shared" si="22"/>
        <v>145402.36999999997</v>
      </c>
      <c r="N112" s="31">
        <f t="shared" si="22"/>
        <v>34232.53</v>
      </c>
      <c r="O112" s="31">
        <f t="shared" si="22"/>
        <v>17760.29</v>
      </c>
      <c r="P112" s="31">
        <f t="shared" si="22"/>
        <v>77081.74</v>
      </c>
      <c r="Q112" s="31">
        <f t="shared" si="22"/>
        <v>33459.74</v>
      </c>
      <c r="R112" s="31"/>
      <c r="S112" s="31">
        <f t="shared" si="16"/>
        <v>112957.65000000001</v>
      </c>
      <c r="T112" s="31">
        <f t="shared" si="16"/>
        <v>65469.56</v>
      </c>
      <c r="U112" s="31">
        <f t="shared" si="16"/>
        <v>34099.38</v>
      </c>
      <c r="V112" s="31">
        <f t="shared" si="16"/>
        <v>42246.259999999995</v>
      </c>
      <c r="W112" s="31">
        <f t="shared" si="16"/>
        <v>0</v>
      </c>
      <c r="X112" s="31">
        <f t="shared" si="16"/>
        <v>185043.76</v>
      </c>
      <c r="Y112" s="31"/>
      <c r="Z112" s="31"/>
      <c r="AA112" s="31">
        <f t="shared" si="20"/>
        <v>2016430.5499999998</v>
      </c>
      <c r="AB112" s="31" t="e">
        <f>+F112+G112+H112+#REF!+I112</f>
        <v>#REF!</v>
      </c>
    </row>
    <row r="113" spans="1:28" ht="12.75">
      <c r="A113" s="36" t="s">
        <v>36</v>
      </c>
      <c r="B113" s="31"/>
      <c r="C113" s="31"/>
      <c r="D113" s="31"/>
      <c r="E113" s="31">
        <f t="shared" si="4"/>
        <v>0</v>
      </c>
      <c r="F113" s="31">
        <f t="shared" si="4"/>
        <v>0</v>
      </c>
      <c r="G113" s="31">
        <f t="shared" si="4"/>
        <v>0</v>
      </c>
      <c r="H113" s="31">
        <f t="shared" si="4"/>
        <v>328975</v>
      </c>
      <c r="I113" s="31">
        <f aca="true" t="shared" si="23" ref="I113:Q113">+I22+I66</f>
        <v>375115</v>
      </c>
      <c r="J113" s="31">
        <f t="shared" si="23"/>
        <v>544396.66</v>
      </c>
      <c r="K113" s="31">
        <f t="shared" si="23"/>
        <v>0</v>
      </c>
      <c r="L113" s="31">
        <f t="shared" si="23"/>
        <v>0</v>
      </c>
      <c r="M113" s="31">
        <f t="shared" si="23"/>
        <v>145053.21</v>
      </c>
      <c r="N113" s="31">
        <f t="shared" si="23"/>
        <v>34165.31</v>
      </c>
      <c r="O113" s="31">
        <f t="shared" si="23"/>
        <v>17717.23</v>
      </c>
      <c r="P113" s="31">
        <f t="shared" si="23"/>
        <v>76931.95999999999</v>
      </c>
      <c r="Q113" s="31">
        <f t="shared" si="23"/>
        <v>33395.33</v>
      </c>
      <c r="R113" s="31"/>
      <c r="S113" s="31">
        <f t="shared" si="16"/>
        <v>112689.08</v>
      </c>
      <c r="T113" s="31">
        <f t="shared" si="16"/>
        <v>65347.03</v>
      </c>
      <c r="U113" s="31">
        <f t="shared" si="16"/>
        <v>34022.5</v>
      </c>
      <c r="V113" s="31">
        <f t="shared" si="16"/>
        <v>42572.509999999995</v>
      </c>
      <c r="W113" s="31">
        <f t="shared" si="16"/>
        <v>0</v>
      </c>
      <c r="X113" s="31">
        <f t="shared" si="16"/>
        <v>186162.5</v>
      </c>
      <c r="Y113" s="31"/>
      <c r="Z113" s="31"/>
      <c r="AA113" s="31">
        <f t="shared" si="20"/>
        <v>1996543.3200000003</v>
      </c>
      <c r="AB113" s="31" t="e">
        <f>+F113+G113+H113+#REF!+I113</f>
        <v>#REF!</v>
      </c>
    </row>
    <row r="114" spans="1:28" ht="12.75">
      <c r="A114" s="36" t="s">
        <v>37</v>
      </c>
      <c r="B114" s="31"/>
      <c r="C114" s="31"/>
      <c r="D114" s="31"/>
      <c r="E114" s="31">
        <f t="shared" si="4"/>
        <v>0</v>
      </c>
      <c r="F114" s="31">
        <f t="shared" si="4"/>
        <v>0</v>
      </c>
      <c r="G114" s="31">
        <f t="shared" si="4"/>
        <v>0</v>
      </c>
      <c r="H114" s="31">
        <f t="shared" si="4"/>
        <v>329885.63</v>
      </c>
      <c r="I114" s="31">
        <f aca="true" t="shared" si="24" ref="I114:Q114">+I23+I67</f>
        <v>374970</v>
      </c>
      <c r="J114" s="31">
        <f t="shared" si="24"/>
        <v>543353.65</v>
      </c>
      <c r="K114" s="31">
        <f t="shared" si="24"/>
        <v>0</v>
      </c>
      <c r="L114" s="31">
        <f t="shared" si="24"/>
        <v>0</v>
      </c>
      <c r="M114" s="31">
        <f t="shared" si="24"/>
        <v>72393.77</v>
      </c>
      <c r="N114" s="31">
        <f t="shared" si="24"/>
        <v>0</v>
      </c>
      <c r="O114" s="31">
        <f t="shared" si="24"/>
        <v>17673.829999999998</v>
      </c>
      <c r="P114" s="31">
        <f t="shared" si="24"/>
        <v>76781.05</v>
      </c>
      <c r="Q114" s="31">
        <f t="shared" si="24"/>
        <v>33330.439999999995</v>
      </c>
      <c r="R114" s="31"/>
      <c r="S114" s="31">
        <f t="shared" si="16"/>
        <v>112418.48</v>
      </c>
      <c r="T114" s="31">
        <f t="shared" si="16"/>
        <v>65223.58</v>
      </c>
      <c r="U114" s="31">
        <f t="shared" si="16"/>
        <v>33929.380000000005</v>
      </c>
      <c r="V114" s="31">
        <f t="shared" si="16"/>
        <v>42078.13</v>
      </c>
      <c r="W114" s="31">
        <f t="shared" si="16"/>
        <v>0</v>
      </c>
      <c r="X114" s="31">
        <f t="shared" si="16"/>
        <v>186962.5</v>
      </c>
      <c r="Y114" s="31"/>
      <c r="Z114" s="31"/>
      <c r="AA114" s="31">
        <f t="shared" si="20"/>
        <v>1889000.44</v>
      </c>
      <c r="AB114" s="31" t="e">
        <f>+F114+G114+H114+#REF!+I114</f>
        <v>#REF!</v>
      </c>
    </row>
    <row r="115" spans="1:28" ht="12.75">
      <c r="A115" s="36" t="s">
        <v>38</v>
      </c>
      <c r="B115" s="31"/>
      <c r="C115" s="31"/>
      <c r="D115" s="31"/>
      <c r="E115" s="31">
        <f t="shared" si="4"/>
        <v>0</v>
      </c>
      <c r="F115" s="31">
        <f t="shared" si="4"/>
        <v>0</v>
      </c>
      <c r="G115" s="31">
        <f t="shared" si="4"/>
        <v>0</v>
      </c>
      <c r="H115" s="31">
        <f t="shared" si="4"/>
        <v>331110.63</v>
      </c>
      <c r="I115" s="31">
        <f aca="true" t="shared" si="25" ref="I115:Q115">+I24+I68</f>
        <v>375170</v>
      </c>
      <c r="J115" s="31">
        <f t="shared" si="25"/>
        <v>542302.8</v>
      </c>
      <c r="K115" s="31">
        <f t="shared" si="25"/>
        <v>0</v>
      </c>
      <c r="L115" s="31">
        <f t="shared" si="25"/>
        <v>0</v>
      </c>
      <c r="M115" s="31">
        <f t="shared" si="25"/>
        <v>0</v>
      </c>
      <c r="N115" s="31">
        <f t="shared" si="25"/>
        <v>0</v>
      </c>
      <c r="O115" s="31">
        <f t="shared" si="25"/>
        <v>8820.539999999999</v>
      </c>
      <c r="P115" s="31">
        <f t="shared" si="25"/>
        <v>38333.58</v>
      </c>
      <c r="Q115" s="31">
        <f t="shared" si="25"/>
        <v>33265.07000000001</v>
      </c>
      <c r="R115" s="31"/>
      <c r="S115" s="31">
        <f t="shared" si="16"/>
        <v>112145.87</v>
      </c>
      <c r="T115" s="31">
        <f t="shared" si="16"/>
        <v>65099.21</v>
      </c>
      <c r="U115" s="31">
        <f t="shared" si="16"/>
        <v>34311.880000000005</v>
      </c>
      <c r="V115" s="31">
        <f t="shared" si="16"/>
        <v>42170</v>
      </c>
      <c r="W115" s="31">
        <f t="shared" si="16"/>
        <v>0</v>
      </c>
      <c r="X115" s="31">
        <f t="shared" si="16"/>
        <v>187612.5</v>
      </c>
      <c r="Y115" s="31"/>
      <c r="Z115" s="31"/>
      <c r="AA115" s="31">
        <f t="shared" si="20"/>
        <v>1770342.08</v>
      </c>
      <c r="AB115" s="31" t="e">
        <f>+F115+G115+H115+#REF!+I115</f>
        <v>#REF!</v>
      </c>
    </row>
    <row r="116" spans="1:28" ht="12.75">
      <c r="A116" s="36" t="s">
        <v>39</v>
      </c>
      <c r="B116" s="31"/>
      <c r="C116" s="31"/>
      <c r="D116" s="31"/>
      <c r="E116" s="31">
        <f t="shared" si="4"/>
        <v>0</v>
      </c>
      <c r="F116" s="31">
        <f t="shared" si="4"/>
        <v>0</v>
      </c>
      <c r="G116" s="31">
        <f t="shared" si="4"/>
        <v>0</v>
      </c>
      <c r="H116" s="31">
        <f t="shared" si="4"/>
        <v>332143.13</v>
      </c>
      <c r="I116" s="31">
        <f aca="true" t="shared" si="26" ref="I116:Q116">+I25+I69</f>
        <v>374710</v>
      </c>
      <c r="J116" s="31">
        <f t="shared" si="26"/>
        <v>541244.06</v>
      </c>
      <c r="K116" s="31">
        <f t="shared" si="26"/>
        <v>0</v>
      </c>
      <c r="L116" s="31">
        <f t="shared" si="26"/>
        <v>0</v>
      </c>
      <c r="M116" s="31">
        <f t="shared" si="26"/>
        <v>0</v>
      </c>
      <c r="N116" s="31">
        <f t="shared" si="26"/>
        <v>0</v>
      </c>
      <c r="O116" s="31">
        <f t="shared" si="26"/>
        <v>0</v>
      </c>
      <c r="P116" s="31">
        <f t="shared" si="26"/>
        <v>0</v>
      </c>
      <c r="Q116" s="31">
        <f t="shared" si="26"/>
        <v>16607.86</v>
      </c>
      <c r="R116" s="31"/>
      <c r="S116" s="31">
        <f t="shared" si="16"/>
        <v>111871.2</v>
      </c>
      <c r="T116" s="31">
        <f t="shared" si="16"/>
        <v>64973.89</v>
      </c>
      <c r="U116" s="31">
        <f t="shared" si="16"/>
        <v>34170</v>
      </c>
      <c r="V116" s="31">
        <f t="shared" si="16"/>
        <v>42441.25</v>
      </c>
      <c r="W116" s="31">
        <f t="shared" si="16"/>
        <v>0</v>
      </c>
      <c r="X116" s="31">
        <f t="shared" si="16"/>
        <v>188112.5</v>
      </c>
      <c r="Y116" s="31"/>
      <c r="Z116" s="31"/>
      <c r="AA116" s="31">
        <f t="shared" si="20"/>
        <v>1706273.89</v>
      </c>
      <c r="AB116" s="31" t="e">
        <f>+F116+G116+H116+#REF!+I116</f>
        <v>#REF!</v>
      </c>
    </row>
    <row r="117" spans="1:28" ht="12.75">
      <c r="A117" s="36" t="s">
        <v>40</v>
      </c>
      <c r="B117" s="31"/>
      <c r="C117" s="31"/>
      <c r="D117" s="31"/>
      <c r="E117" s="31">
        <f t="shared" si="4"/>
        <v>0</v>
      </c>
      <c r="F117" s="31">
        <f t="shared" si="4"/>
        <v>0</v>
      </c>
      <c r="G117" s="31">
        <f t="shared" si="4"/>
        <v>0</v>
      </c>
      <c r="H117" s="31">
        <f t="shared" si="4"/>
        <v>332983.13</v>
      </c>
      <c r="I117" s="31">
        <f aca="true" t="shared" si="27" ref="I117:Q117">+I26+I70</f>
        <v>374590</v>
      </c>
      <c r="J117" s="31">
        <f t="shared" si="27"/>
        <v>540177.3500000001</v>
      </c>
      <c r="K117" s="31">
        <f t="shared" si="27"/>
        <v>0</v>
      </c>
      <c r="L117" s="31">
        <f t="shared" si="27"/>
        <v>0</v>
      </c>
      <c r="M117" s="31">
        <f t="shared" si="27"/>
        <v>0</v>
      </c>
      <c r="N117" s="31">
        <f t="shared" si="27"/>
        <v>0</v>
      </c>
      <c r="O117" s="31">
        <f t="shared" si="27"/>
        <v>0</v>
      </c>
      <c r="P117" s="31">
        <f t="shared" si="27"/>
        <v>0</v>
      </c>
      <c r="Q117" s="31">
        <f t="shared" si="27"/>
        <v>0</v>
      </c>
      <c r="R117" s="31"/>
      <c r="S117" s="31">
        <f t="shared" si="16"/>
        <v>55831.95</v>
      </c>
      <c r="T117" s="31">
        <f t="shared" si="16"/>
        <v>64847.64</v>
      </c>
      <c r="U117" s="31">
        <f t="shared" si="16"/>
        <v>34011.880000000005</v>
      </c>
      <c r="V117" s="31">
        <f t="shared" si="16"/>
        <v>42191.880000000005</v>
      </c>
      <c r="W117" s="31">
        <f t="shared" si="16"/>
        <v>0</v>
      </c>
      <c r="X117" s="31">
        <f t="shared" si="16"/>
        <v>188075</v>
      </c>
      <c r="Y117" s="31"/>
      <c r="Z117" s="31"/>
      <c r="AA117" s="31">
        <f t="shared" si="20"/>
        <v>1632708.8299999996</v>
      </c>
      <c r="AB117" s="31" t="e">
        <f>+F117+G117+H117+#REF!+I117</f>
        <v>#REF!</v>
      </c>
    </row>
    <row r="118" spans="1:28" ht="12.75">
      <c r="A118" s="36" t="s">
        <v>41</v>
      </c>
      <c r="B118" s="31"/>
      <c r="C118" s="31"/>
      <c r="D118" s="31"/>
      <c r="E118" s="31">
        <f t="shared" si="4"/>
        <v>0</v>
      </c>
      <c r="F118" s="31">
        <f t="shared" si="4"/>
        <v>0</v>
      </c>
      <c r="G118" s="31">
        <f t="shared" si="4"/>
        <v>0</v>
      </c>
      <c r="H118" s="31">
        <f t="shared" si="4"/>
        <v>334123.75</v>
      </c>
      <c r="I118" s="31">
        <f aca="true" t="shared" si="28" ref="I118:Q118">+I27+I71</f>
        <v>374800</v>
      </c>
      <c r="J118" s="31">
        <f t="shared" si="28"/>
        <v>0</v>
      </c>
      <c r="K118" s="31">
        <f t="shared" si="28"/>
        <v>0</v>
      </c>
      <c r="L118" s="31">
        <f t="shared" si="28"/>
        <v>0</v>
      </c>
      <c r="M118" s="31">
        <f t="shared" si="28"/>
        <v>0</v>
      </c>
      <c r="N118" s="31">
        <f t="shared" si="28"/>
        <v>0</v>
      </c>
      <c r="O118" s="31">
        <f t="shared" si="28"/>
        <v>0</v>
      </c>
      <c r="P118" s="31">
        <f t="shared" si="28"/>
        <v>0</v>
      </c>
      <c r="Q118" s="31">
        <f t="shared" si="28"/>
        <v>0</v>
      </c>
      <c r="R118" s="31"/>
      <c r="S118" s="31"/>
      <c r="T118" s="31">
        <f aca="true" t="shared" si="29" ref="T118:X119">+T27+T71</f>
        <v>64720.44</v>
      </c>
      <c r="U118" s="31">
        <f t="shared" si="29"/>
        <v>34329.380000000005</v>
      </c>
      <c r="V118" s="31">
        <f t="shared" si="29"/>
        <v>42421.880000000005</v>
      </c>
      <c r="W118" s="31">
        <f t="shared" si="29"/>
        <v>0</v>
      </c>
      <c r="X118" s="31">
        <f t="shared" si="29"/>
        <v>187875</v>
      </c>
      <c r="Y118" s="31"/>
      <c r="Z118" s="31"/>
      <c r="AA118" s="31">
        <f t="shared" si="20"/>
        <v>1038270.45</v>
      </c>
      <c r="AB118" s="31" t="e">
        <f>+F118+G118+H118+#REF!+I118</f>
        <v>#REF!</v>
      </c>
    </row>
    <row r="119" spans="1:28" ht="12.75">
      <c r="A119" s="36" t="s">
        <v>42</v>
      </c>
      <c r="B119" s="31"/>
      <c r="C119" s="31"/>
      <c r="D119" s="31"/>
      <c r="E119" s="31">
        <f t="shared" si="4"/>
        <v>0</v>
      </c>
      <c r="F119" s="31">
        <f t="shared" si="4"/>
        <v>0</v>
      </c>
      <c r="G119" s="31">
        <f t="shared" si="4"/>
        <v>0</v>
      </c>
      <c r="H119" s="31">
        <f t="shared" si="4"/>
        <v>335058.135</v>
      </c>
      <c r="I119" s="31">
        <f aca="true" t="shared" si="30" ref="I119:O119">+I28+I72</f>
        <v>374830</v>
      </c>
      <c r="J119" s="31">
        <f t="shared" si="30"/>
        <v>0</v>
      </c>
      <c r="K119" s="31">
        <f t="shared" si="30"/>
        <v>0</v>
      </c>
      <c r="L119" s="31">
        <f t="shared" si="30"/>
        <v>0</v>
      </c>
      <c r="M119" s="31">
        <f t="shared" si="30"/>
        <v>0</v>
      </c>
      <c r="N119" s="31">
        <f t="shared" si="30"/>
        <v>0</v>
      </c>
      <c r="O119" s="31">
        <f t="shared" si="30"/>
        <v>0</v>
      </c>
      <c r="P119" s="31"/>
      <c r="Q119" s="31">
        <f aca="true" t="shared" si="31" ref="Q119:Q130">+Q28+Q72</f>
        <v>0</v>
      </c>
      <c r="R119" s="31"/>
      <c r="S119" s="31"/>
      <c r="T119" s="31">
        <f t="shared" si="29"/>
        <v>32312.219999999998</v>
      </c>
      <c r="U119" s="31">
        <f t="shared" si="29"/>
        <v>34122.5</v>
      </c>
      <c r="V119" s="31">
        <f t="shared" si="29"/>
        <v>42131.25</v>
      </c>
      <c r="W119" s="31">
        <f t="shared" si="29"/>
        <v>0</v>
      </c>
      <c r="X119" s="31">
        <f t="shared" si="29"/>
        <v>187512.5</v>
      </c>
      <c r="Y119" s="31"/>
      <c r="Z119" s="31"/>
      <c r="AA119" s="31">
        <f t="shared" si="20"/>
        <v>1005966.605</v>
      </c>
      <c r="AB119" s="31" t="e">
        <f>+F119+G119+H119+#REF!+I119</f>
        <v>#REF!</v>
      </c>
    </row>
    <row r="120" spans="1:28" ht="12.75">
      <c r="A120" s="36" t="s">
        <v>43</v>
      </c>
      <c r="B120" s="31"/>
      <c r="C120" s="31"/>
      <c r="D120" s="31"/>
      <c r="E120" s="31">
        <f t="shared" si="4"/>
        <v>0</v>
      </c>
      <c r="F120" s="31">
        <f t="shared" si="4"/>
        <v>0</v>
      </c>
      <c r="G120" s="31">
        <f t="shared" si="4"/>
        <v>0</v>
      </c>
      <c r="H120" s="31">
        <f t="shared" si="4"/>
        <v>336279.38</v>
      </c>
      <c r="I120" s="31">
        <f aca="true" t="shared" si="32" ref="I120:L130">+I29+I73</f>
        <v>374680</v>
      </c>
      <c r="J120" s="31">
        <f t="shared" si="32"/>
        <v>0</v>
      </c>
      <c r="K120" s="31">
        <f t="shared" si="32"/>
        <v>0</v>
      </c>
      <c r="L120" s="31">
        <f t="shared" si="32"/>
        <v>0</v>
      </c>
      <c r="M120" s="31"/>
      <c r="N120" s="31">
        <f aca="true" t="shared" si="33" ref="N120:O124">+N29+N73</f>
        <v>0</v>
      </c>
      <c r="O120" s="31">
        <f t="shared" si="33"/>
        <v>0</v>
      </c>
      <c r="P120" s="31"/>
      <c r="Q120" s="31">
        <f t="shared" si="31"/>
        <v>0</v>
      </c>
      <c r="R120" s="31"/>
      <c r="S120" s="31"/>
      <c r="T120" s="31"/>
      <c r="U120" s="31">
        <f aca="true" t="shared" si="34" ref="U120:X133">+U29+U73</f>
        <v>34391.25</v>
      </c>
      <c r="V120" s="31">
        <f t="shared" si="34"/>
        <v>42320</v>
      </c>
      <c r="W120" s="31">
        <f t="shared" si="34"/>
        <v>0</v>
      </c>
      <c r="X120" s="31">
        <f t="shared" si="34"/>
        <v>186537.5</v>
      </c>
      <c r="Y120" s="31"/>
      <c r="Z120" s="31"/>
      <c r="AA120" s="31">
        <f t="shared" si="20"/>
        <v>974208.13</v>
      </c>
      <c r="AB120" s="31" t="e">
        <f>+F120+G120+H120+#REF!+I120</f>
        <v>#REF!</v>
      </c>
    </row>
    <row r="121" spans="1:28" ht="12.75">
      <c r="A121" s="36" t="s">
        <v>44</v>
      </c>
      <c r="B121" s="31"/>
      <c r="C121" s="31"/>
      <c r="D121" s="31"/>
      <c r="E121" s="31">
        <f t="shared" si="4"/>
        <v>0</v>
      </c>
      <c r="F121" s="31">
        <f t="shared" si="4"/>
        <v>0</v>
      </c>
      <c r="G121" s="31">
        <f t="shared" si="4"/>
        <v>0</v>
      </c>
      <c r="H121" s="31">
        <f t="shared" si="4"/>
        <v>337280.63</v>
      </c>
      <c r="I121" s="31">
        <f t="shared" si="32"/>
        <v>374355</v>
      </c>
      <c r="J121" s="31">
        <f t="shared" si="32"/>
        <v>0</v>
      </c>
      <c r="K121" s="31">
        <f t="shared" si="32"/>
        <v>0</v>
      </c>
      <c r="L121" s="31">
        <f t="shared" si="32"/>
        <v>0</v>
      </c>
      <c r="M121" s="31"/>
      <c r="N121" s="31">
        <f t="shared" si="33"/>
        <v>0</v>
      </c>
      <c r="O121" s="31">
        <f t="shared" si="33"/>
        <v>0</v>
      </c>
      <c r="P121" s="31"/>
      <c r="Q121" s="31">
        <f t="shared" si="31"/>
        <v>0</v>
      </c>
      <c r="R121" s="31"/>
      <c r="S121" s="31"/>
      <c r="T121" s="31"/>
      <c r="U121" s="31">
        <f t="shared" si="34"/>
        <v>34135.630000000005</v>
      </c>
      <c r="V121" s="31">
        <f t="shared" si="34"/>
        <v>42481.25</v>
      </c>
      <c r="W121" s="31">
        <f t="shared" si="34"/>
        <v>0</v>
      </c>
      <c r="X121" s="31">
        <f t="shared" si="34"/>
        <v>185850</v>
      </c>
      <c r="Y121" s="31"/>
      <c r="Z121" s="31"/>
      <c r="AA121" s="31">
        <f t="shared" si="20"/>
        <v>974102.51</v>
      </c>
      <c r="AB121" s="31" t="e">
        <f>+F121+G121+H121+#REF!+I121</f>
        <v>#REF!</v>
      </c>
    </row>
    <row r="122" spans="1:28" ht="12.75">
      <c r="A122" s="36" t="s">
        <v>45</v>
      </c>
      <c r="B122" s="31"/>
      <c r="C122" s="31"/>
      <c r="D122" s="31"/>
      <c r="E122" s="31"/>
      <c r="F122" s="31"/>
      <c r="G122" s="31"/>
      <c r="H122" s="31">
        <f aca="true" t="shared" si="35" ref="H122:H131">+H31+H75</f>
        <v>338555.01</v>
      </c>
      <c r="I122" s="31">
        <f t="shared" si="32"/>
        <v>374345</v>
      </c>
      <c r="J122" s="31">
        <f t="shared" si="32"/>
        <v>0</v>
      </c>
      <c r="K122" s="31">
        <f t="shared" si="32"/>
        <v>0</v>
      </c>
      <c r="L122" s="31">
        <f t="shared" si="32"/>
        <v>0</v>
      </c>
      <c r="M122" s="31"/>
      <c r="N122" s="31">
        <f t="shared" si="33"/>
        <v>0</v>
      </c>
      <c r="O122" s="31">
        <f t="shared" si="33"/>
        <v>0</v>
      </c>
      <c r="P122" s="31"/>
      <c r="Q122" s="31">
        <f t="shared" si="31"/>
        <v>0</v>
      </c>
      <c r="R122" s="31"/>
      <c r="S122" s="31"/>
      <c r="T122" s="31"/>
      <c r="U122" s="31">
        <f t="shared" si="34"/>
        <v>34355.630000000005</v>
      </c>
      <c r="V122" s="31">
        <f t="shared" si="34"/>
        <v>42121.880000000005</v>
      </c>
      <c r="W122" s="31">
        <f t="shared" si="34"/>
        <v>0</v>
      </c>
      <c r="X122" s="31">
        <f t="shared" si="34"/>
        <v>0</v>
      </c>
      <c r="Y122" s="31"/>
      <c r="Z122" s="31"/>
      <c r="AA122" s="31">
        <f t="shared" si="20"/>
        <v>789377.52</v>
      </c>
      <c r="AB122" s="31" t="e">
        <f>+F122+G122+H122+#REF!+I122</f>
        <v>#REF!</v>
      </c>
    </row>
    <row r="123" spans="1:28" ht="12.75">
      <c r="A123" s="36" t="s">
        <v>46</v>
      </c>
      <c r="B123" s="31"/>
      <c r="C123" s="31"/>
      <c r="D123" s="31"/>
      <c r="E123" s="31"/>
      <c r="F123" s="31"/>
      <c r="G123" s="31"/>
      <c r="H123" s="31">
        <f t="shared" si="35"/>
        <v>339595.63</v>
      </c>
      <c r="I123" s="31">
        <f t="shared" si="32"/>
        <v>374140</v>
      </c>
      <c r="J123" s="31">
        <f t="shared" si="32"/>
        <v>0</v>
      </c>
      <c r="K123" s="31">
        <f t="shared" si="32"/>
        <v>0</v>
      </c>
      <c r="L123" s="31">
        <f t="shared" si="32"/>
        <v>0</v>
      </c>
      <c r="M123" s="31"/>
      <c r="N123" s="31">
        <f t="shared" si="33"/>
        <v>0</v>
      </c>
      <c r="O123" s="31">
        <f t="shared" si="33"/>
        <v>0</v>
      </c>
      <c r="P123" s="31"/>
      <c r="Q123" s="31">
        <f t="shared" si="31"/>
        <v>0</v>
      </c>
      <c r="R123" s="31"/>
      <c r="S123" s="31"/>
      <c r="T123" s="31"/>
      <c r="U123" s="31">
        <f t="shared" si="34"/>
        <v>34051.25</v>
      </c>
      <c r="V123" s="31">
        <f t="shared" si="34"/>
        <v>42241.880000000005</v>
      </c>
      <c r="W123" s="31">
        <f t="shared" si="34"/>
        <v>0</v>
      </c>
      <c r="X123" s="31">
        <f t="shared" si="34"/>
        <v>0</v>
      </c>
      <c r="Y123" s="31"/>
      <c r="Z123" s="31"/>
      <c r="AA123" s="31">
        <f t="shared" si="20"/>
        <v>790028.76</v>
      </c>
      <c r="AB123" s="31" t="e">
        <f>+F123+G123+H123+#REF!+I123</f>
        <v>#REF!</v>
      </c>
    </row>
    <row r="124" spans="1:28" ht="12.75">
      <c r="A124" s="36" t="s">
        <v>61</v>
      </c>
      <c r="B124" s="31"/>
      <c r="C124" s="31"/>
      <c r="D124" s="31"/>
      <c r="E124" s="31"/>
      <c r="F124" s="31"/>
      <c r="G124" s="31"/>
      <c r="H124" s="31">
        <f t="shared" si="35"/>
        <v>340895.63</v>
      </c>
      <c r="I124" s="31">
        <f t="shared" si="32"/>
        <v>374235</v>
      </c>
      <c r="J124" s="31">
        <f t="shared" si="32"/>
        <v>0</v>
      </c>
      <c r="K124" s="31">
        <f t="shared" si="32"/>
        <v>0</v>
      </c>
      <c r="L124" s="31">
        <f t="shared" si="32"/>
        <v>0</v>
      </c>
      <c r="M124" s="31"/>
      <c r="N124" s="31">
        <f t="shared" si="33"/>
        <v>0</v>
      </c>
      <c r="O124" s="31">
        <f t="shared" si="33"/>
        <v>0</v>
      </c>
      <c r="P124" s="31"/>
      <c r="Q124" s="31">
        <f t="shared" si="31"/>
        <v>0</v>
      </c>
      <c r="R124" s="31"/>
      <c r="S124" s="31"/>
      <c r="T124" s="31"/>
      <c r="U124" s="31">
        <f t="shared" si="34"/>
        <v>34222.5</v>
      </c>
      <c r="V124" s="31">
        <f t="shared" si="34"/>
        <v>42334.380000000005</v>
      </c>
      <c r="W124" s="31">
        <f t="shared" si="34"/>
        <v>0</v>
      </c>
      <c r="X124" s="31">
        <f t="shared" si="34"/>
        <v>0</v>
      </c>
      <c r="Y124" s="31"/>
      <c r="Z124" s="31"/>
      <c r="AA124" s="31">
        <f t="shared" si="20"/>
        <v>791687.51</v>
      </c>
      <c r="AB124" s="31" t="e">
        <f>+F124+G124+H124+#REF!+I124</f>
        <v>#REF!</v>
      </c>
    </row>
    <row r="125" spans="1:28" ht="12.75">
      <c r="A125" s="36" t="s">
        <v>62</v>
      </c>
      <c r="B125" s="31"/>
      <c r="C125" s="31"/>
      <c r="D125" s="31"/>
      <c r="E125" s="31"/>
      <c r="F125" s="31"/>
      <c r="G125" s="31"/>
      <c r="H125" s="31">
        <f t="shared" si="35"/>
        <v>342441.26</v>
      </c>
      <c r="I125" s="31">
        <f t="shared" si="32"/>
        <v>374120</v>
      </c>
      <c r="J125" s="31">
        <f t="shared" si="32"/>
        <v>0</v>
      </c>
      <c r="K125" s="31">
        <f t="shared" si="32"/>
        <v>0</v>
      </c>
      <c r="L125" s="31">
        <f t="shared" si="32"/>
        <v>0</v>
      </c>
      <c r="M125" s="31"/>
      <c r="N125" s="31"/>
      <c r="O125" s="31"/>
      <c r="P125" s="31"/>
      <c r="Q125" s="31">
        <f t="shared" si="31"/>
        <v>0</v>
      </c>
      <c r="R125" s="31"/>
      <c r="S125" s="31"/>
      <c r="T125" s="31"/>
      <c r="U125" s="31">
        <f t="shared" si="34"/>
        <v>34361.25</v>
      </c>
      <c r="V125" s="31">
        <f t="shared" si="34"/>
        <v>42399.38</v>
      </c>
      <c r="W125" s="31">
        <f t="shared" si="34"/>
        <v>0</v>
      </c>
      <c r="X125" s="31">
        <f t="shared" si="34"/>
        <v>0</v>
      </c>
      <c r="Y125" s="31"/>
      <c r="Z125" s="31"/>
      <c r="AA125" s="31">
        <f t="shared" si="20"/>
        <v>793321.89</v>
      </c>
      <c r="AB125" s="31" t="e">
        <f>+F125+G125+H125+#REF!+I125</f>
        <v>#REF!</v>
      </c>
    </row>
    <row r="126" spans="1:28" ht="12.75">
      <c r="A126" s="36" t="s">
        <v>63</v>
      </c>
      <c r="B126" s="31"/>
      <c r="C126" s="31"/>
      <c r="D126" s="31"/>
      <c r="E126" s="31"/>
      <c r="F126" s="31"/>
      <c r="G126" s="31"/>
      <c r="H126" s="31">
        <f t="shared" si="35"/>
        <v>343725.63</v>
      </c>
      <c r="I126" s="31">
        <f t="shared" si="32"/>
        <v>373800</v>
      </c>
      <c r="J126" s="31">
        <f t="shared" si="32"/>
        <v>0</v>
      </c>
      <c r="K126" s="31">
        <f t="shared" si="32"/>
        <v>0</v>
      </c>
      <c r="L126" s="31">
        <f t="shared" si="32"/>
        <v>0</v>
      </c>
      <c r="M126" s="31"/>
      <c r="N126" s="31"/>
      <c r="O126" s="31"/>
      <c r="P126" s="31"/>
      <c r="Q126" s="31">
        <f t="shared" si="31"/>
        <v>0</v>
      </c>
      <c r="R126" s="31"/>
      <c r="S126" s="31"/>
      <c r="T126" s="31"/>
      <c r="U126" s="31">
        <f t="shared" si="34"/>
        <v>34467.5</v>
      </c>
      <c r="V126" s="31">
        <f t="shared" si="34"/>
        <v>42436.88</v>
      </c>
      <c r="W126" s="31">
        <f t="shared" si="34"/>
        <v>0</v>
      </c>
      <c r="X126" s="31">
        <f t="shared" si="34"/>
        <v>0</v>
      </c>
      <c r="Y126" s="31"/>
      <c r="Z126" s="31"/>
      <c r="AA126" s="31">
        <f t="shared" si="20"/>
        <v>794430.01</v>
      </c>
      <c r="AB126" s="31" t="e">
        <f>+F126+G126+H126+#REF!+I126</f>
        <v>#REF!</v>
      </c>
    </row>
    <row r="127" spans="1:28" ht="12.75">
      <c r="A127" s="36" t="s">
        <v>64</v>
      </c>
      <c r="B127" s="31"/>
      <c r="C127" s="31"/>
      <c r="D127" s="31"/>
      <c r="E127" s="31"/>
      <c r="F127" s="31"/>
      <c r="G127" s="31"/>
      <c r="H127" s="31">
        <f t="shared" si="35"/>
        <v>344748.75</v>
      </c>
      <c r="I127" s="31">
        <f t="shared" si="32"/>
        <v>373770</v>
      </c>
      <c r="J127" s="31">
        <f t="shared" si="32"/>
        <v>0</v>
      </c>
      <c r="K127" s="31">
        <f t="shared" si="32"/>
        <v>0</v>
      </c>
      <c r="L127" s="31">
        <f t="shared" si="32"/>
        <v>0</v>
      </c>
      <c r="M127" s="31"/>
      <c r="N127" s="31"/>
      <c r="O127" s="31"/>
      <c r="P127" s="31"/>
      <c r="Q127" s="31">
        <f t="shared" si="31"/>
        <v>0</v>
      </c>
      <c r="R127" s="31"/>
      <c r="S127" s="31"/>
      <c r="T127" s="31"/>
      <c r="U127" s="31">
        <f t="shared" si="34"/>
        <v>34541.25</v>
      </c>
      <c r="V127" s="31">
        <f t="shared" si="34"/>
        <v>42446.88</v>
      </c>
      <c r="W127" s="31">
        <f t="shared" si="34"/>
        <v>0</v>
      </c>
      <c r="X127" s="31">
        <f t="shared" si="34"/>
        <v>0</v>
      </c>
      <c r="Y127" s="31"/>
      <c r="Z127" s="31"/>
      <c r="AA127" s="31">
        <f t="shared" si="20"/>
        <v>795506.88</v>
      </c>
      <c r="AB127" s="31" t="e">
        <f>+F127+G127+H127+#REF!+I127</f>
        <v>#REF!</v>
      </c>
    </row>
    <row r="128" spans="1:28" ht="12.75">
      <c r="A128" s="36" t="s">
        <v>65</v>
      </c>
      <c r="B128" s="31"/>
      <c r="C128" s="31"/>
      <c r="D128" s="31"/>
      <c r="E128" s="31"/>
      <c r="F128" s="31"/>
      <c r="G128" s="31"/>
      <c r="H128" s="31">
        <f t="shared" si="35"/>
        <v>346496.88</v>
      </c>
      <c r="I128" s="31">
        <f t="shared" si="32"/>
        <v>373520</v>
      </c>
      <c r="J128" s="31">
        <f t="shared" si="32"/>
        <v>0</v>
      </c>
      <c r="K128" s="31">
        <f t="shared" si="32"/>
        <v>0</v>
      </c>
      <c r="L128" s="31">
        <f t="shared" si="32"/>
        <v>0</v>
      </c>
      <c r="M128" s="31"/>
      <c r="N128" s="31"/>
      <c r="O128" s="31"/>
      <c r="P128" s="31"/>
      <c r="Q128" s="31">
        <f t="shared" si="31"/>
        <v>0</v>
      </c>
      <c r="R128" s="31"/>
      <c r="S128" s="31"/>
      <c r="T128" s="31"/>
      <c r="U128" s="31">
        <f t="shared" si="34"/>
        <v>34582.5</v>
      </c>
      <c r="V128" s="31">
        <f t="shared" si="34"/>
        <v>42429.38</v>
      </c>
      <c r="W128" s="31">
        <f t="shared" si="34"/>
        <v>0</v>
      </c>
      <c r="X128" s="31">
        <f t="shared" si="34"/>
        <v>0</v>
      </c>
      <c r="Y128" s="31"/>
      <c r="Z128" s="31"/>
      <c r="AA128" s="31">
        <f t="shared" si="20"/>
        <v>797028.76</v>
      </c>
      <c r="AB128" s="31" t="e">
        <f>+F128+G128+H128+#REF!+I128</f>
        <v>#REF!</v>
      </c>
    </row>
    <row r="129" spans="1:28" ht="12.75">
      <c r="A129" s="36" t="s">
        <v>66</v>
      </c>
      <c r="B129" s="31"/>
      <c r="C129" s="31"/>
      <c r="D129" s="31"/>
      <c r="E129" s="31"/>
      <c r="F129" s="31"/>
      <c r="G129" s="31"/>
      <c r="H129" s="31">
        <f t="shared" si="35"/>
        <v>347956.26</v>
      </c>
      <c r="I129" s="31">
        <f t="shared" si="32"/>
        <v>373545</v>
      </c>
      <c r="J129" s="31">
        <f t="shared" si="32"/>
        <v>0</v>
      </c>
      <c r="K129" s="31">
        <f t="shared" si="32"/>
        <v>0</v>
      </c>
      <c r="L129" s="31">
        <f t="shared" si="32"/>
        <v>0</v>
      </c>
      <c r="M129" s="31"/>
      <c r="N129" s="31"/>
      <c r="O129" s="31"/>
      <c r="P129" s="31"/>
      <c r="Q129" s="31">
        <f t="shared" si="31"/>
        <v>0</v>
      </c>
      <c r="R129" s="31"/>
      <c r="S129" s="31"/>
      <c r="T129" s="31"/>
      <c r="U129" s="31">
        <f t="shared" si="34"/>
        <v>34591.25</v>
      </c>
      <c r="V129" s="31">
        <f t="shared" si="34"/>
        <v>42384.38</v>
      </c>
      <c r="W129" s="31">
        <f t="shared" si="34"/>
        <v>0</v>
      </c>
      <c r="X129" s="31">
        <f t="shared" si="34"/>
        <v>0</v>
      </c>
      <c r="Y129" s="31"/>
      <c r="Z129" s="31"/>
      <c r="AA129" s="31">
        <f t="shared" si="20"/>
        <v>798476.89</v>
      </c>
      <c r="AB129" s="31" t="e">
        <f>+F129+G129+H129+#REF!+I129</f>
        <v>#REF!</v>
      </c>
    </row>
    <row r="130" spans="1:28" ht="12.75">
      <c r="A130" s="36" t="s">
        <v>72</v>
      </c>
      <c r="B130" s="31"/>
      <c r="C130" s="31"/>
      <c r="D130" s="31"/>
      <c r="E130" s="31"/>
      <c r="F130" s="31"/>
      <c r="G130" s="31"/>
      <c r="H130" s="31">
        <f t="shared" si="35"/>
        <v>345181.88</v>
      </c>
      <c r="I130" s="31">
        <f t="shared" si="32"/>
        <v>373335</v>
      </c>
      <c r="J130" s="31">
        <f t="shared" si="32"/>
        <v>0</v>
      </c>
      <c r="K130" s="31">
        <f t="shared" si="32"/>
        <v>0</v>
      </c>
      <c r="L130" s="31">
        <f t="shared" si="32"/>
        <v>0</v>
      </c>
      <c r="M130" s="31"/>
      <c r="N130" s="31"/>
      <c r="O130" s="31"/>
      <c r="P130" s="31"/>
      <c r="Q130" s="31">
        <f t="shared" si="31"/>
        <v>0</v>
      </c>
      <c r="R130" s="31"/>
      <c r="S130" s="31"/>
      <c r="T130" s="31"/>
      <c r="U130" s="31">
        <f t="shared" si="34"/>
        <v>34567.5</v>
      </c>
      <c r="V130" s="31">
        <f t="shared" si="34"/>
        <v>42311.88</v>
      </c>
      <c r="W130" s="31">
        <f t="shared" si="34"/>
        <v>0</v>
      </c>
      <c r="X130" s="31">
        <f t="shared" si="34"/>
        <v>0</v>
      </c>
      <c r="Y130" s="31"/>
      <c r="Z130" s="31"/>
      <c r="AA130" s="31">
        <f t="shared" si="20"/>
        <v>795396.26</v>
      </c>
      <c r="AB130" s="31" t="e">
        <f>+F130+G130+H130+#REF!+I130</f>
        <v>#REF!</v>
      </c>
    </row>
    <row r="131" spans="1:28" ht="12.75">
      <c r="A131" s="36" t="s">
        <v>83</v>
      </c>
      <c r="B131" s="31"/>
      <c r="C131" s="31"/>
      <c r="D131" s="31"/>
      <c r="E131" s="31"/>
      <c r="F131" s="31"/>
      <c r="G131" s="31"/>
      <c r="H131" s="31">
        <f t="shared" si="35"/>
        <v>0</v>
      </c>
      <c r="I131" s="31">
        <f aca="true" t="shared" si="36" ref="I131:J135">+I40+I84</f>
        <v>373385</v>
      </c>
      <c r="J131" s="31">
        <f t="shared" si="36"/>
        <v>0</v>
      </c>
      <c r="K131" s="31">
        <f>+K44+K84</f>
        <v>0</v>
      </c>
      <c r="L131" s="31">
        <f>+L44+L84</f>
        <v>0</v>
      </c>
      <c r="M131" s="31"/>
      <c r="N131" s="31"/>
      <c r="O131" s="31"/>
      <c r="P131" s="31"/>
      <c r="Q131" s="31"/>
      <c r="R131" s="31"/>
      <c r="S131" s="31"/>
      <c r="T131" s="31"/>
      <c r="U131" s="31">
        <f t="shared" si="34"/>
        <v>34511.25</v>
      </c>
      <c r="V131" s="31">
        <f t="shared" si="34"/>
        <v>42211.88</v>
      </c>
      <c r="W131" s="31">
        <f t="shared" si="34"/>
        <v>0</v>
      </c>
      <c r="X131" s="31">
        <f t="shared" si="34"/>
        <v>0</v>
      </c>
      <c r="Y131" s="31"/>
      <c r="Z131" s="31"/>
      <c r="AA131" s="31">
        <f t="shared" si="20"/>
        <v>450108.13</v>
      </c>
      <c r="AB131" s="31" t="e">
        <f>+F131+G131+H131+#REF!+I131</f>
        <v>#REF!</v>
      </c>
    </row>
    <row r="132" spans="1:28" ht="12.75">
      <c r="A132" s="36" t="s">
        <v>84</v>
      </c>
      <c r="B132" s="31"/>
      <c r="C132" s="31"/>
      <c r="D132" s="31"/>
      <c r="E132" s="31"/>
      <c r="F132" s="31"/>
      <c r="G132" s="31"/>
      <c r="H132" s="31"/>
      <c r="I132" s="31">
        <f t="shared" si="36"/>
        <v>373190</v>
      </c>
      <c r="J132" s="31">
        <f t="shared" si="36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>
        <f t="shared" si="34"/>
        <v>30487.5</v>
      </c>
      <c r="V132" s="31">
        <f t="shared" si="34"/>
        <v>42577.5</v>
      </c>
      <c r="W132" s="31">
        <f t="shared" si="34"/>
        <v>0</v>
      </c>
      <c r="X132" s="31">
        <f t="shared" si="34"/>
        <v>0</v>
      </c>
      <c r="Y132" s="31"/>
      <c r="Z132" s="31"/>
      <c r="AA132" s="31">
        <f t="shared" si="20"/>
        <v>446255</v>
      </c>
      <c r="AB132" s="31" t="e">
        <f>+F132+G132+H132+#REF!+I132</f>
        <v>#REF!</v>
      </c>
    </row>
    <row r="133" spans="1:28" ht="12.75">
      <c r="A133" s="36" t="s">
        <v>93</v>
      </c>
      <c r="B133" s="31"/>
      <c r="C133" s="31"/>
      <c r="D133" s="31"/>
      <c r="E133" s="31"/>
      <c r="F133" s="31"/>
      <c r="G133" s="31"/>
      <c r="H133" s="31"/>
      <c r="I133" s="31">
        <f t="shared" si="36"/>
        <v>373235</v>
      </c>
      <c r="J133" s="31">
        <f t="shared" si="36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>
        <f t="shared" si="34"/>
        <v>0</v>
      </c>
      <c r="V133" s="31">
        <f t="shared" si="34"/>
        <v>0</v>
      </c>
      <c r="W133" s="31">
        <f t="shared" si="34"/>
        <v>0</v>
      </c>
      <c r="X133" s="31">
        <f t="shared" si="34"/>
        <v>0</v>
      </c>
      <c r="Y133" s="31"/>
      <c r="Z133" s="31"/>
      <c r="AA133" s="31">
        <f t="shared" si="20"/>
        <v>373235</v>
      </c>
      <c r="AB133" s="31" t="e">
        <f>+F133+G133+H133+#REF!+I133</f>
        <v>#REF!</v>
      </c>
    </row>
    <row r="134" spans="1:28" ht="12.75">
      <c r="A134" s="36" t="s">
        <v>94</v>
      </c>
      <c r="B134" s="31"/>
      <c r="C134" s="31"/>
      <c r="D134" s="31"/>
      <c r="E134" s="31"/>
      <c r="F134" s="31"/>
      <c r="G134" s="31"/>
      <c r="H134" s="31"/>
      <c r="I134" s="31">
        <f t="shared" si="36"/>
        <v>373020</v>
      </c>
      <c r="J134" s="31">
        <f t="shared" si="36"/>
        <v>0</v>
      </c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>
        <f aca="true" t="shared" si="37" ref="U134:W136">+U43+U87</f>
        <v>0</v>
      </c>
      <c r="V134" s="31">
        <f t="shared" si="37"/>
        <v>0</v>
      </c>
      <c r="W134" s="31">
        <f t="shared" si="37"/>
        <v>0</v>
      </c>
      <c r="X134" s="31"/>
      <c r="Y134" s="31"/>
      <c r="Z134" s="31"/>
      <c r="AA134" s="31">
        <f t="shared" si="20"/>
        <v>373020</v>
      </c>
      <c r="AB134" s="31" t="e">
        <f>+F134+G134+H134+#REF!+I134</f>
        <v>#REF!</v>
      </c>
    </row>
    <row r="135" spans="1:28" ht="12.75">
      <c r="A135" s="36" t="s">
        <v>95</v>
      </c>
      <c r="B135" s="31"/>
      <c r="C135" s="31"/>
      <c r="D135" s="31"/>
      <c r="E135" s="31"/>
      <c r="F135" s="31"/>
      <c r="G135" s="31"/>
      <c r="H135" s="31"/>
      <c r="I135" s="31">
        <f t="shared" si="36"/>
        <v>377100</v>
      </c>
      <c r="J135" s="31">
        <f t="shared" si="36"/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>
        <f t="shared" si="37"/>
        <v>0</v>
      </c>
      <c r="V135" s="31">
        <f t="shared" si="37"/>
        <v>0</v>
      </c>
      <c r="W135" s="31">
        <f t="shared" si="37"/>
        <v>0</v>
      </c>
      <c r="X135" s="31"/>
      <c r="Y135" s="31"/>
      <c r="Z135" s="31"/>
      <c r="AA135" s="31">
        <f t="shared" si="20"/>
        <v>377100</v>
      </c>
      <c r="AB135" s="31" t="e">
        <f>+F135+G135+H135+#REF!+I135</f>
        <v>#REF!</v>
      </c>
    </row>
    <row r="136" spans="1:28" ht="12.75">
      <c r="A136" s="36" t="s">
        <v>96</v>
      </c>
      <c r="B136" s="31"/>
      <c r="C136" s="31"/>
      <c r="D136" s="31"/>
      <c r="E136" s="31"/>
      <c r="F136" s="31"/>
      <c r="G136" s="31"/>
      <c r="H136" s="31"/>
      <c r="I136" s="31">
        <f>+I45+I89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>
        <f t="shared" si="37"/>
        <v>0</v>
      </c>
      <c r="V136" s="31">
        <f t="shared" si="37"/>
        <v>0</v>
      </c>
      <c r="W136" s="31">
        <f t="shared" si="37"/>
        <v>0</v>
      </c>
      <c r="X136" s="31"/>
      <c r="Y136" s="31"/>
      <c r="Z136" s="31"/>
      <c r="AA136" s="31">
        <f t="shared" si="20"/>
        <v>0</v>
      </c>
      <c r="AB136" s="31" t="e">
        <f>+F136+G136+H136+#REF!+I136</f>
        <v>#REF!</v>
      </c>
    </row>
    <row r="137" spans="1:28" ht="12.75">
      <c r="A137" s="36" t="s">
        <v>97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>
        <f t="shared" si="20"/>
        <v>0</v>
      </c>
      <c r="AB137" s="31" t="e">
        <f>+F137+G137+H137+#REF!+I137</f>
        <v>#REF!</v>
      </c>
    </row>
    <row r="138" spans="1:28" ht="12.75">
      <c r="A138" s="36" t="s">
        <v>98</v>
      </c>
      <c r="B138" s="31"/>
      <c r="C138" s="31"/>
      <c r="D138" s="31"/>
      <c r="E138" s="31"/>
      <c r="F138" s="31"/>
      <c r="G138" s="31"/>
      <c r="H138" s="31"/>
      <c r="I138" s="31">
        <f>+I47+I91</f>
        <v>0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>
        <f t="shared" si="20"/>
        <v>0</v>
      </c>
      <c r="AB138" s="31" t="e">
        <f>+F138+G138+H138+#REF!+I138</f>
        <v>#REF!</v>
      </c>
    </row>
    <row r="139" spans="1:28" ht="12.75">
      <c r="A139" s="36" t="s">
        <v>99</v>
      </c>
      <c r="B139" s="31"/>
      <c r="C139" s="31"/>
      <c r="D139" s="31"/>
      <c r="E139" s="31"/>
      <c r="F139" s="31"/>
      <c r="G139" s="31"/>
      <c r="H139" s="31"/>
      <c r="I139" s="31">
        <f>+I48+I92</f>
        <v>0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>
        <f t="shared" si="20"/>
        <v>0</v>
      </c>
      <c r="AB139" s="31" t="e">
        <f>+F147+G147+H139+#REF!</f>
        <v>#REF!</v>
      </c>
    </row>
    <row r="140" spans="1:28" ht="12.75">
      <c r="A140" s="36"/>
      <c r="B140" s="31"/>
      <c r="C140" s="31"/>
      <c r="D140" s="31"/>
      <c r="E140" s="39"/>
      <c r="F140" s="31">
        <f>+F31+F75</f>
        <v>0</v>
      </c>
      <c r="G140" s="31">
        <f>+G31+G75</f>
        <v>0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>
        <f t="shared" si="20"/>
        <v>0</v>
      </c>
      <c r="AB140" s="31" t="e">
        <f>+F140+G140+H140+#REF!</f>
        <v>#REF!</v>
      </c>
    </row>
    <row r="141" spans="2:28" ht="13.5" thickBot="1">
      <c r="B141" s="40">
        <f aca="true" t="shared" si="38" ref="B141:Y141">SUM(B100:B140)</f>
        <v>0</v>
      </c>
      <c r="C141" s="40">
        <f t="shared" si="38"/>
        <v>0</v>
      </c>
      <c r="D141" s="40">
        <f t="shared" si="38"/>
        <v>0</v>
      </c>
      <c r="E141" s="40">
        <f t="shared" si="38"/>
        <v>0</v>
      </c>
      <c r="F141" s="40">
        <f t="shared" si="38"/>
        <v>0</v>
      </c>
      <c r="G141" s="40">
        <f t="shared" si="38"/>
        <v>0</v>
      </c>
      <c r="H141" s="40">
        <f t="shared" si="38"/>
        <v>10296013.895000001</v>
      </c>
      <c r="I141" s="40">
        <f t="shared" si="38"/>
        <v>13490610</v>
      </c>
      <c r="J141" s="40">
        <f t="shared" si="38"/>
        <v>9880084.020000001</v>
      </c>
      <c r="K141" s="40">
        <f t="shared" si="38"/>
        <v>236322.916</v>
      </c>
      <c r="L141" s="40">
        <f t="shared" si="38"/>
        <v>263554.06999999995</v>
      </c>
      <c r="M141" s="40">
        <f t="shared" si="38"/>
        <v>2132816.6999999993</v>
      </c>
      <c r="N141" s="40">
        <f t="shared" si="38"/>
        <v>484194.68</v>
      </c>
      <c r="O141" s="40">
        <f t="shared" si="38"/>
        <v>278343.3</v>
      </c>
      <c r="P141" s="40">
        <f t="shared" si="38"/>
        <v>1205393.6600000001</v>
      </c>
      <c r="Q141" s="40">
        <f t="shared" si="38"/>
        <v>556427.4899999999</v>
      </c>
      <c r="R141" s="40">
        <f t="shared" si="38"/>
        <v>0</v>
      </c>
      <c r="S141" s="40">
        <f t="shared" si="38"/>
        <v>1993640.1199999996</v>
      </c>
      <c r="T141" s="40">
        <f t="shared" si="38"/>
        <v>1282859.6199999999</v>
      </c>
      <c r="U141" s="40">
        <f t="shared" si="38"/>
        <v>1125536.9700000002</v>
      </c>
      <c r="V141" s="40">
        <f t="shared" si="38"/>
        <v>1398860.1399999992</v>
      </c>
      <c r="W141" s="40">
        <f t="shared" si="38"/>
        <v>33123.939999999995</v>
      </c>
      <c r="X141" s="40">
        <f t="shared" si="38"/>
        <v>4103918.88</v>
      </c>
      <c r="Y141" s="40">
        <f t="shared" si="38"/>
        <v>1499452.2</v>
      </c>
      <c r="Z141" s="40"/>
      <c r="AA141" s="40">
        <f>SUM(AA100:AA140)</f>
        <v>50285214.601</v>
      </c>
      <c r="AB141" s="40" t="e">
        <f>SUM(AB100:AB140)</f>
        <v>#REF!</v>
      </c>
    </row>
    <row r="142" spans="2:28" ht="13.5" thickTop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2:28" ht="12.75">
      <c r="B143" s="31">
        <f aca="true" t="shared" si="39" ref="B143:Y143">+B93+B46</f>
        <v>0</v>
      </c>
      <c r="C143" s="31">
        <f t="shared" si="39"/>
        <v>0</v>
      </c>
      <c r="D143" s="31">
        <f t="shared" si="39"/>
        <v>0</v>
      </c>
      <c r="E143" s="31">
        <f t="shared" si="39"/>
        <v>0</v>
      </c>
      <c r="F143" s="31">
        <f t="shared" si="39"/>
        <v>0</v>
      </c>
      <c r="G143" s="31">
        <f t="shared" si="39"/>
        <v>0</v>
      </c>
      <c r="H143" s="31">
        <f t="shared" si="39"/>
        <v>10296013.894999998</v>
      </c>
      <c r="I143" s="31">
        <f t="shared" si="39"/>
        <v>13490610</v>
      </c>
      <c r="J143" s="31">
        <f t="shared" si="39"/>
        <v>9880084.02</v>
      </c>
      <c r="K143" s="31">
        <f t="shared" si="39"/>
        <v>236322.91600000003</v>
      </c>
      <c r="L143" s="31">
        <f t="shared" si="39"/>
        <v>263554.07</v>
      </c>
      <c r="M143" s="31">
        <f t="shared" si="39"/>
        <v>2132816.6999999997</v>
      </c>
      <c r="N143" s="31">
        <f t="shared" si="39"/>
        <v>484194.67999999993</v>
      </c>
      <c r="O143" s="31">
        <f t="shared" si="39"/>
        <v>278343.30000000005</v>
      </c>
      <c r="P143" s="31">
        <f t="shared" si="39"/>
        <v>1205393.6600000001</v>
      </c>
      <c r="Q143" s="31">
        <f t="shared" si="39"/>
        <v>556427.49</v>
      </c>
      <c r="R143" s="31">
        <f t="shared" si="39"/>
        <v>0</v>
      </c>
      <c r="S143" s="31">
        <f t="shared" si="39"/>
        <v>1993640.12</v>
      </c>
      <c r="T143" s="31">
        <f t="shared" si="39"/>
        <v>1282859.6199999999</v>
      </c>
      <c r="U143" s="31">
        <f t="shared" si="39"/>
        <v>1125536.9700000002</v>
      </c>
      <c r="V143" s="31">
        <f t="shared" si="39"/>
        <v>1398860.1400000001</v>
      </c>
      <c r="W143" s="31">
        <f t="shared" si="39"/>
        <v>33123.939999999995</v>
      </c>
      <c r="X143" s="31">
        <f t="shared" si="39"/>
        <v>4103918.88</v>
      </c>
      <c r="Y143" s="31">
        <f t="shared" si="39"/>
        <v>1499452.2</v>
      </c>
      <c r="Z143" s="31"/>
      <c r="AA143" s="31">
        <f>+AA93+AA46</f>
        <v>50285214.601</v>
      </c>
      <c r="AB143" s="31"/>
    </row>
  </sheetData>
  <sheetProtection/>
  <mergeCells count="3">
    <mergeCell ref="U6:V6"/>
    <mergeCell ref="U50:V50"/>
    <mergeCell ref="U98:V98"/>
  </mergeCells>
  <printOptions/>
  <pageMargins left="0.7" right="0.7" top="0.75" bottom="0.75" header="0.3" footer="0.3"/>
  <pageSetup fitToHeight="3" fitToWidth="1" horizontalDpi="600" verticalDpi="600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7"/>
  <sheetViews>
    <sheetView zoomScalePageLayoutView="0" workbookViewId="0" topLeftCell="A37">
      <selection activeCell="C49" sqref="C49"/>
    </sheetView>
  </sheetViews>
  <sheetFormatPr defaultColWidth="9.140625" defaultRowHeight="12.75"/>
  <cols>
    <col min="1" max="9" width="10.7109375" style="0" customWidth="1"/>
    <col min="10" max="10" width="10.7109375" style="2" customWidth="1"/>
    <col min="11" max="11" width="13.281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 t="s">
        <v>52</v>
      </c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2</v>
      </c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10" ht="12.7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>
        <v>2005</v>
      </c>
      <c r="H6" s="5" t="s">
        <v>9</v>
      </c>
      <c r="I6" s="5" t="s">
        <v>10</v>
      </c>
      <c r="J6" s="5" t="s">
        <v>11</v>
      </c>
    </row>
    <row r="7" spans="1:10" ht="12.75">
      <c r="A7" s="6" t="s">
        <v>12</v>
      </c>
      <c r="B7" s="7">
        <v>30000</v>
      </c>
      <c r="C7" s="7">
        <f>24020.64+24287.66+24557.65+24830.65</f>
        <v>97696.6</v>
      </c>
      <c r="D7" s="7"/>
      <c r="E7" s="7">
        <v>137000</v>
      </c>
      <c r="F7" s="7">
        <v>160695</v>
      </c>
      <c r="G7" s="7">
        <v>31000</v>
      </c>
      <c r="H7" s="7">
        <v>12000</v>
      </c>
      <c r="I7" s="7">
        <v>3000</v>
      </c>
      <c r="J7" s="7">
        <f aca="true" t="shared" si="0" ref="J7:J40">SUM(B7:I7)</f>
        <v>471391.6</v>
      </c>
    </row>
    <row r="8" spans="1:10" ht="12.75">
      <c r="A8" s="6" t="s">
        <v>13</v>
      </c>
      <c r="B8" s="7">
        <v>30000</v>
      </c>
      <c r="C8" s="7">
        <f>25106.68+25385.77+25667.97+25953.31</f>
        <v>102113.73</v>
      </c>
      <c r="D8" s="7"/>
      <c r="E8" s="7">
        <v>140000</v>
      </c>
      <c r="F8" s="7">
        <v>162306</v>
      </c>
      <c r="G8" s="7">
        <v>32500</v>
      </c>
      <c r="H8" s="7">
        <v>12000</v>
      </c>
      <c r="I8" s="7">
        <v>3000</v>
      </c>
      <c r="J8" s="7">
        <f t="shared" si="0"/>
        <v>481919.73</v>
      </c>
    </row>
    <row r="9" spans="1:10" ht="12.75">
      <c r="A9" s="6" t="s">
        <v>14</v>
      </c>
      <c r="B9" s="7">
        <v>30000</v>
      </c>
      <c r="C9" s="7">
        <f>26241.82+26533.53+26828.49+27126.73</f>
        <v>106730.56999999999</v>
      </c>
      <c r="D9" s="7"/>
      <c r="E9" s="7">
        <v>144000</v>
      </c>
      <c r="F9" s="7">
        <v>163933</v>
      </c>
      <c r="G9" s="7">
        <v>34000</v>
      </c>
      <c r="H9" s="7">
        <v>13000</v>
      </c>
      <c r="I9" s="7">
        <v>3000</v>
      </c>
      <c r="J9" s="7">
        <f t="shared" si="0"/>
        <v>494663.57</v>
      </c>
    </row>
    <row r="10" spans="1:10" ht="12.75">
      <c r="A10" s="6" t="s">
        <v>15</v>
      </c>
      <c r="B10" s="7">
        <v>30000</v>
      </c>
      <c r="C10" s="7">
        <f>27428.28+27733.19+28041.48+28353.21</f>
        <v>111556.16</v>
      </c>
      <c r="D10" s="7"/>
      <c r="E10" s="7">
        <v>147000</v>
      </c>
      <c r="F10" s="7">
        <v>165576</v>
      </c>
      <c r="G10" s="7">
        <v>35500</v>
      </c>
      <c r="H10" s="7">
        <v>13000</v>
      </c>
      <c r="I10" s="7">
        <v>3000</v>
      </c>
      <c r="J10" s="7">
        <f t="shared" si="0"/>
        <v>505632.16000000003</v>
      </c>
    </row>
    <row r="11" spans="1:10" ht="12.75">
      <c r="A11" s="6" t="s">
        <v>16</v>
      </c>
      <c r="B11" s="7">
        <v>30000</v>
      </c>
      <c r="C11" s="7">
        <f>28668.39+28987.08+29309.32+29635.13</f>
        <v>116599.92000000001</v>
      </c>
      <c r="D11" s="7"/>
      <c r="E11" s="7">
        <v>151000</v>
      </c>
      <c r="F11" s="7">
        <v>167236</v>
      </c>
      <c r="G11" s="7">
        <v>37000</v>
      </c>
      <c r="H11" s="7">
        <v>14000</v>
      </c>
      <c r="I11" s="7">
        <v>4000</v>
      </c>
      <c r="J11" s="7">
        <f t="shared" si="0"/>
        <v>519835.92000000004</v>
      </c>
    </row>
    <row r="12" spans="1:10" ht="12.75">
      <c r="A12" s="6" t="s">
        <v>17</v>
      </c>
      <c r="B12" s="7">
        <v>30000</v>
      </c>
      <c r="C12" s="7">
        <f>29964.57+30297.67+30634.47+30975.02</f>
        <v>121871.73</v>
      </c>
      <c r="D12" s="7"/>
      <c r="E12" s="7">
        <v>159000</v>
      </c>
      <c r="F12" s="7">
        <v>168913</v>
      </c>
      <c r="G12" s="7">
        <v>38500</v>
      </c>
      <c r="H12" s="7">
        <v>15000</v>
      </c>
      <c r="I12" s="7">
        <v>4000</v>
      </c>
      <c r="J12" s="7">
        <f t="shared" si="0"/>
        <v>537284.73</v>
      </c>
    </row>
    <row r="13" spans="1:10" ht="12.75">
      <c r="A13" s="6" t="s">
        <v>18</v>
      </c>
      <c r="B13" s="7">
        <v>40000</v>
      </c>
      <c r="C13" s="7">
        <f>31319.35+31667.51+32019.54+32375.49</f>
        <v>127381.89</v>
      </c>
      <c r="D13" s="7"/>
      <c r="E13" s="7">
        <v>163000</v>
      </c>
      <c r="F13" s="7">
        <v>170606</v>
      </c>
      <c r="G13" s="7">
        <v>40500</v>
      </c>
      <c r="H13" s="7">
        <v>15000</v>
      </c>
      <c r="I13" s="7">
        <v>4000</v>
      </c>
      <c r="J13" s="7">
        <f t="shared" si="0"/>
        <v>560487.89</v>
      </c>
    </row>
    <row r="14" spans="1:10" ht="12.75">
      <c r="A14" s="6" t="s">
        <v>19</v>
      </c>
      <c r="B14" s="7">
        <v>40000</v>
      </c>
      <c r="C14" s="7">
        <f>32735.39+33099.29+33467.24+33839.28</f>
        <v>133141.19999999998</v>
      </c>
      <c r="D14" s="7"/>
      <c r="E14" s="7">
        <v>171000</v>
      </c>
      <c r="F14" s="7">
        <v>172316</v>
      </c>
      <c r="G14" s="8">
        <v>42000</v>
      </c>
      <c r="H14" s="7">
        <v>16000</v>
      </c>
      <c r="I14" s="7">
        <v>4000</v>
      </c>
      <c r="J14" s="7">
        <f t="shared" si="0"/>
        <v>578457.2</v>
      </c>
    </row>
    <row r="15" spans="1:10" ht="12.75">
      <c r="A15" s="6" t="s">
        <v>20</v>
      </c>
      <c r="B15" s="8">
        <v>15000</v>
      </c>
      <c r="C15" s="8">
        <f>34215.45+34595.8+34980.39+35369.24</f>
        <v>139160.88</v>
      </c>
      <c r="D15" s="8"/>
      <c r="E15" s="8">
        <v>175000</v>
      </c>
      <c r="F15" s="8">
        <v>174044</v>
      </c>
      <c r="G15" s="8">
        <v>44000</v>
      </c>
      <c r="H15" s="8">
        <v>17000</v>
      </c>
      <c r="I15" s="8">
        <v>4000</v>
      </c>
      <c r="J15" s="8">
        <f>SUM(B15:I15)</f>
        <v>568204.88</v>
      </c>
    </row>
    <row r="16" spans="1:10" ht="12.75">
      <c r="A16" s="6" t="s">
        <v>21</v>
      </c>
      <c r="B16" s="8"/>
      <c r="C16" s="8">
        <f>35762.42+36159.98+36561.95+36968.39</f>
        <v>145452.74</v>
      </c>
      <c r="D16" s="8"/>
      <c r="E16" s="8">
        <v>184000</v>
      </c>
      <c r="F16" s="8">
        <v>175789</v>
      </c>
      <c r="G16" s="8">
        <v>46000</v>
      </c>
      <c r="H16" s="8">
        <v>17000</v>
      </c>
      <c r="I16" s="8">
        <v>5000</v>
      </c>
      <c r="J16" s="8">
        <f>SUM(B16:I16)</f>
        <v>573241.74</v>
      </c>
    </row>
    <row r="17" spans="1:10" ht="12.75">
      <c r="A17" s="6" t="s">
        <v>22</v>
      </c>
      <c r="B17" s="8"/>
      <c r="C17" s="8">
        <f>37379.34+37794.87+38215.01+38639.83</f>
        <v>152029.05</v>
      </c>
      <c r="D17" s="8"/>
      <c r="E17" s="8">
        <v>30000</v>
      </c>
      <c r="F17" s="8">
        <v>177551</v>
      </c>
      <c r="G17" s="8">
        <v>48000</v>
      </c>
      <c r="H17" s="8">
        <v>18000</v>
      </c>
      <c r="I17" s="8">
        <v>5000</v>
      </c>
      <c r="J17" s="7">
        <f>SUM(B17:I17)</f>
        <v>430580.05</v>
      </c>
    </row>
    <row r="18" spans="1:10" ht="12.75">
      <c r="A18" s="6" t="s">
        <v>23</v>
      </c>
      <c r="B18" s="8"/>
      <c r="C18" s="8">
        <f>39069.37+39503.68+39942.82+40386.85</f>
        <v>158902.72</v>
      </c>
      <c r="D18" s="8"/>
      <c r="E18" s="8"/>
      <c r="F18" s="8">
        <v>179331</v>
      </c>
      <c r="G18" s="8">
        <v>50500</v>
      </c>
      <c r="H18" s="8">
        <v>19000</v>
      </c>
      <c r="I18" s="8">
        <v>5000</v>
      </c>
      <c r="J18" s="7">
        <f>SUM(B18:I18)</f>
        <v>412733.72</v>
      </c>
    </row>
    <row r="19" spans="1:10" ht="12.75">
      <c r="A19" s="6" t="s">
        <v>24</v>
      </c>
      <c r="B19" s="8"/>
      <c r="C19" s="8">
        <f>40835.8+41289.81</f>
        <v>82125.61</v>
      </c>
      <c r="D19" s="8"/>
      <c r="E19" s="8"/>
      <c r="F19" s="8">
        <v>181129</v>
      </c>
      <c r="G19" s="8">
        <v>52500</v>
      </c>
      <c r="H19" s="8">
        <v>20000</v>
      </c>
      <c r="I19" s="8">
        <v>5000</v>
      </c>
      <c r="J19" s="8">
        <f>SUM(B19:I19)</f>
        <v>340754.61</v>
      </c>
    </row>
    <row r="20" spans="1:10" ht="12.75">
      <c r="A20" s="6" t="s">
        <v>25</v>
      </c>
      <c r="B20" s="8"/>
      <c r="C20" s="8"/>
      <c r="D20" s="8"/>
      <c r="E20" s="8"/>
      <c r="F20" s="8">
        <v>91243</v>
      </c>
      <c r="G20" s="8">
        <v>55000</v>
      </c>
      <c r="H20" s="8">
        <v>21000</v>
      </c>
      <c r="I20" s="8">
        <v>5000</v>
      </c>
      <c r="J20" s="7">
        <f t="shared" si="0"/>
        <v>172243</v>
      </c>
    </row>
    <row r="21" spans="1:10" ht="12.75">
      <c r="A21" s="6" t="s">
        <v>26</v>
      </c>
      <c r="B21" s="8"/>
      <c r="C21" s="8"/>
      <c r="D21" s="8"/>
      <c r="E21" s="8"/>
      <c r="F21" s="8"/>
      <c r="G21" s="8">
        <v>57500</v>
      </c>
      <c r="H21" s="8">
        <v>22000</v>
      </c>
      <c r="I21" s="8">
        <v>6000</v>
      </c>
      <c r="J21" s="7">
        <f t="shared" si="0"/>
        <v>85500</v>
      </c>
    </row>
    <row r="22" spans="1:10" ht="12.75">
      <c r="A22" s="6" t="s">
        <v>27</v>
      </c>
      <c r="B22" s="8"/>
      <c r="C22" s="8"/>
      <c r="D22" s="8"/>
      <c r="E22" s="8"/>
      <c r="F22" s="8"/>
      <c r="G22" s="8">
        <v>60000</v>
      </c>
      <c r="H22" s="8">
        <v>23000</v>
      </c>
      <c r="I22" s="8">
        <v>6000</v>
      </c>
      <c r="J22" s="7">
        <f t="shared" si="0"/>
        <v>89000</v>
      </c>
    </row>
    <row r="23" spans="1:10" ht="12.75">
      <c r="A23" s="6" t="s">
        <v>28</v>
      </c>
      <c r="B23" s="8"/>
      <c r="C23" s="8"/>
      <c r="D23" s="8"/>
      <c r="E23" s="8"/>
      <c r="F23" s="8"/>
      <c r="G23" s="8">
        <v>62500</v>
      </c>
      <c r="H23" s="8">
        <v>24000</v>
      </c>
      <c r="I23" s="8">
        <v>6000</v>
      </c>
      <c r="J23" s="7">
        <f t="shared" si="0"/>
        <v>92500</v>
      </c>
    </row>
    <row r="24" spans="1:10" ht="12.75">
      <c r="A24" s="6" t="s">
        <v>29</v>
      </c>
      <c r="B24" s="8"/>
      <c r="C24" s="8"/>
      <c r="D24" s="8"/>
      <c r="E24" s="8"/>
      <c r="F24" s="8"/>
      <c r="G24" s="8">
        <v>65500</v>
      </c>
      <c r="H24" s="8">
        <v>25000</v>
      </c>
      <c r="I24" s="8">
        <v>6000</v>
      </c>
      <c r="J24" s="7">
        <f t="shared" si="0"/>
        <v>96500</v>
      </c>
    </row>
    <row r="25" spans="1:10" ht="12.75">
      <c r="A25" s="6" t="s">
        <v>30</v>
      </c>
      <c r="B25" s="8"/>
      <c r="C25" s="8"/>
      <c r="D25" s="8"/>
      <c r="E25" s="8"/>
      <c r="F25" s="8"/>
      <c r="G25" s="8">
        <v>68500</v>
      </c>
      <c r="H25" s="8">
        <v>26000</v>
      </c>
      <c r="I25" s="8">
        <v>7000</v>
      </c>
      <c r="J25" s="7">
        <f t="shared" si="0"/>
        <v>101500</v>
      </c>
    </row>
    <row r="26" spans="1:10" ht="12.75">
      <c r="A26" s="6" t="s">
        <v>31</v>
      </c>
      <c r="B26" s="8"/>
      <c r="C26" s="8"/>
      <c r="D26" s="8"/>
      <c r="E26" s="8"/>
      <c r="F26" s="8"/>
      <c r="G26" s="8">
        <v>71500</v>
      </c>
      <c r="H26" s="8">
        <v>27000</v>
      </c>
      <c r="I26" s="8">
        <v>7000</v>
      </c>
      <c r="J26" s="7">
        <f t="shared" si="0"/>
        <v>105500</v>
      </c>
    </row>
    <row r="27" spans="1:10" ht="12.75">
      <c r="A27" s="6" t="s">
        <v>32</v>
      </c>
      <c r="B27" s="8"/>
      <c r="C27" s="8"/>
      <c r="D27" s="8"/>
      <c r="E27" s="8"/>
      <c r="F27" s="8"/>
      <c r="G27" s="8">
        <v>75000</v>
      </c>
      <c r="H27" s="8">
        <v>28000</v>
      </c>
      <c r="I27" s="8">
        <v>7000</v>
      </c>
      <c r="J27" s="7">
        <f t="shared" si="0"/>
        <v>110000</v>
      </c>
    </row>
    <row r="28" spans="1:10" ht="12.75">
      <c r="A28" s="6" t="s">
        <v>33</v>
      </c>
      <c r="B28" s="8"/>
      <c r="C28" s="8"/>
      <c r="D28" s="8"/>
      <c r="E28" s="8"/>
      <c r="F28" s="8"/>
      <c r="G28" s="8">
        <v>78000</v>
      </c>
      <c r="H28" s="8">
        <v>30000</v>
      </c>
      <c r="I28" s="8">
        <v>8000</v>
      </c>
      <c r="J28" s="7">
        <f t="shared" si="0"/>
        <v>116000</v>
      </c>
    </row>
    <row r="29" spans="1:10" ht="12.75">
      <c r="A29" s="6" t="s">
        <v>34</v>
      </c>
      <c r="B29" s="8"/>
      <c r="C29" s="8"/>
      <c r="D29" s="8"/>
      <c r="E29" s="8"/>
      <c r="F29" s="8"/>
      <c r="G29" s="8">
        <v>81500</v>
      </c>
      <c r="H29" s="8">
        <v>31000</v>
      </c>
      <c r="I29" s="8">
        <v>8000</v>
      </c>
      <c r="J29" s="7">
        <f t="shared" si="0"/>
        <v>120500</v>
      </c>
    </row>
    <row r="30" spans="1:10" ht="12.75">
      <c r="A30" s="6" t="s">
        <v>35</v>
      </c>
      <c r="B30" s="8"/>
      <c r="C30" s="8"/>
      <c r="D30" s="8"/>
      <c r="E30" s="8"/>
      <c r="F30" s="8"/>
      <c r="G30" s="8">
        <v>85500</v>
      </c>
      <c r="H30" s="8">
        <v>32000</v>
      </c>
      <c r="I30" s="8">
        <v>8000</v>
      </c>
      <c r="J30" s="7">
        <f t="shared" si="0"/>
        <v>125500</v>
      </c>
    </row>
    <row r="31" spans="1:10" ht="12.75">
      <c r="A31" s="6" t="s">
        <v>36</v>
      </c>
      <c r="B31" s="8"/>
      <c r="C31" s="8"/>
      <c r="D31" s="8"/>
      <c r="E31" s="8"/>
      <c r="F31" s="8"/>
      <c r="G31" s="8">
        <v>89000</v>
      </c>
      <c r="H31" s="8">
        <v>34000</v>
      </c>
      <c r="I31" s="8">
        <v>9000</v>
      </c>
      <c r="J31" s="7">
        <f t="shared" si="0"/>
        <v>132000</v>
      </c>
    </row>
    <row r="32" spans="1:10" ht="12.75">
      <c r="A32" s="6" t="s">
        <v>37</v>
      </c>
      <c r="B32" s="8"/>
      <c r="C32" s="8"/>
      <c r="D32" s="8"/>
      <c r="E32" s="8"/>
      <c r="F32" s="8"/>
      <c r="G32" s="8">
        <v>93000</v>
      </c>
      <c r="H32" s="8">
        <v>35000</v>
      </c>
      <c r="I32" s="8">
        <v>9000</v>
      </c>
      <c r="J32" s="7">
        <f t="shared" si="0"/>
        <v>137000</v>
      </c>
    </row>
    <row r="33" spans="1:10" ht="12.75">
      <c r="A33" s="6" t="s">
        <v>38</v>
      </c>
      <c r="B33" s="8"/>
      <c r="C33" s="8"/>
      <c r="D33" s="8"/>
      <c r="E33" s="8"/>
      <c r="F33" s="8"/>
      <c r="G33" s="8">
        <v>97500</v>
      </c>
      <c r="H33" s="8">
        <v>37000</v>
      </c>
      <c r="I33" s="8">
        <v>10000</v>
      </c>
      <c r="J33" s="7">
        <f t="shared" si="0"/>
        <v>144500</v>
      </c>
    </row>
    <row r="34" spans="1:10" ht="12.75">
      <c r="A34" s="6" t="s">
        <v>39</v>
      </c>
      <c r="B34" s="8"/>
      <c r="C34" s="8"/>
      <c r="D34" s="8"/>
      <c r="E34" s="8"/>
      <c r="F34" s="8"/>
      <c r="G34" s="8">
        <v>102000</v>
      </c>
      <c r="H34" s="8">
        <v>38000</v>
      </c>
      <c r="I34" s="8">
        <v>10000</v>
      </c>
      <c r="J34" s="7">
        <f t="shared" si="0"/>
        <v>150000</v>
      </c>
    </row>
    <row r="35" spans="1:10" ht="12.75">
      <c r="A35" s="6" t="s">
        <v>40</v>
      </c>
      <c r="B35" s="8"/>
      <c r="C35" s="8"/>
      <c r="D35" s="8"/>
      <c r="E35" s="8"/>
      <c r="F35" s="8"/>
      <c r="G35" s="8">
        <v>106500</v>
      </c>
      <c r="H35" s="8">
        <v>39000</v>
      </c>
      <c r="I35" s="8">
        <v>10000</v>
      </c>
      <c r="J35" s="7">
        <f t="shared" si="0"/>
        <v>155500</v>
      </c>
    </row>
    <row r="36" spans="1:10" ht="12.75">
      <c r="A36" s="6" t="s">
        <v>41</v>
      </c>
      <c r="B36" s="8"/>
      <c r="C36" s="8"/>
      <c r="D36" s="8"/>
      <c r="E36" s="8"/>
      <c r="F36" s="8"/>
      <c r="G36" s="8">
        <v>111000</v>
      </c>
      <c r="H36" s="8">
        <v>41000</v>
      </c>
      <c r="I36" s="8">
        <v>11000</v>
      </c>
      <c r="J36" s="7">
        <f t="shared" si="0"/>
        <v>163000</v>
      </c>
    </row>
    <row r="37" spans="1:10" ht="12.75">
      <c r="A37" s="6" t="s">
        <v>42</v>
      </c>
      <c r="B37" s="8"/>
      <c r="C37" s="8"/>
      <c r="D37" s="8"/>
      <c r="E37" s="8"/>
      <c r="F37" s="8"/>
      <c r="G37" s="8">
        <v>116000</v>
      </c>
      <c r="H37" s="8">
        <v>43000</v>
      </c>
      <c r="I37" s="8">
        <v>11000</v>
      </c>
      <c r="J37" s="7">
        <f t="shared" si="0"/>
        <v>170000</v>
      </c>
    </row>
    <row r="38" spans="1:10" ht="12.75">
      <c r="A38" s="6" t="s">
        <v>43</v>
      </c>
      <c r="B38" s="8"/>
      <c r="C38" s="8"/>
      <c r="D38" s="8"/>
      <c r="E38" s="8"/>
      <c r="F38" s="8"/>
      <c r="G38" s="8">
        <v>121500</v>
      </c>
      <c r="H38" s="8">
        <v>45000</v>
      </c>
      <c r="I38" s="8">
        <v>12000</v>
      </c>
      <c r="J38" s="7">
        <f t="shared" si="0"/>
        <v>178500</v>
      </c>
    </row>
    <row r="39" spans="1:10" ht="12.75">
      <c r="A39" s="6" t="s">
        <v>44</v>
      </c>
      <c r="B39" s="8"/>
      <c r="C39" s="8"/>
      <c r="D39" s="8"/>
      <c r="E39" s="8"/>
      <c r="F39" s="8"/>
      <c r="G39" s="8">
        <v>127000</v>
      </c>
      <c r="H39" s="8">
        <v>47000</v>
      </c>
      <c r="I39" s="8">
        <v>13000</v>
      </c>
      <c r="J39" s="7">
        <f t="shared" si="0"/>
        <v>187000</v>
      </c>
    </row>
    <row r="40" spans="1:10" ht="12.75">
      <c r="A40" s="6" t="s">
        <v>45</v>
      </c>
      <c r="B40" s="8"/>
      <c r="C40" s="8"/>
      <c r="D40" s="8"/>
      <c r="E40" s="8"/>
      <c r="F40" s="8"/>
      <c r="G40" s="8">
        <v>133000</v>
      </c>
      <c r="H40" s="8"/>
      <c r="I40" s="8"/>
      <c r="J40" s="7">
        <f t="shared" si="0"/>
        <v>133000</v>
      </c>
    </row>
    <row r="41" spans="1:10" ht="12.75">
      <c r="A41" s="6" t="s">
        <v>46</v>
      </c>
      <c r="B41" s="8"/>
      <c r="C41" s="8"/>
      <c r="D41" s="8"/>
      <c r="E41" s="8"/>
      <c r="F41" s="8"/>
      <c r="H41" s="8"/>
      <c r="I41" s="8"/>
      <c r="J41" s="7"/>
    </row>
    <row r="42" spans="1:10" ht="13.5" thickBot="1">
      <c r="A42" s="6"/>
      <c r="B42" s="9">
        <f>SUM(B7:B41)</f>
        <v>275000</v>
      </c>
      <c r="C42" s="9">
        <f>SUM(C7:C41)</f>
        <v>1594762.8000000003</v>
      </c>
      <c r="D42" s="9">
        <f>SUM(D7:D41)</f>
        <v>0</v>
      </c>
      <c r="E42" s="9">
        <f>SUM(E7:E41)</f>
        <v>1601000</v>
      </c>
      <c r="F42" s="9">
        <f>SUM(F7:F41)</f>
        <v>2310668</v>
      </c>
      <c r="G42" s="9">
        <f>SUM(G7:G40)</f>
        <v>2389000</v>
      </c>
      <c r="H42" s="9">
        <f>SUM(H7:H41)</f>
        <v>849000</v>
      </c>
      <c r="I42" s="9">
        <f>SUM(I7:I41)</f>
        <v>221000</v>
      </c>
      <c r="J42" s="9">
        <f>SUM(J7:J41)</f>
        <v>9240430.8</v>
      </c>
    </row>
    <row r="43" spans="1:10" ht="13.5" thickTop="1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3" t="s">
        <v>47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>
        <v>2005</v>
      </c>
      <c r="H47" s="5" t="s">
        <v>9</v>
      </c>
      <c r="I47" s="5" t="s">
        <v>10</v>
      </c>
      <c r="J47" s="5" t="s">
        <v>11</v>
      </c>
    </row>
    <row r="48" spans="1:10" ht="12.75">
      <c r="A48" s="6" t="s">
        <v>12</v>
      </c>
      <c r="B48" s="7">
        <v>8753</v>
      </c>
      <c r="C48" s="7">
        <f>17728.11+17461.09+17191.1+16918.1</f>
        <v>69298.4</v>
      </c>
      <c r="D48" s="7"/>
      <c r="E48" s="7">
        <v>57195</v>
      </c>
      <c r="F48" s="7">
        <v>27247</v>
      </c>
      <c r="G48" s="7">
        <v>97907</v>
      </c>
      <c r="H48" s="7">
        <v>37935</v>
      </c>
      <c r="I48" s="7">
        <v>9878</v>
      </c>
      <c r="J48" s="7">
        <f aca="true" t="shared" si="1" ref="J48:J81">SUM(B48:I48)</f>
        <v>308213.4</v>
      </c>
    </row>
    <row r="49" spans="1:10" ht="12.75">
      <c r="A49" s="6" t="s">
        <v>13</v>
      </c>
      <c r="B49" s="7">
        <v>7746</v>
      </c>
      <c r="C49" s="7">
        <f>16642.07+16362.98+16080.78+15795.44</f>
        <v>64881.270000000004</v>
      </c>
      <c r="D49" s="7"/>
      <c r="E49" s="7">
        <v>53496</v>
      </c>
      <c r="F49" s="7">
        <v>25314</v>
      </c>
      <c r="G49" s="7">
        <v>96597</v>
      </c>
      <c r="H49" s="7">
        <v>37395</v>
      </c>
      <c r="I49" s="7">
        <v>9742</v>
      </c>
      <c r="J49" s="7">
        <f t="shared" si="1"/>
        <v>295171.27</v>
      </c>
    </row>
    <row r="50" spans="1:10" ht="12.75">
      <c r="A50" s="6" t="s">
        <v>14</v>
      </c>
      <c r="B50" s="7">
        <v>6703</v>
      </c>
      <c r="C50" s="7">
        <f>15506.93+15215.22+14920.26+14622.02</f>
        <v>60264.43000000001</v>
      </c>
      <c r="D50" s="7"/>
      <c r="E50" s="7">
        <v>49296</v>
      </c>
      <c r="F50" s="7">
        <v>23361</v>
      </c>
      <c r="G50" s="7">
        <v>95226</v>
      </c>
      <c r="H50" s="7">
        <v>36833</v>
      </c>
      <c r="I50" s="7">
        <v>9607</v>
      </c>
      <c r="J50" s="7">
        <f t="shared" si="1"/>
        <v>281290.43</v>
      </c>
    </row>
    <row r="51" spans="1:10" ht="12.75">
      <c r="A51" s="6" t="s">
        <v>15</v>
      </c>
      <c r="B51" s="7">
        <v>5694</v>
      </c>
      <c r="C51" s="7">
        <f>14320.47+14015.56+13707.27+13395.54</f>
        <v>55438.840000000004</v>
      </c>
      <c r="D51" s="7"/>
      <c r="E51" s="7">
        <v>44796</v>
      </c>
      <c r="F51" s="7">
        <v>21389</v>
      </c>
      <c r="G51" s="7">
        <v>93792</v>
      </c>
      <c r="H51" s="7">
        <v>36247</v>
      </c>
      <c r="I51" s="7">
        <v>9472</v>
      </c>
      <c r="J51" s="7">
        <f t="shared" si="1"/>
        <v>266828.83999999997</v>
      </c>
    </row>
    <row r="52" spans="1:10" ht="12.75">
      <c r="A52" s="6" t="s">
        <v>16</v>
      </c>
      <c r="B52" s="7">
        <v>4674</v>
      </c>
      <c r="C52" s="7">
        <f>13080.36+12761.67+12439.43+12113.62</f>
        <v>50395.08</v>
      </c>
      <c r="D52" s="7"/>
      <c r="E52" s="7">
        <v>39835</v>
      </c>
      <c r="F52" s="7">
        <v>19397</v>
      </c>
      <c r="G52" s="7">
        <v>92297</v>
      </c>
      <c r="H52" s="7">
        <v>35640</v>
      </c>
      <c r="I52" s="7">
        <v>9315</v>
      </c>
      <c r="J52" s="7">
        <f t="shared" si="1"/>
        <v>251553.08000000002</v>
      </c>
    </row>
    <row r="53" spans="1:10" ht="12.75">
      <c r="A53" s="6" t="s">
        <v>17</v>
      </c>
      <c r="B53" s="7">
        <v>3661</v>
      </c>
      <c r="C53" s="7">
        <f>11784.18+11451.08+11114.28+10773.73</f>
        <v>45123.270000000004</v>
      </c>
      <c r="D53" s="7"/>
      <c r="E53" s="7">
        <v>34550</v>
      </c>
      <c r="F53" s="7">
        <v>17386</v>
      </c>
      <c r="G53" s="7">
        <v>90740</v>
      </c>
      <c r="H53" s="7">
        <v>34988</v>
      </c>
      <c r="I53" s="7">
        <v>9135</v>
      </c>
      <c r="J53" s="7">
        <f t="shared" si="1"/>
        <v>235583.27000000002</v>
      </c>
    </row>
    <row r="54" spans="1:10" ht="12.75">
      <c r="A54" s="6" t="s">
        <v>18</v>
      </c>
      <c r="B54" s="7">
        <v>2433</v>
      </c>
      <c r="C54" s="7">
        <f>10429.4+10081.24+9729.21+9373.26</f>
        <v>39613.11</v>
      </c>
      <c r="D54" s="7"/>
      <c r="E54" s="7">
        <v>28786</v>
      </c>
      <c r="F54" s="7">
        <v>15354</v>
      </c>
      <c r="G54" s="8">
        <v>89110</v>
      </c>
      <c r="H54" s="7">
        <v>34312</v>
      </c>
      <c r="I54" s="7">
        <v>8955</v>
      </c>
      <c r="J54" s="7">
        <f t="shared" si="1"/>
        <v>218563.11</v>
      </c>
    </row>
    <row r="55" spans="1:10" ht="12.75">
      <c r="A55" s="6" t="s">
        <v>19</v>
      </c>
      <c r="B55" s="7">
        <v>1078</v>
      </c>
      <c r="C55" s="7">
        <f>9013.36+8649.46+8281.51+7909.47</f>
        <v>33853.8</v>
      </c>
      <c r="D55" s="7"/>
      <c r="E55" s="7">
        <v>22674</v>
      </c>
      <c r="F55" s="7">
        <v>13301</v>
      </c>
      <c r="G55" s="8">
        <v>87409</v>
      </c>
      <c r="H55" s="7">
        <v>33615</v>
      </c>
      <c r="I55" s="7">
        <v>8775</v>
      </c>
      <c r="J55" s="7">
        <f t="shared" si="1"/>
        <v>200705.8</v>
      </c>
    </row>
    <row r="56" spans="1:10" ht="12.75">
      <c r="A56" s="6" t="s">
        <v>20</v>
      </c>
      <c r="B56" s="8">
        <v>86</v>
      </c>
      <c r="C56" s="8">
        <f>7533.3+7152.95+6768.36+6379.51</f>
        <v>27834.120000000003</v>
      </c>
      <c r="D56" s="8"/>
      <c r="E56" s="8">
        <v>16048</v>
      </c>
      <c r="F56" s="8">
        <v>11228</v>
      </c>
      <c r="G56" s="8">
        <v>85635</v>
      </c>
      <c r="H56" s="8">
        <v>32872</v>
      </c>
      <c r="I56" s="8">
        <v>8595</v>
      </c>
      <c r="J56" s="7">
        <f>SUM(B56:I56)</f>
        <v>182298.12</v>
      </c>
    </row>
    <row r="57" spans="1:10" ht="12.75">
      <c r="A57" s="6" t="s">
        <v>21</v>
      </c>
      <c r="B57" s="8"/>
      <c r="C57" s="8">
        <f>5986.33+5588.77+5186.8+4780.36</f>
        <v>21542.260000000002</v>
      </c>
      <c r="D57" s="8"/>
      <c r="E57" s="8">
        <v>9048</v>
      </c>
      <c r="F57" s="8">
        <v>9136</v>
      </c>
      <c r="G57" s="8">
        <v>83779</v>
      </c>
      <c r="H57" s="8">
        <v>32108</v>
      </c>
      <c r="I57" s="8">
        <v>8392</v>
      </c>
      <c r="J57" s="7">
        <f>SUM(B57:I57)</f>
        <v>164005.26</v>
      </c>
    </row>
    <row r="58" spans="1:10" ht="12.75">
      <c r="A58" s="6" t="s">
        <v>22</v>
      </c>
      <c r="B58" s="8"/>
      <c r="C58" s="8">
        <f>4369.41+3953.88+3533.74+3108.92</f>
        <v>14965.95</v>
      </c>
      <c r="D58" s="8"/>
      <c r="E58" s="8">
        <v>1687</v>
      </c>
      <c r="F58" s="8">
        <v>7020</v>
      </c>
      <c r="G58" s="8">
        <v>81840</v>
      </c>
      <c r="H58" s="8">
        <v>31320</v>
      </c>
      <c r="I58" s="8">
        <v>8167</v>
      </c>
      <c r="J58" s="7">
        <f>SUM(B58:I58)</f>
        <v>144999.95</v>
      </c>
    </row>
    <row r="59" spans="1:10" ht="12.75">
      <c r="A59" s="6" t="s">
        <v>23</v>
      </c>
      <c r="B59" s="8"/>
      <c r="C59" s="8">
        <f>2679.38+2245.07+1805.93+1361.9</f>
        <v>8092.280000000001</v>
      </c>
      <c r="D59" s="8"/>
      <c r="E59" s="8"/>
      <c r="F59" s="8">
        <v>4884</v>
      </c>
      <c r="G59" s="8">
        <v>79808</v>
      </c>
      <c r="H59" s="8">
        <v>30488</v>
      </c>
      <c r="I59" s="8">
        <v>7943</v>
      </c>
      <c r="J59" s="7">
        <f>SUM(B59:I59)</f>
        <v>131215.28</v>
      </c>
    </row>
    <row r="60" spans="1:10" ht="12.75">
      <c r="A60" s="6" t="s">
        <v>24</v>
      </c>
      <c r="B60" s="8"/>
      <c r="C60" s="8">
        <f>912.95+458.94</f>
        <v>1371.89</v>
      </c>
      <c r="D60" s="8"/>
      <c r="E60" s="8"/>
      <c r="F60" s="8">
        <v>2726</v>
      </c>
      <c r="G60" s="8">
        <v>77684</v>
      </c>
      <c r="H60" s="8">
        <v>29610</v>
      </c>
      <c r="I60" s="8">
        <v>7718</v>
      </c>
      <c r="J60" s="7">
        <f>SUM(B60:I60)</f>
        <v>119109.89</v>
      </c>
    </row>
    <row r="61" spans="1:10" ht="12.75">
      <c r="A61" s="6" t="s">
        <v>25</v>
      </c>
      <c r="B61" s="8"/>
      <c r="C61" s="8"/>
      <c r="D61" s="8"/>
      <c r="E61" s="8"/>
      <c r="F61" s="8">
        <v>547</v>
      </c>
      <c r="G61" s="8">
        <v>75467</v>
      </c>
      <c r="H61" s="8">
        <v>28687</v>
      </c>
      <c r="I61" s="8">
        <v>7493</v>
      </c>
      <c r="J61" s="7">
        <f t="shared" si="1"/>
        <v>112194</v>
      </c>
    </row>
    <row r="62" spans="1:10" ht="12.75">
      <c r="A62" s="6" t="s">
        <v>26</v>
      </c>
      <c r="B62" s="8"/>
      <c r="C62" s="8"/>
      <c r="D62" s="8"/>
      <c r="E62" s="8"/>
      <c r="F62" s="8"/>
      <c r="G62" s="8">
        <v>73147</v>
      </c>
      <c r="H62" s="8">
        <v>27720</v>
      </c>
      <c r="I62" s="8">
        <v>7245</v>
      </c>
      <c r="J62" s="7">
        <f t="shared" si="1"/>
        <v>108112</v>
      </c>
    </row>
    <row r="63" spans="1:10" ht="12.75">
      <c r="A63" s="6" t="s">
        <v>27</v>
      </c>
      <c r="B63" s="8"/>
      <c r="C63" s="8"/>
      <c r="D63" s="8"/>
      <c r="E63" s="8"/>
      <c r="F63" s="8"/>
      <c r="G63" s="8">
        <v>70723</v>
      </c>
      <c r="H63" s="8">
        <v>26708</v>
      </c>
      <c r="I63" s="8">
        <v>6975</v>
      </c>
      <c r="J63" s="7">
        <f t="shared" si="1"/>
        <v>104406</v>
      </c>
    </row>
    <row r="64" spans="1:10" ht="12.75">
      <c r="A64" s="6" t="s">
        <v>28</v>
      </c>
      <c r="B64" s="8"/>
      <c r="C64" s="8"/>
      <c r="D64" s="8"/>
      <c r="E64" s="8"/>
      <c r="F64" s="8"/>
      <c r="G64" s="8">
        <v>68197</v>
      </c>
      <c r="H64" s="8">
        <v>25650</v>
      </c>
      <c r="I64" s="8">
        <v>6705</v>
      </c>
      <c r="J64" s="7">
        <f t="shared" si="1"/>
        <v>100552</v>
      </c>
    </row>
    <row r="65" spans="1:10" ht="12.75">
      <c r="A65" s="6" t="s">
        <v>29</v>
      </c>
      <c r="B65" s="8"/>
      <c r="C65" s="8"/>
      <c r="D65" s="8"/>
      <c r="E65" s="8"/>
      <c r="F65" s="8"/>
      <c r="G65" s="8">
        <v>65557</v>
      </c>
      <c r="H65" s="8">
        <v>24548</v>
      </c>
      <c r="I65" s="8">
        <v>6435</v>
      </c>
      <c r="J65" s="7">
        <f t="shared" si="1"/>
        <v>96540</v>
      </c>
    </row>
    <row r="66" spans="1:10" ht="12.75">
      <c r="A66" s="6" t="s">
        <v>30</v>
      </c>
      <c r="B66" s="8"/>
      <c r="C66" s="8"/>
      <c r="D66" s="8"/>
      <c r="E66" s="8"/>
      <c r="F66" s="8"/>
      <c r="G66" s="8">
        <v>62793</v>
      </c>
      <c r="H66" s="8">
        <v>23400</v>
      </c>
      <c r="I66" s="8">
        <v>6143</v>
      </c>
      <c r="J66" s="7">
        <f t="shared" si="1"/>
        <v>92336</v>
      </c>
    </row>
    <row r="67" spans="1:10" ht="12.75">
      <c r="A67" s="6" t="s">
        <v>31</v>
      </c>
      <c r="B67" s="8"/>
      <c r="C67" s="8"/>
      <c r="D67" s="8"/>
      <c r="E67" s="8"/>
      <c r="F67" s="8"/>
      <c r="G67" s="8">
        <v>59905</v>
      </c>
      <c r="H67" s="8">
        <v>22208</v>
      </c>
      <c r="I67" s="8">
        <v>5827</v>
      </c>
      <c r="J67" s="7">
        <f t="shared" si="1"/>
        <v>87940</v>
      </c>
    </row>
    <row r="68" spans="1:10" ht="12.75">
      <c r="A68" s="6" t="s">
        <v>32</v>
      </c>
      <c r="B68" s="8"/>
      <c r="C68" s="8"/>
      <c r="D68" s="8"/>
      <c r="E68" s="8"/>
      <c r="F68" s="8"/>
      <c r="G68" s="8">
        <v>56884</v>
      </c>
      <c r="H68" s="8">
        <v>20970</v>
      </c>
      <c r="I68" s="8">
        <v>5513</v>
      </c>
      <c r="J68" s="7">
        <f t="shared" si="1"/>
        <v>83367</v>
      </c>
    </row>
    <row r="69" spans="1:10" ht="12.75">
      <c r="A69" s="6" t="s">
        <v>33</v>
      </c>
      <c r="B69" s="8"/>
      <c r="C69" s="8"/>
      <c r="D69" s="8"/>
      <c r="E69" s="8"/>
      <c r="F69" s="8"/>
      <c r="G69" s="8">
        <v>53728</v>
      </c>
      <c r="H69" s="8">
        <v>19665</v>
      </c>
      <c r="I69" s="8">
        <v>5175</v>
      </c>
      <c r="J69" s="7">
        <f t="shared" si="1"/>
        <v>78568</v>
      </c>
    </row>
    <row r="70" spans="1:10" ht="12.75">
      <c r="A70" s="6" t="s">
        <v>34</v>
      </c>
      <c r="B70" s="8"/>
      <c r="C70" s="8"/>
      <c r="D70" s="8"/>
      <c r="E70" s="8"/>
      <c r="F70" s="8"/>
      <c r="G70" s="8">
        <v>50438</v>
      </c>
      <c r="H70" s="8">
        <v>18293</v>
      </c>
      <c r="I70" s="8">
        <v>4815</v>
      </c>
      <c r="J70" s="7">
        <f t="shared" si="1"/>
        <v>73546</v>
      </c>
    </row>
    <row r="71" spans="1:10" ht="12.75">
      <c r="A71" s="6" t="s">
        <v>35</v>
      </c>
      <c r="B71" s="8"/>
      <c r="C71" s="8"/>
      <c r="D71" s="8"/>
      <c r="E71" s="8"/>
      <c r="F71" s="8"/>
      <c r="G71" s="8">
        <v>46994</v>
      </c>
      <c r="H71" s="8">
        <v>16875</v>
      </c>
      <c r="I71" s="8">
        <v>4455</v>
      </c>
      <c r="J71" s="7">
        <f t="shared" si="1"/>
        <v>68324</v>
      </c>
    </row>
    <row r="72" spans="1:10" ht="12.75">
      <c r="A72" s="6" t="s">
        <v>36</v>
      </c>
      <c r="B72" s="8"/>
      <c r="C72" s="8"/>
      <c r="D72" s="8"/>
      <c r="E72" s="8"/>
      <c r="F72" s="8"/>
      <c r="G72" s="8">
        <v>43395</v>
      </c>
      <c r="H72" s="8">
        <v>15390</v>
      </c>
      <c r="I72" s="8">
        <v>4073</v>
      </c>
      <c r="J72" s="7">
        <f t="shared" si="1"/>
        <v>62858</v>
      </c>
    </row>
    <row r="73" spans="1:10" ht="12.75">
      <c r="A73" s="6" t="s">
        <v>37</v>
      </c>
      <c r="B73" s="8"/>
      <c r="C73" s="8"/>
      <c r="D73" s="8"/>
      <c r="E73" s="8"/>
      <c r="F73" s="8"/>
      <c r="G73" s="8">
        <v>39641</v>
      </c>
      <c r="H73" s="8">
        <v>13838</v>
      </c>
      <c r="I73" s="8">
        <v>3667</v>
      </c>
      <c r="J73" s="7">
        <f t="shared" si="1"/>
        <v>57146</v>
      </c>
    </row>
    <row r="74" spans="1:10" ht="12.75">
      <c r="A74" s="6" t="s">
        <v>38</v>
      </c>
      <c r="B74" s="8"/>
      <c r="C74" s="8"/>
      <c r="D74" s="8"/>
      <c r="E74" s="8"/>
      <c r="F74" s="8"/>
      <c r="G74" s="8">
        <v>35712</v>
      </c>
      <c r="H74" s="8">
        <v>12217</v>
      </c>
      <c r="I74" s="8">
        <v>3240</v>
      </c>
      <c r="J74" s="7">
        <f t="shared" si="1"/>
        <v>51169</v>
      </c>
    </row>
    <row r="75" spans="1:10" ht="12.75">
      <c r="A75" s="6" t="s">
        <v>39</v>
      </c>
      <c r="B75" s="8"/>
      <c r="C75" s="8"/>
      <c r="D75" s="8"/>
      <c r="E75" s="8"/>
      <c r="F75" s="8"/>
      <c r="G75" s="8">
        <v>31597</v>
      </c>
      <c r="H75" s="8">
        <v>10530</v>
      </c>
      <c r="I75" s="8">
        <v>2790</v>
      </c>
      <c r="J75" s="7">
        <f t="shared" si="1"/>
        <v>44917</v>
      </c>
    </row>
    <row r="76" spans="1:10" ht="12.75">
      <c r="A76" s="6" t="s">
        <v>40</v>
      </c>
      <c r="B76" s="8"/>
      <c r="C76" s="8"/>
      <c r="D76" s="8"/>
      <c r="E76" s="8"/>
      <c r="F76" s="8"/>
      <c r="G76" s="8">
        <v>27297</v>
      </c>
      <c r="H76" s="8">
        <v>8797</v>
      </c>
      <c r="I76" s="8">
        <v>2340</v>
      </c>
      <c r="J76" s="7">
        <f t="shared" si="1"/>
        <v>38434</v>
      </c>
    </row>
    <row r="77" spans="1:10" ht="12.75">
      <c r="A77" s="6" t="s">
        <v>41</v>
      </c>
      <c r="B77" s="8"/>
      <c r="C77" s="8"/>
      <c r="D77" s="8"/>
      <c r="E77" s="8"/>
      <c r="F77" s="8"/>
      <c r="G77" s="8">
        <v>22811</v>
      </c>
      <c r="H77" s="8">
        <v>6997</v>
      </c>
      <c r="I77" s="8">
        <v>1868</v>
      </c>
      <c r="J77" s="7">
        <f t="shared" si="1"/>
        <v>31676</v>
      </c>
    </row>
    <row r="78" spans="1:10" ht="12.75">
      <c r="A78" s="6" t="s">
        <v>42</v>
      </c>
      <c r="B78" s="8"/>
      <c r="C78" s="8"/>
      <c r="D78" s="8"/>
      <c r="E78" s="8"/>
      <c r="F78" s="8"/>
      <c r="G78" s="8">
        <v>18130</v>
      </c>
      <c r="H78" s="8">
        <v>5107</v>
      </c>
      <c r="I78" s="8">
        <v>1372</v>
      </c>
      <c r="J78" s="7">
        <f t="shared" si="1"/>
        <v>24609</v>
      </c>
    </row>
    <row r="79" spans="1:10" ht="12.75">
      <c r="A79" s="6" t="s">
        <v>43</v>
      </c>
      <c r="B79" s="8"/>
      <c r="C79" s="8"/>
      <c r="D79" s="8"/>
      <c r="E79" s="8"/>
      <c r="F79" s="8"/>
      <c r="G79" s="8">
        <v>13231</v>
      </c>
      <c r="H79" s="8">
        <v>3127</v>
      </c>
      <c r="I79" s="8">
        <v>855</v>
      </c>
      <c r="J79" s="7">
        <f t="shared" si="1"/>
        <v>17213</v>
      </c>
    </row>
    <row r="80" spans="1:10" ht="12.75">
      <c r="A80" s="6" t="s">
        <v>44</v>
      </c>
      <c r="B80" s="8"/>
      <c r="C80" s="8"/>
      <c r="D80" s="8"/>
      <c r="E80" s="8"/>
      <c r="F80" s="8"/>
      <c r="G80" s="8">
        <v>8105</v>
      </c>
      <c r="H80" s="8">
        <v>1057</v>
      </c>
      <c r="I80" s="8">
        <v>292</v>
      </c>
      <c r="J80" s="7">
        <f t="shared" si="1"/>
        <v>9454</v>
      </c>
    </row>
    <row r="81" spans="1:10" ht="12.75">
      <c r="A81" s="6" t="s">
        <v>45</v>
      </c>
      <c r="B81" s="8"/>
      <c r="C81" s="8"/>
      <c r="D81" s="8"/>
      <c r="E81" s="8"/>
      <c r="F81" s="8"/>
      <c r="G81" s="10">
        <v>2743</v>
      </c>
      <c r="H81" s="8"/>
      <c r="I81" s="8"/>
      <c r="J81" s="7">
        <f t="shared" si="1"/>
        <v>2743</v>
      </c>
    </row>
    <row r="82" spans="1:10" ht="12.75">
      <c r="A82" s="6" t="s">
        <v>46</v>
      </c>
      <c r="B82" s="8"/>
      <c r="C82" s="8"/>
      <c r="D82" s="8"/>
      <c r="E82" s="8"/>
      <c r="F82" s="8"/>
      <c r="H82" s="8"/>
      <c r="I82" s="8"/>
      <c r="J82" s="7"/>
    </row>
    <row r="83" spans="1:10" ht="13.5" thickBot="1">
      <c r="A83" s="6"/>
      <c r="B83" s="9">
        <f>SUM(B48:B81)</f>
        <v>40828</v>
      </c>
      <c r="C83" s="9">
        <f>SUM(C48:C81)</f>
        <v>492674.7</v>
      </c>
      <c r="D83" s="9">
        <f>SUM(D48:D81)</f>
        <v>0</v>
      </c>
      <c r="E83" s="9">
        <f>SUM(E48:E81)</f>
        <v>357411</v>
      </c>
      <c r="F83" s="9">
        <f>SUM(F48:F81)</f>
        <v>198290</v>
      </c>
      <c r="G83" s="9">
        <f>SUM(G48:G82)</f>
        <v>2078319</v>
      </c>
      <c r="H83" s="9">
        <f>SUM(H48:H81)</f>
        <v>775147</v>
      </c>
      <c r="I83" s="9">
        <f>SUM(I48:I81)</f>
        <v>202972</v>
      </c>
      <c r="J83" s="9">
        <f>SUM(J48:J81)</f>
        <v>4145641.7</v>
      </c>
    </row>
    <row r="84" spans="1:10" ht="13.5" thickTop="1">
      <c r="A84" s="1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1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3" t="s">
        <v>48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1"/>
      <c r="B87" s="7"/>
      <c r="C87" s="7"/>
      <c r="D87" s="7"/>
      <c r="E87" s="7" t="s">
        <v>59</v>
      </c>
      <c r="F87" s="7"/>
      <c r="G87" s="7"/>
      <c r="H87" s="7"/>
      <c r="I87" s="7"/>
      <c r="J87" s="7"/>
    </row>
    <row r="88" spans="1:11" ht="12.75">
      <c r="A88" s="4" t="s">
        <v>3</v>
      </c>
      <c r="B88" s="5" t="s">
        <v>4</v>
      </c>
      <c r="C88" s="5" t="s">
        <v>5</v>
      </c>
      <c r="D88" s="5" t="s">
        <v>6</v>
      </c>
      <c r="E88" s="5" t="s">
        <v>7</v>
      </c>
      <c r="F88" s="5" t="s">
        <v>8</v>
      </c>
      <c r="G88" s="5">
        <v>2005</v>
      </c>
      <c r="H88" s="5" t="s">
        <v>49</v>
      </c>
      <c r="I88" s="5" t="s">
        <v>50</v>
      </c>
      <c r="J88" s="5" t="s">
        <v>11</v>
      </c>
      <c r="K88" s="5" t="s">
        <v>51</v>
      </c>
    </row>
    <row r="89" spans="1:11" ht="12.75">
      <c r="A89" s="6" t="s">
        <v>12</v>
      </c>
      <c r="B89" s="7">
        <v>38753</v>
      </c>
      <c r="C89" s="7">
        <f aca="true" t="shared" si="2" ref="C89:C100">41748.75*4</f>
        <v>166995</v>
      </c>
      <c r="D89" s="7"/>
      <c r="E89" s="7">
        <v>194195</v>
      </c>
      <c r="F89" s="7">
        <v>187942</v>
      </c>
      <c r="G89" s="7">
        <f aca="true" t="shared" si="3" ref="G89:I108">+G7+G48</f>
        <v>128907</v>
      </c>
      <c r="H89" s="7">
        <f t="shared" si="3"/>
        <v>49935</v>
      </c>
      <c r="I89" s="7">
        <f t="shared" si="3"/>
        <v>12878</v>
      </c>
      <c r="J89" s="7">
        <f aca="true" t="shared" si="4" ref="J89:J122">SUM(B89:I89)</f>
        <v>779605</v>
      </c>
      <c r="K89" s="11">
        <f aca="true" t="shared" si="5" ref="K89:K122">+E89+H89+I89</f>
        <v>257008</v>
      </c>
    </row>
    <row r="90" spans="1:11" ht="12.75">
      <c r="A90" s="6" t="s">
        <v>13</v>
      </c>
      <c r="B90" s="7">
        <v>37746</v>
      </c>
      <c r="C90" s="7">
        <f t="shared" si="2"/>
        <v>166995</v>
      </c>
      <c r="D90" s="7"/>
      <c r="E90" s="7">
        <v>193496</v>
      </c>
      <c r="F90" s="7">
        <v>187620</v>
      </c>
      <c r="G90" s="7">
        <f t="shared" si="3"/>
        <v>129097</v>
      </c>
      <c r="H90" s="7">
        <f t="shared" si="3"/>
        <v>49395</v>
      </c>
      <c r="I90" s="7">
        <f t="shared" si="3"/>
        <v>12742</v>
      </c>
      <c r="J90" s="7">
        <f t="shared" si="4"/>
        <v>777091</v>
      </c>
      <c r="K90" s="11">
        <f t="shared" si="5"/>
        <v>255633</v>
      </c>
    </row>
    <row r="91" spans="1:11" ht="12.75">
      <c r="A91" s="6" t="s">
        <v>14</v>
      </c>
      <c r="B91" s="7">
        <v>36703</v>
      </c>
      <c r="C91" s="7">
        <f t="shared" si="2"/>
        <v>166995</v>
      </c>
      <c r="D91" s="7"/>
      <c r="E91" s="7">
        <v>193296</v>
      </c>
      <c r="F91" s="7">
        <v>187294</v>
      </c>
      <c r="G91" s="7">
        <f t="shared" si="3"/>
        <v>129226</v>
      </c>
      <c r="H91" s="7">
        <f t="shared" si="3"/>
        <v>49833</v>
      </c>
      <c r="I91" s="7">
        <f t="shared" si="3"/>
        <v>12607</v>
      </c>
      <c r="J91" s="7">
        <f t="shared" si="4"/>
        <v>775954</v>
      </c>
      <c r="K91" s="11">
        <f t="shared" si="5"/>
        <v>255736</v>
      </c>
    </row>
    <row r="92" spans="1:11" ht="12.75">
      <c r="A92" s="6" t="s">
        <v>15</v>
      </c>
      <c r="B92" s="7">
        <v>35694</v>
      </c>
      <c r="C92" s="7">
        <f t="shared" si="2"/>
        <v>166995</v>
      </c>
      <c r="D92" s="7"/>
      <c r="E92" s="7">
        <v>191796</v>
      </c>
      <c r="F92" s="7">
        <v>186965</v>
      </c>
      <c r="G92" s="7">
        <f t="shared" si="3"/>
        <v>129292</v>
      </c>
      <c r="H92" s="7">
        <f t="shared" si="3"/>
        <v>49247</v>
      </c>
      <c r="I92" s="7">
        <f t="shared" si="3"/>
        <v>12472</v>
      </c>
      <c r="J92" s="7">
        <f t="shared" si="4"/>
        <v>772461</v>
      </c>
      <c r="K92" s="11">
        <f t="shared" si="5"/>
        <v>253515</v>
      </c>
    </row>
    <row r="93" spans="1:11" ht="12.75">
      <c r="A93" s="6" t="s">
        <v>16</v>
      </c>
      <c r="B93" s="7">
        <v>34674</v>
      </c>
      <c r="C93" s="7">
        <f t="shared" si="2"/>
        <v>166995</v>
      </c>
      <c r="D93" s="7"/>
      <c r="E93" s="7">
        <v>190835</v>
      </c>
      <c r="F93" s="7">
        <v>186633</v>
      </c>
      <c r="G93" s="7">
        <f t="shared" si="3"/>
        <v>129297</v>
      </c>
      <c r="H93" s="7">
        <f t="shared" si="3"/>
        <v>49640</v>
      </c>
      <c r="I93" s="7">
        <f t="shared" si="3"/>
        <v>13315</v>
      </c>
      <c r="J93" s="7">
        <f t="shared" si="4"/>
        <v>771389</v>
      </c>
      <c r="K93" s="11">
        <f t="shared" si="5"/>
        <v>253790</v>
      </c>
    </row>
    <row r="94" spans="1:11" ht="12.75">
      <c r="A94" s="6" t="s">
        <v>17</v>
      </c>
      <c r="B94" s="7">
        <v>33661</v>
      </c>
      <c r="C94" s="7">
        <f t="shared" si="2"/>
        <v>166995</v>
      </c>
      <c r="D94" s="7"/>
      <c r="E94" s="7">
        <v>193550</v>
      </c>
      <c r="F94" s="7">
        <v>186299</v>
      </c>
      <c r="G94" s="7">
        <f t="shared" si="3"/>
        <v>129240</v>
      </c>
      <c r="H94" s="7">
        <f t="shared" si="3"/>
        <v>49988</v>
      </c>
      <c r="I94" s="7">
        <f t="shared" si="3"/>
        <v>13135</v>
      </c>
      <c r="J94" s="7">
        <f t="shared" si="4"/>
        <v>772868</v>
      </c>
      <c r="K94" s="11">
        <f t="shared" si="5"/>
        <v>256673</v>
      </c>
    </row>
    <row r="95" spans="1:11" ht="12.75">
      <c r="A95" s="6" t="s">
        <v>18</v>
      </c>
      <c r="B95" s="7">
        <v>42433</v>
      </c>
      <c r="C95" s="7">
        <f t="shared" si="2"/>
        <v>166995</v>
      </c>
      <c r="D95" s="7"/>
      <c r="E95" s="7">
        <v>191786</v>
      </c>
      <c r="F95" s="7">
        <v>185960</v>
      </c>
      <c r="G95" s="7">
        <f t="shared" si="3"/>
        <v>129610</v>
      </c>
      <c r="H95" s="7">
        <f t="shared" si="3"/>
        <v>49312</v>
      </c>
      <c r="I95" s="7">
        <f t="shared" si="3"/>
        <v>12955</v>
      </c>
      <c r="J95" s="7">
        <f t="shared" si="4"/>
        <v>779051</v>
      </c>
      <c r="K95" s="11">
        <f t="shared" si="5"/>
        <v>254053</v>
      </c>
    </row>
    <row r="96" spans="1:11" ht="12.75">
      <c r="A96" s="6" t="s">
        <v>19</v>
      </c>
      <c r="B96" s="7">
        <v>41078</v>
      </c>
      <c r="C96" s="7">
        <f t="shared" si="2"/>
        <v>166995</v>
      </c>
      <c r="D96" s="7"/>
      <c r="E96" s="7">
        <v>193674</v>
      </c>
      <c r="F96" s="7">
        <v>185617</v>
      </c>
      <c r="G96" s="7">
        <f t="shared" si="3"/>
        <v>129409</v>
      </c>
      <c r="H96" s="7">
        <f t="shared" si="3"/>
        <v>49615</v>
      </c>
      <c r="I96" s="7">
        <f t="shared" si="3"/>
        <v>12775</v>
      </c>
      <c r="J96" s="7">
        <f t="shared" si="4"/>
        <v>779163</v>
      </c>
      <c r="K96" s="11">
        <f t="shared" si="5"/>
        <v>256064</v>
      </c>
    </row>
    <row r="97" spans="1:11" ht="12.75">
      <c r="A97" s="6" t="s">
        <v>20</v>
      </c>
      <c r="B97" s="8">
        <v>15086</v>
      </c>
      <c r="C97" s="7">
        <f t="shared" si="2"/>
        <v>166995</v>
      </c>
      <c r="D97" s="8"/>
      <c r="E97" s="8">
        <v>191048</v>
      </c>
      <c r="F97" s="8">
        <v>185272</v>
      </c>
      <c r="G97" s="7">
        <f t="shared" si="3"/>
        <v>129635</v>
      </c>
      <c r="H97" s="7">
        <f t="shared" si="3"/>
        <v>49872</v>
      </c>
      <c r="I97" s="7">
        <f t="shared" si="3"/>
        <v>12595</v>
      </c>
      <c r="J97" s="8">
        <f>SUM(B97:I97)</f>
        <v>750503</v>
      </c>
      <c r="K97" s="11">
        <f t="shared" si="5"/>
        <v>253515</v>
      </c>
    </row>
    <row r="98" spans="1:11" ht="12.75">
      <c r="A98" s="6" t="s">
        <v>21</v>
      </c>
      <c r="B98" s="8"/>
      <c r="C98" s="7">
        <f t="shared" si="2"/>
        <v>166995</v>
      </c>
      <c r="D98" s="8"/>
      <c r="E98" s="8">
        <v>193048</v>
      </c>
      <c r="F98" s="8">
        <v>184925</v>
      </c>
      <c r="G98" s="7">
        <f t="shared" si="3"/>
        <v>129779</v>
      </c>
      <c r="H98" s="7">
        <f t="shared" si="3"/>
        <v>49108</v>
      </c>
      <c r="I98" s="7">
        <f t="shared" si="3"/>
        <v>13392</v>
      </c>
      <c r="J98" s="8">
        <f>SUM(B98:I98)</f>
        <v>737247</v>
      </c>
      <c r="K98" s="11">
        <f t="shared" si="5"/>
        <v>255548</v>
      </c>
    </row>
    <row r="99" spans="1:11" ht="12.75">
      <c r="A99" s="6" t="s">
        <v>22</v>
      </c>
      <c r="B99" s="8"/>
      <c r="C99" s="7">
        <f t="shared" si="2"/>
        <v>166995</v>
      </c>
      <c r="D99" s="8"/>
      <c r="E99" s="8">
        <v>31687</v>
      </c>
      <c r="F99" s="8">
        <v>184571</v>
      </c>
      <c r="G99" s="7">
        <f t="shared" si="3"/>
        <v>129840</v>
      </c>
      <c r="H99" s="7">
        <f t="shared" si="3"/>
        <v>49320</v>
      </c>
      <c r="I99" s="7">
        <f t="shared" si="3"/>
        <v>13167</v>
      </c>
      <c r="J99" s="7">
        <f>SUM(B99:I99)</f>
        <v>575580</v>
      </c>
      <c r="K99" s="11">
        <f t="shared" si="5"/>
        <v>94174</v>
      </c>
    </row>
    <row r="100" spans="1:11" ht="12.75">
      <c r="A100" s="6" t="s">
        <v>23</v>
      </c>
      <c r="B100" s="8"/>
      <c r="C100" s="7">
        <f t="shared" si="2"/>
        <v>166995</v>
      </c>
      <c r="D100" s="8"/>
      <c r="E100" s="8"/>
      <c r="F100" s="8">
        <v>184215</v>
      </c>
      <c r="G100" s="7">
        <f t="shared" si="3"/>
        <v>130308</v>
      </c>
      <c r="H100" s="7">
        <f t="shared" si="3"/>
        <v>49488</v>
      </c>
      <c r="I100" s="7">
        <f t="shared" si="3"/>
        <v>12943</v>
      </c>
      <c r="J100" s="7">
        <f>SUM(B100:I100)</f>
        <v>543949</v>
      </c>
      <c r="K100" s="11">
        <f t="shared" si="5"/>
        <v>62431</v>
      </c>
    </row>
    <row r="101" spans="1:11" ht="12.75">
      <c r="A101" s="6" t="s">
        <v>24</v>
      </c>
      <c r="B101" s="8"/>
      <c r="C101" s="8">
        <f>41748.75*2</f>
        <v>83497.5</v>
      </c>
      <c r="D101" s="8"/>
      <c r="E101" s="8"/>
      <c r="F101" s="8">
        <v>183855</v>
      </c>
      <c r="G101" s="7">
        <f t="shared" si="3"/>
        <v>130184</v>
      </c>
      <c r="H101" s="7">
        <f t="shared" si="3"/>
        <v>49610</v>
      </c>
      <c r="I101" s="7">
        <f t="shared" si="3"/>
        <v>12718</v>
      </c>
      <c r="J101" s="7">
        <f>SUM(B101:I101)</f>
        <v>459864.5</v>
      </c>
      <c r="K101" s="11">
        <f t="shared" si="5"/>
        <v>62328</v>
      </c>
    </row>
    <row r="102" spans="1:11" ht="12.75">
      <c r="A102" s="6" t="s">
        <v>25</v>
      </c>
      <c r="B102" s="8"/>
      <c r="C102" s="8"/>
      <c r="D102" s="8"/>
      <c r="E102" s="8"/>
      <c r="F102" s="8">
        <v>91790</v>
      </c>
      <c r="G102" s="7">
        <f t="shared" si="3"/>
        <v>130467</v>
      </c>
      <c r="H102" s="7">
        <f t="shared" si="3"/>
        <v>49687</v>
      </c>
      <c r="I102" s="7">
        <f t="shared" si="3"/>
        <v>12493</v>
      </c>
      <c r="J102" s="7">
        <f t="shared" si="4"/>
        <v>284437</v>
      </c>
      <c r="K102" s="11">
        <f t="shared" si="5"/>
        <v>62180</v>
      </c>
    </row>
    <row r="103" spans="1:11" ht="12.75">
      <c r="A103" s="6" t="s">
        <v>26</v>
      </c>
      <c r="G103" s="7">
        <f t="shared" si="3"/>
        <v>130647</v>
      </c>
      <c r="H103" s="7">
        <f t="shared" si="3"/>
        <v>49720</v>
      </c>
      <c r="I103" s="7">
        <f t="shared" si="3"/>
        <v>13245</v>
      </c>
      <c r="J103" s="7">
        <f t="shared" si="4"/>
        <v>193612</v>
      </c>
      <c r="K103" s="11">
        <f t="shared" si="5"/>
        <v>62965</v>
      </c>
    </row>
    <row r="104" spans="1:11" ht="12.75">
      <c r="A104" s="6" t="s">
        <v>27</v>
      </c>
      <c r="G104" s="7">
        <f t="shared" si="3"/>
        <v>130723</v>
      </c>
      <c r="H104" s="7">
        <f t="shared" si="3"/>
        <v>49708</v>
      </c>
      <c r="I104" s="7">
        <f t="shared" si="3"/>
        <v>12975</v>
      </c>
      <c r="J104" s="7">
        <f t="shared" si="4"/>
        <v>193406</v>
      </c>
      <c r="K104" s="11">
        <f t="shared" si="5"/>
        <v>62683</v>
      </c>
    </row>
    <row r="105" spans="1:11" ht="12.75">
      <c r="A105" s="6" t="s">
        <v>28</v>
      </c>
      <c r="G105" s="7">
        <f t="shared" si="3"/>
        <v>130697</v>
      </c>
      <c r="H105" s="7">
        <f t="shared" si="3"/>
        <v>49650</v>
      </c>
      <c r="I105" s="7">
        <f t="shared" si="3"/>
        <v>12705</v>
      </c>
      <c r="J105" s="7">
        <f t="shared" si="4"/>
        <v>193052</v>
      </c>
      <c r="K105" s="11">
        <f t="shared" si="5"/>
        <v>62355</v>
      </c>
    </row>
    <row r="106" spans="1:11" ht="12.75">
      <c r="A106" s="6" t="s">
        <v>29</v>
      </c>
      <c r="G106" s="7">
        <f t="shared" si="3"/>
        <v>131057</v>
      </c>
      <c r="H106" s="7">
        <f t="shared" si="3"/>
        <v>49548</v>
      </c>
      <c r="I106" s="7">
        <f t="shared" si="3"/>
        <v>12435</v>
      </c>
      <c r="J106" s="7">
        <f t="shared" si="4"/>
        <v>193040</v>
      </c>
      <c r="K106" s="11">
        <f t="shared" si="5"/>
        <v>61983</v>
      </c>
    </row>
    <row r="107" spans="1:11" ht="12.75">
      <c r="A107" s="6" t="s">
        <v>30</v>
      </c>
      <c r="G107" s="7">
        <f t="shared" si="3"/>
        <v>131293</v>
      </c>
      <c r="H107" s="7">
        <f t="shared" si="3"/>
        <v>49400</v>
      </c>
      <c r="I107" s="7">
        <f t="shared" si="3"/>
        <v>13143</v>
      </c>
      <c r="J107" s="7">
        <f t="shared" si="4"/>
        <v>193836</v>
      </c>
      <c r="K107" s="11">
        <f t="shared" si="5"/>
        <v>62543</v>
      </c>
    </row>
    <row r="108" spans="1:11" ht="12.75">
      <c r="A108" s="6" t="s">
        <v>31</v>
      </c>
      <c r="G108" s="7">
        <f t="shared" si="3"/>
        <v>131405</v>
      </c>
      <c r="H108" s="7">
        <f t="shared" si="3"/>
        <v>49208</v>
      </c>
      <c r="I108" s="7">
        <f t="shared" si="3"/>
        <v>12827</v>
      </c>
      <c r="J108" s="7">
        <f t="shared" si="4"/>
        <v>193440</v>
      </c>
      <c r="K108" s="11">
        <f t="shared" si="5"/>
        <v>62035</v>
      </c>
    </row>
    <row r="109" spans="1:11" ht="12.75">
      <c r="A109" s="6" t="s">
        <v>32</v>
      </c>
      <c r="G109" s="7">
        <f aca="true" t="shared" si="6" ref="G109:I122">+G27+G68</f>
        <v>131884</v>
      </c>
      <c r="H109" s="7">
        <f t="shared" si="6"/>
        <v>48970</v>
      </c>
      <c r="I109" s="7">
        <f t="shared" si="6"/>
        <v>12513</v>
      </c>
      <c r="J109" s="7">
        <f t="shared" si="4"/>
        <v>193367</v>
      </c>
      <c r="K109" s="11">
        <f t="shared" si="5"/>
        <v>61483</v>
      </c>
    </row>
    <row r="110" spans="1:11" ht="12.75">
      <c r="A110" s="6" t="s">
        <v>33</v>
      </c>
      <c r="G110" s="7">
        <f t="shared" si="6"/>
        <v>131728</v>
      </c>
      <c r="H110" s="7">
        <f t="shared" si="6"/>
        <v>49665</v>
      </c>
      <c r="I110" s="7">
        <f t="shared" si="6"/>
        <v>13175</v>
      </c>
      <c r="J110" s="7">
        <f t="shared" si="4"/>
        <v>194568</v>
      </c>
      <c r="K110" s="11">
        <f t="shared" si="5"/>
        <v>62840</v>
      </c>
    </row>
    <row r="111" spans="1:11" ht="12.75">
      <c r="A111" s="6" t="s">
        <v>34</v>
      </c>
      <c r="G111" s="7">
        <f t="shared" si="6"/>
        <v>131938</v>
      </c>
      <c r="H111" s="7">
        <f t="shared" si="6"/>
        <v>49293</v>
      </c>
      <c r="I111" s="7">
        <f t="shared" si="6"/>
        <v>12815</v>
      </c>
      <c r="J111" s="7">
        <f t="shared" si="4"/>
        <v>194046</v>
      </c>
      <c r="K111" s="11">
        <f t="shared" si="5"/>
        <v>62108</v>
      </c>
    </row>
    <row r="112" spans="1:11" ht="12.75">
      <c r="A112" s="6" t="s">
        <v>35</v>
      </c>
      <c r="G112" s="7">
        <f t="shared" si="6"/>
        <v>132494</v>
      </c>
      <c r="H112" s="7">
        <f t="shared" si="6"/>
        <v>48875</v>
      </c>
      <c r="I112" s="7">
        <f t="shared" si="6"/>
        <v>12455</v>
      </c>
      <c r="J112" s="7">
        <f t="shared" si="4"/>
        <v>193824</v>
      </c>
      <c r="K112" s="11">
        <f t="shared" si="5"/>
        <v>61330</v>
      </c>
    </row>
    <row r="113" spans="1:11" ht="12.75">
      <c r="A113" s="6" t="s">
        <v>36</v>
      </c>
      <c r="G113" s="7">
        <f t="shared" si="6"/>
        <v>132395</v>
      </c>
      <c r="H113" s="7">
        <f t="shared" si="6"/>
        <v>49390</v>
      </c>
      <c r="I113" s="7">
        <f t="shared" si="6"/>
        <v>13073</v>
      </c>
      <c r="J113" s="7">
        <f t="shared" si="4"/>
        <v>194858</v>
      </c>
      <c r="K113" s="11">
        <f t="shared" si="5"/>
        <v>62463</v>
      </c>
    </row>
    <row r="114" spans="1:11" ht="12.75">
      <c r="A114" s="6" t="s">
        <v>37</v>
      </c>
      <c r="G114" s="7">
        <f t="shared" si="6"/>
        <v>132641</v>
      </c>
      <c r="H114" s="7">
        <f t="shared" si="6"/>
        <v>48838</v>
      </c>
      <c r="I114" s="7">
        <f t="shared" si="6"/>
        <v>12667</v>
      </c>
      <c r="J114" s="7">
        <f t="shared" si="4"/>
        <v>194146</v>
      </c>
      <c r="K114" s="11">
        <f t="shared" si="5"/>
        <v>61505</v>
      </c>
    </row>
    <row r="115" spans="1:11" ht="12.75">
      <c r="A115" s="6" t="s">
        <v>38</v>
      </c>
      <c r="G115" s="7">
        <f t="shared" si="6"/>
        <v>133212</v>
      </c>
      <c r="H115" s="7">
        <f t="shared" si="6"/>
        <v>49217</v>
      </c>
      <c r="I115" s="7">
        <f t="shared" si="6"/>
        <v>13240</v>
      </c>
      <c r="J115" s="7">
        <f t="shared" si="4"/>
        <v>195669</v>
      </c>
      <c r="K115" s="11">
        <f t="shared" si="5"/>
        <v>62457</v>
      </c>
    </row>
    <row r="116" spans="1:11" ht="12.75">
      <c r="A116" s="6" t="s">
        <v>39</v>
      </c>
      <c r="G116" s="7">
        <f t="shared" si="6"/>
        <v>133597</v>
      </c>
      <c r="H116" s="7">
        <f t="shared" si="6"/>
        <v>48530</v>
      </c>
      <c r="I116" s="7">
        <f t="shared" si="6"/>
        <v>12790</v>
      </c>
      <c r="J116" s="7">
        <f t="shared" si="4"/>
        <v>194917</v>
      </c>
      <c r="K116" s="11">
        <f t="shared" si="5"/>
        <v>61320</v>
      </c>
    </row>
    <row r="117" spans="1:11" ht="12.75">
      <c r="A117" s="6" t="s">
        <v>40</v>
      </c>
      <c r="G117" s="7">
        <f t="shared" si="6"/>
        <v>133797</v>
      </c>
      <c r="H117" s="7">
        <f t="shared" si="6"/>
        <v>47797</v>
      </c>
      <c r="I117" s="7">
        <f t="shared" si="6"/>
        <v>12340</v>
      </c>
      <c r="J117" s="7">
        <f t="shared" si="4"/>
        <v>193934</v>
      </c>
      <c r="K117" s="11">
        <f t="shared" si="5"/>
        <v>60137</v>
      </c>
    </row>
    <row r="118" spans="1:11" ht="12.75">
      <c r="A118" s="6" t="s">
        <v>41</v>
      </c>
      <c r="G118" s="7">
        <f t="shared" si="6"/>
        <v>133811</v>
      </c>
      <c r="H118" s="7">
        <f t="shared" si="6"/>
        <v>47997</v>
      </c>
      <c r="I118" s="7">
        <f t="shared" si="6"/>
        <v>12868</v>
      </c>
      <c r="J118" s="7">
        <f t="shared" si="4"/>
        <v>194676</v>
      </c>
      <c r="K118" s="11">
        <f t="shared" si="5"/>
        <v>60865</v>
      </c>
    </row>
    <row r="119" spans="1:11" ht="12.75">
      <c r="A119" s="6" t="s">
        <v>42</v>
      </c>
      <c r="G119" s="7">
        <f t="shared" si="6"/>
        <v>134130</v>
      </c>
      <c r="H119" s="7">
        <f t="shared" si="6"/>
        <v>48107</v>
      </c>
      <c r="I119" s="7">
        <f t="shared" si="6"/>
        <v>12372</v>
      </c>
      <c r="J119" s="7">
        <f t="shared" si="4"/>
        <v>194609</v>
      </c>
      <c r="K119" s="11">
        <f t="shared" si="5"/>
        <v>60479</v>
      </c>
    </row>
    <row r="120" spans="1:11" ht="12.75">
      <c r="A120" s="6" t="s">
        <v>43</v>
      </c>
      <c r="G120" s="7">
        <f t="shared" si="6"/>
        <v>134731</v>
      </c>
      <c r="H120" s="7">
        <f t="shared" si="6"/>
        <v>48127</v>
      </c>
      <c r="I120" s="7">
        <f t="shared" si="6"/>
        <v>12855</v>
      </c>
      <c r="J120" s="7">
        <f t="shared" si="4"/>
        <v>195713</v>
      </c>
      <c r="K120" s="11">
        <f t="shared" si="5"/>
        <v>60982</v>
      </c>
    </row>
    <row r="121" spans="1:11" ht="12.75">
      <c r="A121" s="6" t="s">
        <v>44</v>
      </c>
      <c r="G121" s="7">
        <f t="shared" si="6"/>
        <v>135105</v>
      </c>
      <c r="H121" s="7">
        <f t="shared" si="6"/>
        <v>48057</v>
      </c>
      <c r="I121" s="7">
        <f t="shared" si="6"/>
        <v>13292</v>
      </c>
      <c r="J121" s="7">
        <f t="shared" si="4"/>
        <v>196454</v>
      </c>
      <c r="K121" s="11">
        <f t="shared" si="5"/>
        <v>61349</v>
      </c>
    </row>
    <row r="122" spans="1:11" ht="12.75">
      <c r="A122" s="6" t="s">
        <v>45</v>
      </c>
      <c r="G122" s="12">
        <f t="shared" si="6"/>
        <v>135743</v>
      </c>
      <c r="H122" s="7">
        <f t="shared" si="6"/>
        <v>0</v>
      </c>
      <c r="I122" s="7">
        <f t="shared" si="6"/>
        <v>0</v>
      </c>
      <c r="J122" s="7">
        <f t="shared" si="4"/>
        <v>135743</v>
      </c>
      <c r="K122" s="11">
        <f t="shared" si="5"/>
        <v>0</v>
      </c>
    </row>
    <row r="123" spans="2:10" ht="13.5" thickBot="1">
      <c r="B123" s="9">
        <f>SUM(B89:B102)</f>
        <v>315828</v>
      </c>
      <c r="C123" s="9">
        <f>SUM(C89:C102)</f>
        <v>2087437.5</v>
      </c>
      <c r="D123" s="9">
        <f>SUM(D89:D102)</f>
        <v>0</v>
      </c>
      <c r="E123" s="9">
        <f>SUM(E89:E102)</f>
        <v>1958411</v>
      </c>
      <c r="F123" s="9">
        <f>SUM(F89:F102)</f>
        <v>2508958</v>
      </c>
      <c r="G123" s="9">
        <f>SUM(G89:G122)</f>
        <v>4467319</v>
      </c>
      <c r="H123" s="9">
        <f>SUM(H89:H102)</f>
        <v>694050</v>
      </c>
      <c r="I123" s="9">
        <f>SUM(I89:I102)</f>
        <v>180187</v>
      </c>
      <c r="J123" s="9">
        <f>SUM(J89:J122)</f>
        <v>13386072.5</v>
      </c>
    </row>
    <row r="124" ht="13.5" thickTop="1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  <row r="322" ht="12.75">
      <c r="J322"/>
    </row>
    <row r="323" ht="12.75">
      <c r="J323"/>
    </row>
    <row r="324" ht="12.75">
      <c r="J324"/>
    </row>
    <row r="325" ht="12.75">
      <c r="J325"/>
    </row>
    <row r="326" ht="12.75">
      <c r="J326"/>
    </row>
    <row r="327" ht="12.75">
      <c r="J327"/>
    </row>
    <row r="328" ht="12.75">
      <c r="J328"/>
    </row>
    <row r="329" ht="12.75">
      <c r="J329"/>
    </row>
    <row r="330" ht="12.75">
      <c r="J330"/>
    </row>
    <row r="331" ht="12.75">
      <c r="J331"/>
    </row>
    <row r="332" ht="12.75">
      <c r="J332"/>
    </row>
    <row r="333" ht="12.75">
      <c r="J333"/>
    </row>
    <row r="334" ht="12.75">
      <c r="J334"/>
    </row>
    <row r="335" ht="12.75">
      <c r="J335"/>
    </row>
    <row r="336" ht="12.75">
      <c r="J336"/>
    </row>
    <row r="337" ht="12.75">
      <c r="J33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A1" sqref="A1:IV16384"/>
    </sheetView>
  </sheetViews>
  <sheetFormatPr defaultColWidth="11.7109375" defaultRowHeight="12.75"/>
  <cols>
    <col min="1" max="9" width="11.7109375" style="2" customWidth="1"/>
    <col min="10" max="10" width="14.140625" style="2" customWidth="1"/>
    <col min="11" max="11" width="15.57421875" style="2" bestFit="1" customWidth="1"/>
    <col min="12" max="16384" width="11.7109375" style="2" customWidth="1"/>
  </cols>
  <sheetData>
    <row r="1" spans="1:9" ht="12.75">
      <c r="A1" s="1" t="s">
        <v>0</v>
      </c>
      <c r="I1" s="2" t="s">
        <v>55</v>
      </c>
    </row>
    <row r="2" ht="12.75">
      <c r="A2" s="1" t="s">
        <v>1</v>
      </c>
    </row>
    <row r="3" ht="12.75">
      <c r="A3" s="1"/>
    </row>
    <row r="4" ht="12.75">
      <c r="A4" s="3" t="s">
        <v>2</v>
      </c>
    </row>
    <row r="5" spans="1:4" ht="12.75">
      <c r="A5" s="1"/>
      <c r="D5" s="14" t="s">
        <v>58</v>
      </c>
    </row>
    <row r="6" spans="1:10" s="15" customFormat="1" ht="12.75">
      <c r="A6" s="13" t="s">
        <v>3</v>
      </c>
      <c r="B6" s="14" t="s">
        <v>5</v>
      </c>
      <c r="C6" s="14" t="s">
        <v>56</v>
      </c>
      <c r="D6" s="14" t="s">
        <v>57</v>
      </c>
      <c r="E6" s="14" t="s">
        <v>7</v>
      </c>
      <c r="F6" s="14" t="s">
        <v>8</v>
      </c>
      <c r="G6" s="14">
        <v>2005</v>
      </c>
      <c r="H6" s="14" t="s">
        <v>9</v>
      </c>
      <c r="I6" s="14" t="s">
        <v>10</v>
      </c>
      <c r="J6" s="14" t="s">
        <v>11</v>
      </c>
    </row>
    <row r="7" spans="1:10" ht="12.75">
      <c r="A7" s="6" t="s">
        <v>13</v>
      </c>
      <c r="B7" s="7">
        <f>25106.68+25385.77+25667.97+25953.31+24841</f>
        <v>126954.73</v>
      </c>
      <c r="C7" s="7">
        <v>50094.58</v>
      </c>
      <c r="D7" s="7">
        <v>2163689.45</v>
      </c>
      <c r="E7" s="7">
        <v>140000</v>
      </c>
      <c r="F7" s="7">
        <v>162306</v>
      </c>
      <c r="G7" s="7">
        <v>32500</v>
      </c>
      <c r="H7" s="7">
        <v>12000</v>
      </c>
      <c r="I7" s="7">
        <v>3000</v>
      </c>
      <c r="J7" s="7">
        <f aca="true" t="shared" si="0" ref="J7:J39">SUM(B7:I7)</f>
        <v>2690544.7600000002</v>
      </c>
    </row>
    <row r="8" spans="1:10" ht="12.75">
      <c r="A8" s="6" t="s">
        <v>14</v>
      </c>
      <c r="B8" s="7">
        <f>26241.82+26533.53+26828.49+27126.73</f>
        <v>106730.56999999999</v>
      </c>
      <c r="C8" s="7">
        <f>12759.9+12855.87+12952.53+13049.92</f>
        <v>51618.22</v>
      </c>
      <c r="D8" s="7"/>
      <c r="E8" s="7">
        <v>144000</v>
      </c>
      <c r="F8" s="7">
        <v>163933</v>
      </c>
      <c r="G8" s="7">
        <v>34000</v>
      </c>
      <c r="H8" s="7">
        <v>13000</v>
      </c>
      <c r="I8" s="7">
        <v>3000</v>
      </c>
      <c r="J8" s="7">
        <f t="shared" si="0"/>
        <v>516281.79</v>
      </c>
    </row>
    <row r="9" spans="1:10" ht="12.75">
      <c r="A9" s="6" t="s">
        <v>15</v>
      </c>
      <c r="B9" s="7">
        <f>27428.28+27733.19+28041.48+28353.21</f>
        <v>111556.16</v>
      </c>
      <c r="C9" s="7">
        <f>13148.04+13246.9+13346.5+13446.85</f>
        <v>53188.29</v>
      </c>
      <c r="D9" s="7"/>
      <c r="E9" s="7">
        <v>147000</v>
      </c>
      <c r="F9" s="7">
        <v>165576</v>
      </c>
      <c r="G9" s="7">
        <v>35500</v>
      </c>
      <c r="H9" s="7">
        <v>13000</v>
      </c>
      <c r="I9" s="7">
        <v>3000</v>
      </c>
      <c r="J9" s="7">
        <f t="shared" si="0"/>
        <v>528820.45</v>
      </c>
    </row>
    <row r="10" spans="1:10" ht="12.75">
      <c r="A10" s="6" t="s">
        <v>16</v>
      </c>
      <c r="B10" s="7">
        <f>28668.39+28987.08+29309.32+29635.13</f>
        <v>116599.92000000001</v>
      </c>
      <c r="C10" s="7">
        <f>13547.95+13649.81+13752.44+13855.84</f>
        <v>54806.04000000001</v>
      </c>
      <c r="D10" s="7"/>
      <c r="E10" s="7">
        <v>151000</v>
      </c>
      <c r="F10" s="7">
        <v>167236</v>
      </c>
      <c r="G10" s="7">
        <v>37000</v>
      </c>
      <c r="H10" s="7">
        <v>14000</v>
      </c>
      <c r="I10" s="7">
        <v>4000</v>
      </c>
      <c r="J10" s="7">
        <f t="shared" si="0"/>
        <v>544641.96</v>
      </c>
    </row>
    <row r="11" spans="1:10" ht="12.75">
      <c r="A11" s="6" t="s">
        <v>17</v>
      </c>
      <c r="B11" s="7">
        <f>29964.57+30297.67+30634.47+30975.02</f>
        <v>121871.73</v>
      </c>
      <c r="C11" s="7">
        <f>13694.71+251</f>
        <v>13945.71</v>
      </c>
      <c r="D11" s="7"/>
      <c r="E11" s="7">
        <v>159000</v>
      </c>
      <c r="F11" s="7">
        <v>168913</v>
      </c>
      <c r="G11" s="7">
        <v>38500</v>
      </c>
      <c r="H11" s="7">
        <v>15000</v>
      </c>
      <c r="I11" s="7">
        <v>4000</v>
      </c>
      <c r="J11" s="7">
        <f t="shared" si="0"/>
        <v>521230.44</v>
      </c>
    </row>
    <row r="12" spans="1:10" ht="12.75">
      <c r="A12" s="6" t="s">
        <v>18</v>
      </c>
      <c r="B12" s="7">
        <f>31319.35+31667.51+32019.54+32375.49</f>
        <v>127381.89</v>
      </c>
      <c r="C12" s="7"/>
      <c r="D12" s="7"/>
      <c r="E12" s="7">
        <v>163000</v>
      </c>
      <c r="F12" s="7">
        <v>170606</v>
      </c>
      <c r="G12" s="7">
        <v>40500</v>
      </c>
      <c r="H12" s="7">
        <v>15000</v>
      </c>
      <c r="I12" s="7">
        <v>4000</v>
      </c>
      <c r="J12" s="7">
        <f t="shared" si="0"/>
        <v>520487.89</v>
      </c>
    </row>
    <row r="13" spans="1:10" ht="12.75">
      <c r="A13" s="6" t="s">
        <v>19</v>
      </c>
      <c r="B13" s="7">
        <f>32735.39+33099.29+33467.24+33839.28</f>
        <v>133141.19999999998</v>
      </c>
      <c r="C13" s="7"/>
      <c r="D13" s="7"/>
      <c r="E13" s="7">
        <v>171000</v>
      </c>
      <c r="F13" s="7">
        <v>172316</v>
      </c>
      <c r="G13" s="8">
        <v>42000</v>
      </c>
      <c r="H13" s="7">
        <v>16000</v>
      </c>
      <c r="I13" s="7">
        <v>4000</v>
      </c>
      <c r="J13" s="7">
        <f t="shared" si="0"/>
        <v>538457.2</v>
      </c>
    </row>
    <row r="14" spans="1:10" ht="12.75">
      <c r="A14" s="6" t="s">
        <v>20</v>
      </c>
      <c r="B14" s="8">
        <f>34215.45+34595.8+34980.39+35369.24</f>
        <v>139160.88</v>
      </c>
      <c r="C14" s="8"/>
      <c r="D14" s="8"/>
      <c r="E14" s="8">
        <v>175000</v>
      </c>
      <c r="F14" s="8">
        <v>174044</v>
      </c>
      <c r="G14" s="8">
        <v>44000</v>
      </c>
      <c r="H14" s="8">
        <v>17000</v>
      </c>
      <c r="I14" s="8">
        <v>4000</v>
      </c>
      <c r="J14" s="8">
        <f t="shared" si="0"/>
        <v>553204.88</v>
      </c>
    </row>
    <row r="15" spans="1:10" ht="12.75">
      <c r="A15" s="6" t="s">
        <v>21</v>
      </c>
      <c r="B15" s="8">
        <f>35762.42+36159.98+36561.95+36968.39</f>
        <v>145452.74</v>
      </c>
      <c r="C15" s="8"/>
      <c r="D15" s="8"/>
      <c r="E15" s="8">
        <v>184000</v>
      </c>
      <c r="F15" s="8">
        <v>175789</v>
      </c>
      <c r="G15" s="8">
        <v>46000</v>
      </c>
      <c r="H15" s="8">
        <v>17000</v>
      </c>
      <c r="I15" s="8">
        <v>5000</v>
      </c>
      <c r="J15" s="8">
        <f t="shared" si="0"/>
        <v>573241.74</v>
      </c>
    </row>
    <row r="16" spans="1:10" ht="12.75">
      <c r="A16" s="6" t="s">
        <v>22</v>
      </c>
      <c r="B16" s="8">
        <f>37379.34+37794.87+38215.01+38639.83</f>
        <v>152029.05</v>
      </c>
      <c r="C16" s="8"/>
      <c r="D16" s="8"/>
      <c r="E16" s="8">
        <v>30000</v>
      </c>
      <c r="F16" s="8">
        <v>177551</v>
      </c>
      <c r="G16" s="8">
        <v>48000</v>
      </c>
      <c r="H16" s="8">
        <v>18000</v>
      </c>
      <c r="I16" s="8">
        <v>5000</v>
      </c>
      <c r="J16" s="7">
        <f t="shared" si="0"/>
        <v>430580.05</v>
      </c>
    </row>
    <row r="17" spans="1:10" ht="12.75">
      <c r="A17" s="6" t="s">
        <v>23</v>
      </c>
      <c r="B17" s="8">
        <f>39069.37+39503.68+39942.82+40386.85</f>
        <v>158902.72</v>
      </c>
      <c r="C17" s="8"/>
      <c r="D17" s="8"/>
      <c r="E17" s="8"/>
      <c r="F17" s="8">
        <v>179331</v>
      </c>
      <c r="G17" s="8">
        <v>50500</v>
      </c>
      <c r="H17" s="8">
        <v>19000</v>
      </c>
      <c r="I17" s="8">
        <v>5000</v>
      </c>
      <c r="J17" s="7">
        <f t="shared" si="0"/>
        <v>412733.72</v>
      </c>
    </row>
    <row r="18" spans="1:10" ht="12.75">
      <c r="A18" s="6" t="s">
        <v>24</v>
      </c>
      <c r="B18" s="8">
        <f>40835.8+41289.81</f>
        <v>82125.61</v>
      </c>
      <c r="C18" s="8"/>
      <c r="D18" s="8"/>
      <c r="E18" s="8"/>
      <c r="F18" s="8">
        <v>181129</v>
      </c>
      <c r="G18" s="8">
        <v>52500</v>
      </c>
      <c r="H18" s="8">
        <v>20000</v>
      </c>
      <c r="I18" s="8">
        <v>5000</v>
      </c>
      <c r="J18" s="8">
        <f t="shared" si="0"/>
        <v>340754.61</v>
      </c>
    </row>
    <row r="19" spans="1:10" ht="12.75">
      <c r="A19" s="6" t="s">
        <v>25</v>
      </c>
      <c r="B19" s="8"/>
      <c r="C19" s="8"/>
      <c r="D19" s="8"/>
      <c r="E19" s="8"/>
      <c r="F19" s="8">
        <v>91243</v>
      </c>
      <c r="G19" s="8">
        <v>55000</v>
      </c>
      <c r="H19" s="8">
        <v>21000</v>
      </c>
      <c r="I19" s="8">
        <v>5000</v>
      </c>
      <c r="J19" s="7">
        <f t="shared" si="0"/>
        <v>172243</v>
      </c>
    </row>
    <row r="20" spans="1:10" ht="12.75">
      <c r="A20" s="6" t="s">
        <v>26</v>
      </c>
      <c r="B20" s="8"/>
      <c r="C20" s="8"/>
      <c r="D20" s="8"/>
      <c r="E20" s="8"/>
      <c r="F20" s="8"/>
      <c r="G20" s="8">
        <v>57500</v>
      </c>
      <c r="H20" s="8">
        <v>22000</v>
      </c>
      <c r="I20" s="8">
        <v>6000</v>
      </c>
      <c r="J20" s="7">
        <f t="shared" si="0"/>
        <v>85500</v>
      </c>
    </row>
    <row r="21" spans="1:10" ht="12.75">
      <c r="A21" s="6" t="s">
        <v>27</v>
      </c>
      <c r="B21" s="8"/>
      <c r="C21" s="8"/>
      <c r="D21" s="8"/>
      <c r="E21" s="8"/>
      <c r="F21" s="8"/>
      <c r="G21" s="8">
        <v>60000</v>
      </c>
      <c r="H21" s="8">
        <v>23000</v>
      </c>
      <c r="I21" s="8">
        <v>6000</v>
      </c>
      <c r="J21" s="7">
        <f t="shared" si="0"/>
        <v>89000</v>
      </c>
    </row>
    <row r="22" spans="1:10" ht="12.75">
      <c r="A22" s="6" t="s">
        <v>28</v>
      </c>
      <c r="B22" s="8"/>
      <c r="C22" s="8"/>
      <c r="D22" s="8"/>
      <c r="E22" s="8"/>
      <c r="F22" s="8"/>
      <c r="G22" s="8">
        <v>62500</v>
      </c>
      <c r="H22" s="8">
        <v>24000</v>
      </c>
      <c r="I22" s="8">
        <v>6000</v>
      </c>
      <c r="J22" s="7">
        <f t="shared" si="0"/>
        <v>92500</v>
      </c>
    </row>
    <row r="23" spans="1:10" ht="12.75">
      <c r="A23" s="6" t="s">
        <v>29</v>
      </c>
      <c r="B23" s="8"/>
      <c r="C23" s="8"/>
      <c r="D23" s="8"/>
      <c r="E23" s="8"/>
      <c r="F23" s="8"/>
      <c r="G23" s="8">
        <v>65500</v>
      </c>
      <c r="H23" s="8">
        <v>25000</v>
      </c>
      <c r="I23" s="8">
        <v>6000</v>
      </c>
      <c r="J23" s="7">
        <f t="shared" si="0"/>
        <v>96500</v>
      </c>
    </row>
    <row r="24" spans="1:10" ht="12.75">
      <c r="A24" s="6" t="s">
        <v>30</v>
      </c>
      <c r="B24" s="8"/>
      <c r="C24" s="8"/>
      <c r="D24" s="8"/>
      <c r="E24" s="8"/>
      <c r="F24" s="8"/>
      <c r="G24" s="8">
        <v>68500</v>
      </c>
      <c r="H24" s="8">
        <v>26000</v>
      </c>
      <c r="I24" s="8">
        <v>7000</v>
      </c>
      <c r="J24" s="7">
        <f t="shared" si="0"/>
        <v>101500</v>
      </c>
    </row>
    <row r="25" spans="1:10" ht="12.75">
      <c r="A25" s="6" t="s">
        <v>31</v>
      </c>
      <c r="B25" s="8"/>
      <c r="C25" s="8"/>
      <c r="D25" s="8"/>
      <c r="E25" s="8"/>
      <c r="F25" s="8"/>
      <c r="G25" s="8">
        <v>71500</v>
      </c>
      <c r="H25" s="8">
        <v>27000</v>
      </c>
      <c r="I25" s="8">
        <v>7000</v>
      </c>
      <c r="J25" s="7">
        <f t="shared" si="0"/>
        <v>105500</v>
      </c>
    </row>
    <row r="26" spans="1:10" ht="12.75">
      <c r="A26" s="6" t="s">
        <v>32</v>
      </c>
      <c r="B26" s="8"/>
      <c r="C26" s="8"/>
      <c r="D26" s="8"/>
      <c r="E26" s="8"/>
      <c r="F26" s="8"/>
      <c r="G26" s="8">
        <v>75000</v>
      </c>
      <c r="H26" s="8">
        <v>28000</v>
      </c>
      <c r="I26" s="8">
        <v>7000</v>
      </c>
      <c r="J26" s="7">
        <f t="shared" si="0"/>
        <v>110000</v>
      </c>
    </row>
    <row r="27" spans="1:10" ht="12.75">
      <c r="A27" s="6" t="s">
        <v>33</v>
      </c>
      <c r="B27" s="8"/>
      <c r="C27" s="8"/>
      <c r="D27" s="8"/>
      <c r="E27" s="8"/>
      <c r="F27" s="8"/>
      <c r="G27" s="8">
        <v>78000</v>
      </c>
      <c r="H27" s="8">
        <v>30000</v>
      </c>
      <c r="I27" s="8">
        <v>8000</v>
      </c>
      <c r="J27" s="7">
        <f t="shared" si="0"/>
        <v>116000</v>
      </c>
    </row>
    <row r="28" spans="1:10" ht="12.75">
      <c r="A28" s="6" t="s">
        <v>34</v>
      </c>
      <c r="B28" s="8"/>
      <c r="C28" s="8"/>
      <c r="D28" s="8"/>
      <c r="E28" s="8"/>
      <c r="F28" s="8"/>
      <c r="G28" s="8">
        <v>81500</v>
      </c>
      <c r="H28" s="8">
        <v>31000</v>
      </c>
      <c r="I28" s="8">
        <v>8000</v>
      </c>
      <c r="J28" s="7">
        <f t="shared" si="0"/>
        <v>120500</v>
      </c>
    </row>
    <row r="29" spans="1:10" ht="12.75">
      <c r="A29" s="6" t="s">
        <v>35</v>
      </c>
      <c r="B29" s="8"/>
      <c r="C29" s="8"/>
      <c r="D29" s="8"/>
      <c r="E29" s="8"/>
      <c r="F29" s="8"/>
      <c r="G29" s="8">
        <v>85500</v>
      </c>
      <c r="H29" s="8">
        <v>32000</v>
      </c>
      <c r="I29" s="8">
        <v>8000</v>
      </c>
      <c r="J29" s="7">
        <f t="shared" si="0"/>
        <v>125500</v>
      </c>
    </row>
    <row r="30" spans="1:10" ht="12.75">
      <c r="A30" s="6" t="s">
        <v>36</v>
      </c>
      <c r="B30" s="8"/>
      <c r="C30" s="8"/>
      <c r="D30" s="8"/>
      <c r="E30" s="8"/>
      <c r="F30" s="8"/>
      <c r="G30" s="8">
        <v>89000</v>
      </c>
      <c r="H30" s="8">
        <v>34000</v>
      </c>
      <c r="I30" s="8">
        <v>9000</v>
      </c>
      <c r="J30" s="7">
        <f t="shared" si="0"/>
        <v>132000</v>
      </c>
    </row>
    <row r="31" spans="1:10" ht="12.75">
      <c r="A31" s="6" t="s">
        <v>37</v>
      </c>
      <c r="B31" s="8"/>
      <c r="C31" s="8"/>
      <c r="D31" s="8"/>
      <c r="E31" s="8"/>
      <c r="F31" s="8"/>
      <c r="G31" s="8">
        <v>93000</v>
      </c>
      <c r="H31" s="8">
        <v>35000</v>
      </c>
      <c r="I31" s="8">
        <v>9000</v>
      </c>
      <c r="J31" s="7">
        <f t="shared" si="0"/>
        <v>137000</v>
      </c>
    </row>
    <row r="32" spans="1:10" ht="12.75">
      <c r="A32" s="6" t="s">
        <v>38</v>
      </c>
      <c r="B32" s="8"/>
      <c r="C32" s="8"/>
      <c r="D32" s="8"/>
      <c r="E32" s="8"/>
      <c r="F32" s="8"/>
      <c r="G32" s="8">
        <v>97500</v>
      </c>
      <c r="H32" s="8">
        <v>37000</v>
      </c>
      <c r="I32" s="8">
        <v>10000</v>
      </c>
      <c r="J32" s="7">
        <f t="shared" si="0"/>
        <v>144500</v>
      </c>
    </row>
    <row r="33" spans="1:10" ht="12.75">
      <c r="A33" s="6" t="s">
        <v>39</v>
      </c>
      <c r="B33" s="8"/>
      <c r="C33" s="8"/>
      <c r="D33" s="8"/>
      <c r="E33" s="8"/>
      <c r="F33" s="8"/>
      <c r="G33" s="8">
        <v>102000</v>
      </c>
      <c r="H33" s="8">
        <v>38000</v>
      </c>
      <c r="I33" s="8">
        <v>10000</v>
      </c>
      <c r="J33" s="7">
        <f t="shared" si="0"/>
        <v>150000</v>
      </c>
    </row>
    <row r="34" spans="1:10" ht="12.75">
      <c r="A34" s="6" t="s">
        <v>40</v>
      </c>
      <c r="B34" s="8"/>
      <c r="C34" s="8"/>
      <c r="D34" s="8"/>
      <c r="E34" s="8"/>
      <c r="F34" s="8"/>
      <c r="G34" s="8">
        <v>106500</v>
      </c>
      <c r="H34" s="8">
        <v>39000</v>
      </c>
      <c r="I34" s="8">
        <v>10000</v>
      </c>
      <c r="J34" s="7">
        <f t="shared" si="0"/>
        <v>155500</v>
      </c>
    </row>
    <row r="35" spans="1:10" ht="12.75">
      <c r="A35" s="6" t="s">
        <v>41</v>
      </c>
      <c r="B35" s="8"/>
      <c r="C35" s="8"/>
      <c r="D35" s="8"/>
      <c r="E35" s="8"/>
      <c r="F35" s="8"/>
      <c r="G35" s="8">
        <v>111000</v>
      </c>
      <c r="H35" s="8">
        <v>41000</v>
      </c>
      <c r="I35" s="8">
        <v>11000</v>
      </c>
      <c r="J35" s="7">
        <f t="shared" si="0"/>
        <v>163000</v>
      </c>
    </row>
    <row r="36" spans="1:10" ht="12.75">
      <c r="A36" s="6" t="s">
        <v>42</v>
      </c>
      <c r="B36" s="8"/>
      <c r="C36" s="8"/>
      <c r="D36" s="8"/>
      <c r="E36" s="8"/>
      <c r="F36" s="8"/>
      <c r="G36" s="8">
        <v>116000</v>
      </c>
      <c r="H36" s="8">
        <v>43000</v>
      </c>
      <c r="I36" s="8">
        <v>11000</v>
      </c>
      <c r="J36" s="7">
        <f t="shared" si="0"/>
        <v>170000</v>
      </c>
    </row>
    <row r="37" spans="1:10" ht="12.75">
      <c r="A37" s="6" t="s">
        <v>43</v>
      </c>
      <c r="B37" s="8"/>
      <c r="C37" s="8"/>
      <c r="D37" s="8"/>
      <c r="E37" s="8"/>
      <c r="F37" s="8"/>
      <c r="G37" s="8">
        <v>121500</v>
      </c>
      <c r="H37" s="8">
        <v>45000</v>
      </c>
      <c r="I37" s="8">
        <v>12000</v>
      </c>
      <c r="J37" s="7">
        <f t="shared" si="0"/>
        <v>178500</v>
      </c>
    </row>
    <row r="38" spans="1:10" ht="12.75">
      <c r="A38" s="6" t="s">
        <v>44</v>
      </c>
      <c r="B38" s="8"/>
      <c r="C38" s="8"/>
      <c r="D38" s="8"/>
      <c r="E38" s="8"/>
      <c r="F38" s="8"/>
      <c r="G38" s="8">
        <v>127000</v>
      </c>
      <c r="H38" s="8">
        <v>47000</v>
      </c>
      <c r="I38" s="8">
        <v>13000</v>
      </c>
      <c r="J38" s="7">
        <f t="shared" si="0"/>
        <v>187000</v>
      </c>
    </row>
    <row r="39" spans="1:10" ht="12.75">
      <c r="A39" s="6" t="s">
        <v>45</v>
      </c>
      <c r="B39" s="8"/>
      <c r="C39" s="8"/>
      <c r="D39" s="8"/>
      <c r="E39" s="8"/>
      <c r="F39" s="8"/>
      <c r="G39" s="8">
        <v>133000</v>
      </c>
      <c r="H39" s="8"/>
      <c r="I39" s="8"/>
      <c r="J39" s="7">
        <f t="shared" si="0"/>
        <v>133000</v>
      </c>
    </row>
    <row r="40" spans="1:10" ht="12.75">
      <c r="A40" s="6" t="s">
        <v>46</v>
      </c>
      <c r="B40" s="8"/>
      <c r="C40" s="8"/>
      <c r="D40" s="8"/>
      <c r="E40" s="8"/>
      <c r="F40" s="8"/>
      <c r="H40" s="8"/>
      <c r="I40" s="8"/>
      <c r="J40" s="7"/>
    </row>
    <row r="42" spans="1:10" ht="13.5" thickBot="1">
      <c r="A42" s="6"/>
      <c r="B42" s="9">
        <f>SUM(B7:B40)</f>
        <v>1521907.2</v>
      </c>
      <c r="C42" s="9">
        <f>SUM(C7:C40)</f>
        <v>223652.84</v>
      </c>
      <c r="D42" s="9">
        <f>SUM(D7:D40)</f>
        <v>2163689.45</v>
      </c>
      <c r="E42" s="9">
        <f>SUM(E7:E40)</f>
        <v>1464000</v>
      </c>
      <c r="F42" s="9">
        <f>SUM(F7:F40)</f>
        <v>2149973</v>
      </c>
      <c r="G42" s="9">
        <f>SUM(G7:G39)</f>
        <v>2358000</v>
      </c>
      <c r="H42" s="9">
        <f>SUM(H7:H40)</f>
        <v>837000</v>
      </c>
      <c r="I42" s="9">
        <f>SUM(I7:I40)</f>
        <v>218000</v>
      </c>
      <c r="J42" s="9">
        <f>SUM(J7:J40)</f>
        <v>10936222.49</v>
      </c>
    </row>
    <row r="43" spans="1:10" ht="13.5" thickTop="1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6"/>
      <c r="B44" s="7"/>
      <c r="C44" s="7" t="s">
        <v>59</v>
      </c>
      <c r="D44" s="7"/>
      <c r="E44" s="7"/>
      <c r="F44" s="7" t="s">
        <v>59</v>
      </c>
      <c r="G44" s="7"/>
      <c r="H44" s="7"/>
      <c r="I44" s="7"/>
      <c r="J44" s="7"/>
    </row>
    <row r="45" spans="1:10" ht="12.75">
      <c r="A45" s="3" t="s">
        <v>47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6"/>
      <c r="B46" s="7"/>
      <c r="C46" s="7"/>
      <c r="D46" s="14" t="s">
        <v>58</v>
      </c>
      <c r="E46" s="7"/>
      <c r="F46" s="7"/>
      <c r="G46" s="7"/>
      <c r="H46" s="7"/>
      <c r="I46" s="7"/>
      <c r="J46" s="7"/>
    </row>
    <row r="47" spans="1:10" s="15" customFormat="1" ht="12.75">
      <c r="A47" s="13" t="s">
        <v>3</v>
      </c>
      <c r="B47" s="14" t="s">
        <v>5</v>
      </c>
      <c r="C47" s="14" t="s">
        <v>56</v>
      </c>
      <c r="D47" s="14" t="s">
        <v>57</v>
      </c>
      <c r="E47" s="14" t="s">
        <v>7</v>
      </c>
      <c r="F47" s="14" t="s">
        <v>8</v>
      </c>
      <c r="G47" s="14">
        <v>2005</v>
      </c>
      <c r="H47" s="14" t="s">
        <v>9</v>
      </c>
      <c r="I47" s="14" t="s">
        <v>10</v>
      </c>
      <c r="J47" s="14" t="s">
        <v>11</v>
      </c>
    </row>
    <row r="48" spans="1:10" ht="12.75">
      <c r="A48" s="6" t="s">
        <v>13</v>
      </c>
      <c r="B48" s="7">
        <f>16642.07+16362.98+16080.78+15795.44</f>
        <v>64881.270000000004</v>
      </c>
      <c r="C48" s="7">
        <v>6157.38</v>
      </c>
      <c r="D48" s="7"/>
      <c r="E48" s="7">
        <v>53496</v>
      </c>
      <c r="F48" s="7">
        <v>25314</v>
      </c>
      <c r="G48" s="7">
        <v>96597</v>
      </c>
      <c r="H48" s="7">
        <v>37395</v>
      </c>
      <c r="I48" s="7">
        <v>9742</v>
      </c>
      <c r="J48" s="7">
        <f aca="true" t="shared" si="1" ref="J48:J80">SUM(B48:I48)</f>
        <v>293582.65</v>
      </c>
    </row>
    <row r="49" spans="1:10" ht="12.75">
      <c r="A49" s="6" t="s">
        <v>14</v>
      </c>
      <c r="B49" s="7">
        <f>15506.93+15215.22+14920.26+14622.02</f>
        <v>60264.43000000001</v>
      </c>
      <c r="C49" s="7">
        <v>4634</v>
      </c>
      <c r="D49" s="7"/>
      <c r="E49" s="7">
        <v>49296</v>
      </c>
      <c r="F49" s="7">
        <v>23361</v>
      </c>
      <c r="G49" s="7">
        <v>95226</v>
      </c>
      <c r="H49" s="7">
        <v>36833</v>
      </c>
      <c r="I49" s="7">
        <v>9607</v>
      </c>
      <c r="J49" s="7">
        <f t="shared" si="1"/>
        <v>279221.43</v>
      </c>
    </row>
    <row r="50" spans="1:10" ht="12.75">
      <c r="A50" s="6" t="s">
        <v>15</v>
      </c>
      <c r="B50" s="7">
        <f>14320.47+14015.56+13707.27+13395.54</f>
        <v>55438.840000000004</v>
      </c>
      <c r="C50" s="7">
        <v>3064</v>
      </c>
      <c r="D50" s="7"/>
      <c r="E50" s="7">
        <v>44796</v>
      </c>
      <c r="F50" s="7">
        <v>21389</v>
      </c>
      <c r="G50" s="7">
        <v>93792</v>
      </c>
      <c r="H50" s="7">
        <v>36247</v>
      </c>
      <c r="I50" s="7">
        <v>9472</v>
      </c>
      <c r="J50" s="7">
        <f t="shared" si="1"/>
        <v>264198.83999999997</v>
      </c>
    </row>
    <row r="51" spans="1:10" ht="12.75">
      <c r="A51" s="6" t="s">
        <v>16</v>
      </c>
      <c r="B51" s="7">
        <f>13080.36+12761.67+12439.43+12113.62</f>
        <v>50395.08</v>
      </c>
      <c r="C51" s="7">
        <v>1445.92</v>
      </c>
      <c r="D51" s="7"/>
      <c r="E51" s="7">
        <v>39835</v>
      </c>
      <c r="F51" s="7">
        <v>19397</v>
      </c>
      <c r="G51" s="7">
        <v>92297</v>
      </c>
      <c r="H51" s="7">
        <v>35640</v>
      </c>
      <c r="I51" s="7">
        <v>9315</v>
      </c>
      <c r="J51" s="7">
        <f t="shared" si="1"/>
        <v>248325</v>
      </c>
    </row>
    <row r="52" spans="1:10" ht="12.75">
      <c r="A52" s="6" t="s">
        <v>17</v>
      </c>
      <c r="B52" s="7">
        <f>11784.18+11451.08+11114.28+10773.73</f>
        <v>45123.270000000004</v>
      </c>
      <c r="C52" s="7">
        <v>102.97</v>
      </c>
      <c r="D52" s="7"/>
      <c r="E52" s="7">
        <v>34550</v>
      </c>
      <c r="F52" s="7">
        <v>17386</v>
      </c>
      <c r="G52" s="7">
        <v>90740</v>
      </c>
      <c r="H52" s="7">
        <v>34988</v>
      </c>
      <c r="I52" s="7">
        <v>9135</v>
      </c>
      <c r="J52" s="7">
        <f t="shared" si="1"/>
        <v>232025.24</v>
      </c>
    </row>
    <row r="53" spans="1:10" ht="12.75">
      <c r="A53" s="6" t="s">
        <v>18</v>
      </c>
      <c r="B53" s="7">
        <f>10429.4+10081.24+9729.21+9373.26</f>
        <v>39613.11</v>
      </c>
      <c r="C53" s="7"/>
      <c r="D53" s="7"/>
      <c r="E53" s="7">
        <v>28786</v>
      </c>
      <c r="F53" s="7">
        <v>15354</v>
      </c>
      <c r="G53" s="8">
        <v>89110</v>
      </c>
      <c r="H53" s="7">
        <v>34312</v>
      </c>
      <c r="I53" s="7">
        <v>8955</v>
      </c>
      <c r="J53" s="7">
        <f t="shared" si="1"/>
        <v>216130.11</v>
      </c>
    </row>
    <row r="54" spans="1:10" ht="12.75">
      <c r="A54" s="6" t="s">
        <v>19</v>
      </c>
      <c r="B54" s="7">
        <f>9013.36+8649.46+8281.51+7909.47</f>
        <v>33853.8</v>
      </c>
      <c r="C54" s="7"/>
      <c r="D54" s="7"/>
      <c r="E54" s="7">
        <v>22674</v>
      </c>
      <c r="F54" s="7">
        <v>13301</v>
      </c>
      <c r="G54" s="8">
        <v>87409</v>
      </c>
      <c r="H54" s="7">
        <v>33615</v>
      </c>
      <c r="I54" s="7">
        <v>8775</v>
      </c>
      <c r="J54" s="7">
        <f t="shared" si="1"/>
        <v>199627.8</v>
      </c>
    </row>
    <row r="55" spans="1:10" ht="12.75">
      <c r="A55" s="6" t="s">
        <v>20</v>
      </c>
      <c r="B55" s="8">
        <f>7533.3+7152.95+6768.36+6379.51</f>
        <v>27834.120000000003</v>
      </c>
      <c r="C55" s="8"/>
      <c r="D55" s="8"/>
      <c r="E55" s="8">
        <v>16048</v>
      </c>
      <c r="F55" s="8">
        <v>11228</v>
      </c>
      <c r="G55" s="8">
        <v>85635</v>
      </c>
      <c r="H55" s="8">
        <v>32872</v>
      </c>
      <c r="I55" s="8">
        <v>8595</v>
      </c>
      <c r="J55" s="7">
        <f t="shared" si="1"/>
        <v>182212.12</v>
      </c>
    </row>
    <row r="56" spans="1:10" ht="12.75">
      <c r="A56" s="6" t="s">
        <v>21</v>
      </c>
      <c r="B56" s="8">
        <f>5986.33+5588.77+5186.8+4780.36</f>
        <v>21542.260000000002</v>
      </c>
      <c r="C56" s="8"/>
      <c r="D56" s="8"/>
      <c r="E56" s="8">
        <v>9048</v>
      </c>
      <c r="F56" s="8">
        <v>9136</v>
      </c>
      <c r="G56" s="8">
        <v>83779</v>
      </c>
      <c r="H56" s="8">
        <v>32108</v>
      </c>
      <c r="I56" s="8">
        <v>8392</v>
      </c>
      <c r="J56" s="7">
        <f t="shared" si="1"/>
        <v>164005.26</v>
      </c>
    </row>
    <row r="57" spans="1:10" ht="12.75">
      <c r="A57" s="6" t="s">
        <v>22</v>
      </c>
      <c r="B57" s="8">
        <f>4369.41+3953.88+3533.74+3108.92</f>
        <v>14965.95</v>
      </c>
      <c r="C57" s="8"/>
      <c r="D57" s="8"/>
      <c r="E57" s="8">
        <v>1687</v>
      </c>
      <c r="F57" s="8">
        <v>7020</v>
      </c>
      <c r="G57" s="8">
        <v>81840</v>
      </c>
      <c r="H57" s="8">
        <v>31320</v>
      </c>
      <c r="I57" s="8">
        <v>8167</v>
      </c>
      <c r="J57" s="7">
        <f t="shared" si="1"/>
        <v>144999.95</v>
      </c>
    </row>
    <row r="58" spans="1:10" ht="12.75">
      <c r="A58" s="6" t="s">
        <v>23</v>
      </c>
      <c r="B58" s="8">
        <f>2679.38+2245.07+1805.93+1361.9</f>
        <v>8092.280000000001</v>
      </c>
      <c r="C58" s="8"/>
      <c r="D58" s="8"/>
      <c r="E58" s="8"/>
      <c r="F58" s="8">
        <v>4884</v>
      </c>
      <c r="G58" s="8">
        <v>79808</v>
      </c>
      <c r="H58" s="8">
        <v>30488</v>
      </c>
      <c r="I58" s="8">
        <v>7943</v>
      </c>
      <c r="J58" s="7">
        <f t="shared" si="1"/>
        <v>131215.28</v>
      </c>
    </row>
    <row r="59" spans="1:10" ht="12.75">
      <c r="A59" s="6" t="s">
        <v>24</v>
      </c>
      <c r="B59" s="8">
        <f>912.95+458.94</f>
        <v>1371.89</v>
      </c>
      <c r="C59" s="8"/>
      <c r="D59" s="8"/>
      <c r="E59" s="8"/>
      <c r="F59" s="8">
        <v>2726</v>
      </c>
      <c r="G59" s="8">
        <v>77684</v>
      </c>
      <c r="H59" s="8">
        <v>29610</v>
      </c>
      <c r="I59" s="8">
        <v>7718</v>
      </c>
      <c r="J59" s="7">
        <f t="shared" si="1"/>
        <v>119109.89</v>
      </c>
    </row>
    <row r="60" spans="1:10" ht="12.75">
      <c r="A60" s="6" t="s">
        <v>25</v>
      </c>
      <c r="B60" s="8"/>
      <c r="C60" s="8"/>
      <c r="D60" s="8"/>
      <c r="E60" s="8"/>
      <c r="F60" s="8">
        <v>547</v>
      </c>
      <c r="G60" s="8">
        <v>75467</v>
      </c>
      <c r="H60" s="8">
        <v>28687</v>
      </c>
      <c r="I60" s="8">
        <v>7493</v>
      </c>
      <c r="J60" s="7">
        <f t="shared" si="1"/>
        <v>112194</v>
      </c>
    </row>
    <row r="61" spans="1:10" ht="12.75">
      <c r="A61" s="6" t="s">
        <v>26</v>
      </c>
      <c r="B61" s="8"/>
      <c r="C61" s="8"/>
      <c r="D61" s="8"/>
      <c r="E61" s="8"/>
      <c r="F61" s="8"/>
      <c r="G61" s="8">
        <v>73147</v>
      </c>
      <c r="H61" s="8">
        <v>27720</v>
      </c>
      <c r="I61" s="8">
        <v>7245</v>
      </c>
      <c r="J61" s="7">
        <f t="shared" si="1"/>
        <v>108112</v>
      </c>
    </row>
    <row r="62" spans="1:10" ht="12.75">
      <c r="A62" s="6" t="s">
        <v>27</v>
      </c>
      <c r="B62" s="8"/>
      <c r="C62" s="8"/>
      <c r="D62" s="8"/>
      <c r="E62" s="8"/>
      <c r="F62" s="8"/>
      <c r="G62" s="8">
        <v>70723</v>
      </c>
      <c r="H62" s="8">
        <v>26708</v>
      </c>
      <c r="I62" s="8">
        <v>6975</v>
      </c>
      <c r="J62" s="7">
        <f t="shared" si="1"/>
        <v>104406</v>
      </c>
    </row>
    <row r="63" spans="1:10" ht="12.75">
      <c r="A63" s="6" t="s">
        <v>28</v>
      </c>
      <c r="B63" s="8"/>
      <c r="C63" s="8"/>
      <c r="D63" s="8"/>
      <c r="E63" s="8"/>
      <c r="F63" s="8"/>
      <c r="G63" s="8">
        <v>68197</v>
      </c>
      <c r="H63" s="8">
        <v>25650</v>
      </c>
      <c r="I63" s="8">
        <v>6705</v>
      </c>
      <c r="J63" s="7">
        <f t="shared" si="1"/>
        <v>100552</v>
      </c>
    </row>
    <row r="64" spans="1:10" ht="12.75">
      <c r="A64" s="6" t="s">
        <v>29</v>
      </c>
      <c r="B64" s="8"/>
      <c r="C64" s="8"/>
      <c r="D64" s="8"/>
      <c r="E64" s="8"/>
      <c r="F64" s="8"/>
      <c r="G64" s="8">
        <v>65557</v>
      </c>
      <c r="H64" s="8">
        <v>24548</v>
      </c>
      <c r="I64" s="8">
        <v>6435</v>
      </c>
      <c r="J64" s="7">
        <f t="shared" si="1"/>
        <v>96540</v>
      </c>
    </row>
    <row r="65" spans="1:10" ht="12.75">
      <c r="A65" s="6" t="s">
        <v>30</v>
      </c>
      <c r="B65" s="8"/>
      <c r="C65" s="8"/>
      <c r="D65" s="8"/>
      <c r="E65" s="8"/>
      <c r="F65" s="8"/>
      <c r="G65" s="8">
        <v>62793</v>
      </c>
      <c r="H65" s="8">
        <v>23400</v>
      </c>
      <c r="I65" s="8">
        <v>6143</v>
      </c>
      <c r="J65" s="7">
        <f t="shared" si="1"/>
        <v>92336</v>
      </c>
    </row>
    <row r="66" spans="1:10" ht="12.75">
      <c r="A66" s="6" t="s">
        <v>31</v>
      </c>
      <c r="B66" s="8"/>
      <c r="C66" s="8"/>
      <c r="D66" s="8"/>
      <c r="E66" s="8"/>
      <c r="F66" s="8"/>
      <c r="G66" s="8">
        <v>59905</v>
      </c>
      <c r="H66" s="8">
        <v>22208</v>
      </c>
      <c r="I66" s="8">
        <v>5827</v>
      </c>
      <c r="J66" s="7">
        <f t="shared" si="1"/>
        <v>87940</v>
      </c>
    </row>
    <row r="67" spans="1:10" ht="12.75">
      <c r="A67" s="6" t="s">
        <v>32</v>
      </c>
      <c r="B67" s="8"/>
      <c r="C67" s="8"/>
      <c r="D67" s="8"/>
      <c r="E67" s="8"/>
      <c r="F67" s="8"/>
      <c r="G67" s="8">
        <v>56884</v>
      </c>
      <c r="H67" s="8">
        <v>20970</v>
      </c>
      <c r="I67" s="8">
        <v>5513</v>
      </c>
      <c r="J67" s="7">
        <f t="shared" si="1"/>
        <v>83367</v>
      </c>
    </row>
    <row r="68" spans="1:10" ht="12.75">
      <c r="A68" s="6" t="s">
        <v>33</v>
      </c>
      <c r="B68" s="8"/>
      <c r="C68" s="8"/>
      <c r="D68" s="8"/>
      <c r="E68" s="8"/>
      <c r="F68" s="8"/>
      <c r="G68" s="8">
        <v>53728</v>
      </c>
      <c r="H68" s="8">
        <v>19665</v>
      </c>
      <c r="I68" s="8">
        <v>5175</v>
      </c>
      <c r="J68" s="7">
        <f t="shared" si="1"/>
        <v>78568</v>
      </c>
    </row>
    <row r="69" spans="1:10" ht="12.75">
      <c r="A69" s="6" t="s">
        <v>34</v>
      </c>
      <c r="B69" s="8"/>
      <c r="C69" s="8"/>
      <c r="D69" s="8"/>
      <c r="E69" s="8"/>
      <c r="F69" s="8"/>
      <c r="G69" s="8">
        <v>50438</v>
      </c>
      <c r="H69" s="8">
        <v>18293</v>
      </c>
      <c r="I69" s="8">
        <v>4815</v>
      </c>
      <c r="J69" s="7">
        <f t="shared" si="1"/>
        <v>73546</v>
      </c>
    </row>
    <row r="70" spans="1:10" ht="12.75">
      <c r="A70" s="6" t="s">
        <v>35</v>
      </c>
      <c r="B70" s="8"/>
      <c r="C70" s="8"/>
      <c r="D70" s="8"/>
      <c r="E70" s="8"/>
      <c r="F70" s="8"/>
      <c r="G70" s="8">
        <v>46994</v>
      </c>
      <c r="H70" s="8">
        <v>16875</v>
      </c>
      <c r="I70" s="8">
        <v>4455</v>
      </c>
      <c r="J70" s="7">
        <f t="shared" si="1"/>
        <v>68324</v>
      </c>
    </row>
    <row r="71" spans="1:10" ht="12.75">
      <c r="A71" s="6" t="s">
        <v>36</v>
      </c>
      <c r="B71" s="8"/>
      <c r="C71" s="8"/>
      <c r="D71" s="8"/>
      <c r="E71" s="8"/>
      <c r="F71" s="8"/>
      <c r="G71" s="8">
        <v>43395</v>
      </c>
      <c r="H71" s="8">
        <v>15390</v>
      </c>
      <c r="I71" s="8">
        <v>4073</v>
      </c>
      <c r="J71" s="7">
        <f t="shared" si="1"/>
        <v>62858</v>
      </c>
    </row>
    <row r="72" spans="1:10" ht="12.75">
      <c r="A72" s="6" t="s">
        <v>37</v>
      </c>
      <c r="B72" s="8"/>
      <c r="C72" s="8"/>
      <c r="D72" s="8"/>
      <c r="E72" s="8"/>
      <c r="F72" s="8"/>
      <c r="G72" s="8">
        <v>39641</v>
      </c>
      <c r="H72" s="8">
        <v>13838</v>
      </c>
      <c r="I72" s="8">
        <v>3667</v>
      </c>
      <c r="J72" s="7">
        <f t="shared" si="1"/>
        <v>57146</v>
      </c>
    </row>
    <row r="73" spans="1:10" ht="12.75">
      <c r="A73" s="6" t="s">
        <v>38</v>
      </c>
      <c r="B73" s="8"/>
      <c r="C73" s="8"/>
      <c r="D73" s="8"/>
      <c r="E73" s="8"/>
      <c r="F73" s="8"/>
      <c r="G73" s="8">
        <v>35712</v>
      </c>
      <c r="H73" s="8">
        <v>12217</v>
      </c>
      <c r="I73" s="8">
        <v>3240</v>
      </c>
      <c r="J73" s="7">
        <f t="shared" si="1"/>
        <v>51169</v>
      </c>
    </row>
    <row r="74" spans="1:10" ht="12.75">
      <c r="A74" s="6" t="s">
        <v>39</v>
      </c>
      <c r="B74" s="8"/>
      <c r="C74" s="8"/>
      <c r="D74" s="8"/>
      <c r="E74" s="8"/>
      <c r="F74" s="8"/>
      <c r="G74" s="8">
        <v>31597</v>
      </c>
      <c r="H74" s="8">
        <v>10530</v>
      </c>
      <c r="I74" s="8">
        <v>2790</v>
      </c>
      <c r="J74" s="7">
        <f t="shared" si="1"/>
        <v>44917</v>
      </c>
    </row>
    <row r="75" spans="1:10" ht="12.75">
      <c r="A75" s="6" t="s">
        <v>40</v>
      </c>
      <c r="B75" s="8"/>
      <c r="C75" s="8"/>
      <c r="D75" s="8"/>
      <c r="E75" s="8"/>
      <c r="F75" s="8"/>
      <c r="G75" s="8">
        <v>27297</v>
      </c>
      <c r="H75" s="8">
        <v>8797</v>
      </c>
      <c r="I75" s="8">
        <v>2340</v>
      </c>
      <c r="J75" s="7">
        <f t="shared" si="1"/>
        <v>38434</v>
      </c>
    </row>
    <row r="76" spans="1:10" ht="12.75">
      <c r="A76" s="6" t="s">
        <v>41</v>
      </c>
      <c r="B76" s="8"/>
      <c r="C76" s="8"/>
      <c r="D76" s="8"/>
      <c r="E76" s="8"/>
      <c r="F76" s="8"/>
      <c r="G76" s="8">
        <v>22811</v>
      </c>
      <c r="H76" s="8">
        <v>6997</v>
      </c>
      <c r="I76" s="8">
        <v>1868</v>
      </c>
      <c r="J76" s="7">
        <f t="shared" si="1"/>
        <v>31676</v>
      </c>
    </row>
    <row r="77" spans="1:10" ht="12.75">
      <c r="A77" s="6" t="s">
        <v>42</v>
      </c>
      <c r="B77" s="8"/>
      <c r="C77" s="8"/>
      <c r="D77" s="8"/>
      <c r="E77" s="8"/>
      <c r="F77" s="8"/>
      <c r="G77" s="8">
        <v>18130</v>
      </c>
      <c r="H77" s="8">
        <v>5107</v>
      </c>
      <c r="I77" s="8">
        <v>1372</v>
      </c>
      <c r="J77" s="7">
        <f t="shared" si="1"/>
        <v>24609</v>
      </c>
    </row>
    <row r="78" spans="1:10" ht="12.75">
      <c r="A78" s="6" t="s">
        <v>43</v>
      </c>
      <c r="B78" s="8"/>
      <c r="C78" s="8"/>
      <c r="D78" s="8"/>
      <c r="E78" s="8"/>
      <c r="F78" s="8"/>
      <c r="G78" s="8">
        <v>13231</v>
      </c>
      <c r="H78" s="8">
        <v>3127</v>
      </c>
      <c r="I78" s="8">
        <v>855</v>
      </c>
      <c r="J78" s="7">
        <f t="shared" si="1"/>
        <v>17213</v>
      </c>
    </row>
    <row r="79" spans="1:10" ht="12.75">
      <c r="A79" s="6" t="s">
        <v>44</v>
      </c>
      <c r="B79" s="8"/>
      <c r="C79" s="8"/>
      <c r="D79" s="8"/>
      <c r="E79" s="8"/>
      <c r="F79" s="8"/>
      <c r="G79" s="8">
        <v>8105</v>
      </c>
      <c r="H79" s="8">
        <v>1057</v>
      </c>
      <c r="I79" s="8">
        <v>292</v>
      </c>
      <c r="J79" s="7">
        <f t="shared" si="1"/>
        <v>9454</v>
      </c>
    </row>
    <row r="80" spans="1:10" ht="12.75">
      <c r="A80" s="6" t="s">
        <v>45</v>
      </c>
      <c r="B80" s="8"/>
      <c r="C80" s="8"/>
      <c r="D80" s="8"/>
      <c r="E80" s="8"/>
      <c r="F80" s="8"/>
      <c r="G80" s="10">
        <v>2743</v>
      </c>
      <c r="H80" s="8"/>
      <c r="I80" s="8"/>
      <c r="J80" s="7">
        <f t="shared" si="1"/>
        <v>2743</v>
      </c>
    </row>
    <row r="81" spans="1:10" ht="12.75">
      <c r="A81" s="6" t="s">
        <v>46</v>
      </c>
      <c r="B81" s="8"/>
      <c r="C81" s="8"/>
      <c r="D81" s="8"/>
      <c r="E81" s="8"/>
      <c r="F81" s="8"/>
      <c r="H81" s="8"/>
      <c r="I81" s="8"/>
      <c r="J81" s="7"/>
    </row>
    <row r="82" spans="1:10" ht="13.5" thickBot="1">
      <c r="A82" s="6"/>
      <c r="B82" s="9">
        <f>SUM(B48:B80)</f>
        <v>423376.30000000005</v>
      </c>
      <c r="C82" s="9">
        <f>SUM(C48:C80)</f>
        <v>15404.27</v>
      </c>
      <c r="D82" s="9">
        <f>SUM(D48:D80)</f>
        <v>0</v>
      </c>
      <c r="E82" s="9">
        <f>SUM(E48:E80)</f>
        <v>300216</v>
      </c>
      <c r="F82" s="9">
        <f>SUM(F48:F80)</f>
        <v>171043</v>
      </c>
      <c r="G82" s="9">
        <f>SUM(G48:G81)</f>
        <v>1980412</v>
      </c>
      <c r="H82" s="9">
        <f>SUM(H48:H80)</f>
        <v>737212</v>
      </c>
      <c r="I82" s="9">
        <f>SUM(I48:I80)</f>
        <v>193094</v>
      </c>
      <c r="J82" s="9">
        <f>SUM(J48:J80)</f>
        <v>3820757.57</v>
      </c>
    </row>
    <row r="83" ht="13.5" thickTop="1"/>
    <row r="84" spans="1:10" ht="12.75">
      <c r="A84" s="1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1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3" t="s">
        <v>48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1"/>
      <c r="B87" s="7"/>
      <c r="C87" s="7"/>
      <c r="D87" s="14" t="s">
        <v>58</v>
      </c>
      <c r="E87" s="7"/>
      <c r="F87" s="7"/>
      <c r="G87" s="7"/>
      <c r="H87" s="7"/>
      <c r="I87" s="7"/>
      <c r="J87" s="7"/>
    </row>
    <row r="88" spans="1:11" s="15" customFormat="1" ht="12.75">
      <c r="A88" s="13" t="s">
        <v>3</v>
      </c>
      <c r="B88" s="14" t="s">
        <v>5</v>
      </c>
      <c r="C88" s="14" t="s">
        <v>56</v>
      </c>
      <c r="D88" s="14" t="s">
        <v>57</v>
      </c>
      <c r="E88" s="14" t="s">
        <v>7</v>
      </c>
      <c r="F88" s="14" t="s">
        <v>8</v>
      </c>
      <c r="G88" s="14">
        <v>2005</v>
      </c>
      <c r="H88" s="14" t="s">
        <v>49</v>
      </c>
      <c r="I88" s="14" t="s">
        <v>50</v>
      </c>
      <c r="J88" s="14" t="s">
        <v>11</v>
      </c>
      <c r="K88" s="14" t="s">
        <v>51</v>
      </c>
    </row>
    <row r="89" spans="1:11" ht="12.75">
      <c r="A89" s="6" t="s">
        <v>13</v>
      </c>
      <c r="B89" s="7">
        <f>41748.75*4+24841</f>
        <v>191836</v>
      </c>
      <c r="C89" s="7">
        <f>C48+C7</f>
        <v>56251.96</v>
      </c>
      <c r="D89" s="7">
        <f>D48+D7</f>
        <v>2163689.45</v>
      </c>
      <c r="E89" s="7">
        <v>193496</v>
      </c>
      <c r="F89" s="7">
        <v>187620</v>
      </c>
      <c r="G89" s="7">
        <f aca="true" t="shared" si="2" ref="G89:I108">+G7+G48</f>
        <v>129097</v>
      </c>
      <c r="H89" s="7">
        <f t="shared" si="2"/>
        <v>49395</v>
      </c>
      <c r="I89" s="7">
        <f t="shared" si="2"/>
        <v>12742</v>
      </c>
      <c r="J89" s="7">
        <f aca="true" t="shared" si="3" ref="J89:J121">SUM(B89:I89)</f>
        <v>2984127.41</v>
      </c>
      <c r="K89" s="16">
        <f aca="true" t="shared" si="4" ref="K89:K121">+E89+H89+I89</f>
        <v>255633</v>
      </c>
    </row>
    <row r="90" spans="1:11" ht="12.75">
      <c r="A90" s="6" t="s">
        <v>14</v>
      </c>
      <c r="B90" s="7">
        <f aca="true" t="shared" si="5" ref="B90:B99">41748.75*4</f>
        <v>166995</v>
      </c>
      <c r="C90" s="7">
        <f>C8+C49</f>
        <v>56252.22</v>
      </c>
      <c r="D90" s="7"/>
      <c r="E90" s="7">
        <v>193296</v>
      </c>
      <c r="F90" s="7">
        <v>187294</v>
      </c>
      <c r="G90" s="7">
        <f t="shared" si="2"/>
        <v>129226</v>
      </c>
      <c r="H90" s="7">
        <f t="shared" si="2"/>
        <v>49833</v>
      </c>
      <c r="I90" s="7">
        <f t="shared" si="2"/>
        <v>12607</v>
      </c>
      <c r="J90" s="7">
        <f t="shared" si="3"/>
        <v>795503.22</v>
      </c>
      <c r="K90" s="16">
        <f t="shared" si="4"/>
        <v>255736</v>
      </c>
    </row>
    <row r="91" spans="1:11" ht="12.75">
      <c r="A91" s="6" t="s">
        <v>15</v>
      </c>
      <c r="B91" s="7">
        <f t="shared" si="5"/>
        <v>166995</v>
      </c>
      <c r="C91" s="7">
        <f>C9+C50</f>
        <v>56252.29</v>
      </c>
      <c r="D91" s="7"/>
      <c r="E91" s="7">
        <v>191796</v>
      </c>
      <c r="F91" s="7">
        <v>186965</v>
      </c>
      <c r="G91" s="7">
        <f t="shared" si="2"/>
        <v>129292</v>
      </c>
      <c r="H91" s="7">
        <f t="shared" si="2"/>
        <v>49247</v>
      </c>
      <c r="I91" s="7">
        <f t="shared" si="2"/>
        <v>12472</v>
      </c>
      <c r="J91" s="7">
        <f t="shared" si="3"/>
        <v>793019.29</v>
      </c>
      <c r="K91" s="16">
        <f t="shared" si="4"/>
        <v>253515</v>
      </c>
    </row>
    <row r="92" spans="1:11" ht="12.75">
      <c r="A92" s="6" t="s">
        <v>16</v>
      </c>
      <c r="B92" s="7">
        <f t="shared" si="5"/>
        <v>166995</v>
      </c>
      <c r="C92" s="7">
        <f>C10+C51</f>
        <v>56251.96000000001</v>
      </c>
      <c r="D92" s="7"/>
      <c r="E92" s="7">
        <v>190835</v>
      </c>
      <c r="F92" s="7">
        <v>186633</v>
      </c>
      <c r="G92" s="7">
        <f t="shared" si="2"/>
        <v>129297</v>
      </c>
      <c r="H92" s="7">
        <f t="shared" si="2"/>
        <v>49640</v>
      </c>
      <c r="I92" s="7">
        <f t="shared" si="2"/>
        <v>13315</v>
      </c>
      <c r="J92" s="7">
        <f t="shared" si="3"/>
        <v>792966.96</v>
      </c>
      <c r="K92" s="16">
        <f t="shared" si="4"/>
        <v>253790</v>
      </c>
    </row>
    <row r="93" spans="1:11" ht="12.75">
      <c r="A93" s="6" t="s">
        <v>17</v>
      </c>
      <c r="B93" s="7">
        <f t="shared" si="5"/>
        <v>166995</v>
      </c>
      <c r="C93" s="7">
        <f>C11+C52</f>
        <v>14048.679999999998</v>
      </c>
      <c r="D93" s="7"/>
      <c r="E93" s="7">
        <v>193550</v>
      </c>
      <c r="F93" s="7">
        <v>186299</v>
      </c>
      <c r="G93" s="7">
        <f t="shared" si="2"/>
        <v>129240</v>
      </c>
      <c r="H93" s="7">
        <f t="shared" si="2"/>
        <v>49988</v>
      </c>
      <c r="I93" s="7">
        <f t="shared" si="2"/>
        <v>13135</v>
      </c>
      <c r="J93" s="7">
        <f t="shared" si="3"/>
        <v>753255.6799999999</v>
      </c>
      <c r="K93" s="16">
        <f t="shared" si="4"/>
        <v>256673</v>
      </c>
    </row>
    <row r="94" spans="1:11" ht="12.75">
      <c r="A94" s="6" t="s">
        <v>18</v>
      </c>
      <c r="B94" s="7">
        <f t="shared" si="5"/>
        <v>166995</v>
      </c>
      <c r="C94" s="7"/>
      <c r="D94" s="7"/>
      <c r="E94" s="7">
        <v>191786</v>
      </c>
      <c r="F94" s="7">
        <v>185960</v>
      </c>
      <c r="G94" s="7">
        <f t="shared" si="2"/>
        <v>129610</v>
      </c>
      <c r="H94" s="7">
        <f t="shared" si="2"/>
        <v>49312</v>
      </c>
      <c r="I94" s="7">
        <f t="shared" si="2"/>
        <v>12955</v>
      </c>
      <c r="J94" s="7">
        <f t="shared" si="3"/>
        <v>736618</v>
      </c>
      <c r="K94" s="16">
        <f t="shared" si="4"/>
        <v>254053</v>
      </c>
    </row>
    <row r="95" spans="1:11" ht="12.75">
      <c r="A95" s="6" t="s">
        <v>19</v>
      </c>
      <c r="B95" s="7">
        <f t="shared" si="5"/>
        <v>166995</v>
      </c>
      <c r="C95" s="7"/>
      <c r="D95" s="7"/>
      <c r="E95" s="7">
        <v>193674</v>
      </c>
      <c r="F95" s="7">
        <v>185617</v>
      </c>
      <c r="G95" s="7">
        <f t="shared" si="2"/>
        <v>129409</v>
      </c>
      <c r="H95" s="7">
        <f t="shared" si="2"/>
        <v>49615</v>
      </c>
      <c r="I95" s="7">
        <f t="shared" si="2"/>
        <v>12775</v>
      </c>
      <c r="J95" s="7">
        <f t="shared" si="3"/>
        <v>738085</v>
      </c>
      <c r="K95" s="16">
        <f t="shared" si="4"/>
        <v>256064</v>
      </c>
    </row>
    <row r="96" spans="1:11" ht="12.75">
      <c r="A96" s="6" t="s">
        <v>20</v>
      </c>
      <c r="B96" s="7">
        <f t="shared" si="5"/>
        <v>166995</v>
      </c>
      <c r="C96" s="8"/>
      <c r="D96" s="8"/>
      <c r="E96" s="8">
        <v>191048</v>
      </c>
      <c r="F96" s="8">
        <v>185272</v>
      </c>
      <c r="G96" s="7">
        <f t="shared" si="2"/>
        <v>129635</v>
      </c>
      <c r="H96" s="7">
        <f t="shared" si="2"/>
        <v>49872</v>
      </c>
      <c r="I96" s="7">
        <f t="shared" si="2"/>
        <v>12595</v>
      </c>
      <c r="J96" s="8">
        <f t="shared" si="3"/>
        <v>735417</v>
      </c>
      <c r="K96" s="16">
        <f t="shared" si="4"/>
        <v>253515</v>
      </c>
    </row>
    <row r="97" spans="1:11" ht="12.75">
      <c r="A97" s="6" t="s">
        <v>21</v>
      </c>
      <c r="B97" s="7">
        <f t="shared" si="5"/>
        <v>166995</v>
      </c>
      <c r="C97" s="8"/>
      <c r="D97" s="8"/>
      <c r="E97" s="8">
        <v>193048</v>
      </c>
      <c r="F97" s="8">
        <v>184925</v>
      </c>
      <c r="G97" s="7">
        <f t="shared" si="2"/>
        <v>129779</v>
      </c>
      <c r="H97" s="7">
        <f t="shared" si="2"/>
        <v>49108</v>
      </c>
      <c r="I97" s="7">
        <f t="shared" si="2"/>
        <v>13392</v>
      </c>
      <c r="J97" s="8">
        <f t="shared" si="3"/>
        <v>737247</v>
      </c>
      <c r="K97" s="16">
        <f t="shared" si="4"/>
        <v>255548</v>
      </c>
    </row>
    <row r="98" spans="1:11" ht="12.75">
      <c r="A98" s="6" t="s">
        <v>22</v>
      </c>
      <c r="B98" s="7">
        <f t="shared" si="5"/>
        <v>166995</v>
      </c>
      <c r="C98" s="8"/>
      <c r="D98" s="8"/>
      <c r="E98" s="8">
        <v>31687</v>
      </c>
      <c r="F98" s="8">
        <v>184571</v>
      </c>
      <c r="G98" s="7">
        <f t="shared" si="2"/>
        <v>129840</v>
      </c>
      <c r="H98" s="7">
        <f t="shared" si="2"/>
        <v>49320</v>
      </c>
      <c r="I98" s="7">
        <f t="shared" si="2"/>
        <v>13167</v>
      </c>
      <c r="J98" s="7">
        <f t="shared" si="3"/>
        <v>575580</v>
      </c>
      <c r="K98" s="16">
        <f t="shared" si="4"/>
        <v>94174</v>
      </c>
    </row>
    <row r="99" spans="1:11" ht="12.75">
      <c r="A99" s="6" t="s">
        <v>23</v>
      </c>
      <c r="B99" s="7">
        <f t="shared" si="5"/>
        <v>166995</v>
      </c>
      <c r="C99" s="8"/>
      <c r="D99" s="8"/>
      <c r="E99" s="8"/>
      <c r="F99" s="8">
        <v>184215</v>
      </c>
      <c r="G99" s="7">
        <f t="shared" si="2"/>
        <v>130308</v>
      </c>
      <c r="H99" s="7">
        <f t="shared" si="2"/>
        <v>49488</v>
      </c>
      <c r="I99" s="7">
        <f t="shared" si="2"/>
        <v>12943</v>
      </c>
      <c r="J99" s="7">
        <f t="shared" si="3"/>
        <v>543949</v>
      </c>
      <c r="K99" s="16">
        <f t="shared" si="4"/>
        <v>62431</v>
      </c>
    </row>
    <row r="100" spans="1:11" ht="12.75">
      <c r="A100" s="6" t="s">
        <v>24</v>
      </c>
      <c r="B100" s="8">
        <f>41748.75*2</f>
        <v>83497.5</v>
      </c>
      <c r="C100" s="8"/>
      <c r="D100" s="8"/>
      <c r="E100" s="8"/>
      <c r="F100" s="8">
        <v>183855</v>
      </c>
      <c r="G100" s="7">
        <f t="shared" si="2"/>
        <v>130184</v>
      </c>
      <c r="H100" s="7">
        <f t="shared" si="2"/>
        <v>49610</v>
      </c>
      <c r="I100" s="7">
        <f t="shared" si="2"/>
        <v>12718</v>
      </c>
      <c r="J100" s="7">
        <f t="shared" si="3"/>
        <v>459864.5</v>
      </c>
      <c r="K100" s="16">
        <f t="shared" si="4"/>
        <v>62328</v>
      </c>
    </row>
    <row r="101" spans="1:11" ht="12.75">
      <c r="A101" s="6" t="s">
        <v>25</v>
      </c>
      <c r="B101" s="8"/>
      <c r="C101" s="8"/>
      <c r="D101" s="8"/>
      <c r="E101" s="8"/>
      <c r="F101" s="8">
        <v>91790</v>
      </c>
      <c r="G101" s="7">
        <f t="shared" si="2"/>
        <v>130467</v>
      </c>
      <c r="H101" s="7">
        <f t="shared" si="2"/>
        <v>49687</v>
      </c>
      <c r="I101" s="7">
        <f t="shared" si="2"/>
        <v>12493</v>
      </c>
      <c r="J101" s="7">
        <f t="shared" si="3"/>
        <v>284437</v>
      </c>
      <c r="K101" s="16">
        <f t="shared" si="4"/>
        <v>62180</v>
      </c>
    </row>
    <row r="102" spans="1:11" ht="12.75">
      <c r="A102" s="6" t="s">
        <v>26</v>
      </c>
      <c r="G102" s="7">
        <f t="shared" si="2"/>
        <v>130647</v>
      </c>
      <c r="H102" s="7">
        <f t="shared" si="2"/>
        <v>49720</v>
      </c>
      <c r="I102" s="7">
        <f t="shared" si="2"/>
        <v>13245</v>
      </c>
      <c r="J102" s="7">
        <f t="shared" si="3"/>
        <v>193612</v>
      </c>
      <c r="K102" s="16">
        <f t="shared" si="4"/>
        <v>62965</v>
      </c>
    </row>
    <row r="103" spans="1:11" ht="12.75">
      <c r="A103" s="6" t="s">
        <v>27</v>
      </c>
      <c r="G103" s="7">
        <f t="shared" si="2"/>
        <v>130723</v>
      </c>
      <c r="H103" s="7">
        <f t="shared" si="2"/>
        <v>49708</v>
      </c>
      <c r="I103" s="7">
        <f t="shared" si="2"/>
        <v>12975</v>
      </c>
      <c r="J103" s="7">
        <f t="shared" si="3"/>
        <v>193406</v>
      </c>
      <c r="K103" s="16">
        <f t="shared" si="4"/>
        <v>62683</v>
      </c>
    </row>
    <row r="104" spans="1:11" ht="12.75">
      <c r="A104" s="6" t="s">
        <v>28</v>
      </c>
      <c r="G104" s="7">
        <f t="shared" si="2"/>
        <v>130697</v>
      </c>
      <c r="H104" s="7">
        <f t="shared" si="2"/>
        <v>49650</v>
      </c>
      <c r="I104" s="7">
        <f t="shared" si="2"/>
        <v>12705</v>
      </c>
      <c r="J104" s="7">
        <f t="shared" si="3"/>
        <v>193052</v>
      </c>
      <c r="K104" s="16">
        <f t="shared" si="4"/>
        <v>62355</v>
      </c>
    </row>
    <row r="105" spans="1:11" ht="12.75">
      <c r="A105" s="6" t="s">
        <v>29</v>
      </c>
      <c r="G105" s="7">
        <f t="shared" si="2"/>
        <v>131057</v>
      </c>
      <c r="H105" s="7">
        <f t="shared" si="2"/>
        <v>49548</v>
      </c>
      <c r="I105" s="7">
        <f t="shared" si="2"/>
        <v>12435</v>
      </c>
      <c r="J105" s="7">
        <f t="shared" si="3"/>
        <v>193040</v>
      </c>
      <c r="K105" s="16">
        <f t="shared" si="4"/>
        <v>61983</v>
      </c>
    </row>
    <row r="106" spans="1:11" ht="12.75">
      <c r="A106" s="6" t="s">
        <v>30</v>
      </c>
      <c r="G106" s="7">
        <f t="shared" si="2"/>
        <v>131293</v>
      </c>
      <c r="H106" s="7">
        <f t="shared" si="2"/>
        <v>49400</v>
      </c>
      <c r="I106" s="7">
        <f t="shared" si="2"/>
        <v>13143</v>
      </c>
      <c r="J106" s="7">
        <f t="shared" si="3"/>
        <v>193836</v>
      </c>
      <c r="K106" s="16">
        <f t="shared" si="4"/>
        <v>62543</v>
      </c>
    </row>
    <row r="107" spans="1:11" ht="12.75">
      <c r="A107" s="6" t="s">
        <v>31</v>
      </c>
      <c r="G107" s="7">
        <f t="shared" si="2"/>
        <v>131405</v>
      </c>
      <c r="H107" s="7">
        <f t="shared" si="2"/>
        <v>49208</v>
      </c>
      <c r="I107" s="7">
        <f t="shared" si="2"/>
        <v>12827</v>
      </c>
      <c r="J107" s="7">
        <f t="shared" si="3"/>
        <v>193440</v>
      </c>
      <c r="K107" s="16">
        <f t="shared" si="4"/>
        <v>62035</v>
      </c>
    </row>
    <row r="108" spans="1:11" ht="12.75">
      <c r="A108" s="6" t="s">
        <v>32</v>
      </c>
      <c r="G108" s="7">
        <f t="shared" si="2"/>
        <v>131884</v>
      </c>
      <c r="H108" s="7">
        <f t="shared" si="2"/>
        <v>48970</v>
      </c>
      <c r="I108" s="7">
        <f t="shared" si="2"/>
        <v>12513</v>
      </c>
      <c r="J108" s="7">
        <f t="shared" si="3"/>
        <v>193367</v>
      </c>
      <c r="K108" s="16">
        <f t="shared" si="4"/>
        <v>61483</v>
      </c>
    </row>
    <row r="109" spans="1:11" ht="12.75">
      <c r="A109" s="6" t="s">
        <v>33</v>
      </c>
      <c r="G109" s="7">
        <f aca="true" t="shared" si="6" ref="G109:I121">+G27+G68</f>
        <v>131728</v>
      </c>
      <c r="H109" s="7">
        <f t="shared" si="6"/>
        <v>49665</v>
      </c>
      <c r="I109" s="7">
        <f t="shared" si="6"/>
        <v>13175</v>
      </c>
      <c r="J109" s="7">
        <f t="shared" si="3"/>
        <v>194568</v>
      </c>
      <c r="K109" s="16">
        <f t="shared" si="4"/>
        <v>62840</v>
      </c>
    </row>
    <row r="110" spans="1:11" ht="12.75">
      <c r="A110" s="6" t="s">
        <v>34</v>
      </c>
      <c r="G110" s="7">
        <f t="shared" si="6"/>
        <v>131938</v>
      </c>
      <c r="H110" s="7">
        <f t="shared" si="6"/>
        <v>49293</v>
      </c>
      <c r="I110" s="7">
        <f t="shared" si="6"/>
        <v>12815</v>
      </c>
      <c r="J110" s="7">
        <f t="shared" si="3"/>
        <v>194046</v>
      </c>
      <c r="K110" s="16">
        <f t="shared" si="4"/>
        <v>62108</v>
      </c>
    </row>
    <row r="111" spans="1:11" ht="12.75">
      <c r="A111" s="6" t="s">
        <v>35</v>
      </c>
      <c r="G111" s="7">
        <f t="shared" si="6"/>
        <v>132494</v>
      </c>
      <c r="H111" s="7">
        <f t="shared" si="6"/>
        <v>48875</v>
      </c>
      <c r="I111" s="7">
        <f t="shared" si="6"/>
        <v>12455</v>
      </c>
      <c r="J111" s="7">
        <f t="shared" si="3"/>
        <v>193824</v>
      </c>
      <c r="K111" s="16">
        <f t="shared" si="4"/>
        <v>61330</v>
      </c>
    </row>
    <row r="112" spans="1:11" ht="12.75">
      <c r="A112" s="6" t="s">
        <v>36</v>
      </c>
      <c r="G112" s="7">
        <f t="shared" si="6"/>
        <v>132395</v>
      </c>
      <c r="H112" s="7">
        <f t="shared" si="6"/>
        <v>49390</v>
      </c>
      <c r="I112" s="7">
        <f t="shared" si="6"/>
        <v>13073</v>
      </c>
      <c r="J112" s="7">
        <f t="shared" si="3"/>
        <v>194858</v>
      </c>
      <c r="K112" s="16">
        <f t="shared" si="4"/>
        <v>62463</v>
      </c>
    </row>
    <row r="113" spans="1:11" ht="12.75">
      <c r="A113" s="6" t="s">
        <v>37</v>
      </c>
      <c r="G113" s="7">
        <f t="shared" si="6"/>
        <v>132641</v>
      </c>
      <c r="H113" s="7">
        <f t="shared" si="6"/>
        <v>48838</v>
      </c>
      <c r="I113" s="7">
        <f t="shared" si="6"/>
        <v>12667</v>
      </c>
      <c r="J113" s="7">
        <f t="shared" si="3"/>
        <v>194146</v>
      </c>
      <c r="K113" s="16">
        <f t="shared" si="4"/>
        <v>61505</v>
      </c>
    </row>
    <row r="114" spans="1:11" ht="12.75">
      <c r="A114" s="6" t="s">
        <v>38</v>
      </c>
      <c r="G114" s="7">
        <f t="shared" si="6"/>
        <v>133212</v>
      </c>
      <c r="H114" s="7">
        <f t="shared" si="6"/>
        <v>49217</v>
      </c>
      <c r="I114" s="7">
        <f t="shared" si="6"/>
        <v>13240</v>
      </c>
      <c r="J114" s="7">
        <f t="shared" si="3"/>
        <v>195669</v>
      </c>
      <c r="K114" s="16">
        <f t="shared" si="4"/>
        <v>62457</v>
      </c>
    </row>
    <row r="115" spans="1:11" ht="12.75">
      <c r="A115" s="6" t="s">
        <v>39</v>
      </c>
      <c r="G115" s="7">
        <f t="shared" si="6"/>
        <v>133597</v>
      </c>
      <c r="H115" s="7">
        <f t="shared" si="6"/>
        <v>48530</v>
      </c>
      <c r="I115" s="7">
        <f t="shared" si="6"/>
        <v>12790</v>
      </c>
      <c r="J115" s="7">
        <f t="shared" si="3"/>
        <v>194917</v>
      </c>
      <c r="K115" s="16">
        <f t="shared" si="4"/>
        <v>61320</v>
      </c>
    </row>
    <row r="116" spans="1:11" ht="12.75">
      <c r="A116" s="6" t="s">
        <v>40</v>
      </c>
      <c r="G116" s="7">
        <f t="shared" si="6"/>
        <v>133797</v>
      </c>
      <c r="H116" s="7">
        <f t="shared" si="6"/>
        <v>47797</v>
      </c>
      <c r="I116" s="7">
        <f t="shared" si="6"/>
        <v>12340</v>
      </c>
      <c r="J116" s="7">
        <f t="shared" si="3"/>
        <v>193934</v>
      </c>
      <c r="K116" s="16">
        <f t="shared" si="4"/>
        <v>60137</v>
      </c>
    </row>
    <row r="117" spans="1:11" ht="12.75">
      <c r="A117" s="6" t="s">
        <v>41</v>
      </c>
      <c r="G117" s="7">
        <f t="shared" si="6"/>
        <v>133811</v>
      </c>
      <c r="H117" s="7">
        <f t="shared" si="6"/>
        <v>47997</v>
      </c>
      <c r="I117" s="7">
        <f t="shared" si="6"/>
        <v>12868</v>
      </c>
      <c r="J117" s="7">
        <f t="shared" si="3"/>
        <v>194676</v>
      </c>
      <c r="K117" s="16">
        <f t="shared" si="4"/>
        <v>60865</v>
      </c>
    </row>
    <row r="118" spans="1:11" ht="12.75">
      <c r="A118" s="6" t="s">
        <v>42</v>
      </c>
      <c r="G118" s="7">
        <f t="shared" si="6"/>
        <v>134130</v>
      </c>
      <c r="H118" s="7">
        <f t="shared" si="6"/>
        <v>48107</v>
      </c>
      <c r="I118" s="7">
        <f t="shared" si="6"/>
        <v>12372</v>
      </c>
      <c r="J118" s="7">
        <f t="shared" si="3"/>
        <v>194609</v>
      </c>
      <c r="K118" s="16">
        <f t="shared" si="4"/>
        <v>60479</v>
      </c>
    </row>
    <row r="119" spans="1:11" ht="12.75">
      <c r="A119" s="6" t="s">
        <v>43</v>
      </c>
      <c r="G119" s="7">
        <f t="shared" si="6"/>
        <v>134731</v>
      </c>
      <c r="H119" s="7">
        <f t="shared" si="6"/>
        <v>48127</v>
      </c>
      <c r="I119" s="7">
        <f t="shared" si="6"/>
        <v>12855</v>
      </c>
      <c r="J119" s="7">
        <f t="shared" si="3"/>
        <v>195713</v>
      </c>
      <c r="K119" s="16">
        <f t="shared" si="4"/>
        <v>60982</v>
      </c>
    </row>
    <row r="120" spans="1:11" ht="12.75">
      <c r="A120" s="6" t="s">
        <v>44</v>
      </c>
      <c r="G120" s="7">
        <f t="shared" si="6"/>
        <v>135105</v>
      </c>
      <c r="H120" s="7">
        <f t="shared" si="6"/>
        <v>48057</v>
      </c>
      <c r="I120" s="7">
        <f t="shared" si="6"/>
        <v>13292</v>
      </c>
      <c r="J120" s="7">
        <f t="shared" si="3"/>
        <v>196454</v>
      </c>
      <c r="K120" s="16">
        <f t="shared" si="4"/>
        <v>61349</v>
      </c>
    </row>
    <row r="121" spans="1:11" ht="12.75">
      <c r="A121" s="6" t="s">
        <v>45</v>
      </c>
      <c r="G121" s="12">
        <f t="shared" si="6"/>
        <v>135743</v>
      </c>
      <c r="H121" s="7">
        <f t="shared" si="6"/>
        <v>0</v>
      </c>
      <c r="I121" s="7">
        <f t="shared" si="6"/>
        <v>0</v>
      </c>
      <c r="J121" s="7">
        <f t="shared" si="3"/>
        <v>135743</v>
      </c>
      <c r="K121" s="16">
        <f t="shared" si="4"/>
        <v>0</v>
      </c>
    </row>
    <row r="122" spans="2:10" ht="13.5" thickBot="1">
      <c r="B122" s="9">
        <f>SUM(B89:B101)</f>
        <v>1945283.5</v>
      </c>
      <c r="C122" s="9">
        <f>SUM(C89:C101)</f>
        <v>239057.11</v>
      </c>
      <c r="D122" s="9">
        <f>SUM(D89:D101)</f>
        <v>2163689.45</v>
      </c>
      <c r="E122" s="9">
        <f>SUM(E89:E101)</f>
        <v>1764216</v>
      </c>
      <c r="F122" s="9">
        <f>SUM(F89:F101)</f>
        <v>2321016</v>
      </c>
      <c r="G122" s="9">
        <f>SUM(G89:G121)</f>
        <v>4338412</v>
      </c>
      <c r="H122" s="9">
        <f>SUM(H89:H101)</f>
        <v>644115</v>
      </c>
      <c r="I122" s="9">
        <f>SUM(I89:I101)</f>
        <v>167309</v>
      </c>
      <c r="J122" s="9">
        <f>SUM(J89:J121)</f>
        <v>14756980.059999999</v>
      </c>
    </row>
    <row r="123" ht="13.5" thickTop="1"/>
  </sheetData>
  <sheetProtection/>
  <printOptions/>
  <pageMargins left="0.75" right="0.75" top="1" bottom="1" header="0.5" footer="0.5"/>
  <pageSetup horizontalDpi="600" verticalDpi="600" orientation="portrait" scale="64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J13" sqref="J13"/>
    </sheetView>
  </sheetViews>
  <sheetFormatPr defaultColWidth="11.7109375" defaultRowHeight="12.75"/>
  <cols>
    <col min="1" max="9" width="11.7109375" style="2" customWidth="1"/>
    <col min="10" max="10" width="14.140625" style="2" customWidth="1"/>
    <col min="11" max="11" width="15.57421875" style="2" bestFit="1" customWidth="1"/>
    <col min="12" max="16384" width="11.7109375" style="2" customWidth="1"/>
  </cols>
  <sheetData>
    <row r="1" spans="1:8" ht="12.75">
      <c r="A1" s="1" t="s">
        <v>0</v>
      </c>
      <c r="H1" s="2" t="s">
        <v>60</v>
      </c>
    </row>
    <row r="2" ht="12.75">
      <c r="A2" s="1" t="s">
        <v>1</v>
      </c>
    </row>
    <row r="3" ht="12.75">
      <c r="A3" s="1"/>
    </row>
    <row r="4" ht="12.75">
      <c r="A4" s="3" t="s">
        <v>2</v>
      </c>
    </row>
    <row r="5" ht="12.75">
      <c r="A5" s="1"/>
    </row>
    <row r="6" spans="1:10" s="15" customFormat="1" ht="12.75">
      <c r="A6" s="13" t="s">
        <v>3</v>
      </c>
      <c r="B6" s="14" t="s">
        <v>5</v>
      </c>
      <c r="C6" s="14" t="s">
        <v>56</v>
      </c>
      <c r="D6" s="14" t="s">
        <v>7</v>
      </c>
      <c r="E6" s="14" t="s">
        <v>8</v>
      </c>
      <c r="F6" s="14">
        <v>2005</v>
      </c>
      <c r="G6" s="14" t="s">
        <v>9</v>
      </c>
      <c r="H6" s="14" t="s">
        <v>10</v>
      </c>
      <c r="I6" s="14">
        <v>2011</v>
      </c>
      <c r="J6" s="14" t="s">
        <v>11</v>
      </c>
    </row>
    <row r="7" spans="1:10" ht="12.75">
      <c r="A7" s="6" t="s">
        <v>14</v>
      </c>
      <c r="B7" s="7">
        <f>26241.82+26533.53+26828.49+27126.73</f>
        <v>106730.56999999999</v>
      </c>
      <c r="C7" s="7">
        <f>12759.9+12855.87+12952.53+13049.92</f>
        <v>51618.22</v>
      </c>
      <c r="D7" s="7">
        <v>144000</v>
      </c>
      <c r="E7" s="7">
        <v>163933</v>
      </c>
      <c r="F7" s="7">
        <v>34000</v>
      </c>
      <c r="G7" s="7">
        <v>13000</v>
      </c>
      <c r="H7" s="7">
        <v>3000</v>
      </c>
      <c r="J7" s="7">
        <f aca="true" t="shared" si="0" ref="J7:J45">SUM(B7:I7)</f>
        <v>516281.79</v>
      </c>
    </row>
    <row r="8" spans="1:10" ht="15">
      <c r="A8" s="6" t="s">
        <v>15</v>
      </c>
      <c r="B8" s="7">
        <f>27428.28+27733.19+28041.48+28353.21</f>
        <v>111556.16</v>
      </c>
      <c r="C8" s="7">
        <f>13148.04+13246.9+13346.5+13446.85</f>
        <v>53188.29</v>
      </c>
      <c r="D8" s="7">
        <v>147000</v>
      </c>
      <c r="E8" s="7">
        <v>165576</v>
      </c>
      <c r="F8" s="7">
        <v>35500</v>
      </c>
      <c r="G8" s="7">
        <v>13000</v>
      </c>
      <c r="H8" s="7">
        <v>3000</v>
      </c>
      <c r="I8" s="19">
        <v>117400</v>
      </c>
      <c r="J8" s="7">
        <f t="shared" si="0"/>
        <v>646220.45</v>
      </c>
    </row>
    <row r="9" spans="1:10" ht="15">
      <c r="A9" s="6" t="s">
        <v>16</v>
      </c>
      <c r="B9" s="7">
        <f>28668.39+28987.08+29309.32+29635.13</f>
        <v>116599.92000000001</v>
      </c>
      <c r="C9" s="7">
        <f>13547.95+13649.81+13752.44+13855.84</f>
        <v>54806.04000000001</v>
      </c>
      <c r="D9" s="7">
        <v>151000</v>
      </c>
      <c r="E9" s="7">
        <v>167236</v>
      </c>
      <c r="F9" s="7">
        <v>37000</v>
      </c>
      <c r="G9" s="7">
        <v>14000</v>
      </c>
      <c r="H9" s="7">
        <v>4000</v>
      </c>
      <c r="I9" s="19">
        <v>120700</v>
      </c>
      <c r="J9" s="7">
        <f t="shared" si="0"/>
        <v>665341.96</v>
      </c>
    </row>
    <row r="10" spans="1:10" ht="15">
      <c r="A10" s="6" t="s">
        <v>17</v>
      </c>
      <c r="B10" s="7">
        <f>29964.57+30297.67+30634.47+30975.02</f>
        <v>121871.73</v>
      </c>
      <c r="C10" s="7">
        <f>13694.71+251</f>
        <v>13945.71</v>
      </c>
      <c r="D10" s="7">
        <v>159000</v>
      </c>
      <c r="E10" s="7">
        <v>168913</v>
      </c>
      <c r="F10" s="7">
        <v>38500</v>
      </c>
      <c r="G10" s="7">
        <v>15000</v>
      </c>
      <c r="H10" s="7">
        <v>4000</v>
      </c>
      <c r="I10" s="19">
        <v>124000</v>
      </c>
      <c r="J10" s="7">
        <f t="shared" si="0"/>
        <v>645230.44</v>
      </c>
    </row>
    <row r="11" spans="1:10" ht="15">
      <c r="A11" s="6" t="s">
        <v>18</v>
      </c>
      <c r="B11" s="7">
        <f>31319.35+31667.51+32019.54+32375.49</f>
        <v>127381.89</v>
      </c>
      <c r="C11" s="7"/>
      <c r="D11" s="7">
        <v>163000</v>
      </c>
      <c r="E11" s="7">
        <v>170606</v>
      </c>
      <c r="F11" s="7">
        <v>40500</v>
      </c>
      <c r="G11" s="7">
        <v>15000</v>
      </c>
      <c r="H11" s="7">
        <v>4000</v>
      </c>
      <c r="I11" s="19">
        <v>127400</v>
      </c>
      <c r="J11" s="7">
        <f t="shared" si="0"/>
        <v>647887.89</v>
      </c>
    </row>
    <row r="12" spans="1:10" ht="15">
      <c r="A12" s="6" t="s">
        <v>19</v>
      </c>
      <c r="B12" s="7">
        <f>32735.39+33099.29+33467.24+33839.28</f>
        <v>133141.19999999998</v>
      </c>
      <c r="C12" s="7"/>
      <c r="D12" s="7">
        <v>171000</v>
      </c>
      <c r="E12" s="7">
        <v>172316</v>
      </c>
      <c r="F12" s="8">
        <v>42000</v>
      </c>
      <c r="G12" s="7">
        <v>16000</v>
      </c>
      <c r="H12" s="7">
        <v>4000</v>
      </c>
      <c r="I12" s="19">
        <v>130900</v>
      </c>
      <c r="J12" s="7">
        <f t="shared" si="0"/>
        <v>669357.2</v>
      </c>
    </row>
    <row r="13" spans="1:10" ht="15">
      <c r="A13" s="6" t="s">
        <v>20</v>
      </c>
      <c r="B13" s="8">
        <f>34215.45+34595.8+34980.39+35369.24</f>
        <v>139160.88</v>
      </c>
      <c r="C13" s="8"/>
      <c r="D13" s="8">
        <v>175000</v>
      </c>
      <c r="E13" s="8">
        <v>174044</v>
      </c>
      <c r="F13" s="8">
        <v>44000</v>
      </c>
      <c r="G13" s="8">
        <v>17000</v>
      </c>
      <c r="H13" s="8">
        <v>4000</v>
      </c>
      <c r="I13" s="19">
        <v>134500</v>
      </c>
      <c r="J13" s="8">
        <f t="shared" si="0"/>
        <v>687704.88</v>
      </c>
    </row>
    <row r="14" spans="1:10" ht="15">
      <c r="A14" s="6" t="s">
        <v>21</v>
      </c>
      <c r="B14" s="8">
        <f>35762.42+36159.98+36561.95+36968.39</f>
        <v>145452.74</v>
      </c>
      <c r="C14" s="8"/>
      <c r="D14" s="8">
        <v>184000</v>
      </c>
      <c r="E14" s="8">
        <v>175789</v>
      </c>
      <c r="F14" s="8">
        <v>46000</v>
      </c>
      <c r="G14" s="8">
        <v>17000</v>
      </c>
      <c r="H14" s="8">
        <v>5000</v>
      </c>
      <c r="I14" s="19">
        <v>138200</v>
      </c>
      <c r="J14" s="8">
        <f t="shared" si="0"/>
        <v>711441.74</v>
      </c>
    </row>
    <row r="15" spans="1:10" ht="15">
      <c r="A15" s="6" t="s">
        <v>22</v>
      </c>
      <c r="B15" s="8">
        <f>37379.34+37794.87+38215.01+38639.83</f>
        <v>152029.05</v>
      </c>
      <c r="C15" s="8"/>
      <c r="D15" s="8">
        <v>30000</v>
      </c>
      <c r="E15" s="8">
        <v>177551</v>
      </c>
      <c r="F15" s="8">
        <v>48000</v>
      </c>
      <c r="G15" s="8">
        <v>18000</v>
      </c>
      <c r="H15" s="8">
        <v>5000</v>
      </c>
      <c r="I15" s="19">
        <v>142000</v>
      </c>
      <c r="J15" s="7">
        <f t="shared" si="0"/>
        <v>572580.05</v>
      </c>
    </row>
    <row r="16" spans="1:10" ht="15">
      <c r="A16" s="6" t="s">
        <v>23</v>
      </c>
      <c r="B16" s="8">
        <f>39069.37+39503.68+39942.82+40386.85</f>
        <v>158902.72</v>
      </c>
      <c r="C16" s="8"/>
      <c r="D16" s="8"/>
      <c r="E16" s="8">
        <v>179331</v>
      </c>
      <c r="F16" s="8">
        <v>50500</v>
      </c>
      <c r="G16" s="8">
        <v>19000</v>
      </c>
      <c r="H16" s="8">
        <v>5000</v>
      </c>
      <c r="I16" s="19">
        <v>145900</v>
      </c>
      <c r="J16" s="7">
        <f t="shared" si="0"/>
        <v>558633.72</v>
      </c>
    </row>
    <row r="17" spans="1:10" ht="15">
      <c r="A17" s="6" t="s">
        <v>24</v>
      </c>
      <c r="B17" s="8">
        <f>40835.8+41289.81</f>
        <v>82125.61</v>
      </c>
      <c r="C17" s="8"/>
      <c r="D17" s="8"/>
      <c r="E17" s="8">
        <v>181129</v>
      </c>
      <c r="F17" s="8">
        <v>52500</v>
      </c>
      <c r="G17" s="8">
        <v>20000</v>
      </c>
      <c r="H17" s="8">
        <v>5000</v>
      </c>
      <c r="I17" s="19">
        <v>149900</v>
      </c>
      <c r="J17" s="8">
        <f t="shared" si="0"/>
        <v>490654.61</v>
      </c>
    </row>
    <row r="18" spans="1:10" ht="15">
      <c r="A18" s="6" t="s">
        <v>25</v>
      </c>
      <c r="B18" s="8"/>
      <c r="C18" s="8"/>
      <c r="D18" s="8"/>
      <c r="E18" s="8">
        <v>91243</v>
      </c>
      <c r="F18" s="8">
        <v>55000</v>
      </c>
      <c r="G18" s="8">
        <v>21000</v>
      </c>
      <c r="H18" s="8">
        <v>5000</v>
      </c>
      <c r="I18" s="19">
        <v>154000</v>
      </c>
      <c r="J18" s="7">
        <f t="shared" si="0"/>
        <v>326243</v>
      </c>
    </row>
    <row r="19" spans="1:10" ht="15">
      <c r="A19" s="6" t="s">
        <v>26</v>
      </c>
      <c r="B19" s="8"/>
      <c r="C19" s="8"/>
      <c r="D19" s="8"/>
      <c r="E19" s="8"/>
      <c r="F19" s="8">
        <v>57500</v>
      </c>
      <c r="G19" s="8">
        <v>22000</v>
      </c>
      <c r="H19" s="8">
        <v>6000</v>
      </c>
      <c r="I19" s="19">
        <v>158300</v>
      </c>
      <c r="J19" s="7">
        <f t="shared" si="0"/>
        <v>243800</v>
      </c>
    </row>
    <row r="20" spans="1:10" ht="15">
      <c r="A20" s="6" t="s">
        <v>27</v>
      </c>
      <c r="B20" s="8"/>
      <c r="C20" s="8"/>
      <c r="D20" s="8"/>
      <c r="E20" s="8"/>
      <c r="F20" s="8">
        <v>60000</v>
      </c>
      <c r="G20" s="8">
        <v>23000</v>
      </c>
      <c r="H20" s="8">
        <v>6000</v>
      </c>
      <c r="I20" s="19">
        <v>162600</v>
      </c>
      <c r="J20" s="7">
        <f t="shared" si="0"/>
        <v>251600</v>
      </c>
    </row>
    <row r="21" spans="1:10" ht="15">
      <c r="A21" s="6" t="s">
        <v>28</v>
      </c>
      <c r="B21" s="8"/>
      <c r="C21" s="8"/>
      <c r="D21" s="8"/>
      <c r="E21" s="8"/>
      <c r="F21" s="8">
        <v>62500</v>
      </c>
      <c r="G21" s="8">
        <v>24000</v>
      </c>
      <c r="H21" s="8">
        <v>6000</v>
      </c>
      <c r="I21" s="19">
        <v>167100</v>
      </c>
      <c r="J21" s="7">
        <f t="shared" si="0"/>
        <v>259600</v>
      </c>
    </row>
    <row r="22" spans="1:10" ht="15">
      <c r="A22" s="6" t="s">
        <v>29</v>
      </c>
      <c r="B22" s="8"/>
      <c r="C22" s="8"/>
      <c r="D22" s="8"/>
      <c r="E22" s="8"/>
      <c r="F22" s="8">
        <v>65500</v>
      </c>
      <c r="G22" s="8">
        <v>25000</v>
      </c>
      <c r="H22" s="8">
        <v>6000</v>
      </c>
      <c r="I22" s="19">
        <v>171700</v>
      </c>
      <c r="J22" s="7">
        <f t="shared" si="0"/>
        <v>268200</v>
      </c>
    </row>
    <row r="23" spans="1:10" ht="15">
      <c r="A23" s="6" t="s">
        <v>30</v>
      </c>
      <c r="B23" s="8"/>
      <c r="C23" s="8"/>
      <c r="D23" s="8"/>
      <c r="E23" s="8"/>
      <c r="F23" s="8">
        <v>68500</v>
      </c>
      <c r="G23" s="8">
        <v>26000</v>
      </c>
      <c r="H23" s="8">
        <v>7000</v>
      </c>
      <c r="I23" s="19">
        <v>176400</v>
      </c>
      <c r="J23" s="7">
        <f t="shared" si="0"/>
        <v>277900</v>
      </c>
    </row>
    <row r="24" spans="1:10" ht="15">
      <c r="A24" s="6" t="s">
        <v>31</v>
      </c>
      <c r="B24" s="8"/>
      <c r="C24" s="8"/>
      <c r="D24" s="8"/>
      <c r="E24" s="8"/>
      <c r="F24" s="8">
        <v>71500</v>
      </c>
      <c r="G24" s="8">
        <v>27000</v>
      </c>
      <c r="H24" s="8">
        <v>7000</v>
      </c>
      <c r="I24" s="19">
        <v>181300</v>
      </c>
      <c r="J24" s="7">
        <f t="shared" si="0"/>
        <v>286800</v>
      </c>
    </row>
    <row r="25" spans="1:10" ht="15">
      <c r="A25" s="6" t="s">
        <v>32</v>
      </c>
      <c r="B25" s="8"/>
      <c r="C25" s="8"/>
      <c r="D25" s="8"/>
      <c r="E25" s="8"/>
      <c r="F25" s="8">
        <v>75000</v>
      </c>
      <c r="G25" s="8">
        <v>28000</v>
      </c>
      <c r="H25" s="8">
        <v>7000</v>
      </c>
      <c r="I25" s="19">
        <v>186200</v>
      </c>
      <c r="J25" s="7">
        <f t="shared" si="0"/>
        <v>296200</v>
      </c>
    </row>
    <row r="26" spans="1:10" ht="15">
      <c r="A26" s="6" t="s">
        <v>33</v>
      </c>
      <c r="B26" s="8"/>
      <c r="C26" s="8"/>
      <c r="D26" s="8"/>
      <c r="E26" s="8"/>
      <c r="F26" s="8">
        <v>78000</v>
      </c>
      <c r="G26" s="8">
        <v>30000</v>
      </c>
      <c r="H26" s="8">
        <v>8000</v>
      </c>
      <c r="I26" s="19">
        <v>191400</v>
      </c>
      <c r="J26" s="7">
        <f t="shared" si="0"/>
        <v>307400</v>
      </c>
    </row>
    <row r="27" spans="1:10" ht="15">
      <c r="A27" s="6" t="s">
        <v>34</v>
      </c>
      <c r="B27" s="8"/>
      <c r="C27" s="8"/>
      <c r="D27" s="8"/>
      <c r="E27" s="8"/>
      <c r="F27" s="8">
        <v>81500</v>
      </c>
      <c r="G27" s="8">
        <v>31000</v>
      </c>
      <c r="H27" s="8">
        <v>8000</v>
      </c>
      <c r="I27" s="19">
        <v>196600</v>
      </c>
      <c r="J27" s="7">
        <f t="shared" si="0"/>
        <v>317100</v>
      </c>
    </row>
    <row r="28" spans="1:10" ht="15">
      <c r="A28" s="6" t="s">
        <v>35</v>
      </c>
      <c r="B28" s="8"/>
      <c r="C28" s="8"/>
      <c r="D28" s="8"/>
      <c r="E28" s="8"/>
      <c r="F28" s="8">
        <v>85500</v>
      </c>
      <c r="G28" s="8">
        <v>32000</v>
      </c>
      <c r="H28" s="8">
        <v>8000</v>
      </c>
      <c r="I28" s="19">
        <v>202000</v>
      </c>
      <c r="J28" s="7">
        <f t="shared" si="0"/>
        <v>327500</v>
      </c>
    </row>
    <row r="29" spans="1:10" ht="15">
      <c r="A29" s="6" t="s">
        <v>36</v>
      </c>
      <c r="B29" s="8"/>
      <c r="C29" s="8"/>
      <c r="D29" s="8"/>
      <c r="E29" s="8"/>
      <c r="F29" s="8">
        <v>89000</v>
      </c>
      <c r="G29" s="8">
        <v>34000</v>
      </c>
      <c r="H29" s="8">
        <v>9000</v>
      </c>
      <c r="I29" s="19">
        <v>207600</v>
      </c>
      <c r="J29" s="7">
        <f t="shared" si="0"/>
        <v>339600</v>
      </c>
    </row>
    <row r="30" spans="1:10" ht="15">
      <c r="A30" s="6" t="s">
        <v>37</v>
      </c>
      <c r="B30" s="8"/>
      <c r="C30" s="8"/>
      <c r="D30" s="8"/>
      <c r="E30" s="8"/>
      <c r="F30" s="8">
        <v>93000</v>
      </c>
      <c r="G30" s="8">
        <v>35000</v>
      </c>
      <c r="H30" s="8">
        <v>9000</v>
      </c>
      <c r="I30" s="19">
        <v>213300</v>
      </c>
      <c r="J30" s="7">
        <f t="shared" si="0"/>
        <v>350300</v>
      </c>
    </row>
    <row r="31" spans="1:10" ht="15">
      <c r="A31" s="6" t="s">
        <v>38</v>
      </c>
      <c r="B31" s="8"/>
      <c r="C31" s="8"/>
      <c r="D31" s="8"/>
      <c r="E31" s="8"/>
      <c r="F31" s="8">
        <v>97500</v>
      </c>
      <c r="G31" s="8">
        <v>37000</v>
      </c>
      <c r="H31" s="8">
        <v>10000</v>
      </c>
      <c r="I31" s="19">
        <v>219200</v>
      </c>
      <c r="J31" s="7">
        <f t="shared" si="0"/>
        <v>363700</v>
      </c>
    </row>
    <row r="32" spans="1:10" ht="15">
      <c r="A32" s="6" t="s">
        <v>39</v>
      </c>
      <c r="B32" s="8"/>
      <c r="C32" s="8"/>
      <c r="D32" s="8"/>
      <c r="E32" s="8"/>
      <c r="F32" s="8">
        <v>102000</v>
      </c>
      <c r="G32" s="8">
        <v>38000</v>
      </c>
      <c r="H32" s="8">
        <v>10000</v>
      </c>
      <c r="I32" s="19">
        <v>225200</v>
      </c>
      <c r="J32" s="7">
        <f t="shared" si="0"/>
        <v>375200</v>
      </c>
    </row>
    <row r="33" spans="1:10" ht="15">
      <c r="A33" s="6" t="s">
        <v>40</v>
      </c>
      <c r="B33" s="8"/>
      <c r="C33" s="8"/>
      <c r="D33" s="8"/>
      <c r="E33" s="8"/>
      <c r="F33" s="8">
        <v>106500</v>
      </c>
      <c r="G33" s="8">
        <v>39000</v>
      </c>
      <c r="H33" s="8">
        <v>10000</v>
      </c>
      <c r="I33" s="19">
        <v>231400</v>
      </c>
      <c r="J33" s="7">
        <f t="shared" si="0"/>
        <v>386900</v>
      </c>
    </row>
    <row r="34" spans="1:10" ht="15">
      <c r="A34" s="6" t="s">
        <v>41</v>
      </c>
      <c r="B34" s="8"/>
      <c r="C34" s="8"/>
      <c r="D34" s="8"/>
      <c r="E34" s="8"/>
      <c r="F34" s="8">
        <v>111000</v>
      </c>
      <c r="G34" s="8">
        <v>41000</v>
      </c>
      <c r="H34" s="8">
        <v>11000</v>
      </c>
      <c r="I34" s="19">
        <v>237700</v>
      </c>
      <c r="J34" s="7">
        <f t="shared" si="0"/>
        <v>400700</v>
      </c>
    </row>
    <row r="35" spans="1:10" ht="15">
      <c r="A35" s="6" t="s">
        <v>42</v>
      </c>
      <c r="B35" s="8"/>
      <c r="C35" s="8"/>
      <c r="D35" s="8"/>
      <c r="E35" s="8"/>
      <c r="F35" s="8">
        <v>116000</v>
      </c>
      <c r="G35" s="8">
        <v>43000</v>
      </c>
      <c r="H35" s="8">
        <v>11000</v>
      </c>
      <c r="I35" s="19">
        <v>244300</v>
      </c>
      <c r="J35" s="7">
        <f t="shared" si="0"/>
        <v>414300</v>
      </c>
    </row>
    <row r="36" spans="1:10" ht="15">
      <c r="A36" s="6" t="s">
        <v>43</v>
      </c>
      <c r="B36" s="8"/>
      <c r="C36" s="8"/>
      <c r="D36" s="8"/>
      <c r="E36" s="8"/>
      <c r="F36" s="8">
        <v>121500</v>
      </c>
      <c r="G36" s="8">
        <v>45000</v>
      </c>
      <c r="H36" s="8">
        <v>12000</v>
      </c>
      <c r="I36" s="19">
        <v>251000</v>
      </c>
      <c r="J36" s="7">
        <f t="shared" si="0"/>
        <v>429500</v>
      </c>
    </row>
    <row r="37" spans="1:10" ht="15">
      <c r="A37" s="6" t="s">
        <v>44</v>
      </c>
      <c r="B37" s="8"/>
      <c r="C37" s="8"/>
      <c r="D37" s="8"/>
      <c r="E37" s="8"/>
      <c r="F37" s="8">
        <v>127000</v>
      </c>
      <c r="G37" s="8">
        <v>47000</v>
      </c>
      <c r="H37" s="8">
        <v>13000</v>
      </c>
      <c r="I37" s="19">
        <v>257900</v>
      </c>
      <c r="J37" s="7">
        <f t="shared" si="0"/>
        <v>444900</v>
      </c>
    </row>
    <row r="38" spans="1:10" ht="15">
      <c r="A38" s="6" t="s">
        <v>45</v>
      </c>
      <c r="B38" s="8"/>
      <c r="C38" s="8"/>
      <c r="D38" s="8"/>
      <c r="E38" s="8"/>
      <c r="F38" s="8">
        <v>133000</v>
      </c>
      <c r="G38" s="8"/>
      <c r="H38" s="8"/>
      <c r="I38" s="19">
        <v>265000</v>
      </c>
      <c r="J38" s="7">
        <f t="shared" si="0"/>
        <v>398000</v>
      </c>
    </row>
    <row r="39" spans="1:10" ht="15">
      <c r="A39" s="17">
        <v>2045</v>
      </c>
      <c r="B39" s="8"/>
      <c r="C39" s="8"/>
      <c r="D39" s="8"/>
      <c r="E39" s="8"/>
      <c r="F39" s="8"/>
      <c r="G39" s="8"/>
      <c r="H39" s="8"/>
      <c r="I39" s="19">
        <v>272300</v>
      </c>
      <c r="J39" s="7">
        <f t="shared" si="0"/>
        <v>272300</v>
      </c>
    </row>
    <row r="40" spans="1:10" ht="15">
      <c r="A40" s="17">
        <v>2046</v>
      </c>
      <c r="B40" s="8"/>
      <c r="C40" s="8"/>
      <c r="D40" s="8"/>
      <c r="E40" s="8"/>
      <c r="F40" s="8"/>
      <c r="G40" s="8"/>
      <c r="H40" s="8"/>
      <c r="I40" s="19">
        <v>279800</v>
      </c>
      <c r="J40" s="7">
        <f t="shared" si="0"/>
        <v>279800</v>
      </c>
    </row>
    <row r="41" spans="1:10" ht="15">
      <c r="A41" s="17">
        <v>2047</v>
      </c>
      <c r="B41" s="8"/>
      <c r="C41" s="8"/>
      <c r="D41" s="8"/>
      <c r="E41" s="8"/>
      <c r="F41" s="8"/>
      <c r="G41" s="8"/>
      <c r="H41" s="8"/>
      <c r="I41" s="19">
        <v>287500</v>
      </c>
      <c r="J41" s="7">
        <f t="shared" si="0"/>
        <v>287500</v>
      </c>
    </row>
    <row r="42" spans="1:10" ht="15">
      <c r="A42" s="17">
        <v>2048</v>
      </c>
      <c r="B42" s="8"/>
      <c r="C42" s="8"/>
      <c r="D42" s="8"/>
      <c r="E42" s="8"/>
      <c r="F42" s="8"/>
      <c r="G42" s="8"/>
      <c r="H42" s="8"/>
      <c r="I42" s="19">
        <v>295400</v>
      </c>
      <c r="J42" s="7">
        <f t="shared" si="0"/>
        <v>295400</v>
      </c>
    </row>
    <row r="43" spans="1:10" ht="15">
      <c r="A43" s="17">
        <v>2049</v>
      </c>
      <c r="B43" s="8"/>
      <c r="C43" s="8"/>
      <c r="D43" s="8"/>
      <c r="E43" s="8"/>
      <c r="F43" s="8"/>
      <c r="G43" s="8"/>
      <c r="H43" s="8"/>
      <c r="I43" s="19">
        <v>303500</v>
      </c>
      <c r="J43" s="7">
        <f t="shared" si="0"/>
        <v>303500</v>
      </c>
    </row>
    <row r="44" spans="1:10" ht="15">
      <c r="A44" s="17">
        <v>2050</v>
      </c>
      <c r="B44" s="8"/>
      <c r="C44" s="8"/>
      <c r="D44" s="8"/>
      <c r="E44" s="8"/>
      <c r="G44" s="8"/>
      <c r="H44" s="8"/>
      <c r="I44" s="19">
        <v>311800</v>
      </c>
      <c r="J44" s="7">
        <f t="shared" si="0"/>
        <v>311800</v>
      </c>
    </row>
    <row r="45" spans="1:10" ht="15">
      <c r="A45" s="17">
        <v>2051</v>
      </c>
      <c r="B45" s="8"/>
      <c r="C45" s="8"/>
      <c r="D45" s="8"/>
      <c r="E45" s="8"/>
      <c r="G45" s="8"/>
      <c r="H45" s="8"/>
      <c r="I45" s="19">
        <v>318600</v>
      </c>
      <c r="J45" s="7">
        <f t="shared" si="0"/>
        <v>318600</v>
      </c>
    </row>
    <row r="47" spans="1:10" ht="13.5" thickBot="1">
      <c r="A47" s="6"/>
      <c r="B47" s="9">
        <f>SUM(B7:B44)</f>
        <v>1394952.47</v>
      </c>
      <c r="C47" s="9">
        <f>SUM(C7:C44)</f>
        <v>173558.26</v>
      </c>
      <c r="D47" s="9">
        <f>SUM(D7:D44)</f>
        <v>1324000</v>
      </c>
      <c r="E47" s="9">
        <f>SUM(E7:E44)</f>
        <v>1987667</v>
      </c>
      <c r="F47" s="9">
        <f>SUM(F7:F38)</f>
        <v>2325500</v>
      </c>
      <c r="G47" s="9">
        <f>SUM(G7:G44)</f>
        <v>825000</v>
      </c>
      <c r="H47" s="9">
        <f>SUM(H7:H44)</f>
        <v>215000</v>
      </c>
      <c r="I47" s="9">
        <f>SUM(I8:I45)</f>
        <v>7700000</v>
      </c>
      <c r="J47" s="9">
        <f>SUM(J7:J45)</f>
        <v>15945677.73</v>
      </c>
    </row>
    <row r="48" spans="1:10" ht="13.5" thickTop="1">
      <c r="A48" s="6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6"/>
      <c r="B49" s="7"/>
      <c r="C49" s="7" t="s">
        <v>59</v>
      </c>
      <c r="D49" s="7"/>
      <c r="E49" s="7" t="s">
        <v>59</v>
      </c>
      <c r="F49" s="7"/>
      <c r="G49" s="7"/>
      <c r="H49" s="7"/>
      <c r="I49" s="7"/>
      <c r="J49" s="7"/>
    </row>
    <row r="50" spans="1:10" ht="12.75">
      <c r="A50" s="3" t="s">
        <v>47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s="15" customFormat="1" ht="12.75">
      <c r="A52" s="13" t="s">
        <v>3</v>
      </c>
      <c r="B52" s="14" t="s">
        <v>5</v>
      </c>
      <c r="C52" s="14" t="s">
        <v>56</v>
      </c>
      <c r="D52" s="14" t="s">
        <v>7</v>
      </c>
      <c r="E52" s="14" t="s">
        <v>8</v>
      </c>
      <c r="F52" s="14">
        <v>2005</v>
      </c>
      <c r="G52" s="14" t="s">
        <v>9</v>
      </c>
      <c r="H52" s="14" t="s">
        <v>10</v>
      </c>
      <c r="I52" s="14">
        <v>2011</v>
      </c>
      <c r="J52" s="14" t="s">
        <v>11</v>
      </c>
    </row>
    <row r="53" spans="1:10" ht="15">
      <c r="A53" s="6" t="s">
        <v>14</v>
      </c>
      <c r="B53" s="7">
        <f>15506.93+15215.22+14920.26+14622.02</f>
        <v>60264.43000000001</v>
      </c>
      <c r="C53" s="7">
        <v>4634</v>
      </c>
      <c r="D53" s="7">
        <v>49296</v>
      </c>
      <c r="E53" s="7">
        <v>23361</v>
      </c>
      <c r="F53" s="7">
        <v>95226</v>
      </c>
      <c r="G53" s="7">
        <v>36833</v>
      </c>
      <c r="H53" s="7">
        <v>9607</v>
      </c>
      <c r="I53" s="18">
        <v>211750</v>
      </c>
      <c r="J53" s="7">
        <f aca="true" t="shared" si="1" ref="J53:J92">SUM(B53:I53)</f>
        <v>490971.43</v>
      </c>
    </row>
    <row r="54" spans="1:10" ht="15">
      <c r="A54" s="6" t="s">
        <v>15</v>
      </c>
      <c r="B54" s="7">
        <f>14320.47+14015.56+13707.27+13395.54</f>
        <v>55438.840000000004</v>
      </c>
      <c r="C54" s="7">
        <v>3064</v>
      </c>
      <c r="D54" s="7">
        <v>44796</v>
      </c>
      <c r="E54" s="7">
        <v>21389</v>
      </c>
      <c r="F54" s="7">
        <v>93792</v>
      </c>
      <c r="G54" s="7">
        <v>36247</v>
      </c>
      <c r="H54" s="7">
        <v>9472</v>
      </c>
      <c r="I54" s="18">
        <v>211750</v>
      </c>
      <c r="J54" s="7">
        <f t="shared" si="1"/>
        <v>475948.83999999997</v>
      </c>
    </row>
    <row r="55" spans="1:10" ht="15">
      <c r="A55" s="6" t="s">
        <v>16</v>
      </c>
      <c r="B55" s="7">
        <f>13080.36+12761.67+12439.43+12113.62</f>
        <v>50395.08</v>
      </c>
      <c r="C55" s="7">
        <v>1445.92</v>
      </c>
      <c r="D55" s="7">
        <v>39835</v>
      </c>
      <c r="E55" s="7">
        <v>19397</v>
      </c>
      <c r="F55" s="7">
        <v>92297</v>
      </c>
      <c r="G55" s="7">
        <v>35640</v>
      </c>
      <c r="H55" s="7">
        <v>9315</v>
      </c>
      <c r="I55" s="18">
        <v>208521.5</v>
      </c>
      <c r="J55" s="7">
        <f t="shared" si="1"/>
        <v>456846.5</v>
      </c>
    </row>
    <row r="56" spans="1:10" ht="15">
      <c r="A56" s="6" t="s">
        <v>17</v>
      </c>
      <c r="B56" s="7">
        <f>11784.18+11451.08+11114.28+10773.73</f>
        <v>45123.270000000004</v>
      </c>
      <c r="C56" s="7">
        <v>102.97</v>
      </c>
      <c r="D56" s="7">
        <v>34550</v>
      </c>
      <c r="E56" s="7">
        <v>17386</v>
      </c>
      <c r="F56" s="7">
        <v>90740</v>
      </c>
      <c r="G56" s="7">
        <v>34988</v>
      </c>
      <c r="H56" s="7">
        <v>9135</v>
      </c>
      <c r="I56" s="18">
        <v>205202.25</v>
      </c>
      <c r="J56" s="7">
        <f t="shared" si="1"/>
        <v>437227.49</v>
      </c>
    </row>
    <row r="57" spans="1:10" ht="15">
      <c r="A57" s="6" t="s">
        <v>18</v>
      </c>
      <c r="B57" s="7">
        <f>10429.4+10081.24+9729.21+9373.26</f>
        <v>39613.11</v>
      </c>
      <c r="C57" s="7"/>
      <c r="D57" s="7">
        <v>28786</v>
      </c>
      <c r="E57" s="7">
        <v>15354</v>
      </c>
      <c r="F57" s="8">
        <v>89110</v>
      </c>
      <c r="G57" s="7">
        <v>34312</v>
      </c>
      <c r="H57" s="7">
        <v>8955</v>
      </c>
      <c r="I57" s="18">
        <v>201792.25</v>
      </c>
      <c r="J57" s="7">
        <f t="shared" si="1"/>
        <v>417922.36</v>
      </c>
    </row>
    <row r="58" spans="1:10" ht="15">
      <c r="A58" s="6" t="s">
        <v>19</v>
      </c>
      <c r="B58" s="7">
        <f>9013.36+8649.46+8281.51+7909.47</f>
        <v>33853.8</v>
      </c>
      <c r="C58" s="7"/>
      <c r="D58" s="7">
        <v>22674</v>
      </c>
      <c r="E58" s="7">
        <v>13301</v>
      </c>
      <c r="F58" s="8">
        <v>87409</v>
      </c>
      <c r="G58" s="7">
        <v>33615</v>
      </c>
      <c r="H58" s="7">
        <v>8775</v>
      </c>
      <c r="I58" s="18">
        <v>198288.75</v>
      </c>
      <c r="J58" s="7">
        <f t="shared" si="1"/>
        <v>397916.55</v>
      </c>
    </row>
    <row r="59" spans="1:10" ht="15">
      <c r="A59" s="6" t="s">
        <v>20</v>
      </c>
      <c r="B59" s="8">
        <f>7533.3+7152.95+6768.36+6379.51</f>
        <v>27834.120000000003</v>
      </c>
      <c r="C59" s="8"/>
      <c r="D59" s="8">
        <v>16048</v>
      </c>
      <c r="E59" s="8">
        <v>11228</v>
      </c>
      <c r="F59" s="8">
        <v>85635</v>
      </c>
      <c r="G59" s="8">
        <v>32872</v>
      </c>
      <c r="H59" s="8">
        <v>8595</v>
      </c>
      <c r="I59" s="18">
        <v>194689</v>
      </c>
      <c r="J59" s="7">
        <f t="shared" si="1"/>
        <v>376901.12</v>
      </c>
    </row>
    <row r="60" spans="1:10" ht="15">
      <c r="A60" s="6" t="s">
        <v>21</v>
      </c>
      <c r="B60" s="8">
        <f>5986.33+5588.77+5186.8+4780.36</f>
        <v>21542.260000000002</v>
      </c>
      <c r="C60" s="8"/>
      <c r="D60" s="8">
        <v>9048</v>
      </c>
      <c r="E60" s="8">
        <v>9136</v>
      </c>
      <c r="F60" s="8">
        <v>83779</v>
      </c>
      <c r="G60" s="8">
        <v>32108</v>
      </c>
      <c r="H60" s="8">
        <v>8392</v>
      </c>
      <c r="I60" s="18">
        <v>190990.25</v>
      </c>
      <c r="J60" s="7">
        <f t="shared" si="1"/>
        <v>354995.51</v>
      </c>
    </row>
    <row r="61" spans="1:10" ht="15">
      <c r="A61" s="6" t="s">
        <v>22</v>
      </c>
      <c r="B61" s="8">
        <f>4369.41+3953.88+3533.74+3108.92</f>
        <v>14965.95</v>
      </c>
      <c r="C61" s="8"/>
      <c r="D61" s="8">
        <v>1687</v>
      </c>
      <c r="E61" s="8">
        <v>7020</v>
      </c>
      <c r="F61" s="8">
        <v>81840</v>
      </c>
      <c r="G61" s="8">
        <v>31320</v>
      </c>
      <c r="H61" s="8">
        <v>8167</v>
      </c>
      <c r="I61" s="18">
        <v>187189.75</v>
      </c>
      <c r="J61" s="7">
        <f t="shared" si="1"/>
        <v>332189.7</v>
      </c>
    </row>
    <row r="62" spans="1:10" ht="15">
      <c r="A62" s="6" t="s">
        <v>23</v>
      </c>
      <c r="B62" s="8">
        <f>2679.38+2245.07+1805.93+1361.9</f>
        <v>8092.280000000001</v>
      </c>
      <c r="C62" s="8"/>
      <c r="D62" s="8"/>
      <c r="E62" s="8">
        <v>4884</v>
      </c>
      <c r="F62" s="8">
        <v>79808</v>
      </c>
      <c r="G62" s="8">
        <v>30488</v>
      </c>
      <c r="H62" s="8">
        <v>7943</v>
      </c>
      <c r="I62" s="18">
        <v>183284.75</v>
      </c>
      <c r="J62" s="7">
        <f t="shared" si="1"/>
        <v>314500.03</v>
      </c>
    </row>
    <row r="63" spans="1:10" ht="15">
      <c r="A63" s="6" t="s">
        <v>24</v>
      </c>
      <c r="B63" s="8">
        <f>912.95+458.94</f>
        <v>1371.89</v>
      </c>
      <c r="C63" s="8"/>
      <c r="D63" s="8"/>
      <c r="E63" s="8">
        <v>2726</v>
      </c>
      <c r="F63" s="8">
        <v>77684</v>
      </c>
      <c r="G63" s="8">
        <v>29610</v>
      </c>
      <c r="H63" s="8">
        <v>7718</v>
      </c>
      <c r="I63" s="18">
        <v>179272.5</v>
      </c>
      <c r="J63" s="7">
        <f t="shared" si="1"/>
        <v>298382.39</v>
      </c>
    </row>
    <row r="64" spans="1:10" ht="15">
      <c r="A64" s="6" t="s">
        <v>25</v>
      </c>
      <c r="B64" s="8"/>
      <c r="C64" s="8"/>
      <c r="D64" s="8"/>
      <c r="E64" s="8">
        <v>547</v>
      </c>
      <c r="F64" s="8">
        <v>75467</v>
      </c>
      <c r="G64" s="8">
        <v>28687</v>
      </c>
      <c r="H64" s="8">
        <v>7493</v>
      </c>
      <c r="I64" s="18">
        <v>175150.25</v>
      </c>
      <c r="J64" s="7">
        <f t="shared" si="1"/>
        <v>287344.25</v>
      </c>
    </row>
    <row r="65" spans="1:10" ht="15">
      <c r="A65" s="6" t="s">
        <v>26</v>
      </c>
      <c r="B65" s="8"/>
      <c r="C65" s="8"/>
      <c r="D65" s="8"/>
      <c r="E65" s="8"/>
      <c r="F65" s="8">
        <v>73147</v>
      </c>
      <c r="G65" s="8">
        <v>27720</v>
      </c>
      <c r="H65" s="8">
        <v>7245</v>
      </c>
      <c r="I65" s="18">
        <v>170915.25</v>
      </c>
      <c r="J65" s="7">
        <f t="shared" si="1"/>
        <v>279027.25</v>
      </c>
    </row>
    <row r="66" spans="1:10" ht="15">
      <c r="A66" s="6" t="s">
        <v>27</v>
      </c>
      <c r="B66" s="8"/>
      <c r="C66" s="8"/>
      <c r="D66" s="8"/>
      <c r="E66" s="8"/>
      <c r="F66" s="8">
        <v>70723</v>
      </c>
      <c r="G66" s="8">
        <v>26708</v>
      </c>
      <c r="H66" s="8">
        <v>6975</v>
      </c>
      <c r="I66" s="18">
        <v>166562</v>
      </c>
      <c r="J66" s="7">
        <f t="shared" si="1"/>
        <v>270968</v>
      </c>
    </row>
    <row r="67" spans="1:10" ht="15">
      <c r="A67" s="6" t="s">
        <v>28</v>
      </c>
      <c r="B67" s="8"/>
      <c r="C67" s="8"/>
      <c r="D67" s="8"/>
      <c r="E67" s="8"/>
      <c r="F67" s="8">
        <v>68197</v>
      </c>
      <c r="G67" s="8">
        <v>25650</v>
      </c>
      <c r="H67" s="8">
        <v>6705</v>
      </c>
      <c r="I67" s="18">
        <v>162090.5</v>
      </c>
      <c r="J67" s="7">
        <f t="shared" si="1"/>
        <v>262642.5</v>
      </c>
    </row>
    <row r="68" spans="1:10" ht="15">
      <c r="A68" s="6" t="s">
        <v>29</v>
      </c>
      <c r="B68" s="8"/>
      <c r="C68" s="8"/>
      <c r="D68" s="8"/>
      <c r="E68" s="8"/>
      <c r="F68" s="8">
        <v>65557</v>
      </c>
      <c r="G68" s="8">
        <v>24548</v>
      </c>
      <c r="H68" s="8">
        <v>6435</v>
      </c>
      <c r="I68" s="18">
        <v>157495.25</v>
      </c>
      <c r="J68" s="7">
        <f t="shared" si="1"/>
        <v>254035.25</v>
      </c>
    </row>
    <row r="69" spans="1:10" ht="15">
      <c r="A69" s="6" t="s">
        <v>30</v>
      </c>
      <c r="B69" s="8"/>
      <c r="C69" s="8"/>
      <c r="D69" s="8"/>
      <c r="E69" s="8"/>
      <c r="F69" s="8">
        <v>62793</v>
      </c>
      <c r="G69" s="8">
        <v>23400</v>
      </c>
      <c r="H69" s="8">
        <v>6143</v>
      </c>
      <c r="I69" s="18">
        <v>152773.5</v>
      </c>
      <c r="J69" s="7">
        <f t="shared" si="1"/>
        <v>245109.5</v>
      </c>
    </row>
    <row r="70" spans="1:10" ht="15">
      <c r="A70" s="6" t="s">
        <v>31</v>
      </c>
      <c r="B70" s="8"/>
      <c r="C70" s="8"/>
      <c r="D70" s="8"/>
      <c r="E70" s="8"/>
      <c r="F70" s="8">
        <v>59905</v>
      </c>
      <c r="G70" s="8">
        <v>22208</v>
      </c>
      <c r="H70" s="8">
        <v>5827</v>
      </c>
      <c r="I70" s="18">
        <v>147922.5</v>
      </c>
      <c r="J70" s="7">
        <f t="shared" si="1"/>
        <v>235862.5</v>
      </c>
    </row>
    <row r="71" spans="1:10" ht="15">
      <c r="A71" s="6" t="s">
        <v>32</v>
      </c>
      <c r="B71" s="8"/>
      <c r="C71" s="8"/>
      <c r="D71" s="8"/>
      <c r="E71" s="8"/>
      <c r="F71" s="8">
        <v>56884</v>
      </c>
      <c r="G71" s="8">
        <v>20970</v>
      </c>
      <c r="H71" s="8">
        <v>5513</v>
      </c>
      <c r="I71" s="18">
        <v>142936.75</v>
      </c>
      <c r="J71" s="7">
        <f t="shared" si="1"/>
        <v>226303.75</v>
      </c>
    </row>
    <row r="72" spans="1:10" ht="15">
      <c r="A72" s="6" t="s">
        <v>33</v>
      </c>
      <c r="B72" s="8"/>
      <c r="C72" s="8"/>
      <c r="D72" s="8"/>
      <c r="E72" s="8"/>
      <c r="F72" s="8">
        <v>53728</v>
      </c>
      <c r="G72" s="8">
        <v>19665</v>
      </c>
      <c r="H72" s="8">
        <v>5175</v>
      </c>
      <c r="I72" s="18">
        <v>137816.25</v>
      </c>
      <c r="J72" s="7">
        <f t="shared" si="1"/>
        <v>216384.25</v>
      </c>
    </row>
    <row r="73" spans="1:10" ht="15">
      <c r="A73" s="6" t="s">
        <v>34</v>
      </c>
      <c r="B73" s="8"/>
      <c r="C73" s="8"/>
      <c r="D73" s="8"/>
      <c r="E73" s="8"/>
      <c r="F73" s="8">
        <v>50438</v>
      </c>
      <c r="G73" s="8">
        <v>18293</v>
      </c>
      <c r="H73" s="8">
        <v>4815</v>
      </c>
      <c r="I73" s="18">
        <v>132552.75</v>
      </c>
      <c r="J73" s="7">
        <f t="shared" si="1"/>
        <v>206098.75</v>
      </c>
    </row>
    <row r="74" spans="1:10" ht="15">
      <c r="A74" s="6" t="s">
        <v>35</v>
      </c>
      <c r="B74" s="8"/>
      <c r="C74" s="8"/>
      <c r="D74" s="8"/>
      <c r="E74" s="8"/>
      <c r="F74" s="8">
        <v>46994</v>
      </c>
      <c r="G74" s="8">
        <v>16875</v>
      </c>
      <c r="H74" s="8">
        <v>4455</v>
      </c>
      <c r="I74" s="18">
        <v>127146.25</v>
      </c>
      <c r="J74" s="7">
        <f t="shared" si="1"/>
        <v>195470.25</v>
      </c>
    </row>
    <row r="75" spans="1:10" ht="15">
      <c r="A75" s="6" t="s">
        <v>36</v>
      </c>
      <c r="B75" s="8"/>
      <c r="C75" s="8"/>
      <c r="D75" s="8"/>
      <c r="E75" s="8"/>
      <c r="F75" s="8">
        <v>43395</v>
      </c>
      <c r="G75" s="8">
        <v>15390</v>
      </c>
      <c r="H75" s="8">
        <v>4073</v>
      </c>
      <c r="I75" s="18">
        <v>121591.25</v>
      </c>
      <c r="J75" s="7">
        <f t="shared" si="1"/>
        <v>184449.25</v>
      </c>
    </row>
    <row r="76" spans="1:10" ht="15">
      <c r="A76" s="6" t="s">
        <v>37</v>
      </c>
      <c r="B76" s="8"/>
      <c r="C76" s="8"/>
      <c r="D76" s="8"/>
      <c r="E76" s="8"/>
      <c r="F76" s="8">
        <v>39641</v>
      </c>
      <c r="G76" s="8">
        <v>13838</v>
      </c>
      <c r="H76" s="8">
        <v>3667</v>
      </c>
      <c r="I76" s="18">
        <v>115882.25</v>
      </c>
      <c r="J76" s="7">
        <f t="shared" si="1"/>
        <v>173028.25</v>
      </c>
    </row>
    <row r="77" spans="1:10" ht="15">
      <c r="A77" s="6" t="s">
        <v>38</v>
      </c>
      <c r="B77" s="8"/>
      <c r="C77" s="8"/>
      <c r="D77" s="8"/>
      <c r="E77" s="8"/>
      <c r="F77" s="8">
        <v>35712</v>
      </c>
      <c r="G77" s="8">
        <v>12217</v>
      </c>
      <c r="H77" s="8">
        <v>3240</v>
      </c>
      <c r="I77" s="18">
        <v>110016.5</v>
      </c>
      <c r="J77" s="7">
        <f t="shared" si="1"/>
        <v>161185.5</v>
      </c>
    </row>
    <row r="78" spans="1:10" ht="15">
      <c r="A78" s="6" t="s">
        <v>39</v>
      </c>
      <c r="B78" s="8"/>
      <c r="C78" s="8"/>
      <c r="D78" s="8"/>
      <c r="E78" s="8"/>
      <c r="F78" s="8">
        <v>31597</v>
      </c>
      <c r="G78" s="8">
        <v>10530</v>
      </c>
      <c r="H78" s="8">
        <v>2790</v>
      </c>
      <c r="I78" s="18">
        <v>103988.5</v>
      </c>
      <c r="J78" s="7">
        <f t="shared" si="1"/>
        <v>148905.5</v>
      </c>
    </row>
    <row r="79" spans="1:10" ht="15">
      <c r="A79" s="6" t="s">
        <v>40</v>
      </c>
      <c r="B79" s="8"/>
      <c r="C79" s="8"/>
      <c r="D79" s="8"/>
      <c r="E79" s="8"/>
      <c r="F79" s="8">
        <v>27297</v>
      </c>
      <c r="G79" s="8">
        <v>8797</v>
      </c>
      <c r="H79" s="8">
        <v>2340</v>
      </c>
      <c r="I79" s="18">
        <v>97795.5</v>
      </c>
      <c r="J79" s="7">
        <f t="shared" si="1"/>
        <v>136229.5</v>
      </c>
    </row>
    <row r="80" spans="1:10" ht="15">
      <c r="A80" s="6" t="s">
        <v>41</v>
      </c>
      <c r="B80" s="8"/>
      <c r="C80" s="8"/>
      <c r="D80" s="8"/>
      <c r="E80" s="8"/>
      <c r="F80" s="8">
        <v>22811</v>
      </c>
      <c r="G80" s="8">
        <v>6997</v>
      </c>
      <c r="H80" s="8">
        <v>1868</v>
      </c>
      <c r="I80" s="18">
        <v>91432</v>
      </c>
      <c r="J80" s="7">
        <f t="shared" si="1"/>
        <v>123108</v>
      </c>
    </row>
    <row r="81" spans="1:10" ht="15">
      <c r="A81" s="6" t="s">
        <v>42</v>
      </c>
      <c r="B81" s="8"/>
      <c r="C81" s="8"/>
      <c r="D81" s="8"/>
      <c r="E81" s="8"/>
      <c r="F81" s="8">
        <v>18130</v>
      </c>
      <c r="G81" s="8">
        <v>5107</v>
      </c>
      <c r="H81" s="8">
        <v>1372</v>
      </c>
      <c r="I81" s="18">
        <v>84895.25</v>
      </c>
      <c r="J81" s="7">
        <f t="shared" si="1"/>
        <v>109504.25</v>
      </c>
    </row>
    <row r="82" spans="1:10" ht="15">
      <c r="A82" s="6" t="s">
        <v>43</v>
      </c>
      <c r="B82" s="8"/>
      <c r="C82" s="8"/>
      <c r="D82" s="8"/>
      <c r="E82" s="8"/>
      <c r="F82" s="8">
        <v>13231</v>
      </c>
      <c r="G82" s="8">
        <v>3127</v>
      </c>
      <c r="H82" s="8">
        <v>855</v>
      </c>
      <c r="I82" s="18">
        <v>78177</v>
      </c>
      <c r="J82" s="7">
        <f t="shared" si="1"/>
        <v>95390</v>
      </c>
    </row>
    <row r="83" spans="1:10" ht="15">
      <c r="A83" s="6" t="s">
        <v>44</v>
      </c>
      <c r="B83" s="8"/>
      <c r="C83" s="8"/>
      <c r="D83" s="8"/>
      <c r="E83" s="8"/>
      <c r="F83" s="8">
        <v>8105</v>
      </c>
      <c r="G83" s="8">
        <v>1057</v>
      </c>
      <c r="H83" s="8">
        <v>292</v>
      </c>
      <c r="I83" s="18">
        <v>71274.5</v>
      </c>
      <c r="J83" s="7">
        <f t="shared" si="1"/>
        <v>80728.5</v>
      </c>
    </row>
    <row r="84" spans="1:10" ht="15">
      <c r="A84" s="6" t="s">
        <v>45</v>
      </c>
      <c r="B84" s="8"/>
      <c r="C84" s="8"/>
      <c r="D84" s="8"/>
      <c r="E84" s="8"/>
      <c r="F84" s="10">
        <v>2743</v>
      </c>
      <c r="G84" s="8"/>
      <c r="H84" s="8"/>
      <c r="I84" s="18">
        <v>64182.25</v>
      </c>
      <c r="J84" s="7">
        <f t="shared" si="1"/>
        <v>66925.25</v>
      </c>
    </row>
    <row r="85" spans="1:10" ht="15">
      <c r="A85" s="6" t="s">
        <v>46</v>
      </c>
      <c r="B85" s="8"/>
      <c r="C85" s="8"/>
      <c r="D85" s="8"/>
      <c r="E85" s="8"/>
      <c r="F85" s="10"/>
      <c r="G85" s="8"/>
      <c r="H85" s="8"/>
      <c r="I85" s="18">
        <v>56894.75</v>
      </c>
      <c r="J85" s="7">
        <f t="shared" si="1"/>
        <v>56894.75</v>
      </c>
    </row>
    <row r="86" spans="1:10" ht="15">
      <c r="A86" s="6" t="s">
        <v>61</v>
      </c>
      <c r="B86" s="8"/>
      <c r="C86" s="8"/>
      <c r="D86" s="8"/>
      <c r="E86" s="8"/>
      <c r="F86" s="10"/>
      <c r="G86" s="8"/>
      <c r="H86" s="8"/>
      <c r="I86" s="18">
        <v>49406.5</v>
      </c>
      <c r="J86" s="7">
        <f t="shared" si="1"/>
        <v>49406.5</v>
      </c>
    </row>
    <row r="87" spans="1:10" ht="15">
      <c r="A87" s="6" t="s">
        <v>62</v>
      </c>
      <c r="B87" s="8"/>
      <c r="C87" s="8"/>
      <c r="D87" s="8"/>
      <c r="E87" s="8"/>
      <c r="F87" s="10"/>
      <c r="G87" s="8"/>
      <c r="H87" s="8"/>
      <c r="I87" s="18">
        <v>41712</v>
      </c>
      <c r="J87" s="7">
        <f t="shared" si="1"/>
        <v>41712</v>
      </c>
    </row>
    <row r="88" spans="1:10" ht="15">
      <c r="A88" s="6" t="s">
        <v>63</v>
      </c>
      <c r="B88" s="8"/>
      <c r="C88" s="8"/>
      <c r="D88" s="8"/>
      <c r="E88" s="8"/>
      <c r="F88" s="10"/>
      <c r="G88" s="8"/>
      <c r="H88" s="8"/>
      <c r="I88" s="18">
        <v>33805.75</v>
      </c>
      <c r="J88" s="7">
        <f t="shared" si="1"/>
        <v>33805.75</v>
      </c>
    </row>
    <row r="89" spans="1:10" ht="15">
      <c r="A89" s="6" t="s">
        <v>64</v>
      </c>
      <c r="B89" s="8"/>
      <c r="C89" s="8"/>
      <c r="D89" s="8"/>
      <c r="E89" s="8"/>
      <c r="F89" s="10"/>
      <c r="G89" s="8"/>
      <c r="H89" s="8"/>
      <c r="I89" s="18">
        <v>25682.25</v>
      </c>
      <c r="J89" s="7">
        <f t="shared" si="1"/>
        <v>25682.25</v>
      </c>
    </row>
    <row r="90" spans="1:10" ht="15">
      <c r="A90" s="6" t="s">
        <v>65</v>
      </c>
      <c r="B90" s="8"/>
      <c r="C90" s="8"/>
      <c r="D90" s="8"/>
      <c r="E90" s="8"/>
      <c r="F90" s="10"/>
      <c r="G90" s="8"/>
      <c r="H90" s="8"/>
      <c r="I90" s="18">
        <v>17336</v>
      </c>
      <c r="J90" s="7">
        <f t="shared" si="1"/>
        <v>17336</v>
      </c>
    </row>
    <row r="91" spans="1:10" ht="15">
      <c r="A91" s="6" t="s">
        <v>66</v>
      </c>
      <c r="B91" s="8"/>
      <c r="C91" s="8"/>
      <c r="D91" s="8"/>
      <c r="E91" s="8"/>
      <c r="F91" s="10"/>
      <c r="G91" s="8"/>
      <c r="H91" s="8"/>
      <c r="I91" s="18">
        <v>8761.5</v>
      </c>
      <c r="J91" s="7">
        <f t="shared" si="1"/>
        <v>8761.5</v>
      </c>
    </row>
    <row r="92" spans="1:10" ht="15">
      <c r="A92" s="6"/>
      <c r="B92" s="8"/>
      <c r="C92" s="8"/>
      <c r="D92" s="8"/>
      <c r="E92" s="8"/>
      <c r="F92" s="10"/>
      <c r="G92" s="8"/>
      <c r="H92" s="8"/>
      <c r="I92" s="18"/>
      <c r="J92" s="7">
        <f t="shared" si="1"/>
        <v>0</v>
      </c>
    </row>
    <row r="93" spans="1:10" ht="15">
      <c r="A93" s="6"/>
      <c r="B93" s="8"/>
      <c r="C93" s="8"/>
      <c r="D93" s="8"/>
      <c r="E93" s="8"/>
      <c r="F93" s="10"/>
      <c r="G93" s="8"/>
      <c r="H93" s="8"/>
      <c r="I93" s="18"/>
      <c r="J93" s="7"/>
    </row>
    <row r="94" spans="1:10" ht="12.75">
      <c r="A94" s="6"/>
      <c r="B94" s="8"/>
      <c r="C94" s="8"/>
      <c r="D94" s="8"/>
      <c r="E94" s="8"/>
      <c r="G94" s="8"/>
      <c r="H94" s="8"/>
      <c r="J94" s="7"/>
    </row>
    <row r="95" spans="1:10" ht="13.5" thickBot="1">
      <c r="A95" s="6"/>
      <c r="B95" s="9">
        <f>SUM(B53:B84)</f>
        <v>358495.0300000001</v>
      </c>
      <c r="C95" s="9">
        <f>SUM(C53:C84)</f>
        <v>9246.89</v>
      </c>
      <c r="D95" s="9">
        <f>SUM(D53:D84)</f>
        <v>246720</v>
      </c>
      <c r="E95" s="9">
        <f>SUM(E53:E84)</f>
        <v>145729</v>
      </c>
      <c r="F95" s="9">
        <f>SUM(F53:F94)</f>
        <v>1883815</v>
      </c>
      <c r="G95" s="9">
        <f>SUM(G53:G84)</f>
        <v>699817</v>
      </c>
      <c r="H95" s="9">
        <f>SUM(H53:H84)</f>
        <v>183352</v>
      </c>
      <c r="I95" s="9">
        <f>SUM(I53:I91)</f>
        <v>5018926</v>
      </c>
      <c r="J95" s="9">
        <f>SUM(J53:J91)</f>
        <v>8546100.92</v>
      </c>
    </row>
    <row r="96" ht="13.5" thickTop="1"/>
    <row r="97" spans="1:10" ht="12.75">
      <c r="A97" s="1"/>
      <c r="B97" s="7"/>
      <c r="C97" s="7"/>
      <c r="D97" s="7"/>
      <c r="E97" s="7"/>
      <c r="F97" s="7"/>
      <c r="G97" s="7"/>
      <c r="H97" s="7"/>
      <c r="J97" s="7"/>
    </row>
    <row r="98" spans="1:10" ht="12.75">
      <c r="A98" s="1"/>
      <c r="B98" s="7"/>
      <c r="C98" s="7"/>
      <c r="D98" s="7"/>
      <c r="E98" s="7"/>
      <c r="F98" s="7"/>
      <c r="G98" s="7"/>
      <c r="H98" s="7"/>
      <c r="J98" s="7"/>
    </row>
    <row r="99" spans="1:10" ht="12.75">
      <c r="A99" s="3" t="s">
        <v>48</v>
      </c>
      <c r="B99" s="7"/>
      <c r="C99" s="7"/>
      <c r="D99" s="7"/>
      <c r="E99" s="7"/>
      <c r="F99" s="7"/>
      <c r="G99" s="7"/>
      <c r="H99" s="7"/>
      <c r="J99" s="7"/>
    </row>
    <row r="100" spans="1:10" ht="12.75">
      <c r="A100" s="1"/>
      <c r="B100" s="7"/>
      <c r="C100" s="7"/>
      <c r="D100" s="7"/>
      <c r="E100" s="7"/>
      <c r="F100" s="7"/>
      <c r="G100" s="7"/>
      <c r="H100" s="7"/>
      <c r="J100" s="7"/>
    </row>
    <row r="101" spans="1:11" s="15" customFormat="1" ht="12.75">
      <c r="A101" s="13" t="s">
        <v>3</v>
      </c>
      <c r="B101" s="14" t="s">
        <v>5</v>
      </c>
      <c r="C101" s="14" t="s">
        <v>56</v>
      </c>
      <c r="D101" s="14" t="s">
        <v>7</v>
      </c>
      <c r="E101" s="14" t="s">
        <v>8</v>
      </c>
      <c r="F101" s="14">
        <v>2005</v>
      </c>
      <c r="G101" s="14" t="s">
        <v>49</v>
      </c>
      <c r="H101" s="14" t="s">
        <v>50</v>
      </c>
      <c r="I101" s="14">
        <v>2011</v>
      </c>
      <c r="J101" s="14" t="s">
        <v>11</v>
      </c>
      <c r="K101" s="14" t="s">
        <v>51</v>
      </c>
    </row>
    <row r="102" spans="1:11" ht="12.75">
      <c r="A102" s="6" t="s">
        <v>14</v>
      </c>
      <c r="B102" s="7">
        <f aca="true" t="shared" si="2" ref="B102:B111">41748.75*4</f>
        <v>166995</v>
      </c>
      <c r="C102" s="7">
        <f>C7+C53</f>
        <v>56252.22</v>
      </c>
      <c r="D102" s="7">
        <v>193296</v>
      </c>
      <c r="E102" s="7">
        <v>187294</v>
      </c>
      <c r="F102" s="7">
        <f>+F7+F53</f>
        <v>129226</v>
      </c>
      <c r="G102" s="7">
        <f>+G7+G53</f>
        <v>49833</v>
      </c>
      <c r="H102" s="7">
        <f>+H7+H53</f>
        <v>12607</v>
      </c>
      <c r="I102" s="7">
        <f>+I7+I53</f>
        <v>211750</v>
      </c>
      <c r="J102" s="7">
        <f aca="true" t="shared" si="3" ref="J102:J140">SUM(B102:I102)</f>
        <v>1007253.22</v>
      </c>
      <c r="K102" s="16">
        <f>+D102+G102+H102+I102</f>
        <v>467486</v>
      </c>
    </row>
    <row r="103" spans="1:11" ht="12.75">
      <c r="A103" s="6" t="s">
        <v>15</v>
      </c>
      <c r="B103" s="7">
        <f t="shared" si="2"/>
        <v>166995</v>
      </c>
      <c r="C103" s="7">
        <f>C8+C54</f>
        <v>56252.29</v>
      </c>
      <c r="D103" s="7">
        <v>191796</v>
      </c>
      <c r="E103" s="7">
        <v>186965</v>
      </c>
      <c r="F103" s="7">
        <f aca="true" t="shared" si="4" ref="F103:H132">+F8+F54</f>
        <v>129292</v>
      </c>
      <c r="G103" s="7">
        <f t="shared" si="4"/>
        <v>49247</v>
      </c>
      <c r="H103" s="7">
        <f t="shared" si="4"/>
        <v>12472</v>
      </c>
      <c r="I103" s="7">
        <f aca="true" t="shared" si="5" ref="I103:I140">+I8+I54</f>
        <v>329150</v>
      </c>
      <c r="J103" s="7">
        <f t="shared" si="3"/>
        <v>1122169.29</v>
      </c>
      <c r="K103" s="16">
        <f aca="true" t="shared" si="6" ref="K103:K140">+D103+G103+H103+I103</f>
        <v>582665</v>
      </c>
    </row>
    <row r="104" spans="1:11" ht="12.75">
      <c r="A104" s="6" t="s">
        <v>16</v>
      </c>
      <c r="B104" s="7">
        <f t="shared" si="2"/>
        <v>166995</v>
      </c>
      <c r="C104" s="7">
        <f>C9+C55</f>
        <v>56251.96000000001</v>
      </c>
      <c r="D104" s="7">
        <v>190835</v>
      </c>
      <c r="E104" s="7">
        <v>186633</v>
      </c>
      <c r="F104" s="7">
        <f t="shared" si="4"/>
        <v>129297</v>
      </c>
      <c r="G104" s="7">
        <f t="shared" si="4"/>
        <v>49640</v>
      </c>
      <c r="H104" s="7">
        <f t="shared" si="4"/>
        <v>13315</v>
      </c>
      <c r="I104" s="7">
        <f t="shared" si="5"/>
        <v>329221.5</v>
      </c>
      <c r="J104" s="7">
        <f t="shared" si="3"/>
        <v>1122188.46</v>
      </c>
      <c r="K104" s="16">
        <f t="shared" si="6"/>
        <v>583011.5</v>
      </c>
    </row>
    <row r="105" spans="1:11" ht="12.75">
      <c r="A105" s="6" t="s">
        <v>17</v>
      </c>
      <c r="B105" s="7">
        <f t="shared" si="2"/>
        <v>166995</v>
      </c>
      <c r="C105" s="7">
        <f>C10+C56</f>
        <v>14048.679999999998</v>
      </c>
      <c r="D105" s="7">
        <v>193550</v>
      </c>
      <c r="E105" s="7">
        <v>186299</v>
      </c>
      <c r="F105" s="7">
        <f t="shared" si="4"/>
        <v>129240</v>
      </c>
      <c r="G105" s="7">
        <f t="shared" si="4"/>
        <v>49988</v>
      </c>
      <c r="H105" s="7">
        <f t="shared" si="4"/>
        <v>13135</v>
      </c>
      <c r="I105" s="7">
        <f t="shared" si="5"/>
        <v>329202.25</v>
      </c>
      <c r="J105" s="7">
        <f t="shared" si="3"/>
        <v>1082457.93</v>
      </c>
      <c r="K105" s="16">
        <f t="shared" si="6"/>
        <v>585875.25</v>
      </c>
    </row>
    <row r="106" spans="1:11" ht="12.75">
      <c r="A106" s="6" t="s">
        <v>18</v>
      </c>
      <c r="B106" s="7">
        <f t="shared" si="2"/>
        <v>166995</v>
      </c>
      <c r="C106" s="7"/>
      <c r="D106" s="7">
        <v>191786</v>
      </c>
      <c r="E106" s="7">
        <v>185960</v>
      </c>
      <c r="F106" s="7">
        <f t="shared" si="4"/>
        <v>129610</v>
      </c>
      <c r="G106" s="7">
        <f t="shared" si="4"/>
        <v>49312</v>
      </c>
      <c r="H106" s="7">
        <f t="shared" si="4"/>
        <v>12955</v>
      </c>
      <c r="I106" s="7">
        <f t="shared" si="5"/>
        <v>329192.25</v>
      </c>
      <c r="J106" s="7">
        <f t="shared" si="3"/>
        <v>1065810.25</v>
      </c>
      <c r="K106" s="16">
        <f t="shared" si="6"/>
        <v>583245.25</v>
      </c>
    </row>
    <row r="107" spans="1:11" ht="12.75">
      <c r="A107" s="6" t="s">
        <v>19</v>
      </c>
      <c r="B107" s="7">
        <f t="shared" si="2"/>
        <v>166995</v>
      </c>
      <c r="C107" s="7"/>
      <c r="D107" s="7">
        <v>193674</v>
      </c>
      <c r="E107" s="7">
        <v>185617</v>
      </c>
      <c r="F107" s="7">
        <f t="shared" si="4"/>
        <v>129409</v>
      </c>
      <c r="G107" s="7">
        <f t="shared" si="4"/>
        <v>49615</v>
      </c>
      <c r="H107" s="7">
        <f t="shared" si="4"/>
        <v>12775</v>
      </c>
      <c r="I107" s="7">
        <f t="shared" si="5"/>
        <v>329188.75</v>
      </c>
      <c r="J107" s="7">
        <f t="shared" si="3"/>
        <v>1067273.75</v>
      </c>
      <c r="K107" s="16">
        <f t="shared" si="6"/>
        <v>585252.75</v>
      </c>
    </row>
    <row r="108" spans="1:11" ht="12.75">
      <c r="A108" s="6" t="s">
        <v>20</v>
      </c>
      <c r="B108" s="7">
        <f t="shared" si="2"/>
        <v>166995</v>
      </c>
      <c r="C108" s="8"/>
      <c r="D108" s="8">
        <v>191048</v>
      </c>
      <c r="E108" s="8">
        <v>185272</v>
      </c>
      <c r="F108" s="7">
        <f t="shared" si="4"/>
        <v>129635</v>
      </c>
      <c r="G108" s="7">
        <f t="shared" si="4"/>
        <v>49872</v>
      </c>
      <c r="H108" s="7">
        <f t="shared" si="4"/>
        <v>12595</v>
      </c>
      <c r="I108" s="7">
        <f t="shared" si="5"/>
        <v>329189</v>
      </c>
      <c r="J108" s="7">
        <f t="shared" si="3"/>
        <v>1064606</v>
      </c>
      <c r="K108" s="16">
        <f t="shared" si="6"/>
        <v>582704</v>
      </c>
    </row>
    <row r="109" spans="1:11" ht="12.75">
      <c r="A109" s="6" t="s">
        <v>21</v>
      </c>
      <c r="B109" s="7">
        <f t="shared" si="2"/>
        <v>166995</v>
      </c>
      <c r="C109" s="8"/>
      <c r="D109" s="8">
        <v>193048</v>
      </c>
      <c r="E109" s="8">
        <v>184925</v>
      </c>
      <c r="F109" s="7">
        <f t="shared" si="4"/>
        <v>129779</v>
      </c>
      <c r="G109" s="7">
        <f t="shared" si="4"/>
        <v>49108</v>
      </c>
      <c r="H109" s="7">
        <f t="shared" si="4"/>
        <v>13392</v>
      </c>
      <c r="I109" s="7">
        <f t="shared" si="5"/>
        <v>329190.25</v>
      </c>
      <c r="J109" s="7">
        <f t="shared" si="3"/>
        <v>1066437.25</v>
      </c>
      <c r="K109" s="16">
        <f t="shared" si="6"/>
        <v>584738.25</v>
      </c>
    </row>
    <row r="110" spans="1:11" ht="12.75">
      <c r="A110" s="6" t="s">
        <v>22</v>
      </c>
      <c r="B110" s="7">
        <f t="shared" si="2"/>
        <v>166995</v>
      </c>
      <c r="C110" s="8"/>
      <c r="D110" s="8">
        <v>31687</v>
      </c>
      <c r="E110" s="8">
        <v>184571</v>
      </c>
      <c r="F110" s="7">
        <f t="shared" si="4"/>
        <v>129840</v>
      </c>
      <c r="G110" s="7">
        <f t="shared" si="4"/>
        <v>49320</v>
      </c>
      <c r="H110" s="7">
        <f t="shared" si="4"/>
        <v>13167</v>
      </c>
      <c r="I110" s="7">
        <f t="shared" si="5"/>
        <v>329189.75</v>
      </c>
      <c r="J110" s="7">
        <f t="shared" si="3"/>
        <v>904769.75</v>
      </c>
      <c r="K110" s="16">
        <f t="shared" si="6"/>
        <v>423363.75</v>
      </c>
    </row>
    <row r="111" spans="1:11" ht="12.75">
      <c r="A111" s="6" t="s">
        <v>23</v>
      </c>
      <c r="B111" s="7">
        <f t="shared" si="2"/>
        <v>166995</v>
      </c>
      <c r="C111" s="8"/>
      <c r="D111" s="8"/>
      <c r="E111" s="8">
        <v>184215</v>
      </c>
      <c r="F111" s="7">
        <f t="shared" si="4"/>
        <v>130308</v>
      </c>
      <c r="G111" s="7">
        <f t="shared" si="4"/>
        <v>49488</v>
      </c>
      <c r="H111" s="7">
        <f t="shared" si="4"/>
        <v>12943</v>
      </c>
      <c r="I111" s="7">
        <f t="shared" si="5"/>
        <v>329184.75</v>
      </c>
      <c r="J111" s="7">
        <f t="shared" si="3"/>
        <v>873133.75</v>
      </c>
      <c r="K111" s="16">
        <f t="shared" si="6"/>
        <v>391615.75</v>
      </c>
    </row>
    <row r="112" spans="1:11" ht="12.75">
      <c r="A112" s="6" t="s">
        <v>24</v>
      </c>
      <c r="B112" s="8">
        <f>41748.75*2</f>
        <v>83497.5</v>
      </c>
      <c r="C112" s="8"/>
      <c r="D112" s="8"/>
      <c r="E112" s="8">
        <v>183855</v>
      </c>
      <c r="F112" s="7">
        <f t="shared" si="4"/>
        <v>130184</v>
      </c>
      <c r="G112" s="7">
        <f t="shared" si="4"/>
        <v>49610</v>
      </c>
      <c r="H112" s="7">
        <f t="shared" si="4"/>
        <v>12718</v>
      </c>
      <c r="I112" s="7">
        <f t="shared" si="5"/>
        <v>329172.5</v>
      </c>
      <c r="J112" s="7">
        <f t="shared" si="3"/>
        <v>789037</v>
      </c>
      <c r="K112" s="16">
        <f t="shared" si="6"/>
        <v>391500.5</v>
      </c>
    </row>
    <row r="113" spans="1:11" ht="12.75">
      <c r="A113" s="6" t="s">
        <v>25</v>
      </c>
      <c r="B113" s="8"/>
      <c r="C113" s="8"/>
      <c r="D113" s="8"/>
      <c r="E113" s="8">
        <v>91790</v>
      </c>
      <c r="F113" s="7">
        <f t="shared" si="4"/>
        <v>130467</v>
      </c>
      <c r="G113" s="7">
        <f t="shared" si="4"/>
        <v>49687</v>
      </c>
      <c r="H113" s="7">
        <f t="shared" si="4"/>
        <v>12493</v>
      </c>
      <c r="I113" s="7">
        <f t="shared" si="5"/>
        <v>329150.25</v>
      </c>
      <c r="J113" s="7">
        <f t="shared" si="3"/>
        <v>613587.25</v>
      </c>
      <c r="K113" s="16">
        <f t="shared" si="6"/>
        <v>391330.25</v>
      </c>
    </row>
    <row r="114" spans="1:11" ht="12.75">
      <c r="A114" s="6" t="s">
        <v>26</v>
      </c>
      <c r="F114" s="7">
        <f t="shared" si="4"/>
        <v>130647</v>
      </c>
      <c r="G114" s="7">
        <f t="shared" si="4"/>
        <v>49720</v>
      </c>
      <c r="H114" s="7">
        <f t="shared" si="4"/>
        <v>13245</v>
      </c>
      <c r="I114" s="7">
        <f t="shared" si="5"/>
        <v>329215.25</v>
      </c>
      <c r="J114" s="7">
        <f t="shared" si="3"/>
        <v>522827.25</v>
      </c>
      <c r="K114" s="16">
        <f t="shared" si="6"/>
        <v>392180.25</v>
      </c>
    </row>
    <row r="115" spans="1:11" ht="12.75">
      <c r="A115" s="6" t="s">
        <v>27</v>
      </c>
      <c r="F115" s="7">
        <f t="shared" si="4"/>
        <v>130723</v>
      </c>
      <c r="G115" s="7">
        <f t="shared" si="4"/>
        <v>49708</v>
      </c>
      <c r="H115" s="7">
        <f t="shared" si="4"/>
        <v>12975</v>
      </c>
      <c r="I115" s="7">
        <f t="shared" si="5"/>
        <v>329162</v>
      </c>
      <c r="J115" s="7">
        <f t="shared" si="3"/>
        <v>522568</v>
      </c>
      <c r="K115" s="16">
        <f t="shared" si="6"/>
        <v>391845</v>
      </c>
    </row>
    <row r="116" spans="1:11" ht="12.75">
      <c r="A116" s="6" t="s">
        <v>28</v>
      </c>
      <c r="F116" s="7">
        <f t="shared" si="4"/>
        <v>130697</v>
      </c>
      <c r="G116" s="7">
        <f t="shared" si="4"/>
        <v>49650</v>
      </c>
      <c r="H116" s="7">
        <f t="shared" si="4"/>
        <v>12705</v>
      </c>
      <c r="I116" s="7">
        <f t="shared" si="5"/>
        <v>329190.5</v>
      </c>
      <c r="J116" s="7">
        <f t="shared" si="3"/>
        <v>522242.5</v>
      </c>
      <c r="K116" s="16">
        <f t="shared" si="6"/>
        <v>391545.5</v>
      </c>
    </row>
    <row r="117" spans="1:11" ht="12.75">
      <c r="A117" s="6" t="s">
        <v>29</v>
      </c>
      <c r="F117" s="7">
        <f t="shared" si="4"/>
        <v>131057</v>
      </c>
      <c r="G117" s="7">
        <f t="shared" si="4"/>
        <v>49548</v>
      </c>
      <c r="H117" s="7">
        <f t="shared" si="4"/>
        <v>12435</v>
      </c>
      <c r="I117" s="7">
        <f t="shared" si="5"/>
        <v>329195.25</v>
      </c>
      <c r="J117" s="7">
        <f t="shared" si="3"/>
        <v>522235.25</v>
      </c>
      <c r="K117" s="16">
        <f t="shared" si="6"/>
        <v>391178.25</v>
      </c>
    </row>
    <row r="118" spans="1:11" ht="12.75">
      <c r="A118" s="6" t="s">
        <v>30</v>
      </c>
      <c r="F118" s="7">
        <f t="shared" si="4"/>
        <v>131293</v>
      </c>
      <c r="G118" s="7">
        <f t="shared" si="4"/>
        <v>49400</v>
      </c>
      <c r="H118" s="7">
        <f t="shared" si="4"/>
        <v>13143</v>
      </c>
      <c r="I118" s="7">
        <f t="shared" si="5"/>
        <v>329173.5</v>
      </c>
      <c r="J118" s="7">
        <f t="shared" si="3"/>
        <v>523009.5</v>
      </c>
      <c r="K118" s="16">
        <f t="shared" si="6"/>
        <v>391716.5</v>
      </c>
    </row>
    <row r="119" spans="1:11" ht="12.75">
      <c r="A119" s="6" t="s">
        <v>31</v>
      </c>
      <c r="F119" s="7">
        <f t="shared" si="4"/>
        <v>131405</v>
      </c>
      <c r="G119" s="7">
        <f t="shared" si="4"/>
        <v>49208</v>
      </c>
      <c r="H119" s="7">
        <f t="shared" si="4"/>
        <v>12827</v>
      </c>
      <c r="I119" s="7">
        <f t="shared" si="5"/>
        <v>329222.5</v>
      </c>
      <c r="J119" s="7">
        <f t="shared" si="3"/>
        <v>522662.5</v>
      </c>
      <c r="K119" s="16">
        <f t="shared" si="6"/>
        <v>391257.5</v>
      </c>
    </row>
    <row r="120" spans="1:11" ht="12.75">
      <c r="A120" s="6" t="s">
        <v>32</v>
      </c>
      <c r="F120" s="7">
        <f t="shared" si="4"/>
        <v>131884</v>
      </c>
      <c r="G120" s="7">
        <f t="shared" si="4"/>
        <v>48970</v>
      </c>
      <c r="H120" s="7">
        <f t="shared" si="4"/>
        <v>12513</v>
      </c>
      <c r="I120" s="7">
        <f t="shared" si="5"/>
        <v>329136.75</v>
      </c>
      <c r="J120" s="7">
        <f t="shared" si="3"/>
        <v>522503.75</v>
      </c>
      <c r="K120" s="16">
        <f t="shared" si="6"/>
        <v>390619.75</v>
      </c>
    </row>
    <row r="121" spans="1:11" ht="12.75">
      <c r="A121" s="6" t="s">
        <v>33</v>
      </c>
      <c r="F121" s="7">
        <f t="shared" si="4"/>
        <v>131728</v>
      </c>
      <c r="G121" s="7">
        <f t="shared" si="4"/>
        <v>49665</v>
      </c>
      <c r="H121" s="7">
        <f t="shared" si="4"/>
        <v>13175</v>
      </c>
      <c r="I121" s="7">
        <f t="shared" si="5"/>
        <v>329216.25</v>
      </c>
      <c r="J121" s="7">
        <f t="shared" si="3"/>
        <v>523784.25</v>
      </c>
      <c r="K121" s="16">
        <f t="shared" si="6"/>
        <v>392056.25</v>
      </c>
    </row>
    <row r="122" spans="1:11" ht="12.75">
      <c r="A122" s="6" t="s">
        <v>34</v>
      </c>
      <c r="F122" s="7">
        <f t="shared" si="4"/>
        <v>131938</v>
      </c>
      <c r="G122" s="7">
        <f t="shared" si="4"/>
        <v>49293</v>
      </c>
      <c r="H122" s="7">
        <f t="shared" si="4"/>
        <v>12815</v>
      </c>
      <c r="I122" s="7">
        <f t="shared" si="5"/>
        <v>329152.75</v>
      </c>
      <c r="J122" s="7">
        <f t="shared" si="3"/>
        <v>523198.75</v>
      </c>
      <c r="K122" s="16">
        <f t="shared" si="6"/>
        <v>391260.75</v>
      </c>
    </row>
    <row r="123" spans="1:11" ht="12.75">
      <c r="A123" s="6" t="s">
        <v>35</v>
      </c>
      <c r="F123" s="7">
        <f t="shared" si="4"/>
        <v>132494</v>
      </c>
      <c r="G123" s="7">
        <f t="shared" si="4"/>
        <v>48875</v>
      </c>
      <c r="H123" s="7">
        <f t="shared" si="4"/>
        <v>12455</v>
      </c>
      <c r="I123" s="7">
        <f t="shared" si="5"/>
        <v>329146.25</v>
      </c>
      <c r="J123" s="7">
        <f t="shared" si="3"/>
        <v>522970.25</v>
      </c>
      <c r="K123" s="16">
        <f t="shared" si="6"/>
        <v>390476.25</v>
      </c>
    </row>
    <row r="124" spans="1:11" ht="12.75">
      <c r="A124" s="6" t="s">
        <v>36</v>
      </c>
      <c r="F124" s="7">
        <f t="shared" si="4"/>
        <v>132395</v>
      </c>
      <c r="G124" s="7">
        <f t="shared" si="4"/>
        <v>49390</v>
      </c>
      <c r="H124" s="7">
        <f t="shared" si="4"/>
        <v>13073</v>
      </c>
      <c r="I124" s="7">
        <f t="shared" si="5"/>
        <v>329191.25</v>
      </c>
      <c r="J124" s="7">
        <f t="shared" si="3"/>
        <v>524049.25</v>
      </c>
      <c r="K124" s="16">
        <f t="shared" si="6"/>
        <v>391654.25</v>
      </c>
    </row>
    <row r="125" spans="1:11" ht="12.75">
      <c r="A125" s="6" t="s">
        <v>37</v>
      </c>
      <c r="F125" s="7">
        <f t="shared" si="4"/>
        <v>132641</v>
      </c>
      <c r="G125" s="7">
        <f t="shared" si="4"/>
        <v>48838</v>
      </c>
      <c r="H125" s="7">
        <f t="shared" si="4"/>
        <v>12667</v>
      </c>
      <c r="I125" s="7">
        <f t="shared" si="5"/>
        <v>329182.25</v>
      </c>
      <c r="J125" s="7">
        <f t="shared" si="3"/>
        <v>523328.25</v>
      </c>
      <c r="K125" s="16">
        <f t="shared" si="6"/>
        <v>390687.25</v>
      </c>
    </row>
    <row r="126" spans="1:11" ht="12.75">
      <c r="A126" s="6" t="s">
        <v>38</v>
      </c>
      <c r="F126" s="7">
        <f t="shared" si="4"/>
        <v>133212</v>
      </c>
      <c r="G126" s="7">
        <f t="shared" si="4"/>
        <v>49217</v>
      </c>
      <c r="H126" s="7">
        <f t="shared" si="4"/>
        <v>13240</v>
      </c>
      <c r="I126" s="7">
        <f t="shared" si="5"/>
        <v>329216.5</v>
      </c>
      <c r="J126" s="7">
        <f t="shared" si="3"/>
        <v>524885.5</v>
      </c>
      <c r="K126" s="16">
        <f t="shared" si="6"/>
        <v>391673.5</v>
      </c>
    </row>
    <row r="127" spans="1:11" ht="12.75">
      <c r="A127" s="6" t="s">
        <v>39</v>
      </c>
      <c r="F127" s="7">
        <f t="shared" si="4"/>
        <v>133597</v>
      </c>
      <c r="G127" s="7">
        <f t="shared" si="4"/>
        <v>48530</v>
      </c>
      <c r="H127" s="7">
        <f t="shared" si="4"/>
        <v>12790</v>
      </c>
      <c r="I127" s="7">
        <f t="shared" si="5"/>
        <v>329188.5</v>
      </c>
      <c r="J127" s="7">
        <f t="shared" si="3"/>
        <v>524105.5</v>
      </c>
      <c r="K127" s="16">
        <f t="shared" si="6"/>
        <v>390508.5</v>
      </c>
    </row>
    <row r="128" spans="1:11" ht="12.75">
      <c r="A128" s="6" t="s">
        <v>40</v>
      </c>
      <c r="F128" s="7">
        <f t="shared" si="4"/>
        <v>133797</v>
      </c>
      <c r="G128" s="7">
        <f t="shared" si="4"/>
        <v>47797</v>
      </c>
      <c r="H128" s="7">
        <f t="shared" si="4"/>
        <v>12340</v>
      </c>
      <c r="I128" s="7">
        <f t="shared" si="5"/>
        <v>329195.5</v>
      </c>
      <c r="J128" s="7">
        <f t="shared" si="3"/>
        <v>523129.5</v>
      </c>
      <c r="K128" s="16">
        <f t="shared" si="6"/>
        <v>389332.5</v>
      </c>
    </row>
    <row r="129" spans="1:11" ht="12.75">
      <c r="A129" s="6" t="s">
        <v>41</v>
      </c>
      <c r="F129" s="7">
        <f t="shared" si="4"/>
        <v>133811</v>
      </c>
      <c r="G129" s="7">
        <f t="shared" si="4"/>
        <v>47997</v>
      </c>
      <c r="H129" s="7">
        <f t="shared" si="4"/>
        <v>12868</v>
      </c>
      <c r="I129" s="7">
        <f t="shared" si="5"/>
        <v>329132</v>
      </c>
      <c r="J129" s="7">
        <f t="shared" si="3"/>
        <v>523808</v>
      </c>
      <c r="K129" s="16">
        <f t="shared" si="6"/>
        <v>389997</v>
      </c>
    </row>
    <row r="130" spans="1:11" ht="12.75">
      <c r="A130" s="6" t="s">
        <v>42</v>
      </c>
      <c r="F130" s="7">
        <f t="shared" si="4"/>
        <v>134130</v>
      </c>
      <c r="G130" s="7">
        <f t="shared" si="4"/>
        <v>48107</v>
      </c>
      <c r="H130" s="7">
        <f t="shared" si="4"/>
        <v>12372</v>
      </c>
      <c r="I130" s="7">
        <f t="shared" si="5"/>
        <v>329195.25</v>
      </c>
      <c r="J130" s="7">
        <f t="shared" si="3"/>
        <v>523804.25</v>
      </c>
      <c r="K130" s="16">
        <f t="shared" si="6"/>
        <v>389674.25</v>
      </c>
    </row>
    <row r="131" spans="1:11" ht="12.75">
      <c r="A131" s="6" t="s">
        <v>43</v>
      </c>
      <c r="F131" s="7">
        <f t="shared" si="4"/>
        <v>134731</v>
      </c>
      <c r="G131" s="7">
        <f t="shared" si="4"/>
        <v>48127</v>
      </c>
      <c r="H131" s="7">
        <f t="shared" si="4"/>
        <v>12855</v>
      </c>
      <c r="I131" s="7">
        <f t="shared" si="5"/>
        <v>329177</v>
      </c>
      <c r="J131" s="7">
        <f t="shared" si="3"/>
        <v>524890</v>
      </c>
      <c r="K131" s="16">
        <f t="shared" si="6"/>
        <v>390159</v>
      </c>
    </row>
    <row r="132" spans="1:11" ht="12.75">
      <c r="A132" s="6" t="s">
        <v>44</v>
      </c>
      <c r="F132" s="7">
        <f t="shared" si="4"/>
        <v>135105</v>
      </c>
      <c r="G132" s="7">
        <f t="shared" si="4"/>
        <v>48057</v>
      </c>
      <c r="H132" s="7">
        <f t="shared" si="4"/>
        <v>13292</v>
      </c>
      <c r="I132" s="7">
        <f t="shared" si="5"/>
        <v>329174.5</v>
      </c>
      <c r="J132" s="7">
        <f t="shared" si="3"/>
        <v>525628.5</v>
      </c>
      <c r="K132" s="16">
        <f t="shared" si="6"/>
        <v>390523.5</v>
      </c>
    </row>
    <row r="133" spans="1:11" ht="12.75">
      <c r="A133" s="6" t="s">
        <v>45</v>
      </c>
      <c r="F133" s="7">
        <v>135743</v>
      </c>
      <c r="G133" s="7"/>
      <c r="H133" s="7"/>
      <c r="I133" s="7">
        <f t="shared" si="5"/>
        <v>329182.25</v>
      </c>
      <c r="J133" s="7">
        <f t="shared" si="3"/>
        <v>464925.25</v>
      </c>
      <c r="K133" s="16">
        <f t="shared" si="6"/>
        <v>329182.25</v>
      </c>
    </row>
    <row r="134" spans="1:11" ht="12.75">
      <c r="A134" s="6" t="s">
        <v>46</v>
      </c>
      <c r="F134" s="7"/>
      <c r="G134" s="7"/>
      <c r="H134" s="7"/>
      <c r="I134" s="7">
        <f t="shared" si="5"/>
        <v>329194.75</v>
      </c>
      <c r="J134" s="7">
        <f t="shared" si="3"/>
        <v>329194.75</v>
      </c>
      <c r="K134" s="16">
        <f t="shared" si="6"/>
        <v>329194.75</v>
      </c>
    </row>
    <row r="135" spans="1:11" ht="12.75">
      <c r="A135" s="6" t="s">
        <v>61</v>
      </c>
      <c r="F135" s="7"/>
      <c r="G135" s="7"/>
      <c r="H135" s="7"/>
      <c r="I135" s="7">
        <f t="shared" si="5"/>
        <v>329206.5</v>
      </c>
      <c r="J135" s="7">
        <f t="shared" si="3"/>
        <v>329206.5</v>
      </c>
      <c r="K135" s="16">
        <f t="shared" si="6"/>
        <v>329206.5</v>
      </c>
    </row>
    <row r="136" spans="1:11" ht="12.75">
      <c r="A136" s="6" t="s">
        <v>62</v>
      </c>
      <c r="F136" s="7"/>
      <c r="G136" s="7"/>
      <c r="H136" s="7"/>
      <c r="I136" s="7">
        <f t="shared" si="5"/>
        <v>329212</v>
      </c>
      <c r="J136" s="7">
        <f t="shared" si="3"/>
        <v>329212</v>
      </c>
      <c r="K136" s="16">
        <f t="shared" si="6"/>
        <v>329212</v>
      </c>
    </row>
    <row r="137" spans="1:11" ht="12.75">
      <c r="A137" s="6" t="s">
        <v>63</v>
      </c>
      <c r="F137" s="7"/>
      <c r="G137" s="7"/>
      <c r="H137" s="7"/>
      <c r="I137" s="7">
        <f t="shared" si="5"/>
        <v>329205.75</v>
      </c>
      <c r="J137" s="7">
        <f t="shared" si="3"/>
        <v>329205.75</v>
      </c>
      <c r="K137" s="16">
        <f t="shared" si="6"/>
        <v>329205.75</v>
      </c>
    </row>
    <row r="138" spans="1:11" ht="12.75">
      <c r="A138" s="6" t="s">
        <v>64</v>
      </c>
      <c r="F138" s="7"/>
      <c r="G138" s="7"/>
      <c r="H138" s="7"/>
      <c r="I138" s="7">
        <f t="shared" si="5"/>
        <v>329182.25</v>
      </c>
      <c r="J138" s="7">
        <f t="shared" si="3"/>
        <v>329182.25</v>
      </c>
      <c r="K138" s="16">
        <f t="shared" si="6"/>
        <v>329182.25</v>
      </c>
    </row>
    <row r="139" spans="1:11" ht="12.75">
      <c r="A139" s="6" t="s">
        <v>65</v>
      </c>
      <c r="F139" s="7"/>
      <c r="G139" s="7"/>
      <c r="H139" s="7"/>
      <c r="I139" s="7">
        <f t="shared" si="5"/>
        <v>329136</v>
      </c>
      <c r="J139" s="7">
        <f t="shared" si="3"/>
        <v>329136</v>
      </c>
      <c r="K139" s="16">
        <f t="shared" si="6"/>
        <v>329136</v>
      </c>
    </row>
    <row r="140" spans="1:11" ht="12.75">
      <c r="A140" s="6" t="s">
        <v>66</v>
      </c>
      <c r="F140" s="7"/>
      <c r="G140" s="7"/>
      <c r="H140" s="7"/>
      <c r="I140" s="7">
        <f t="shared" si="5"/>
        <v>327361.5</v>
      </c>
      <c r="J140" s="7">
        <f t="shared" si="3"/>
        <v>327361.5</v>
      </c>
      <c r="K140" s="16">
        <f t="shared" si="6"/>
        <v>327361.5</v>
      </c>
    </row>
    <row r="141" spans="1:11" ht="12.75">
      <c r="A141" s="6"/>
      <c r="F141" s="12"/>
      <c r="G141" s="7">
        <f>+G38+G84</f>
        <v>0</v>
      </c>
      <c r="H141" s="7">
        <f>+H38+H84</f>
        <v>0</v>
      </c>
      <c r="I141" s="7"/>
      <c r="J141" s="7">
        <f>SUM(B141:H141)</f>
        <v>0</v>
      </c>
      <c r="K141" s="16">
        <f>+D141+G141+H141</f>
        <v>0</v>
      </c>
    </row>
    <row r="142" spans="2:10" ht="13.5" thickBot="1">
      <c r="B142" s="9">
        <f>SUM(B102:B113)</f>
        <v>1753447.5</v>
      </c>
      <c r="C142" s="9">
        <f>SUM(C102:C113)</f>
        <v>182805.15000000002</v>
      </c>
      <c r="D142" s="9">
        <f>SUM(D102:D113)</f>
        <v>1570720</v>
      </c>
      <c r="E142" s="9">
        <f>SUM(E102:E113)</f>
        <v>2133396</v>
      </c>
      <c r="F142" s="9">
        <f>SUM(F102:F141)</f>
        <v>4209315</v>
      </c>
      <c r="G142" s="9">
        <f>SUM(G102:G113)</f>
        <v>594720</v>
      </c>
      <c r="H142" s="9">
        <f>SUM(H102:H113)</f>
        <v>154567</v>
      </c>
      <c r="I142" s="9">
        <f>SUM(I102:I113)</f>
        <v>3832781.25</v>
      </c>
      <c r="J142" s="9">
        <f>SUM(J102:J141)</f>
        <v>24491778.65</v>
      </c>
    </row>
    <row r="143" ht="13.5" thickTop="1"/>
  </sheetData>
  <sheetProtection/>
  <printOptions/>
  <pageMargins left="0.7" right="0.7" top="0.75" bottom="0.75" header="0.3" footer="0.3"/>
  <pageSetup fitToHeight="3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7">
      <selection activeCell="H13" sqref="H13"/>
    </sheetView>
  </sheetViews>
  <sheetFormatPr defaultColWidth="11.7109375" defaultRowHeight="12.75"/>
  <cols>
    <col min="1" max="9" width="11.7109375" style="2" customWidth="1"/>
    <col min="10" max="10" width="14.140625" style="2" customWidth="1"/>
    <col min="11" max="11" width="15.57421875" style="2" bestFit="1" customWidth="1"/>
    <col min="12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ht="12.75">
      <c r="A3" s="1"/>
    </row>
    <row r="4" ht="12.75">
      <c r="A4" s="1"/>
    </row>
    <row r="5" ht="12.75">
      <c r="A5" s="1" t="s">
        <v>68</v>
      </c>
    </row>
    <row r="6" ht="12.75">
      <c r="A6" s="1" t="s">
        <v>69</v>
      </c>
    </row>
    <row r="7" ht="12.75">
      <c r="A7" s="1"/>
    </row>
    <row r="8" ht="12.75">
      <c r="A8" s="1"/>
    </row>
    <row r="9" ht="12.75">
      <c r="A9" s="3" t="s">
        <v>2</v>
      </c>
    </row>
    <row r="10" ht="12.75">
      <c r="A10" s="1"/>
    </row>
    <row r="11" spans="1:10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11</v>
      </c>
    </row>
    <row r="12" spans="1:10" ht="12.75">
      <c r="A12" s="6"/>
      <c r="B12" s="7"/>
      <c r="C12" s="7"/>
      <c r="D12" s="7"/>
      <c r="E12" s="7"/>
      <c r="F12" s="7"/>
      <c r="G12" s="7"/>
      <c r="J12" s="7"/>
    </row>
    <row r="13" spans="1:10" ht="15">
      <c r="A13" s="6" t="s">
        <v>15</v>
      </c>
      <c r="B13" s="7">
        <f>27428.28+27733.19+28041.48+28353.21</f>
        <v>111556.16</v>
      </c>
      <c r="C13" s="7">
        <f>13148.04+13246.9+13346.5+13446.85</f>
        <v>53188.29</v>
      </c>
      <c r="D13" s="7">
        <v>165576</v>
      </c>
      <c r="E13" s="7">
        <v>35500</v>
      </c>
      <c r="F13" s="7">
        <v>13000</v>
      </c>
      <c r="G13" s="7">
        <v>3000</v>
      </c>
      <c r="H13" s="19">
        <v>117400</v>
      </c>
      <c r="I13" s="19">
        <v>155000</v>
      </c>
      <c r="J13" s="7">
        <f aca="true" t="shared" si="0" ref="J13:J20">SUM(B13:I13)</f>
        <v>654220.45</v>
      </c>
    </row>
    <row r="14" spans="1:10" ht="15">
      <c r="A14" s="6" t="s">
        <v>16</v>
      </c>
      <c r="B14" s="7">
        <f>28668.39+28987.08+29309.32+29635.13</f>
        <v>116599.92000000001</v>
      </c>
      <c r="C14" s="7">
        <f>13547.95+13649.81+13752.44+13855.84</f>
        <v>54806.04000000001</v>
      </c>
      <c r="D14" s="7">
        <v>167236</v>
      </c>
      <c r="E14" s="7">
        <v>37000</v>
      </c>
      <c r="F14" s="7">
        <v>14000</v>
      </c>
      <c r="G14" s="7">
        <v>4000</v>
      </c>
      <c r="H14" s="19">
        <v>120700</v>
      </c>
      <c r="I14" s="19">
        <v>155000</v>
      </c>
      <c r="J14" s="7">
        <f t="shared" si="0"/>
        <v>669341.96</v>
      </c>
    </row>
    <row r="15" spans="1:10" ht="15">
      <c r="A15" s="6" t="s">
        <v>17</v>
      </c>
      <c r="B15" s="7">
        <f>29964.57+30297.67+30634.47+30975.02</f>
        <v>121871.73</v>
      </c>
      <c r="C15" s="7">
        <f>13694.71+251</f>
        <v>13945.71</v>
      </c>
      <c r="D15" s="7">
        <v>168913</v>
      </c>
      <c r="E15" s="7">
        <v>38500</v>
      </c>
      <c r="F15" s="7">
        <v>15000</v>
      </c>
      <c r="G15" s="7">
        <v>4000</v>
      </c>
      <c r="H15" s="19">
        <v>124000</v>
      </c>
      <c r="I15" s="19">
        <v>160000</v>
      </c>
      <c r="J15" s="7">
        <f t="shared" si="0"/>
        <v>646230.44</v>
      </c>
    </row>
    <row r="16" spans="1:10" ht="15">
      <c r="A16" s="6" t="s">
        <v>18</v>
      </c>
      <c r="B16" s="7">
        <f>31319.35+31667.51+32019.54+32375.49</f>
        <v>127381.89</v>
      </c>
      <c r="C16" s="7"/>
      <c r="D16" s="7">
        <v>170606</v>
      </c>
      <c r="E16" s="7">
        <v>40500</v>
      </c>
      <c r="F16" s="7">
        <v>15000</v>
      </c>
      <c r="G16" s="7">
        <v>4000</v>
      </c>
      <c r="H16" s="19">
        <v>127400</v>
      </c>
      <c r="I16" s="19">
        <v>165000</v>
      </c>
      <c r="J16" s="7">
        <f t="shared" si="0"/>
        <v>649887.89</v>
      </c>
    </row>
    <row r="17" spans="1:10" ht="15">
      <c r="A17" s="6" t="s">
        <v>19</v>
      </c>
      <c r="B17" s="7">
        <f>32735.39+33099.29+33467.24+33839.28</f>
        <v>133141.19999999998</v>
      </c>
      <c r="C17" s="7"/>
      <c r="D17" s="7">
        <v>172316</v>
      </c>
      <c r="E17" s="8">
        <v>42000</v>
      </c>
      <c r="F17" s="7">
        <v>16000</v>
      </c>
      <c r="G17" s="7">
        <v>4000</v>
      </c>
      <c r="H17" s="19">
        <v>130900</v>
      </c>
      <c r="I17" s="19">
        <v>170000</v>
      </c>
      <c r="J17" s="7">
        <f t="shared" si="0"/>
        <v>668357.2</v>
      </c>
    </row>
    <row r="18" spans="1:10" ht="15">
      <c r="A18" s="6" t="s">
        <v>20</v>
      </c>
      <c r="B18" s="8">
        <f>34215.45+34595.8+34980.39+35369.24</f>
        <v>139160.88</v>
      </c>
      <c r="C18" s="8"/>
      <c r="D18" s="8">
        <v>174044</v>
      </c>
      <c r="E18" s="8">
        <v>44000</v>
      </c>
      <c r="F18" s="8">
        <v>17000</v>
      </c>
      <c r="G18" s="8">
        <v>4000</v>
      </c>
      <c r="H18" s="19">
        <v>134500</v>
      </c>
      <c r="I18" s="19">
        <v>170000</v>
      </c>
      <c r="J18" s="8">
        <f t="shared" si="0"/>
        <v>682704.88</v>
      </c>
    </row>
    <row r="19" spans="1:10" ht="15">
      <c r="A19" s="6" t="s">
        <v>21</v>
      </c>
      <c r="B19" s="8">
        <f>35762.42+36159.98+36561.95+36968.39</f>
        <v>145452.74</v>
      </c>
      <c r="C19" s="8"/>
      <c r="D19" s="8">
        <v>175789</v>
      </c>
      <c r="E19" s="8">
        <v>46000</v>
      </c>
      <c r="F19" s="8">
        <v>17000</v>
      </c>
      <c r="G19" s="8">
        <v>5000</v>
      </c>
      <c r="H19" s="19">
        <v>138200</v>
      </c>
      <c r="I19" s="19">
        <v>175000</v>
      </c>
      <c r="J19" s="8">
        <f t="shared" si="0"/>
        <v>702441.74</v>
      </c>
    </row>
    <row r="20" spans="1:10" ht="15">
      <c r="A20" s="6" t="s">
        <v>22</v>
      </c>
      <c r="B20" s="8">
        <f>37379.34+37794.87+38215.01+38639.83</f>
        <v>152029.05</v>
      </c>
      <c r="C20" s="8"/>
      <c r="D20" s="8">
        <v>177551</v>
      </c>
      <c r="E20" s="8">
        <v>48000</v>
      </c>
      <c r="F20" s="8">
        <v>18000</v>
      </c>
      <c r="G20" s="8">
        <v>5000</v>
      </c>
      <c r="H20" s="19">
        <v>142000</v>
      </c>
      <c r="I20" s="19">
        <v>15000</v>
      </c>
      <c r="J20" s="7">
        <f t="shared" si="0"/>
        <v>557580.05</v>
      </c>
    </row>
    <row r="21" spans="1:10" ht="15">
      <c r="A21" s="6" t="s">
        <v>23</v>
      </c>
      <c r="B21" s="8">
        <f>39069.37+39503.68+39942.82+40386.85</f>
        <v>158902.72</v>
      </c>
      <c r="C21" s="8"/>
      <c r="D21" s="8">
        <v>179331</v>
      </c>
      <c r="E21" s="8">
        <v>50500</v>
      </c>
      <c r="F21" s="8">
        <v>19000</v>
      </c>
      <c r="G21" s="8">
        <v>5000</v>
      </c>
      <c r="H21" s="19">
        <v>145900</v>
      </c>
      <c r="I21" s="19"/>
      <c r="J21" s="7">
        <f aca="true" t="shared" si="1" ref="J21:J50">SUM(B21:H21)</f>
        <v>558633.72</v>
      </c>
    </row>
    <row r="22" spans="1:10" ht="15">
      <c r="A22" s="6" t="s">
        <v>24</v>
      </c>
      <c r="B22" s="8">
        <f>40835.8+41289.81</f>
        <v>82125.61</v>
      </c>
      <c r="C22" s="8"/>
      <c r="D22" s="8">
        <v>181129</v>
      </c>
      <c r="E22" s="8">
        <v>52500</v>
      </c>
      <c r="F22" s="8">
        <v>20000</v>
      </c>
      <c r="G22" s="8">
        <v>5000</v>
      </c>
      <c r="H22" s="19">
        <v>149900</v>
      </c>
      <c r="I22" s="19"/>
      <c r="J22" s="8">
        <f t="shared" si="1"/>
        <v>490654.61</v>
      </c>
    </row>
    <row r="23" spans="1:10" ht="15">
      <c r="A23" s="6" t="s">
        <v>25</v>
      </c>
      <c r="B23" s="8"/>
      <c r="C23" s="8"/>
      <c r="D23" s="8">
        <v>91243</v>
      </c>
      <c r="E23" s="8">
        <v>55000</v>
      </c>
      <c r="F23" s="8">
        <v>21000</v>
      </c>
      <c r="G23" s="8">
        <v>5000</v>
      </c>
      <c r="H23" s="19">
        <v>154000</v>
      </c>
      <c r="I23" s="19"/>
      <c r="J23" s="7">
        <f t="shared" si="1"/>
        <v>326243</v>
      </c>
    </row>
    <row r="24" spans="1:10" ht="15">
      <c r="A24" s="6" t="s">
        <v>26</v>
      </c>
      <c r="B24" s="8"/>
      <c r="C24" s="8"/>
      <c r="D24" s="8"/>
      <c r="E24" s="8">
        <v>57500</v>
      </c>
      <c r="F24" s="8">
        <v>22000</v>
      </c>
      <c r="G24" s="8">
        <v>6000</v>
      </c>
      <c r="H24" s="19">
        <v>158300</v>
      </c>
      <c r="I24" s="19"/>
      <c r="J24" s="7">
        <f t="shared" si="1"/>
        <v>243800</v>
      </c>
    </row>
    <row r="25" spans="1:10" ht="15">
      <c r="A25" s="6" t="s">
        <v>27</v>
      </c>
      <c r="B25" s="8"/>
      <c r="C25" s="8"/>
      <c r="D25" s="8"/>
      <c r="E25" s="8">
        <v>60000</v>
      </c>
      <c r="F25" s="8">
        <v>23000</v>
      </c>
      <c r="G25" s="8">
        <v>6000</v>
      </c>
      <c r="H25" s="19">
        <v>162600</v>
      </c>
      <c r="I25" s="19"/>
      <c r="J25" s="7">
        <f t="shared" si="1"/>
        <v>251600</v>
      </c>
    </row>
    <row r="26" spans="1:10" ht="15">
      <c r="A26" s="6" t="s">
        <v>28</v>
      </c>
      <c r="B26" s="8"/>
      <c r="C26" s="8"/>
      <c r="D26" s="8"/>
      <c r="E26" s="8">
        <v>62500</v>
      </c>
      <c r="F26" s="8">
        <v>24000</v>
      </c>
      <c r="G26" s="8">
        <v>6000</v>
      </c>
      <c r="H26" s="19">
        <v>167100</v>
      </c>
      <c r="I26" s="19"/>
      <c r="J26" s="7">
        <f t="shared" si="1"/>
        <v>259600</v>
      </c>
    </row>
    <row r="27" spans="1:10" ht="15">
      <c r="A27" s="6" t="s">
        <v>29</v>
      </c>
      <c r="B27" s="8"/>
      <c r="C27" s="8"/>
      <c r="D27" s="8"/>
      <c r="E27" s="8">
        <v>65500</v>
      </c>
      <c r="F27" s="8">
        <v>25000</v>
      </c>
      <c r="G27" s="8">
        <v>6000</v>
      </c>
      <c r="H27" s="19">
        <v>171700</v>
      </c>
      <c r="I27" s="19"/>
      <c r="J27" s="7">
        <f t="shared" si="1"/>
        <v>268200</v>
      </c>
    </row>
    <row r="28" spans="1:10" ht="15">
      <c r="A28" s="6" t="s">
        <v>30</v>
      </c>
      <c r="B28" s="8"/>
      <c r="C28" s="8"/>
      <c r="D28" s="8"/>
      <c r="E28" s="8">
        <v>68500</v>
      </c>
      <c r="F28" s="8">
        <v>26000</v>
      </c>
      <c r="G28" s="8">
        <v>7000</v>
      </c>
      <c r="H28" s="19">
        <v>176400</v>
      </c>
      <c r="I28" s="19"/>
      <c r="J28" s="7">
        <f t="shared" si="1"/>
        <v>277900</v>
      </c>
    </row>
    <row r="29" spans="1:10" ht="15">
      <c r="A29" s="6" t="s">
        <v>31</v>
      </c>
      <c r="B29" s="8"/>
      <c r="C29" s="8"/>
      <c r="D29" s="8"/>
      <c r="E29" s="8">
        <v>71500</v>
      </c>
      <c r="F29" s="8">
        <v>27000</v>
      </c>
      <c r="G29" s="8">
        <v>7000</v>
      </c>
      <c r="H29" s="19">
        <v>181300</v>
      </c>
      <c r="I29" s="19"/>
      <c r="J29" s="7">
        <f t="shared" si="1"/>
        <v>286800</v>
      </c>
    </row>
    <row r="30" spans="1:10" ht="15">
      <c r="A30" s="6" t="s">
        <v>32</v>
      </c>
      <c r="B30" s="8"/>
      <c r="C30" s="8"/>
      <c r="D30" s="8"/>
      <c r="E30" s="8">
        <v>75000</v>
      </c>
      <c r="F30" s="8">
        <v>28000</v>
      </c>
      <c r="G30" s="8">
        <v>7000</v>
      </c>
      <c r="H30" s="19">
        <v>186200</v>
      </c>
      <c r="I30" s="19"/>
      <c r="J30" s="7">
        <f t="shared" si="1"/>
        <v>296200</v>
      </c>
    </row>
    <row r="31" spans="1:10" ht="15">
      <c r="A31" s="6" t="s">
        <v>33</v>
      </c>
      <c r="B31" s="8"/>
      <c r="C31" s="8"/>
      <c r="D31" s="8"/>
      <c r="E31" s="8">
        <v>78000</v>
      </c>
      <c r="F31" s="8">
        <v>30000</v>
      </c>
      <c r="G31" s="8">
        <v>8000</v>
      </c>
      <c r="H31" s="19">
        <v>191400</v>
      </c>
      <c r="I31" s="19"/>
      <c r="J31" s="7">
        <f t="shared" si="1"/>
        <v>307400</v>
      </c>
    </row>
    <row r="32" spans="1:10" ht="15">
      <c r="A32" s="6" t="s">
        <v>34</v>
      </c>
      <c r="B32" s="8"/>
      <c r="C32" s="8"/>
      <c r="D32" s="8"/>
      <c r="E32" s="8">
        <v>81500</v>
      </c>
      <c r="F32" s="8">
        <v>31000</v>
      </c>
      <c r="G32" s="8">
        <v>8000</v>
      </c>
      <c r="H32" s="19">
        <v>196600</v>
      </c>
      <c r="I32" s="19"/>
      <c r="J32" s="7">
        <f t="shared" si="1"/>
        <v>317100</v>
      </c>
    </row>
    <row r="33" spans="1:10" ht="15">
      <c r="A33" s="6" t="s">
        <v>35</v>
      </c>
      <c r="B33" s="8"/>
      <c r="C33" s="8"/>
      <c r="D33" s="8"/>
      <c r="E33" s="8">
        <v>85500</v>
      </c>
      <c r="F33" s="8">
        <v>32000</v>
      </c>
      <c r="G33" s="8">
        <v>8000</v>
      </c>
      <c r="H33" s="19">
        <v>202000</v>
      </c>
      <c r="I33" s="19"/>
      <c r="J33" s="7">
        <f t="shared" si="1"/>
        <v>327500</v>
      </c>
    </row>
    <row r="34" spans="1:10" ht="15">
      <c r="A34" s="6" t="s">
        <v>36</v>
      </c>
      <c r="B34" s="8"/>
      <c r="C34" s="8"/>
      <c r="D34" s="8"/>
      <c r="E34" s="8">
        <v>89000</v>
      </c>
      <c r="F34" s="8">
        <v>34000</v>
      </c>
      <c r="G34" s="8">
        <v>9000</v>
      </c>
      <c r="H34" s="19">
        <v>207600</v>
      </c>
      <c r="I34" s="19"/>
      <c r="J34" s="7">
        <f t="shared" si="1"/>
        <v>339600</v>
      </c>
    </row>
    <row r="35" spans="1:10" ht="15">
      <c r="A35" s="6" t="s">
        <v>37</v>
      </c>
      <c r="B35" s="8"/>
      <c r="C35" s="8"/>
      <c r="D35" s="8"/>
      <c r="E35" s="8">
        <v>93000</v>
      </c>
      <c r="F35" s="8">
        <v>35000</v>
      </c>
      <c r="G35" s="8">
        <v>9000</v>
      </c>
      <c r="H35" s="19">
        <v>213300</v>
      </c>
      <c r="I35" s="19"/>
      <c r="J35" s="7">
        <f t="shared" si="1"/>
        <v>350300</v>
      </c>
    </row>
    <row r="36" spans="1:10" ht="15">
      <c r="A36" s="6" t="s">
        <v>38</v>
      </c>
      <c r="B36" s="8"/>
      <c r="C36" s="8"/>
      <c r="D36" s="8"/>
      <c r="E36" s="8">
        <v>97500</v>
      </c>
      <c r="F36" s="8">
        <v>37000</v>
      </c>
      <c r="G36" s="8">
        <v>10000</v>
      </c>
      <c r="H36" s="19">
        <v>219200</v>
      </c>
      <c r="I36" s="19"/>
      <c r="J36" s="7">
        <f t="shared" si="1"/>
        <v>363700</v>
      </c>
    </row>
    <row r="37" spans="1:10" ht="15">
      <c r="A37" s="6" t="s">
        <v>39</v>
      </c>
      <c r="B37" s="8"/>
      <c r="C37" s="8"/>
      <c r="D37" s="8"/>
      <c r="E37" s="8">
        <v>102000</v>
      </c>
      <c r="F37" s="8">
        <v>38000</v>
      </c>
      <c r="G37" s="8">
        <v>10000</v>
      </c>
      <c r="H37" s="19">
        <v>225200</v>
      </c>
      <c r="I37" s="19"/>
      <c r="J37" s="7">
        <f t="shared" si="1"/>
        <v>375200</v>
      </c>
    </row>
    <row r="38" spans="1:10" ht="15">
      <c r="A38" s="6" t="s">
        <v>40</v>
      </c>
      <c r="B38" s="8"/>
      <c r="C38" s="8"/>
      <c r="D38" s="8"/>
      <c r="E38" s="8">
        <v>106500</v>
      </c>
      <c r="F38" s="8">
        <v>39000</v>
      </c>
      <c r="G38" s="8">
        <v>10000</v>
      </c>
      <c r="H38" s="19">
        <v>231400</v>
      </c>
      <c r="I38" s="19"/>
      <c r="J38" s="7">
        <f t="shared" si="1"/>
        <v>386900</v>
      </c>
    </row>
    <row r="39" spans="1:10" ht="15">
      <c r="A39" s="6" t="s">
        <v>41</v>
      </c>
      <c r="B39" s="8"/>
      <c r="C39" s="8"/>
      <c r="D39" s="8"/>
      <c r="E39" s="8">
        <v>111000</v>
      </c>
      <c r="F39" s="8">
        <v>41000</v>
      </c>
      <c r="G39" s="8">
        <v>11000</v>
      </c>
      <c r="H39" s="19">
        <v>237700</v>
      </c>
      <c r="I39" s="19"/>
      <c r="J39" s="7">
        <f t="shared" si="1"/>
        <v>400700</v>
      </c>
    </row>
    <row r="40" spans="1:10" ht="15">
      <c r="A40" s="6" t="s">
        <v>42</v>
      </c>
      <c r="B40" s="8"/>
      <c r="C40" s="8"/>
      <c r="D40" s="8"/>
      <c r="E40" s="8">
        <v>116000</v>
      </c>
      <c r="F40" s="8">
        <v>43000</v>
      </c>
      <c r="G40" s="8">
        <v>11000</v>
      </c>
      <c r="H40" s="19">
        <v>244300</v>
      </c>
      <c r="I40" s="19"/>
      <c r="J40" s="7">
        <f t="shared" si="1"/>
        <v>414300</v>
      </c>
    </row>
    <row r="41" spans="1:10" ht="15">
      <c r="A41" s="6" t="s">
        <v>43</v>
      </c>
      <c r="B41" s="8"/>
      <c r="C41" s="8"/>
      <c r="D41" s="8"/>
      <c r="E41" s="8">
        <v>121500</v>
      </c>
      <c r="F41" s="8">
        <v>45000</v>
      </c>
      <c r="G41" s="8">
        <v>12000</v>
      </c>
      <c r="H41" s="19">
        <v>251000</v>
      </c>
      <c r="I41" s="19"/>
      <c r="J41" s="7">
        <f t="shared" si="1"/>
        <v>429500</v>
      </c>
    </row>
    <row r="42" spans="1:10" ht="15">
      <c r="A42" s="6" t="s">
        <v>44</v>
      </c>
      <c r="B42" s="8"/>
      <c r="C42" s="8"/>
      <c r="D42" s="8"/>
      <c r="E42" s="8">
        <v>127000</v>
      </c>
      <c r="F42" s="8">
        <v>47000</v>
      </c>
      <c r="G42" s="8">
        <v>13000</v>
      </c>
      <c r="H42" s="19">
        <v>257900</v>
      </c>
      <c r="I42" s="19"/>
      <c r="J42" s="7">
        <f t="shared" si="1"/>
        <v>444900</v>
      </c>
    </row>
    <row r="43" spans="1:10" ht="15">
      <c r="A43" s="6" t="s">
        <v>45</v>
      </c>
      <c r="B43" s="8"/>
      <c r="C43" s="8"/>
      <c r="D43" s="8"/>
      <c r="E43" s="8">
        <v>133000</v>
      </c>
      <c r="F43" s="8"/>
      <c r="G43" s="8"/>
      <c r="H43" s="19">
        <v>265000</v>
      </c>
      <c r="I43" s="19"/>
      <c r="J43" s="7">
        <f t="shared" si="1"/>
        <v>398000</v>
      </c>
    </row>
    <row r="44" spans="1:10" ht="15">
      <c r="A44" s="17">
        <v>2045</v>
      </c>
      <c r="B44" s="8"/>
      <c r="C44" s="8"/>
      <c r="D44" s="8"/>
      <c r="E44" s="8"/>
      <c r="F44" s="8"/>
      <c r="G44" s="8"/>
      <c r="H44" s="19">
        <v>272300</v>
      </c>
      <c r="I44" s="19"/>
      <c r="J44" s="7">
        <f t="shared" si="1"/>
        <v>272300</v>
      </c>
    </row>
    <row r="45" spans="1:10" ht="15">
      <c r="A45" s="17">
        <v>2046</v>
      </c>
      <c r="B45" s="8"/>
      <c r="C45" s="8"/>
      <c r="D45" s="8"/>
      <c r="E45" s="8"/>
      <c r="F45" s="8"/>
      <c r="G45" s="8"/>
      <c r="H45" s="19">
        <v>279800</v>
      </c>
      <c r="I45" s="19"/>
      <c r="J45" s="7">
        <f t="shared" si="1"/>
        <v>279800</v>
      </c>
    </row>
    <row r="46" spans="1:10" ht="15">
      <c r="A46" s="17">
        <v>2047</v>
      </c>
      <c r="B46" s="8"/>
      <c r="C46" s="8"/>
      <c r="D46" s="8"/>
      <c r="E46" s="8"/>
      <c r="F46" s="8"/>
      <c r="G46" s="8"/>
      <c r="H46" s="19">
        <v>287500</v>
      </c>
      <c r="I46" s="19"/>
      <c r="J46" s="7">
        <f t="shared" si="1"/>
        <v>287500</v>
      </c>
    </row>
    <row r="47" spans="1:10" ht="15">
      <c r="A47" s="17">
        <v>2048</v>
      </c>
      <c r="B47" s="8"/>
      <c r="C47" s="8"/>
      <c r="D47" s="8"/>
      <c r="E47" s="8"/>
      <c r="F47" s="8"/>
      <c r="G47" s="8"/>
      <c r="H47" s="19">
        <v>295400</v>
      </c>
      <c r="I47" s="19"/>
      <c r="J47" s="7">
        <f t="shared" si="1"/>
        <v>295400</v>
      </c>
    </row>
    <row r="48" spans="1:10" ht="15">
      <c r="A48" s="17">
        <v>2049</v>
      </c>
      <c r="B48" s="8"/>
      <c r="C48" s="8"/>
      <c r="D48" s="8"/>
      <c r="E48" s="8"/>
      <c r="F48" s="8"/>
      <c r="G48" s="8"/>
      <c r="H48" s="19">
        <v>303500</v>
      </c>
      <c r="I48" s="19"/>
      <c r="J48" s="7">
        <f t="shared" si="1"/>
        <v>303500</v>
      </c>
    </row>
    <row r="49" spans="1:10" ht="15">
      <c r="A49" s="17">
        <v>2050</v>
      </c>
      <c r="B49" s="8"/>
      <c r="C49" s="8"/>
      <c r="D49" s="8"/>
      <c r="F49" s="8"/>
      <c r="G49" s="8"/>
      <c r="H49" s="19">
        <v>311800</v>
      </c>
      <c r="I49" s="19"/>
      <c r="J49" s="7">
        <f t="shared" si="1"/>
        <v>311800</v>
      </c>
    </row>
    <row r="50" spans="1:10" ht="15">
      <c r="A50" s="17">
        <v>2051</v>
      </c>
      <c r="B50" s="8"/>
      <c r="C50" s="8"/>
      <c r="D50" s="8"/>
      <c r="F50" s="8"/>
      <c r="G50" s="8"/>
      <c r="H50" s="19">
        <v>318600</v>
      </c>
      <c r="I50" s="19"/>
      <c r="J50" s="7">
        <f t="shared" si="1"/>
        <v>318600</v>
      </c>
    </row>
    <row r="52" spans="1:10" ht="13.5" thickBot="1">
      <c r="A52" s="6"/>
      <c r="B52" s="9">
        <f>SUM(B12:B49)</f>
        <v>1288221.9000000001</v>
      </c>
      <c r="C52" s="9">
        <f>SUM(C12:C49)</f>
        <v>121940.04000000001</v>
      </c>
      <c r="D52" s="9">
        <f>SUM(D12:D49)</f>
        <v>1823734</v>
      </c>
      <c r="E52" s="9">
        <f>SUM(E12:E43)</f>
        <v>2291500</v>
      </c>
      <c r="F52" s="9">
        <f>SUM(F12:F49)</f>
        <v>812000</v>
      </c>
      <c r="G52" s="9">
        <f>SUM(G12:G49)</f>
        <v>212000</v>
      </c>
      <c r="H52" s="9">
        <f>SUM(H13:H50)</f>
        <v>7700000</v>
      </c>
      <c r="I52" s="9">
        <f>SUM(I13:I50)</f>
        <v>1165000</v>
      </c>
      <c r="J52" s="9">
        <f>SUM(J12:J50)</f>
        <v>15414395.94</v>
      </c>
    </row>
    <row r="53" spans="1:10" ht="13.5" thickTop="1">
      <c r="A53" s="6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6"/>
      <c r="B54" s="7"/>
      <c r="C54" s="7" t="s">
        <v>59</v>
      </c>
      <c r="D54" s="7" t="s">
        <v>59</v>
      </c>
      <c r="E54" s="7"/>
      <c r="F54" s="7"/>
      <c r="G54" s="7"/>
      <c r="H54" s="7"/>
      <c r="I54" s="7"/>
      <c r="J54" s="7"/>
    </row>
    <row r="55" spans="1:10" ht="12.75">
      <c r="A55" s="3" t="s">
        <v>47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7"/>
    </row>
    <row r="57" spans="1:10" s="15" customFormat="1" ht="12.75">
      <c r="A57" s="13" t="s">
        <v>3</v>
      </c>
      <c r="B57" s="14" t="s">
        <v>5</v>
      </c>
      <c r="C57" s="14" t="s">
        <v>56</v>
      </c>
      <c r="D57" s="14" t="s">
        <v>8</v>
      </c>
      <c r="E57" s="14">
        <v>2005</v>
      </c>
      <c r="F57" s="14" t="s">
        <v>9</v>
      </c>
      <c r="G57" s="14" t="s">
        <v>10</v>
      </c>
      <c r="H57" s="14">
        <v>2011</v>
      </c>
      <c r="I57" s="14" t="s">
        <v>67</v>
      </c>
      <c r="J57" s="14" t="s">
        <v>11</v>
      </c>
    </row>
    <row r="58" spans="1:10" ht="15">
      <c r="A58" s="6"/>
      <c r="B58" s="7"/>
      <c r="C58" s="7"/>
      <c r="D58" s="7"/>
      <c r="E58" s="7"/>
      <c r="F58" s="7"/>
      <c r="G58" s="7"/>
      <c r="H58" s="18"/>
      <c r="I58" s="18"/>
      <c r="J58" s="7"/>
    </row>
    <row r="59" spans="1:10" ht="15">
      <c r="A59" s="6" t="s">
        <v>15</v>
      </c>
      <c r="B59" s="7">
        <f>14320.47+14015.56+13707.27+13395.54</f>
        <v>55438.840000000004</v>
      </c>
      <c r="C59" s="7">
        <v>3064</v>
      </c>
      <c r="D59" s="7">
        <v>21389</v>
      </c>
      <c r="E59" s="7">
        <v>93792</v>
      </c>
      <c r="F59" s="7">
        <v>36247</v>
      </c>
      <c r="G59" s="7">
        <v>9472</v>
      </c>
      <c r="H59" s="18">
        <v>211750</v>
      </c>
      <c r="I59" s="18">
        <f>11494.39+13435</f>
        <v>24929.39</v>
      </c>
      <c r="J59" s="7">
        <f aca="true" t="shared" si="2" ref="J59:J96">SUM(B59:I59)</f>
        <v>456082.23</v>
      </c>
    </row>
    <row r="60" spans="1:10" ht="15">
      <c r="A60" s="6" t="s">
        <v>16</v>
      </c>
      <c r="B60" s="7">
        <f>13080.36+12761.67+12439.43+12113.62</f>
        <v>50395.08</v>
      </c>
      <c r="C60" s="7">
        <v>1445.92</v>
      </c>
      <c r="D60" s="7">
        <v>19397</v>
      </c>
      <c r="E60" s="7">
        <v>92297</v>
      </c>
      <c r="F60" s="7">
        <v>35640</v>
      </c>
      <c r="G60" s="7">
        <v>9315</v>
      </c>
      <c r="H60" s="18">
        <v>208521.5</v>
      </c>
      <c r="I60" s="18">
        <f>11652.5+11652.5</f>
        <v>23305</v>
      </c>
      <c r="J60" s="7">
        <f t="shared" si="2"/>
        <v>440316.5</v>
      </c>
    </row>
    <row r="61" spans="1:10" ht="15">
      <c r="A61" s="6" t="s">
        <v>17</v>
      </c>
      <c r="B61" s="7">
        <f>11784.18+11451.08+11114.28+10773.73</f>
        <v>45123.270000000004</v>
      </c>
      <c r="C61" s="7">
        <v>102.97</v>
      </c>
      <c r="D61" s="7">
        <v>17386</v>
      </c>
      <c r="E61" s="7">
        <v>90740</v>
      </c>
      <c r="F61" s="7">
        <v>34988</v>
      </c>
      <c r="G61" s="7">
        <v>9135</v>
      </c>
      <c r="H61" s="18">
        <v>205202.25</v>
      </c>
      <c r="I61" s="18">
        <f>9870+9870</f>
        <v>19740</v>
      </c>
      <c r="J61" s="7">
        <f t="shared" si="2"/>
        <v>422417.49</v>
      </c>
    </row>
    <row r="62" spans="1:10" ht="15">
      <c r="A62" s="6" t="s">
        <v>18</v>
      </c>
      <c r="B62" s="7">
        <f>10429.4+10081.24+9729.21+9373.26</f>
        <v>39613.11</v>
      </c>
      <c r="C62" s="7"/>
      <c r="D62" s="7">
        <v>15354</v>
      </c>
      <c r="E62" s="8">
        <v>89110</v>
      </c>
      <c r="F62" s="7">
        <v>34312</v>
      </c>
      <c r="G62" s="7">
        <v>8955</v>
      </c>
      <c r="H62" s="18">
        <v>201792.25</v>
      </c>
      <c r="I62" s="18">
        <f>8030+8030</f>
        <v>16060</v>
      </c>
      <c r="J62" s="7">
        <f t="shared" si="2"/>
        <v>405196.36</v>
      </c>
    </row>
    <row r="63" spans="1:10" ht="15">
      <c r="A63" s="6" t="s">
        <v>19</v>
      </c>
      <c r="B63" s="7">
        <f>9013.36+8649.46+8281.51+7909.47</f>
        <v>33853.8</v>
      </c>
      <c r="C63" s="7"/>
      <c r="D63" s="7">
        <v>13301</v>
      </c>
      <c r="E63" s="8">
        <v>87409</v>
      </c>
      <c r="F63" s="7">
        <v>33615</v>
      </c>
      <c r="G63" s="7">
        <v>8775</v>
      </c>
      <c r="H63" s="18">
        <v>198288.75</v>
      </c>
      <c r="I63" s="18">
        <f>6132.5+6132.5</f>
        <v>12265</v>
      </c>
      <c r="J63" s="7">
        <f t="shared" si="2"/>
        <v>387507.55</v>
      </c>
    </row>
    <row r="64" spans="1:10" ht="15">
      <c r="A64" s="6" t="s">
        <v>20</v>
      </c>
      <c r="B64" s="8">
        <f>7533.3+7152.95+6768.36+6379.51</f>
        <v>27834.120000000003</v>
      </c>
      <c r="C64" s="8"/>
      <c r="D64" s="8">
        <v>11228</v>
      </c>
      <c r="E64" s="8">
        <v>85635</v>
      </c>
      <c r="F64" s="8">
        <v>32872</v>
      </c>
      <c r="G64" s="8">
        <v>8595</v>
      </c>
      <c r="H64" s="18">
        <v>194689</v>
      </c>
      <c r="I64" s="18">
        <f>4177.5+4177.5</f>
        <v>8355</v>
      </c>
      <c r="J64" s="7">
        <f t="shared" si="2"/>
        <v>369208.12</v>
      </c>
    </row>
    <row r="65" spans="1:10" ht="15">
      <c r="A65" s="6" t="s">
        <v>21</v>
      </c>
      <c r="B65" s="8">
        <f>5986.33+5588.77+5186.8+4780.36</f>
        <v>21542.260000000002</v>
      </c>
      <c r="C65" s="8"/>
      <c r="D65" s="8">
        <v>9136</v>
      </c>
      <c r="E65" s="8">
        <v>83779</v>
      </c>
      <c r="F65" s="8">
        <v>32108</v>
      </c>
      <c r="G65" s="8">
        <v>8392</v>
      </c>
      <c r="H65" s="18">
        <v>190990.25</v>
      </c>
      <c r="I65" s="18">
        <f>2222.5+2222.5</f>
        <v>4445</v>
      </c>
      <c r="J65" s="7">
        <f t="shared" si="2"/>
        <v>350392.51</v>
      </c>
    </row>
    <row r="66" spans="1:10" ht="15">
      <c r="A66" s="6" t="s">
        <v>22</v>
      </c>
      <c r="B66" s="8">
        <f>4369.41+3953.88+3533.74+3108.92</f>
        <v>14965.95</v>
      </c>
      <c r="C66" s="8"/>
      <c r="D66" s="8">
        <v>7020</v>
      </c>
      <c r="E66" s="8">
        <v>81840</v>
      </c>
      <c r="F66" s="8">
        <v>31320</v>
      </c>
      <c r="G66" s="8">
        <v>8167</v>
      </c>
      <c r="H66" s="18">
        <v>187189.75</v>
      </c>
      <c r="I66" s="18">
        <f>210+210</f>
        <v>420</v>
      </c>
      <c r="J66" s="7">
        <f t="shared" si="2"/>
        <v>330922.7</v>
      </c>
    </row>
    <row r="67" spans="1:10" ht="15">
      <c r="A67" s="6" t="s">
        <v>23</v>
      </c>
      <c r="B67" s="8">
        <f>2679.38+2245.07+1805.93+1361.9</f>
        <v>8092.280000000001</v>
      </c>
      <c r="C67" s="8"/>
      <c r="D67" s="8">
        <v>4884</v>
      </c>
      <c r="E67" s="8">
        <v>79808</v>
      </c>
      <c r="F67" s="8">
        <v>30488</v>
      </c>
      <c r="G67" s="8">
        <v>7943</v>
      </c>
      <c r="H67" s="18">
        <v>183284.75</v>
      </c>
      <c r="I67" s="18"/>
      <c r="J67" s="7">
        <f t="shared" si="2"/>
        <v>314500.03</v>
      </c>
    </row>
    <row r="68" spans="1:10" ht="15">
      <c r="A68" s="6" t="s">
        <v>24</v>
      </c>
      <c r="B68" s="8">
        <f>912.95+458.94</f>
        <v>1371.89</v>
      </c>
      <c r="C68" s="8"/>
      <c r="D68" s="8">
        <v>2726</v>
      </c>
      <c r="E68" s="8">
        <v>77684</v>
      </c>
      <c r="F68" s="8">
        <v>29610</v>
      </c>
      <c r="G68" s="8">
        <v>7718</v>
      </c>
      <c r="H68" s="18">
        <v>179272.5</v>
      </c>
      <c r="I68" s="18"/>
      <c r="J68" s="7">
        <f t="shared" si="2"/>
        <v>298382.39</v>
      </c>
    </row>
    <row r="69" spans="1:10" ht="15">
      <c r="A69" s="6" t="s">
        <v>25</v>
      </c>
      <c r="B69" s="8"/>
      <c r="C69" s="8"/>
      <c r="D69" s="8">
        <v>547</v>
      </c>
      <c r="E69" s="8">
        <v>75467</v>
      </c>
      <c r="F69" s="8">
        <v>28687</v>
      </c>
      <c r="G69" s="8">
        <v>7493</v>
      </c>
      <c r="H69" s="18">
        <v>175150.25</v>
      </c>
      <c r="I69" s="18"/>
      <c r="J69" s="7">
        <f t="shared" si="2"/>
        <v>287344.25</v>
      </c>
    </row>
    <row r="70" spans="1:10" ht="15">
      <c r="A70" s="6" t="s">
        <v>26</v>
      </c>
      <c r="B70" s="8"/>
      <c r="C70" s="8"/>
      <c r="D70" s="8"/>
      <c r="E70" s="8">
        <v>73147</v>
      </c>
      <c r="F70" s="8">
        <v>27720</v>
      </c>
      <c r="G70" s="8">
        <v>7245</v>
      </c>
      <c r="H70" s="18">
        <v>170915.25</v>
      </c>
      <c r="I70" s="18"/>
      <c r="J70" s="7">
        <f t="shared" si="2"/>
        <v>279027.25</v>
      </c>
    </row>
    <row r="71" spans="1:10" ht="15">
      <c r="A71" s="6" t="s">
        <v>27</v>
      </c>
      <c r="B71" s="8"/>
      <c r="C71" s="8"/>
      <c r="D71" s="8"/>
      <c r="E71" s="8">
        <v>70723</v>
      </c>
      <c r="F71" s="8">
        <v>26708</v>
      </c>
      <c r="G71" s="8">
        <v>6975</v>
      </c>
      <c r="H71" s="18">
        <v>166562</v>
      </c>
      <c r="I71" s="18"/>
      <c r="J71" s="7">
        <f t="shared" si="2"/>
        <v>270968</v>
      </c>
    </row>
    <row r="72" spans="1:10" ht="15">
      <c r="A72" s="6" t="s">
        <v>28</v>
      </c>
      <c r="B72" s="8"/>
      <c r="C72" s="8"/>
      <c r="D72" s="8"/>
      <c r="E72" s="8">
        <v>68197</v>
      </c>
      <c r="F72" s="8">
        <v>25650</v>
      </c>
      <c r="G72" s="8">
        <v>6705</v>
      </c>
      <c r="H72" s="18">
        <v>162090.5</v>
      </c>
      <c r="I72" s="18"/>
      <c r="J72" s="7">
        <f t="shared" si="2"/>
        <v>262642.5</v>
      </c>
    </row>
    <row r="73" spans="1:10" ht="15">
      <c r="A73" s="6" t="s">
        <v>29</v>
      </c>
      <c r="B73" s="8"/>
      <c r="C73" s="8"/>
      <c r="D73" s="8"/>
      <c r="E73" s="8">
        <v>65557</v>
      </c>
      <c r="F73" s="8">
        <v>24548</v>
      </c>
      <c r="G73" s="8">
        <v>6435</v>
      </c>
      <c r="H73" s="18">
        <v>157495.25</v>
      </c>
      <c r="I73" s="18"/>
      <c r="J73" s="7">
        <f t="shared" si="2"/>
        <v>254035.25</v>
      </c>
    </row>
    <row r="74" spans="1:10" ht="15">
      <c r="A74" s="6" t="s">
        <v>30</v>
      </c>
      <c r="B74" s="8"/>
      <c r="C74" s="8"/>
      <c r="D74" s="8"/>
      <c r="E74" s="8">
        <v>62793</v>
      </c>
      <c r="F74" s="8">
        <v>23400</v>
      </c>
      <c r="G74" s="8">
        <v>6143</v>
      </c>
      <c r="H74" s="18">
        <v>152773.5</v>
      </c>
      <c r="I74" s="18"/>
      <c r="J74" s="7">
        <f t="shared" si="2"/>
        <v>245109.5</v>
      </c>
    </row>
    <row r="75" spans="1:10" ht="15">
      <c r="A75" s="6" t="s">
        <v>31</v>
      </c>
      <c r="B75" s="8"/>
      <c r="C75" s="8"/>
      <c r="D75" s="8"/>
      <c r="E75" s="8">
        <v>59905</v>
      </c>
      <c r="F75" s="8">
        <v>22208</v>
      </c>
      <c r="G75" s="8">
        <v>5827</v>
      </c>
      <c r="H75" s="18">
        <v>147922.5</v>
      </c>
      <c r="I75" s="18"/>
      <c r="J75" s="7">
        <f t="shared" si="2"/>
        <v>235862.5</v>
      </c>
    </row>
    <row r="76" spans="1:10" ht="15">
      <c r="A76" s="6" t="s">
        <v>32</v>
      </c>
      <c r="B76" s="8"/>
      <c r="C76" s="8"/>
      <c r="D76" s="8"/>
      <c r="E76" s="8">
        <v>56884</v>
      </c>
      <c r="F76" s="8">
        <v>20970</v>
      </c>
      <c r="G76" s="8">
        <v>5513</v>
      </c>
      <c r="H76" s="18">
        <v>142936.75</v>
      </c>
      <c r="I76" s="18"/>
      <c r="J76" s="7">
        <f t="shared" si="2"/>
        <v>226303.75</v>
      </c>
    </row>
    <row r="77" spans="1:10" ht="15">
      <c r="A77" s="6" t="s">
        <v>33</v>
      </c>
      <c r="B77" s="8"/>
      <c r="C77" s="8"/>
      <c r="D77" s="8"/>
      <c r="E77" s="8">
        <v>53728</v>
      </c>
      <c r="F77" s="8">
        <v>19665</v>
      </c>
      <c r="G77" s="8">
        <v>5175</v>
      </c>
      <c r="H77" s="18">
        <v>137816.25</v>
      </c>
      <c r="I77" s="18"/>
      <c r="J77" s="7">
        <f t="shared" si="2"/>
        <v>216384.25</v>
      </c>
    </row>
    <row r="78" spans="1:10" ht="15">
      <c r="A78" s="6" t="s">
        <v>34</v>
      </c>
      <c r="B78" s="8"/>
      <c r="C78" s="8"/>
      <c r="D78" s="8"/>
      <c r="E78" s="8">
        <v>50438</v>
      </c>
      <c r="F78" s="8">
        <v>18293</v>
      </c>
      <c r="G78" s="8">
        <v>4815</v>
      </c>
      <c r="H78" s="18">
        <v>132552.75</v>
      </c>
      <c r="I78" s="18"/>
      <c r="J78" s="7">
        <f t="shared" si="2"/>
        <v>206098.75</v>
      </c>
    </row>
    <row r="79" spans="1:10" ht="15">
      <c r="A79" s="6" t="s">
        <v>35</v>
      </c>
      <c r="B79" s="8"/>
      <c r="C79" s="8"/>
      <c r="D79" s="8"/>
      <c r="E79" s="8">
        <v>46994</v>
      </c>
      <c r="F79" s="8">
        <v>16875</v>
      </c>
      <c r="G79" s="8">
        <v>4455</v>
      </c>
      <c r="H79" s="18">
        <v>127146.25</v>
      </c>
      <c r="I79" s="18"/>
      <c r="J79" s="7">
        <f t="shared" si="2"/>
        <v>195470.25</v>
      </c>
    </row>
    <row r="80" spans="1:10" ht="15">
      <c r="A80" s="6" t="s">
        <v>36</v>
      </c>
      <c r="B80" s="8"/>
      <c r="C80" s="8"/>
      <c r="D80" s="8"/>
      <c r="E80" s="8">
        <v>43395</v>
      </c>
      <c r="F80" s="8">
        <v>15390</v>
      </c>
      <c r="G80" s="8">
        <v>4073</v>
      </c>
      <c r="H80" s="18">
        <v>121591.25</v>
      </c>
      <c r="I80" s="18"/>
      <c r="J80" s="7">
        <f t="shared" si="2"/>
        <v>184449.25</v>
      </c>
    </row>
    <row r="81" spans="1:10" ht="15">
      <c r="A81" s="6" t="s">
        <v>37</v>
      </c>
      <c r="B81" s="8"/>
      <c r="C81" s="8"/>
      <c r="D81" s="8"/>
      <c r="E81" s="8">
        <v>39641</v>
      </c>
      <c r="F81" s="8">
        <v>13838</v>
      </c>
      <c r="G81" s="8">
        <v>3667</v>
      </c>
      <c r="H81" s="18">
        <v>115882.25</v>
      </c>
      <c r="I81" s="18"/>
      <c r="J81" s="7">
        <f t="shared" si="2"/>
        <v>173028.25</v>
      </c>
    </row>
    <row r="82" spans="1:10" ht="15">
      <c r="A82" s="6" t="s">
        <v>38</v>
      </c>
      <c r="B82" s="8"/>
      <c r="C82" s="8"/>
      <c r="D82" s="8"/>
      <c r="E82" s="8">
        <v>35712</v>
      </c>
      <c r="F82" s="8">
        <v>12217</v>
      </c>
      <c r="G82" s="8">
        <v>3240</v>
      </c>
      <c r="H82" s="18">
        <v>110016.5</v>
      </c>
      <c r="I82" s="18"/>
      <c r="J82" s="7">
        <f t="shared" si="2"/>
        <v>161185.5</v>
      </c>
    </row>
    <row r="83" spans="1:10" ht="15">
      <c r="A83" s="6" t="s">
        <v>39</v>
      </c>
      <c r="B83" s="8"/>
      <c r="C83" s="8"/>
      <c r="D83" s="8"/>
      <c r="E83" s="8">
        <v>31597</v>
      </c>
      <c r="F83" s="8">
        <v>10530</v>
      </c>
      <c r="G83" s="8">
        <v>2790</v>
      </c>
      <c r="H83" s="18">
        <v>103988.5</v>
      </c>
      <c r="I83" s="18"/>
      <c r="J83" s="7">
        <f t="shared" si="2"/>
        <v>148905.5</v>
      </c>
    </row>
    <row r="84" spans="1:10" ht="15">
      <c r="A84" s="6" t="s">
        <v>40</v>
      </c>
      <c r="B84" s="8"/>
      <c r="C84" s="8"/>
      <c r="D84" s="8"/>
      <c r="E84" s="8">
        <v>27297</v>
      </c>
      <c r="F84" s="8">
        <v>8797</v>
      </c>
      <c r="G84" s="8">
        <v>2340</v>
      </c>
      <c r="H84" s="18">
        <v>97795.5</v>
      </c>
      <c r="I84" s="18"/>
      <c r="J84" s="7">
        <f t="shared" si="2"/>
        <v>136229.5</v>
      </c>
    </row>
    <row r="85" spans="1:10" ht="15">
      <c r="A85" s="6" t="s">
        <v>41</v>
      </c>
      <c r="B85" s="8"/>
      <c r="C85" s="8"/>
      <c r="D85" s="8"/>
      <c r="E85" s="8">
        <v>22811</v>
      </c>
      <c r="F85" s="8">
        <v>6997</v>
      </c>
      <c r="G85" s="8">
        <v>1868</v>
      </c>
      <c r="H85" s="18">
        <v>91432</v>
      </c>
      <c r="I85" s="18"/>
      <c r="J85" s="7">
        <f t="shared" si="2"/>
        <v>123108</v>
      </c>
    </row>
    <row r="86" spans="1:10" ht="15">
      <c r="A86" s="6" t="s">
        <v>42</v>
      </c>
      <c r="B86" s="8"/>
      <c r="C86" s="8"/>
      <c r="D86" s="8"/>
      <c r="E86" s="8">
        <v>18130</v>
      </c>
      <c r="F86" s="8">
        <v>5107</v>
      </c>
      <c r="G86" s="8">
        <v>1372</v>
      </c>
      <c r="H86" s="18">
        <v>84895.25</v>
      </c>
      <c r="I86" s="18"/>
      <c r="J86" s="7">
        <f t="shared" si="2"/>
        <v>109504.25</v>
      </c>
    </row>
    <row r="87" spans="1:10" ht="15">
      <c r="A87" s="6" t="s">
        <v>43</v>
      </c>
      <c r="B87" s="8"/>
      <c r="C87" s="8"/>
      <c r="D87" s="8"/>
      <c r="E87" s="8">
        <v>13231</v>
      </c>
      <c r="F87" s="8">
        <v>3127</v>
      </c>
      <c r="G87" s="8">
        <v>855</v>
      </c>
      <c r="H87" s="18">
        <v>78177</v>
      </c>
      <c r="I87" s="18"/>
      <c r="J87" s="7">
        <f t="shared" si="2"/>
        <v>95390</v>
      </c>
    </row>
    <row r="88" spans="1:10" ht="15">
      <c r="A88" s="6" t="s">
        <v>44</v>
      </c>
      <c r="B88" s="8"/>
      <c r="C88" s="8"/>
      <c r="D88" s="8"/>
      <c r="E88" s="8">
        <v>8105</v>
      </c>
      <c r="F88" s="8">
        <v>1057</v>
      </c>
      <c r="G88" s="8">
        <v>292</v>
      </c>
      <c r="H88" s="18">
        <v>71274.5</v>
      </c>
      <c r="I88" s="18"/>
      <c r="J88" s="7">
        <f t="shared" si="2"/>
        <v>80728.5</v>
      </c>
    </row>
    <row r="89" spans="1:10" ht="15">
      <c r="A89" s="6" t="s">
        <v>45</v>
      </c>
      <c r="B89" s="8"/>
      <c r="C89" s="8"/>
      <c r="D89" s="8"/>
      <c r="E89" s="10">
        <v>2743</v>
      </c>
      <c r="F89" s="8"/>
      <c r="G89" s="8"/>
      <c r="H89" s="18">
        <v>64182.25</v>
      </c>
      <c r="I89" s="18"/>
      <c r="J89" s="7">
        <f t="shared" si="2"/>
        <v>66925.25</v>
      </c>
    </row>
    <row r="90" spans="1:10" ht="15">
      <c r="A90" s="6" t="s">
        <v>46</v>
      </c>
      <c r="B90" s="8"/>
      <c r="C90" s="8"/>
      <c r="D90" s="8"/>
      <c r="E90" s="10"/>
      <c r="F90" s="8"/>
      <c r="G90" s="8"/>
      <c r="H90" s="18">
        <v>56894.75</v>
      </c>
      <c r="I90" s="18"/>
      <c r="J90" s="7">
        <f t="shared" si="2"/>
        <v>56894.75</v>
      </c>
    </row>
    <row r="91" spans="1:10" ht="15">
      <c r="A91" s="6" t="s">
        <v>61</v>
      </c>
      <c r="B91" s="8"/>
      <c r="C91" s="8"/>
      <c r="D91" s="8"/>
      <c r="E91" s="10"/>
      <c r="F91" s="8"/>
      <c r="G91" s="8"/>
      <c r="H91" s="18">
        <v>49406.5</v>
      </c>
      <c r="I91" s="18"/>
      <c r="J91" s="7">
        <f t="shared" si="2"/>
        <v>49406.5</v>
      </c>
    </row>
    <row r="92" spans="1:10" ht="15">
      <c r="A92" s="6" t="s">
        <v>62</v>
      </c>
      <c r="B92" s="8"/>
      <c r="C92" s="8"/>
      <c r="D92" s="8"/>
      <c r="E92" s="10"/>
      <c r="F92" s="8"/>
      <c r="G92" s="8"/>
      <c r="H92" s="18">
        <v>41712</v>
      </c>
      <c r="I92" s="18"/>
      <c r="J92" s="7">
        <f t="shared" si="2"/>
        <v>41712</v>
      </c>
    </row>
    <row r="93" spans="1:10" ht="15">
      <c r="A93" s="6" t="s">
        <v>63</v>
      </c>
      <c r="B93" s="8"/>
      <c r="C93" s="8"/>
      <c r="D93" s="8"/>
      <c r="E93" s="10"/>
      <c r="F93" s="8"/>
      <c r="G93" s="8"/>
      <c r="H93" s="18">
        <v>33805.75</v>
      </c>
      <c r="I93" s="18"/>
      <c r="J93" s="7">
        <f t="shared" si="2"/>
        <v>33805.75</v>
      </c>
    </row>
    <row r="94" spans="1:10" ht="15">
      <c r="A94" s="6" t="s">
        <v>64</v>
      </c>
      <c r="B94" s="8"/>
      <c r="C94" s="8"/>
      <c r="D94" s="8"/>
      <c r="E94" s="10"/>
      <c r="F94" s="8"/>
      <c r="G94" s="8"/>
      <c r="H94" s="18">
        <v>25682.25</v>
      </c>
      <c r="I94" s="18"/>
      <c r="J94" s="7">
        <f t="shared" si="2"/>
        <v>25682.25</v>
      </c>
    </row>
    <row r="95" spans="1:10" ht="15">
      <c r="A95" s="6" t="s">
        <v>65</v>
      </c>
      <c r="B95" s="8"/>
      <c r="C95" s="8"/>
      <c r="D95" s="8"/>
      <c r="E95" s="10"/>
      <c r="F95" s="8"/>
      <c r="G95" s="8"/>
      <c r="H95" s="18">
        <v>17336</v>
      </c>
      <c r="I95" s="18"/>
      <c r="J95" s="7">
        <f t="shared" si="2"/>
        <v>17336</v>
      </c>
    </row>
    <row r="96" spans="1:10" ht="15">
      <c r="A96" s="6" t="s">
        <v>66</v>
      </c>
      <c r="B96" s="8"/>
      <c r="C96" s="8"/>
      <c r="D96" s="8"/>
      <c r="E96" s="10"/>
      <c r="F96" s="8"/>
      <c r="G96" s="8"/>
      <c r="H96" s="18">
        <v>8761.5</v>
      </c>
      <c r="I96" s="18"/>
      <c r="J96" s="7">
        <f t="shared" si="2"/>
        <v>8761.5</v>
      </c>
    </row>
    <row r="97" spans="1:10" ht="15">
      <c r="A97" s="6"/>
      <c r="B97" s="8"/>
      <c r="C97" s="8"/>
      <c r="D97" s="8"/>
      <c r="E97" s="10"/>
      <c r="F97" s="8"/>
      <c r="G97" s="8"/>
      <c r="H97" s="18"/>
      <c r="I97" s="18"/>
      <c r="J97" s="7">
        <f>SUM(B97:H97)</f>
        <v>0</v>
      </c>
    </row>
    <row r="98" spans="1:10" ht="15">
      <c r="A98" s="6"/>
      <c r="B98" s="8"/>
      <c r="C98" s="8"/>
      <c r="D98" s="8"/>
      <c r="E98" s="10"/>
      <c r="F98" s="8"/>
      <c r="G98" s="8"/>
      <c r="H98" s="18"/>
      <c r="I98" s="18"/>
      <c r="J98" s="7"/>
    </row>
    <row r="99" spans="1:10" ht="12.75">
      <c r="A99" s="6"/>
      <c r="B99" s="8"/>
      <c r="C99" s="8"/>
      <c r="D99" s="8"/>
      <c r="F99" s="8"/>
      <c r="G99" s="8"/>
      <c r="J99" s="7"/>
    </row>
    <row r="100" spans="1:10" ht="13.5" thickBot="1">
      <c r="A100" s="6"/>
      <c r="B100" s="9">
        <f>SUM(B58:B89)</f>
        <v>298230.60000000003</v>
      </c>
      <c r="C100" s="9">
        <f>SUM(C58:C89)</f>
        <v>4612.89</v>
      </c>
      <c r="D100" s="9">
        <f>SUM(D58:D89)</f>
        <v>122368</v>
      </c>
      <c r="E100" s="9">
        <f>SUM(E58:E99)</f>
        <v>1788589</v>
      </c>
      <c r="F100" s="9">
        <f>SUM(F58:F89)</f>
        <v>662984</v>
      </c>
      <c r="G100" s="9">
        <f>SUM(G58:G89)</f>
        <v>173745</v>
      </c>
      <c r="H100" s="9">
        <f>SUM(H58:H96)</f>
        <v>4807176</v>
      </c>
      <c r="I100" s="9">
        <f>SUM(I58:I96)</f>
        <v>109519.39</v>
      </c>
      <c r="J100" s="9">
        <f>SUM(J58:J96)</f>
        <v>7967224.880000001</v>
      </c>
    </row>
    <row r="101" ht="13.5" thickTop="1"/>
    <row r="102" spans="1:10" ht="12.75">
      <c r="A102" s="1"/>
      <c r="B102" s="7"/>
      <c r="C102" s="7"/>
      <c r="D102" s="7"/>
      <c r="E102" s="7"/>
      <c r="F102" s="7"/>
      <c r="G102" s="7"/>
      <c r="J102" s="7"/>
    </row>
    <row r="103" spans="1:10" ht="12.75">
      <c r="A103" s="1"/>
      <c r="B103" s="7"/>
      <c r="C103" s="7"/>
      <c r="D103" s="7"/>
      <c r="E103" s="7"/>
      <c r="F103" s="7"/>
      <c r="G103" s="7"/>
      <c r="J103" s="7"/>
    </row>
    <row r="104" spans="1:10" ht="12.75">
      <c r="A104" s="3" t="s">
        <v>48</v>
      </c>
      <c r="B104" s="7"/>
      <c r="C104" s="7"/>
      <c r="D104" s="7"/>
      <c r="E104" s="7"/>
      <c r="F104" s="7"/>
      <c r="G104" s="7"/>
      <c r="J104" s="7"/>
    </row>
    <row r="105" spans="1:10" ht="12.75">
      <c r="A105" s="1"/>
      <c r="B105" s="7"/>
      <c r="C105" s="7"/>
      <c r="D105" s="7"/>
      <c r="E105" s="7"/>
      <c r="F105" s="7"/>
      <c r="G105" s="7"/>
      <c r="J105" s="7"/>
    </row>
    <row r="106" spans="1:11" s="15" customFormat="1" ht="12.75">
      <c r="A106" s="13" t="s">
        <v>3</v>
      </c>
      <c r="B106" s="14" t="s">
        <v>5</v>
      </c>
      <c r="C106" s="14" t="s">
        <v>56</v>
      </c>
      <c r="D106" s="14" t="s">
        <v>8</v>
      </c>
      <c r="E106" s="14">
        <v>2005</v>
      </c>
      <c r="F106" s="14" t="s">
        <v>49</v>
      </c>
      <c r="G106" s="14" t="s">
        <v>50</v>
      </c>
      <c r="H106" s="14">
        <v>2011</v>
      </c>
      <c r="I106" s="14" t="s">
        <v>67</v>
      </c>
      <c r="J106" s="14" t="s">
        <v>11</v>
      </c>
      <c r="K106" s="14" t="s">
        <v>51</v>
      </c>
    </row>
    <row r="107" spans="1:11" ht="12.75">
      <c r="A107" s="6" t="s">
        <v>14</v>
      </c>
      <c r="B107" s="7"/>
      <c r="C107" s="7"/>
      <c r="D107" s="7"/>
      <c r="E107" s="7"/>
      <c r="F107" s="7"/>
      <c r="G107" s="7"/>
      <c r="H107" s="7"/>
      <c r="I107" s="7"/>
      <c r="J107" s="7"/>
      <c r="K107" s="16"/>
    </row>
    <row r="108" spans="1:11" ht="12.75">
      <c r="A108" s="6" t="s">
        <v>15</v>
      </c>
      <c r="B108" s="7">
        <f aca="true" t="shared" si="3" ref="B108:B116">41748.75*4</f>
        <v>166995</v>
      </c>
      <c r="C108" s="7">
        <f>C13+C59</f>
        <v>56252.29</v>
      </c>
      <c r="D108" s="7">
        <v>186965</v>
      </c>
      <c r="E108" s="7">
        <f aca="true" t="shared" si="4" ref="E108:I123">+E13+E59</f>
        <v>129292</v>
      </c>
      <c r="F108" s="7">
        <f t="shared" si="4"/>
        <v>49247</v>
      </c>
      <c r="G108" s="7">
        <f t="shared" si="4"/>
        <v>12472</v>
      </c>
      <c r="H108" s="7">
        <f t="shared" si="4"/>
        <v>329150</v>
      </c>
      <c r="I108" s="7">
        <f t="shared" si="4"/>
        <v>179929.39</v>
      </c>
      <c r="J108" s="7">
        <f aca="true" t="shared" si="5" ref="J108:J145">SUM(B108:I108)</f>
        <v>1110302.6800000002</v>
      </c>
      <c r="K108" s="16">
        <f>+F108+G108+H108+I108</f>
        <v>570798.39</v>
      </c>
    </row>
    <row r="109" spans="1:11" ht="12.75">
      <c r="A109" s="6" t="s">
        <v>16</v>
      </c>
      <c r="B109" s="7">
        <f t="shared" si="3"/>
        <v>166995</v>
      </c>
      <c r="C109" s="7">
        <f>C14+C60</f>
        <v>56251.96000000001</v>
      </c>
      <c r="D109" s="7">
        <v>186633</v>
      </c>
      <c r="E109" s="7">
        <f t="shared" si="4"/>
        <v>129297</v>
      </c>
      <c r="F109" s="7">
        <f t="shared" si="4"/>
        <v>49640</v>
      </c>
      <c r="G109" s="7">
        <f t="shared" si="4"/>
        <v>13315</v>
      </c>
      <c r="H109" s="7">
        <f t="shared" si="4"/>
        <v>329221.5</v>
      </c>
      <c r="I109" s="7">
        <f t="shared" si="4"/>
        <v>178305</v>
      </c>
      <c r="J109" s="7">
        <f t="shared" si="5"/>
        <v>1109658.46</v>
      </c>
      <c r="K109" s="16">
        <f aca="true" t="shared" si="6" ref="K109:K146">+F109+G109+H109+I109</f>
        <v>570481.5</v>
      </c>
    </row>
    <row r="110" spans="1:11" ht="12.75">
      <c r="A110" s="6" t="s">
        <v>17</v>
      </c>
      <c r="B110" s="7">
        <f t="shared" si="3"/>
        <v>166995</v>
      </c>
      <c r="C110" s="7">
        <f>C15+C61</f>
        <v>14048.679999999998</v>
      </c>
      <c r="D110" s="7">
        <v>186299</v>
      </c>
      <c r="E110" s="7">
        <f t="shared" si="4"/>
        <v>129240</v>
      </c>
      <c r="F110" s="7">
        <f t="shared" si="4"/>
        <v>49988</v>
      </c>
      <c r="G110" s="7">
        <f t="shared" si="4"/>
        <v>13135</v>
      </c>
      <c r="H110" s="7">
        <f t="shared" si="4"/>
        <v>329202.25</v>
      </c>
      <c r="I110" s="7">
        <f t="shared" si="4"/>
        <v>179740</v>
      </c>
      <c r="J110" s="7">
        <f t="shared" si="5"/>
        <v>1068647.93</v>
      </c>
      <c r="K110" s="16">
        <f t="shared" si="6"/>
        <v>572065.25</v>
      </c>
    </row>
    <row r="111" spans="1:11" ht="12.75">
      <c r="A111" s="6" t="s">
        <v>18</v>
      </c>
      <c r="B111" s="7">
        <f t="shared" si="3"/>
        <v>166995</v>
      </c>
      <c r="C111" s="7"/>
      <c r="D111" s="7">
        <v>185960</v>
      </c>
      <c r="E111" s="7">
        <f t="shared" si="4"/>
        <v>129610</v>
      </c>
      <c r="F111" s="7">
        <f t="shared" si="4"/>
        <v>49312</v>
      </c>
      <c r="G111" s="7">
        <f t="shared" si="4"/>
        <v>12955</v>
      </c>
      <c r="H111" s="7">
        <f t="shared" si="4"/>
        <v>329192.25</v>
      </c>
      <c r="I111" s="7">
        <f t="shared" si="4"/>
        <v>181060</v>
      </c>
      <c r="J111" s="7">
        <f t="shared" si="5"/>
        <v>1055084.25</v>
      </c>
      <c r="K111" s="16">
        <f t="shared" si="6"/>
        <v>572519.25</v>
      </c>
    </row>
    <row r="112" spans="1:11" ht="12.75">
      <c r="A112" s="6" t="s">
        <v>19</v>
      </c>
      <c r="B112" s="7">
        <f t="shared" si="3"/>
        <v>166995</v>
      </c>
      <c r="C112" s="7"/>
      <c r="D112" s="7">
        <v>185617</v>
      </c>
      <c r="E112" s="7">
        <f t="shared" si="4"/>
        <v>129409</v>
      </c>
      <c r="F112" s="7">
        <f t="shared" si="4"/>
        <v>49615</v>
      </c>
      <c r="G112" s="7">
        <f t="shared" si="4"/>
        <v>12775</v>
      </c>
      <c r="H112" s="7">
        <f t="shared" si="4"/>
        <v>329188.75</v>
      </c>
      <c r="I112" s="7">
        <f>+I17+I63</f>
        <v>182265</v>
      </c>
      <c r="J112" s="7">
        <f t="shared" si="5"/>
        <v>1055864.75</v>
      </c>
      <c r="K112" s="16">
        <f t="shared" si="6"/>
        <v>573843.75</v>
      </c>
    </row>
    <row r="113" spans="1:11" ht="12.75">
      <c r="A113" s="6" t="s">
        <v>20</v>
      </c>
      <c r="B113" s="7">
        <f t="shared" si="3"/>
        <v>166995</v>
      </c>
      <c r="C113" s="8"/>
      <c r="D113" s="8">
        <v>185272</v>
      </c>
      <c r="E113" s="7">
        <f t="shared" si="4"/>
        <v>129635</v>
      </c>
      <c r="F113" s="7">
        <f t="shared" si="4"/>
        <v>49872</v>
      </c>
      <c r="G113" s="7">
        <f t="shared" si="4"/>
        <v>12595</v>
      </c>
      <c r="H113" s="7">
        <f t="shared" si="4"/>
        <v>329189</v>
      </c>
      <c r="I113" s="7">
        <f>+I18+I64</f>
        <v>178355</v>
      </c>
      <c r="J113" s="7">
        <f t="shared" si="5"/>
        <v>1051913</v>
      </c>
      <c r="K113" s="16">
        <f t="shared" si="6"/>
        <v>570011</v>
      </c>
    </row>
    <row r="114" spans="1:11" ht="12.75">
      <c r="A114" s="6" t="s">
        <v>21</v>
      </c>
      <c r="B114" s="7">
        <f t="shared" si="3"/>
        <v>166995</v>
      </c>
      <c r="C114" s="8"/>
      <c r="D114" s="8">
        <v>184925</v>
      </c>
      <c r="E114" s="7">
        <f t="shared" si="4"/>
        <v>129779</v>
      </c>
      <c r="F114" s="7">
        <f t="shared" si="4"/>
        <v>49108</v>
      </c>
      <c r="G114" s="7">
        <f t="shared" si="4"/>
        <v>13392</v>
      </c>
      <c r="H114" s="7">
        <f t="shared" si="4"/>
        <v>329190.25</v>
      </c>
      <c r="I114" s="7">
        <f>+I19+I65</f>
        <v>179445</v>
      </c>
      <c r="J114" s="7">
        <f t="shared" si="5"/>
        <v>1052834.25</v>
      </c>
      <c r="K114" s="16">
        <f t="shared" si="6"/>
        <v>571135.25</v>
      </c>
    </row>
    <row r="115" spans="1:11" ht="12.75">
      <c r="A115" s="6" t="s">
        <v>22</v>
      </c>
      <c r="B115" s="7">
        <f t="shared" si="3"/>
        <v>166995</v>
      </c>
      <c r="C115" s="8"/>
      <c r="D115" s="8">
        <v>184571</v>
      </c>
      <c r="E115" s="7">
        <f t="shared" si="4"/>
        <v>129840</v>
      </c>
      <c r="F115" s="7">
        <f t="shared" si="4"/>
        <v>49320</v>
      </c>
      <c r="G115" s="7">
        <f t="shared" si="4"/>
        <v>13167</v>
      </c>
      <c r="H115" s="7">
        <f t="shared" si="4"/>
        <v>329189.75</v>
      </c>
      <c r="I115" s="7">
        <f>+I20+I66</f>
        <v>15420</v>
      </c>
      <c r="J115" s="7">
        <f t="shared" si="5"/>
        <v>888502.75</v>
      </c>
      <c r="K115" s="16">
        <f t="shared" si="6"/>
        <v>407096.75</v>
      </c>
    </row>
    <row r="116" spans="1:11" ht="12.75">
      <c r="A116" s="6" t="s">
        <v>23</v>
      </c>
      <c r="B116" s="7">
        <f t="shared" si="3"/>
        <v>166995</v>
      </c>
      <c r="C116" s="8"/>
      <c r="D116" s="8">
        <v>184215</v>
      </c>
      <c r="E116" s="7">
        <f t="shared" si="4"/>
        <v>130308</v>
      </c>
      <c r="F116" s="7">
        <f t="shared" si="4"/>
        <v>49488</v>
      </c>
      <c r="G116" s="7">
        <f t="shared" si="4"/>
        <v>12943</v>
      </c>
      <c r="H116" s="7">
        <f t="shared" si="4"/>
        <v>329184.75</v>
      </c>
      <c r="I116" s="7"/>
      <c r="J116" s="7">
        <f t="shared" si="5"/>
        <v>873133.75</v>
      </c>
      <c r="K116" s="16">
        <f t="shared" si="6"/>
        <v>391615.75</v>
      </c>
    </row>
    <row r="117" spans="1:11" ht="12.75">
      <c r="A117" s="6" t="s">
        <v>24</v>
      </c>
      <c r="B117" s="8">
        <f>41748.75*2</f>
        <v>83497.5</v>
      </c>
      <c r="C117" s="8"/>
      <c r="D117" s="8">
        <v>183855</v>
      </c>
      <c r="E117" s="7">
        <f t="shared" si="4"/>
        <v>130184</v>
      </c>
      <c r="F117" s="7">
        <f t="shared" si="4"/>
        <v>49610</v>
      </c>
      <c r="G117" s="7">
        <f t="shared" si="4"/>
        <v>12718</v>
      </c>
      <c r="H117" s="7">
        <f t="shared" si="4"/>
        <v>329172.5</v>
      </c>
      <c r="I117" s="7"/>
      <c r="J117" s="7">
        <f t="shared" si="5"/>
        <v>789037</v>
      </c>
      <c r="K117" s="16">
        <f t="shared" si="6"/>
        <v>391500.5</v>
      </c>
    </row>
    <row r="118" spans="1:11" ht="12.75">
      <c r="A118" s="6" t="s">
        <v>25</v>
      </c>
      <c r="B118" s="8"/>
      <c r="C118" s="8"/>
      <c r="D118" s="8">
        <v>91790</v>
      </c>
      <c r="E118" s="7">
        <f t="shared" si="4"/>
        <v>130467</v>
      </c>
      <c r="F118" s="7">
        <f t="shared" si="4"/>
        <v>49687</v>
      </c>
      <c r="G118" s="7">
        <f t="shared" si="4"/>
        <v>12493</v>
      </c>
      <c r="H118" s="7">
        <f t="shared" si="4"/>
        <v>329150.25</v>
      </c>
      <c r="I118" s="7"/>
      <c r="J118" s="7">
        <f t="shared" si="5"/>
        <v>613587.25</v>
      </c>
      <c r="K118" s="16">
        <f t="shared" si="6"/>
        <v>391330.25</v>
      </c>
    </row>
    <row r="119" spans="1:11" ht="12.75">
      <c r="A119" s="6" t="s">
        <v>26</v>
      </c>
      <c r="E119" s="7">
        <f t="shared" si="4"/>
        <v>130647</v>
      </c>
      <c r="F119" s="7">
        <f t="shared" si="4"/>
        <v>49720</v>
      </c>
      <c r="G119" s="7">
        <f t="shared" si="4"/>
        <v>13245</v>
      </c>
      <c r="H119" s="7">
        <f t="shared" si="4"/>
        <v>329215.25</v>
      </c>
      <c r="I119" s="7"/>
      <c r="J119" s="7">
        <f t="shared" si="5"/>
        <v>522827.25</v>
      </c>
      <c r="K119" s="16">
        <f t="shared" si="6"/>
        <v>392180.25</v>
      </c>
    </row>
    <row r="120" spans="1:11" ht="12.75">
      <c r="A120" s="6" t="s">
        <v>27</v>
      </c>
      <c r="E120" s="7">
        <f t="shared" si="4"/>
        <v>130723</v>
      </c>
      <c r="F120" s="7">
        <f t="shared" si="4"/>
        <v>49708</v>
      </c>
      <c r="G120" s="7">
        <f t="shared" si="4"/>
        <v>12975</v>
      </c>
      <c r="H120" s="7">
        <f t="shared" si="4"/>
        <v>329162</v>
      </c>
      <c r="I120" s="7"/>
      <c r="J120" s="7">
        <f t="shared" si="5"/>
        <v>522568</v>
      </c>
      <c r="K120" s="16">
        <f t="shared" si="6"/>
        <v>391845</v>
      </c>
    </row>
    <row r="121" spans="1:11" ht="12.75">
      <c r="A121" s="6" t="s">
        <v>28</v>
      </c>
      <c r="E121" s="7">
        <f t="shared" si="4"/>
        <v>130697</v>
      </c>
      <c r="F121" s="7">
        <f t="shared" si="4"/>
        <v>49650</v>
      </c>
      <c r="G121" s="7">
        <f t="shared" si="4"/>
        <v>12705</v>
      </c>
      <c r="H121" s="7">
        <f t="shared" si="4"/>
        <v>329190.5</v>
      </c>
      <c r="I121" s="7"/>
      <c r="J121" s="7">
        <f t="shared" si="5"/>
        <v>522242.5</v>
      </c>
      <c r="K121" s="16">
        <f t="shared" si="6"/>
        <v>391545.5</v>
      </c>
    </row>
    <row r="122" spans="1:11" ht="12.75">
      <c r="A122" s="6" t="s">
        <v>29</v>
      </c>
      <c r="E122" s="7">
        <f t="shared" si="4"/>
        <v>131057</v>
      </c>
      <c r="F122" s="7">
        <f t="shared" si="4"/>
        <v>49548</v>
      </c>
      <c r="G122" s="7">
        <f t="shared" si="4"/>
        <v>12435</v>
      </c>
      <c r="H122" s="7">
        <f t="shared" si="4"/>
        <v>329195.25</v>
      </c>
      <c r="I122" s="7"/>
      <c r="J122" s="7">
        <f t="shared" si="5"/>
        <v>522235.25</v>
      </c>
      <c r="K122" s="16">
        <f t="shared" si="6"/>
        <v>391178.25</v>
      </c>
    </row>
    <row r="123" spans="1:11" ht="12.75">
      <c r="A123" s="6" t="s">
        <v>30</v>
      </c>
      <c r="E123" s="7">
        <f t="shared" si="4"/>
        <v>131293</v>
      </c>
      <c r="F123" s="7">
        <f t="shared" si="4"/>
        <v>49400</v>
      </c>
      <c r="G123" s="7">
        <f t="shared" si="4"/>
        <v>13143</v>
      </c>
      <c r="H123" s="7">
        <f t="shared" si="4"/>
        <v>329173.5</v>
      </c>
      <c r="I123" s="7"/>
      <c r="J123" s="7">
        <f t="shared" si="5"/>
        <v>523009.5</v>
      </c>
      <c r="K123" s="16">
        <f t="shared" si="6"/>
        <v>391716.5</v>
      </c>
    </row>
    <row r="124" spans="1:11" ht="12.75">
      <c r="A124" s="6" t="s">
        <v>31</v>
      </c>
      <c r="E124" s="7">
        <f aca="true" t="shared" si="7" ref="E124:H139">+E29+E75</f>
        <v>131405</v>
      </c>
      <c r="F124" s="7">
        <f t="shared" si="7"/>
        <v>49208</v>
      </c>
      <c r="G124" s="7">
        <f t="shared" si="7"/>
        <v>12827</v>
      </c>
      <c r="H124" s="7">
        <f t="shared" si="7"/>
        <v>329222.5</v>
      </c>
      <c r="I124" s="7"/>
      <c r="J124" s="7">
        <f t="shared" si="5"/>
        <v>522662.5</v>
      </c>
      <c r="K124" s="16">
        <f t="shared" si="6"/>
        <v>391257.5</v>
      </c>
    </row>
    <row r="125" spans="1:11" ht="12.75">
      <c r="A125" s="6" t="s">
        <v>32</v>
      </c>
      <c r="E125" s="7">
        <f t="shared" si="7"/>
        <v>131884</v>
      </c>
      <c r="F125" s="7">
        <f t="shared" si="7"/>
        <v>48970</v>
      </c>
      <c r="G125" s="7">
        <f t="shared" si="7"/>
        <v>12513</v>
      </c>
      <c r="H125" s="7">
        <f t="shared" si="7"/>
        <v>329136.75</v>
      </c>
      <c r="I125" s="7"/>
      <c r="J125" s="7">
        <f t="shared" si="5"/>
        <v>522503.75</v>
      </c>
      <c r="K125" s="16">
        <f t="shared" si="6"/>
        <v>390619.75</v>
      </c>
    </row>
    <row r="126" spans="1:11" ht="12.75">
      <c r="A126" s="6" t="s">
        <v>33</v>
      </c>
      <c r="E126" s="7">
        <f t="shared" si="7"/>
        <v>131728</v>
      </c>
      <c r="F126" s="7">
        <f t="shared" si="7"/>
        <v>49665</v>
      </c>
      <c r="G126" s="7">
        <f t="shared" si="7"/>
        <v>13175</v>
      </c>
      <c r="H126" s="7">
        <f t="shared" si="7"/>
        <v>329216.25</v>
      </c>
      <c r="I126" s="7"/>
      <c r="J126" s="7">
        <f t="shared" si="5"/>
        <v>523784.25</v>
      </c>
      <c r="K126" s="16">
        <f t="shared" si="6"/>
        <v>392056.25</v>
      </c>
    </row>
    <row r="127" spans="1:11" ht="12.75">
      <c r="A127" s="6" t="s">
        <v>34</v>
      </c>
      <c r="E127" s="7">
        <f t="shared" si="7"/>
        <v>131938</v>
      </c>
      <c r="F127" s="7">
        <f t="shared" si="7"/>
        <v>49293</v>
      </c>
      <c r="G127" s="7">
        <f t="shared" si="7"/>
        <v>12815</v>
      </c>
      <c r="H127" s="7">
        <f t="shared" si="7"/>
        <v>329152.75</v>
      </c>
      <c r="I127" s="7"/>
      <c r="J127" s="7">
        <f t="shared" si="5"/>
        <v>523198.75</v>
      </c>
      <c r="K127" s="16">
        <f t="shared" si="6"/>
        <v>391260.75</v>
      </c>
    </row>
    <row r="128" spans="1:11" ht="12.75">
      <c r="A128" s="6" t="s">
        <v>35</v>
      </c>
      <c r="E128" s="7">
        <f t="shared" si="7"/>
        <v>132494</v>
      </c>
      <c r="F128" s="7">
        <f t="shared" si="7"/>
        <v>48875</v>
      </c>
      <c r="G128" s="7">
        <f t="shared" si="7"/>
        <v>12455</v>
      </c>
      <c r="H128" s="7">
        <f t="shared" si="7"/>
        <v>329146.25</v>
      </c>
      <c r="I128" s="7"/>
      <c r="J128" s="7">
        <f t="shared" si="5"/>
        <v>522970.25</v>
      </c>
      <c r="K128" s="16">
        <f t="shared" si="6"/>
        <v>390476.25</v>
      </c>
    </row>
    <row r="129" spans="1:11" ht="12.75">
      <c r="A129" s="6" t="s">
        <v>36</v>
      </c>
      <c r="E129" s="7">
        <f t="shared" si="7"/>
        <v>132395</v>
      </c>
      <c r="F129" s="7">
        <f t="shared" si="7"/>
        <v>49390</v>
      </c>
      <c r="G129" s="7">
        <f t="shared" si="7"/>
        <v>13073</v>
      </c>
      <c r="H129" s="7">
        <f t="shared" si="7"/>
        <v>329191.25</v>
      </c>
      <c r="I129" s="7"/>
      <c r="J129" s="7">
        <f t="shared" si="5"/>
        <v>524049.25</v>
      </c>
      <c r="K129" s="16">
        <f t="shared" si="6"/>
        <v>391654.25</v>
      </c>
    </row>
    <row r="130" spans="1:11" ht="12.75">
      <c r="A130" s="6" t="s">
        <v>37</v>
      </c>
      <c r="E130" s="7">
        <f t="shared" si="7"/>
        <v>132641</v>
      </c>
      <c r="F130" s="7">
        <f t="shared" si="7"/>
        <v>48838</v>
      </c>
      <c r="G130" s="7">
        <f t="shared" si="7"/>
        <v>12667</v>
      </c>
      <c r="H130" s="7">
        <f t="shared" si="7"/>
        <v>329182.25</v>
      </c>
      <c r="I130" s="7"/>
      <c r="J130" s="7">
        <f t="shared" si="5"/>
        <v>523328.25</v>
      </c>
      <c r="K130" s="16">
        <f t="shared" si="6"/>
        <v>390687.25</v>
      </c>
    </row>
    <row r="131" spans="1:11" ht="12.75">
      <c r="A131" s="6" t="s">
        <v>38</v>
      </c>
      <c r="E131" s="7">
        <f t="shared" si="7"/>
        <v>133212</v>
      </c>
      <c r="F131" s="7">
        <f t="shared" si="7"/>
        <v>49217</v>
      </c>
      <c r="G131" s="7">
        <f t="shared" si="7"/>
        <v>13240</v>
      </c>
      <c r="H131" s="7">
        <f t="shared" si="7"/>
        <v>329216.5</v>
      </c>
      <c r="I131" s="7"/>
      <c r="J131" s="7">
        <f t="shared" si="5"/>
        <v>524885.5</v>
      </c>
      <c r="K131" s="16">
        <f t="shared" si="6"/>
        <v>391673.5</v>
      </c>
    </row>
    <row r="132" spans="1:11" ht="12.75">
      <c r="A132" s="6" t="s">
        <v>39</v>
      </c>
      <c r="E132" s="7">
        <f t="shared" si="7"/>
        <v>133597</v>
      </c>
      <c r="F132" s="7">
        <f t="shared" si="7"/>
        <v>48530</v>
      </c>
      <c r="G132" s="7">
        <f t="shared" si="7"/>
        <v>12790</v>
      </c>
      <c r="H132" s="7">
        <f t="shared" si="7"/>
        <v>329188.5</v>
      </c>
      <c r="I132" s="7"/>
      <c r="J132" s="7">
        <f t="shared" si="5"/>
        <v>524105.5</v>
      </c>
      <c r="K132" s="16">
        <f t="shared" si="6"/>
        <v>390508.5</v>
      </c>
    </row>
    <row r="133" spans="1:11" ht="12.75">
      <c r="A133" s="6" t="s">
        <v>40</v>
      </c>
      <c r="E133" s="7">
        <f t="shared" si="7"/>
        <v>133797</v>
      </c>
      <c r="F133" s="7">
        <f t="shared" si="7"/>
        <v>47797</v>
      </c>
      <c r="G133" s="7">
        <f t="shared" si="7"/>
        <v>12340</v>
      </c>
      <c r="H133" s="7">
        <f t="shared" si="7"/>
        <v>329195.5</v>
      </c>
      <c r="I133" s="7"/>
      <c r="J133" s="7">
        <f t="shared" si="5"/>
        <v>523129.5</v>
      </c>
      <c r="K133" s="16">
        <f t="shared" si="6"/>
        <v>389332.5</v>
      </c>
    </row>
    <row r="134" spans="1:11" ht="12.75">
      <c r="A134" s="6" t="s">
        <v>41</v>
      </c>
      <c r="E134" s="7">
        <f t="shared" si="7"/>
        <v>133811</v>
      </c>
      <c r="F134" s="7">
        <f t="shared" si="7"/>
        <v>47997</v>
      </c>
      <c r="G134" s="7">
        <f t="shared" si="7"/>
        <v>12868</v>
      </c>
      <c r="H134" s="7">
        <f t="shared" si="7"/>
        <v>329132</v>
      </c>
      <c r="I134" s="7"/>
      <c r="J134" s="7">
        <f t="shared" si="5"/>
        <v>523808</v>
      </c>
      <c r="K134" s="16">
        <f t="shared" si="6"/>
        <v>389997</v>
      </c>
    </row>
    <row r="135" spans="1:11" ht="12.75">
      <c r="A135" s="6" t="s">
        <v>42</v>
      </c>
      <c r="E135" s="7">
        <f t="shared" si="7"/>
        <v>134130</v>
      </c>
      <c r="F135" s="7">
        <f t="shared" si="7"/>
        <v>48107</v>
      </c>
      <c r="G135" s="7">
        <f t="shared" si="7"/>
        <v>12372</v>
      </c>
      <c r="H135" s="7">
        <f t="shared" si="7"/>
        <v>329195.25</v>
      </c>
      <c r="I135" s="7"/>
      <c r="J135" s="7">
        <f t="shared" si="5"/>
        <v>523804.25</v>
      </c>
      <c r="K135" s="16">
        <f t="shared" si="6"/>
        <v>389674.25</v>
      </c>
    </row>
    <row r="136" spans="1:11" ht="12.75">
      <c r="A136" s="6" t="s">
        <v>43</v>
      </c>
      <c r="E136" s="7">
        <f t="shared" si="7"/>
        <v>134731</v>
      </c>
      <c r="F136" s="7">
        <f t="shared" si="7"/>
        <v>48127</v>
      </c>
      <c r="G136" s="7">
        <f t="shared" si="7"/>
        <v>12855</v>
      </c>
      <c r="H136" s="7">
        <f t="shared" si="7"/>
        <v>329177</v>
      </c>
      <c r="I136" s="7"/>
      <c r="J136" s="7">
        <f t="shared" si="5"/>
        <v>524890</v>
      </c>
      <c r="K136" s="16">
        <f t="shared" si="6"/>
        <v>390159</v>
      </c>
    </row>
    <row r="137" spans="1:11" ht="12.75">
      <c r="A137" s="6" t="s">
        <v>44</v>
      </c>
      <c r="E137" s="7">
        <f t="shared" si="7"/>
        <v>135105</v>
      </c>
      <c r="F137" s="7">
        <f t="shared" si="7"/>
        <v>48057</v>
      </c>
      <c r="G137" s="7">
        <f t="shared" si="7"/>
        <v>13292</v>
      </c>
      <c r="H137" s="7">
        <f t="shared" si="7"/>
        <v>329174.5</v>
      </c>
      <c r="I137" s="7"/>
      <c r="J137" s="7">
        <f t="shared" si="5"/>
        <v>525628.5</v>
      </c>
      <c r="K137" s="16">
        <f t="shared" si="6"/>
        <v>390523.5</v>
      </c>
    </row>
    <row r="138" spans="1:11" ht="12.75">
      <c r="A138" s="6" t="s">
        <v>45</v>
      </c>
      <c r="E138" s="7">
        <v>135743</v>
      </c>
      <c r="F138" s="7"/>
      <c r="G138" s="7"/>
      <c r="H138" s="7">
        <f t="shared" si="7"/>
        <v>329182.25</v>
      </c>
      <c r="I138" s="7"/>
      <c r="J138" s="7">
        <f t="shared" si="5"/>
        <v>464925.25</v>
      </c>
      <c r="K138" s="16">
        <f t="shared" si="6"/>
        <v>329182.25</v>
      </c>
    </row>
    <row r="139" spans="1:11" ht="12.75">
      <c r="A139" s="6" t="s">
        <v>46</v>
      </c>
      <c r="E139" s="7"/>
      <c r="F139" s="7"/>
      <c r="G139" s="7"/>
      <c r="H139" s="7">
        <f t="shared" si="7"/>
        <v>329194.75</v>
      </c>
      <c r="I139" s="7"/>
      <c r="J139" s="7">
        <f t="shared" si="5"/>
        <v>329194.75</v>
      </c>
      <c r="K139" s="16">
        <f t="shared" si="6"/>
        <v>329194.75</v>
      </c>
    </row>
    <row r="140" spans="1:11" ht="12.75">
      <c r="A140" s="6" t="s">
        <v>61</v>
      </c>
      <c r="E140" s="7"/>
      <c r="F140" s="7"/>
      <c r="G140" s="7"/>
      <c r="H140" s="7">
        <f aca="true" t="shared" si="8" ref="H140:H145">+H45+H91</f>
        <v>329206.5</v>
      </c>
      <c r="I140" s="7"/>
      <c r="J140" s="7">
        <f t="shared" si="5"/>
        <v>329206.5</v>
      </c>
      <c r="K140" s="16">
        <f t="shared" si="6"/>
        <v>329206.5</v>
      </c>
    </row>
    <row r="141" spans="1:11" ht="12.75">
      <c r="A141" s="6" t="s">
        <v>62</v>
      </c>
      <c r="E141" s="7"/>
      <c r="F141" s="7"/>
      <c r="G141" s="7"/>
      <c r="H141" s="7">
        <f t="shared" si="8"/>
        <v>329212</v>
      </c>
      <c r="I141" s="7"/>
      <c r="J141" s="7">
        <f t="shared" si="5"/>
        <v>329212</v>
      </c>
      <c r="K141" s="16">
        <f t="shared" si="6"/>
        <v>329212</v>
      </c>
    </row>
    <row r="142" spans="1:11" ht="12.75">
      <c r="A142" s="6" t="s">
        <v>63</v>
      </c>
      <c r="E142" s="7"/>
      <c r="F142" s="7"/>
      <c r="G142" s="7"/>
      <c r="H142" s="7">
        <f t="shared" si="8"/>
        <v>329205.75</v>
      </c>
      <c r="I142" s="7"/>
      <c r="J142" s="7">
        <f t="shared" si="5"/>
        <v>329205.75</v>
      </c>
      <c r="K142" s="16">
        <f t="shared" si="6"/>
        <v>329205.75</v>
      </c>
    </row>
    <row r="143" spans="1:11" ht="12.75">
      <c r="A143" s="6" t="s">
        <v>64</v>
      </c>
      <c r="E143" s="7"/>
      <c r="F143" s="7"/>
      <c r="G143" s="7"/>
      <c r="H143" s="7">
        <f t="shared" si="8"/>
        <v>329182.25</v>
      </c>
      <c r="I143" s="7"/>
      <c r="J143" s="7">
        <f t="shared" si="5"/>
        <v>329182.25</v>
      </c>
      <c r="K143" s="16">
        <f t="shared" si="6"/>
        <v>329182.25</v>
      </c>
    </row>
    <row r="144" spans="1:11" ht="12.75">
      <c r="A144" s="6" t="s">
        <v>65</v>
      </c>
      <c r="E144" s="7"/>
      <c r="F144" s="7"/>
      <c r="G144" s="7"/>
      <c r="H144" s="7">
        <f t="shared" si="8"/>
        <v>329136</v>
      </c>
      <c r="I144" s="7"/>
      <c r="J144" s="7">
        <f t="shared" si="5"/>
        <v>329136</v>
      </c>
      <c r="K144" s="16">
        <f t="shared" si="6"/>
        <v>329136</v>
      </c>
    </row>
    <row r="145" spans="1:11" ht="12.75">
      <c r="A145" s="6" t="s">
        <v>66</v>
      </c>
      <c r="E145" s="7"/>
      <c r="F145" s="7"/>
      <c r="G145" s="7"/>
      <c r="H145" s="7">
        <f t="shared" si="8"/>
        <v>327361.5</v>
      </c>
      <c r="I145" s="7"/>
      <c r="J145" s="7">
        <f t="shared" si="5"/>
        <v>327361.5</v>
      </c>
      <c r="K145" s="16">
        <f t="shared" si="6"/>
        <v>327361.5</v>
      </c>
    </row>
    <row r="146" spans="1:11" ht="12.75">
      <c r="A146" s="6"/>
      <c r="E146" s="12"/>
      <c r="F146" s="7">
        <f>+F43+F89</f>
        <v>0</v>
      </c>
      <c r="G146" s="7">
        <f>+G43+G89</f>
        <v>0</v>
      </c>
      <c r="H146" s="7"/>
      <c r="I146" s="7"/>
      <c r="J146" s="7">
        <f>SUM(B146:G146)</f>
        <v>0</v>
      </c>
      <c r="K146" s="16">
        <f t="shared" si="6"/>
        <v>0</v>
      </c>
    </row>
    <row r="147" spans="2:10" ht="13.5" thickBot="1">
      <c r="B147" s="9">
        <f>SUM(B107:B118)</f>
        <v>1586452.5</v>
      </c>
      <c r="C147" s="9">
        <f>SUM(C107:C118)</f>
        <v>126552.93</v>
      </c>
      <c r="D147" s="9">
        <f>SUM(D107:D118)</f>
        <v>1946102</v>
      </c>
      <c r="E147" s="9">
        <f>SUM(E107:E146)</f>
        <v>4080089</v>
      </c>
      <c r="F147" s="9">
        <f>SUM(F107:F118)</f>
        <v>544887</v>
      </c>
      <c r="G147" s="9">
        <f>SUM(G107:G118)</f>
        <v>141960</v>
      </c>
      <c r="H147" s="9">
        <f>SUM(H107:H118)</f>
        <v>3621031.25</v>
      </c>
      <c r="I147" s="9">
        <f>SUM(I107:I118)</f>
        <v>1274519.3900000001</v>
      </c>
      <c r="J147" s="9">
        <f>SUM(J107:J146)</f>
        <v>23381620.82</v>
      </c>
    </row>
    <row r="148" ht="13.5" thickTop="1"/>
  </sheetData>
  <sheetProtection/>
  <printOptions/>
  <pageMargins left="0.7" right="0.7" top="0.75" bottom="0.75" header="0.3" footer="0.3"/>
  <pageSetup fitToHeight="14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zoomScalePageLayoutView="0" workbookViewId="0" topLeftCell="A16">
      <selection activeCell="Q114" sqref="Q114"/>
    </sheetView>
  </sheetViews>
  <sheetFormatPr defaultColWidth="11.7109375" defaultRowHeight="12.75"/>
  <cols>
    <col min="1" max="13" width="11.7109375" style="2" customWidth="1"/>
    <col min="14" max="14" width="14.140625" style="2" customWidth="1"/>
    <col min="15" max="15" width="15.57421875" style="2" bestFit="1" customWidth="1"/>
    <col min="16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spans="1:14" ht="12.75">
      <c r="A3" s="1"/>
      <c r="N3" s="2" t="s">
        <v>70</v>
      </c>
    </row>
    <row r="4" ht="12.75">
      <c r="A4" s="1"/>
    </row>
    <row r="5" ht="12.75">
      <c r="A5" s="1" t="s">
        <v>74</v>
      </c>
    </row>
    <row r="6" ht="12.75">
      <c r="A6" s="1" t="s">
        <v>75</v>
      </c>
    </row>
    <row r="7" ht="12.75">
      <c r="A7" s="1"/>
    </row>
    <row r="8" ht="12.75">
      <c r="A8" s="1"/>
    </row>
    <row r="9" ht="12.75">
      <c r="A9" s="3" t="s">
        <v>2</v>
      </c>
    </row>
    <row r="10" spans="1:13" ht="12.75">
      <c r="A10" s="1"/>
      <c r="L10" s="67"/>
      <c r="M10" s="67"/>
    </row>
    <row r="11" spans="1:14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71</v>
      </c>
      <c r="K11" s="14" t="s">
        <v>73</v>
      </c>
      <c r="L11" s="14" t="s">
        <v>76</v>
      </c>
      <c r="M11" s="14" t="s">
        <v>77</v>
      </c>
      <c r="N11" s="14" t="s">
        <v>11</v>
      </c>
    </row>
    <row r="12" spans="1:14" ht="12.75">
      <c r="A12" s="6"/>
      <c r="B12" s="7"/>
      <c r="C12" s="7"/>
      <c r="D12" s="7"/>
      <c r="E12" s="7"/>
      <c r="F12" s="7"/>
      <c r="G12" s="7"/>
      <c r="N12" s="7"/>
    </row>
    <row r="13" spans="1:14" ht="15">
      <c r="A13" s="6" t="s">
        <v>16</v>
      </c>
      <c r="B13" s="7">
        <f>28668.39+28987.08+29309.32+29635.13</f>
        <v>116599.92000000001</v>
      </c>
      <c r="C13" s="7">
        <f>13547.95+13649.81+13752.44+13855.84</f>
        <v>54806.04000000001</v>
      </c>
      <c r="D13" s="7">
        <v>167236</v>
      </c>
      <c r="E13" s="7">
        <v>37000</v>
      </c>
      <c r="F13" s="7">
        <v>14000</v>
      </c>
      <c r="G13" s="7">
        <v>4000</v>
      </c>
      <c r="H13" s="2">
        <v>117400</v>
      </c>
      <c r="I13" s="19">
        <v>155000</v>
      </c>
      <c r="J13" s="19">
        <f>7662.87+7701.19</f>
        <v>15364.06</v>
      </c>
      <c r="K13" s="19">
        <f>8572.08+8614.94</f>
        <v>17187.02</v>
      </c>
      <c r="L13" s="19"/>
      <c r="M13" s="19"/>
      <c r="N13" s="7">
        <f aca="true" t="shared" si="0" ref="N13:N52">SUM(B13:M13)</f>
        <v>698593.04</v>
      </c>
    </row>
    <row r="14" spans="1:14" ht="15">
      <c r="A14" s="6" t="s">
        <v>17</v>
      </c>
      <c r="B14" s="7">
        <f>29964.57+30297.67+30634.47+30975.02</f>
        <v>121871.73</v>
      </c>
      <c r="C14" s="7">
        <f>13694.71+251</f>
        <v>13945.71</v>
      </c>
      <c r="D14" s="7">
        <v>168913</v>
      </c>
      <c r="E14" s="7">
        <v>38500</v>
      </c>
      <c r="F14" s="7">
        <v>15000</v>
      </c>
      <c r="G14" s="7">
        <v>4000</v>
      </c>
      <c r="H14" s="19">
        <v>120700</v>
      </c>
      <c r="I14" s="19">
        <v>160000</v>
      </c>
      <c r="J14" s="19">
        <f>7739.69+7778.39</f>
        <v>15518.08</v>
      </c>
      <c r="K14" s="19">
        <f>8658.01+8701.3</f>
        <v>17359.309999999998</v>
      </c>
      <c r="L14" s="19"/>
      <c r="M14" s="19"/>
      <c r="N14" s="7">
        <f t="shared" si="0"/>
        <v>675807.8299999998</v>
      </c>
    </row>
    <row r="15" spans="1:14" ht="15">
      <c r="A15" s="6" t="s">
        <v>18</v>
      </c>
      <c r="B15" s="7">
        <f>31319.35+31667.51+32019.54+32375.49</f>
        <v>127381.89</v>
      </c>
      <c r="C15" s="7"/>
      <c r="D15" s="7">
        <v>170606</v>
      </c>
      <c r="E15" s="7">
        <v>40500</v>
      </c>
      <c r="F15" s="7">
        <v>15000</v>
      </c>
      <c r="G15" s="7">
        <v>4000</v>
      </c>
      <c r="H15" s="19">
        <v>124000</v>
      </c>
      <c r="I15" s="19">
        <v>165000</v>
      </c>
      <c r="J15" s="19">
        <f>7817.28+7856.37</f>
        <v>15673.65</v>
      </c>
      <c r="K15" s="19">
        <f>8744.81+8788.83</f>
        <v>17533.64</v>
      </c>
      <c r="L15" s="19">
        <v>10000</v>
      </c>
      <c r="M15" s="19">
        <v>15000</v>
      </c>
      <c r="N15" s="7">
        <f t="shared" si="0"/>
        <v>704695.18</v>
      </c>
    </row>
    <row r="16" spans="1:14" ht="15">
      <c r="A16" s="6" t="s">
        <v>19</v>
      </c>
      <c r="B16" s="7">
        <f>32735.39+33099.29+33467.24+33839.28</f>
        <v>133141.19999999998</v>
      </c>
      <c r="C16" s="7"/>
      <c r="D16" s="7">
        <v>172316</v>
      </c>
      <c r="E16" s="8">
        <v>42000</v>
      </c>
      <c r="F16" s="7">
        <v>16000</v>
      </c>
      <c r="G16" s="7">
        <v>4000</v>
      </c>
      <c r="H16" s="19">
        <v>127400</v>
      </c>
      <c r="I16" s="19">
        <v>170000</v>
      </c>
      <c r="J16" s="19">
        <f>7895.65+7935.13</f>
        <v>15830.779999999999</v>
      </c>
      <c r="K16" s="19">
        <f>8832.48+8876.64</f>
        <v>17709.12</v>
      </c>
      <c r="L16" s="19">
        <v>10500</v>
      </c>
      <c r="M16" s="19">
        <v>15500</v>
      </c>
      <c r="N16" s="7">
        <f t="shared" si="0"/>
        <v>724397.1</v>
      </c>
    </row>
    <row r="17" spans="1:14" ht="15">
      <c r="A17" s="6" t="s">
        <v>20</v>
      </c>
      <c r="B17" s="8">
        <f>34215.45+34595.8+34980.39+35369.24</f>
        <v>139160.88</v>
      </c>
      <c r="C17" s="8"/>
      <c r="D17" s="8">
        <v>174044</v>
      </c>
      <c r="E17" s="8">
        <v>44000</v>
      </c>
      <c r="F17" s="8">
        <v>17000</v>
      </c>
      <c r="G17" s="8">
        <v>4000</v>
      </c>
      <c r="H17" s="19">
        <v>130900</v>
      </c>
      <c r="I17" s="19">
        <v>170000</v>
      </c>
      <c r="J17" s="19">
        <f>7974.81+8014.68</f>
        <v>15989.490000000002</v>
      </c>
      <c r="K17" s="19">
        <f>8921.02+8965.63</f>
        <v>17886.65</v>
      </c>
      <c r="L17" s="19">
        <v>10500</v>
      </c>
      <c r="M17" s="19">
        <v>16000</v>
      </c>
      <c r="N17" s="7">
        <f t="shared" si="0"/>
        <v>739481.02</v>
      </c>
    </row>
    <row r="18" spans="1:14" ht="15">
      <c r="A18" s="6" t="s">
        <v>21</v>
      </c>
      <c r="B18" s="8">
        <f>35762.42+36159.98+36561.95+36968.39</f>
        <v>145452.74</v>
      </c>
      <c r="C18" s="8"/>
      <c r="D18" s="8">
        <v>175789</v>
      </c>
      <c r="E18" s="8">
        <v>46000</v>
      </c>
      <c r="F18" s="8">
        <v>17000</v>
      </c>
      <c r="G18" s="8">
        <v>5000</v>
      </c>
      <c r="H18" s="19">
        <v>134500</v>
      </c>
      <c r="I18" s="19">
        <v>175000</v>
      </c>
      <c r="J18" s="19">
        <f>8054.75+8095.03</f>
        <v>16149.779999999999</v>
      </c>
      <c r="K18" s="19">
        <f>9010.45+9055.51</f>
        <v>18065.96</v>
      </c>
      <c r="L18" s="19">
        <v>11000</v>
      </c>
      <c r="M18" s="19">
        <v>16500</v>
      </c>
      <c r="N18" s="7">
        <f t="shared" si="0"/>
        <v>760457.48</v>
      </c>
    </row>
    <row r="19" spans="1:14" ht="15">
      <c r="A19" s="6" t="s">
        <v>22</v>
      </c>
      <c r="B19" s="8">
        <f>37379.34+37794.87+38215.01+38639.83</f>
        <v>152029.05</v>
      </c>
      <c r="C19" s="8"/>
      <c r="D19" s="8">
        <v>177551</v>
      </c>
      <c r="E19" s="8">
        <v>48000</v>
      </c>
      <c r="F19" s="8">
        <v>18000</v>
      </c>
      <c r="G19" s="8">
        <v>5000</v>
      </c>
      <c r="H19" s="19">
        <v>138200</v>
      </c>
      <c r="I19" s="19">
        <v>15000</v>
      </c>
      <c r="J19" s="19">
        <f>8135.5+8176.18</f>
        <v>16311.68</v>
      </c>
      <c r="K19" s="19">
        <f>9100.78+9146.29</f>
        <v>18247.07</v>
      </c>
      <c r="L19" s="19">
        <v>11500</v>
      </c>
      <c r="M19" s="19">
        <v>17000</v>
      </c>
      <c r="N19" s="7">
        <f t="shared" si="0"/>
        <v>616838.8</v>
      </c>
    </row>
    <row r="20" spans="1:14" ht="15">
      <c r="A20" s="6" t="s">
        <v>23</v>
      </c>
      <c r="B20" s="8">
        <f>39069.37+39503.68+39942.82+40386.85</f>
        <v>158902.72</v>
      </c>
      <c r="C20" s="8"/>
      <c r="D20" s="8">
        <v>179331</v>
      </c>
      <c r="E20" s="8">
        <v>50500</v>
      </c>
      <c r="F20" s="8">
        <v>19000</v>
      </c>
      <c r="G20" s="8">
        <v>5000</v>
      </c>
      <c r="H20" s="19">
        <v>142000</v>
      </c>
      <c r="I20" s="19"/>
      <c r="J20" s="19">
        <f>8217.06+8258.15</f>
        <v>16475.21</v>
      </c>
      <c r="K20" s="19">
        <f>9192.02+9237.98</f>
        <v>18430</v>
      </c>
      <c r="L20" s="19">
        <v>11500</v>
      </c>
      <c r="M20" s="19">
        <v>17500</v>
      </c>
      <c r="N20" s="7">
        <f t="shared" si="0"/>
        <v>618638.9299999999</v>
      </c>
    </row>
    <row r="21" spans="1:14" ht="15">
      <c r="A21" s="6" t="s">
        <v>24</v>
      </c>
      <c r="B21" s="8">
        <f>40835.8+41289.81</f>
        <v>82125.61</v>
      </c>
      <c r="C21" s="8"/>
      <c r="D21" s="8">
        <v>181129</v>
      </c>
      <c r="E21" s="8">
        <v>52500</v>
      </c>
      <c r="F21" s="8">
        <v>20000</v>
      </c>
      <c r="G21" s="8">
        <v>5000</v>
      </c>
      <c r="H21" s="19">
        <v>145900</v>
      </c>
      <c r="I21" s="19"/>
      <c r="J21" s="19">
        <f>8299.44+8340.93</f>
        <v>16640.370000000003</v>
      </c>
      <c r="K21" s="19">
        <f>9284.17+9330.59</f>
        <v>18614.760000000002</v>
      </c>
      <c r="L21" s="19">
        <v>12000</v>
      </c>
      <c r="M21" s="19">
        <v>18000</v>
      </c>
      <c r="N21" s="7">
        <f t="shared" si="0"/>
        <v>551909.74</v>
      </c>
    </row>
    <row r="22" spans="1:14" ht="15">
      <c r="A22" s="6" t="s">
        <v>25</v>
      </c>
      <c r="B22" s="8"/>
      <c r="C22" s="8"/>
      <c r="D22" s="8">
        <v>91243</v>
      </c>
      <c r="E22" s="8">
        <v>55000</v>
      </c>
      <c r="F22" s="8">
        <v>21000</v>
      </c>
      <c r="G22" s="8">
        <v>5000</v>
      </c>
      <c r="H22" s="19">
        <v>149900</v>
      </c>
      <c r="I22" s="19"/>
      <c r="J22" s="19">
        <f>8382.64+8424.55</f>
        <v>16807.19</v>
      </c>
      <c r="K22" s="19">
        <f>9377.24+9424.13</f>
        <v>18801.37</v>
      </c>
      <c r="L22" s="19">
        <v>12500</v>
      </c>
      <c r="M22" s="19">
        <v>18500</v>
      </c>
      <c r="N22" s="7">
        <f t="shared" si="0"/>
        <v>388751.56</v>
      </c>
    </row>
    <row r="23" spans="1:14" ht="15">
      <c r="A23" s="6" t="s">
        <v>26</v>
      </c>
      <c r="B23" s="8"/>
      <c r="C23" s="8"/>
      <c r="D23" s="8"/>
      <c r="E23" s="8">
        <v>57500</v>
      </c>
      <c r="F23" s="8">
        <v>22000</v>
      </c>
      <c r="G23" s="8">
        <v>6000</v>
      </c>
      <c r="H23" s="19">
        <v>154000</v>
      </c>
      <c r="I23" s="19"/>
      <c r="J23" s="19">
        <f>8466.68+8509.01</f>
        <v>16975.690000000002</v>
      </c>
      <c r="K23" s="19">
        <f>9471.25+9518.61</f>
        <v>18989.86</v>
      </c>
      <c r="L23" s="19">
        <v>13000</v>
      </c>
      <c r="M23" s="19">
        <v>19000</v>
      </c>
      <c r="N23" s="7">
        <f t="shared" si="0"/>
        <v>307465.55</v>
      </c>
    </row>
    <row r="24" spans="1:14" ht="15">
      <c r="A24" s="6" t="s">
        <v>27</v>
      </c>
      <c r="B24" s="8"/>
      <c r="C24" s="8"/>
      <c r="D24" s="8"/>
      <c r="E24" s="8">
        <v>60000</v>
      </c>
      <c r="F24" s="8">
        <v>23000</v>
      </c>
      <c r="G24" s="8">
        <v>6000</v>
      </c>
      <c r="H24" s="19">
        <v>158300</v>
      </c>
      <c r="I24" s="19"/>
      <c r="J24" s="19">
        <f>8551.55+8594.31</f>
        <v>17145.86</v>
      </c>
      <c r="K24" s="19">
        <f>9566.25+9614.03</f>
        <v>19180.28</v>
      </c>
      <c r="L24" s="19">
        <v>13500</v>
      </c>
      <c r="M24" s="19">
        <v>19500</v>
      </c>
      <c r="N24" s="7">
        <f t="shared" si="0"/>
        <v>316626.14</v>
      </c>
    </row>
    <row r="25" spans="1:14" ht="15">
      <c r="A25" s="6" t="s">
        <v>28</v>
      </c>
      <c r="B25" s="8"/>
      <c r="C25" s="8"/>
      <c r="D25" s="8"/>
      <c r="E25" s="8">
        <v>62500</v>
      </c>
      <c r="F25" s="8">
        <v>24000</v>
      </c>
      <c r="G25" s="8">
        <v>6000</v>
      </c>
      <c r="H25" s="19">
        <v>162600</v>
      </c>
      <c r="I25" s="19"/>
      <c r="J25" s="19">
        <f>8637.28+8680.47</f>
        <v>17317.75</v>
      </c>
      <c r="K25" s="19">
        <f>9662.1+9710.41</f>
        <v>19372.510000000002</v>
      </c>
      <c r="L25" s="19">
        <v>14000</v>
      </c>
      <c r="M25" s="19">
        <v>20000</v>
      </c>
      <c r="N25" s="7">
        <f t="shared" si="0"/>
        <v>325790.26</v>
      </c>
    </row>
    <row r="26" spans="1:14" ht="15">
      <c r="A26" s="6" t="s">
        <v>29</v>
      </c>
      <c r="B26" s="8"/>
      <c r="C26" s="8"/>
      <c r="D26" s="8"/>
      <c r="E26" s="8">
        <v>65500</v>
      </c>
      <c r="F26" s="8">
        <v>25000</v>
      </c>
      <c r="G26" s="8">
        <v>6000</v>
      </c>
      <c r="H26" s="19">
        <v>167100</v>
      </c>
      <c r="I26" s="19"/>
      <c r="J26" s="19">
        <f>8723.87+8767.49</f>
        <v>17491.36</v>
      </c>
      <c r="K26" s="19">
        <f>9758.96+9807.76</f>
        <v>19566.72</v>
      </c>
      <c r="L26" s="19">
        <v>14500</v>
      </c>
      <c r="M26" s="19">
        <v>20500</v>
      </c>
      <c r="N26" s="7">
        <f t="shared" si="0"/>
        <v>335658.07999999996</v>
      </c>
    </row>
    <row r="27" spans="1:14" ht="15">
      <c r="A27" s="6" t="s">
        <v>30</v>
      </c>
      <c r="B27" s="8"/>
      <c r="C27" s="8"/>
      <c r="D27" s="8"/>
      <c r="E27" s="8">
        <v>68500</v>
      </c>
      <c r="F27" s="8">
        <v>26000</v>
      </c>
      <c r="G27" s="8">
        <v>7000</v>
      </c>
      <c r="H27" s="19">
        <v>171700</v>
      </c>
      <c r="I27" s="19"/>
      <c r="J27" s="19">
        <f>8811.33+8855.39</f>
        <v>17666.72</v>
      </c>
      <c r="K27" s="19">
        <f>9856.8+9906.08</f>
        <v>19762.879999999997</v>
      </c>
      <c r="L27" s="19">
        <v>15000</v>
      </c>
      <c r="M27" s="19">
        <v>21000</v>
      </c>
      <c r="N27" s="7">
        <f t="shared" si="0"/>
        <v>346629.6</v>
      </c>
    </row>
    <row r="28" spans="1:14" ht="15">
      <c r="A28" s="6" t="s">
        <v>31</v>
      </c>
      <c r="B28" s="8"/>
      <c r="C28" s="8"/>
      <c r="D28" s="8"/>
      <c r="E28" s="8">
        <v>71500</v>
      </c>
      <c r="F28" s="8">
        <v>27000</v>
      </c>
      <c r="G28" s="8">
        <v>7000</v>
      </c>
      <c r="H28" s="19">
        <v>176400</v>
      </c>
      <c r="I28" s="19"/>
      <c r="J28" s="19">
        <f>8899.66+8944.16</f>
        <v>17843.82</v>
      </c>
      <c r="K28" s="19">
        <f>9955.61+10005.39</f>
        <v>19961</v>
      </c>
      <c r="L28" s="19">
        <v>15500</v>
      </c>
      <c r="M28" s="19">
        <v>21500</v>
      </c>
      <c r="N28" s="7">
        <f t="shared" si="0"/>
        <v>356704.82</v>
      </c>
    </row>
    <row r="29" spans="1:14" ht="15">
      <c r="A29" s="6" t="s">
        <v>32</v>
      </c>
      <c r="B29" s="8"/>
      <c r="C29" s="8"/>
      <c r="D29" s="8"/>
      <c r="E29" s="8">
        <v>75000</v>
      </c>
      <c r="F29" s="8">
        <v>28000</v>
      </c>
      <c r="G29" s="8">
        <v>7000</v>
      </c>
      <c r="H29" s="19">
        <v>181300</v>
      </c>
      <c r="I29" s="19"/>
      <c r="J29" s="19">
        <f>8988.88+9033.83</f>
        <v>18022.71</v>
      </c>
      <c r="K29" s="19">
        <f>10055.42+10105.69</f>
        <v>20161.11</v>
      </c>
      <c r="L29" s="19">
        <v>16000</v>
      </c>
      <c r="M29" s="19">
        <v>22500</v>
      </c>
      <c r="N29" s="7">
        <f t="shared" si="0"/>
        <v>367983.82</v>
      </c>
    </row>
    <row r="30" spans="1:14" ht="15">
      <c r="A30" s="6" t="s">
        <v>33</v>
      </c>
      <c r="B30" s="8"/>
      <c r="C30" s="8"/>
      <c r="D30" s="8"/>
      <c r="E30" s="8">
        <v>78000</v>
      </c>
      <c r="F30" s="8">
        <v>30000</v>
      </c>
      <c r="G30" s="8">
        <v>8000</v>
      </c>
      <c r="H30" s="19">
        <v>186200</v>
      </c>
      <c r="I30" s="19"/>
      <c r="J30" s="19">
        <f>9078.99+9124.39</f>
        <v>18203.379999999997</v>
      </c>
      <c r="K30" s="19">
        <f>10156.22+10207</f>
        <v>20363.22</v>
      </c>
      <c r="L30" s="19">
        <v>16500</v>
      </c>
      <c r="M30" s="19">
        <v>23000</v>
      </c>
      <c r="N30" s="7">
        <f t="shared" si="0"/>
        <v>380266.6</v>
      </c>
    </row>
    <row r="31" spans="1:14" ht="15">
      <c r="A31" s="6" t="s">
        <v>34</v>
      </c>
      <c r="B31" s="8"/>
      <c r="C31" s="8"/>
      <c r="D31" s="8"/>
      <c r="E31" s="8">
        <v>81500</v>
      </c>
      <c r="F31" s="8">
        <v>31000</v>
      </c>
      <c r="G31" s="8">
        <v>8000</v>
      </c>
      <c r="H31" s="19">
        <v>191400</v>
      </c>
      <c r="I31" s="19"/>
      <c r="J31" s="19">
        <f>9170.01+9215.86</f>
        <v>18385.870000000003</v>
      </c>
      <c r="K31" s="19">
        <f>10258.04+10309.33</f>
        <v>20567.370000000003</v>
      </c>
      <c r="L31" s="19">
        <v>17000</v>
      </c>
      <c r="M31" s="19">
        <v>23500</v>
      </c>
      <c r="N31" s="7">
        <f t="shared" si="0"/>
        <v>391353.24</v>
      </c>
    </row>
    <row r="32" spans="1:14" ht="15">
      <c r="A32" s="6" t="s">
        <v>35</v>
      </c>
      <c r="B32" s="8"/>
      <c r="C32" s="8"/>
      <c r="D32" s="8"/>
      <c r="E32" s="8">
        <v>85500</v>
      </c>
      <c r="F32" s="8">
        <v>32000</v>
      </c>
      <c r="G32" s="8">
        <v>8000</v>
      </c>
      <c r="H32" s="19">
        <v>196600</v>
      </c>
      <c r="I32" s="19"/>
      <c r="J32" s="19">
        <v>9261.8</v>
      </c>
      <c r="K32" s="19">
        <v>10361.07</v>
      </c>
      <c r="L32" s="19">
        <v>17500</v>
      </c>
      <c r="M32" s="19">
        <v>24000</v>
      </c>
      <c r="N32" s="7">
        <f t="shared" si="0"/>
        <v>383222.87</v>
      </c>
    </row>
    <row r="33" spans="1:14" ht="15">
      <c r="A33" s="6" t="s">
        <v>36</v>
      </c>
      <c r="B33" s="8"/>
      <c r="C33" s="8"/>
      <c r="D33" s="8"/>
      <c r="E33" s="8">
        <v>89000</v>
      </c>
      <c r="F33" s="8">
        <v>34000</v>
      </c>
      <c r="G33" s="8">
        <v>9000</v>
      </c>
      <c r="H33" s="19">
        <v>202000</v>
      </c>
      <c r="I33" s="19"/>
      <c r="J33" s="19"/>
      <c r="K33" s="19"/>
      <c r="L33" s="19">
        <v>18000</v>
      </c>
      <c r="M33" s="19">
        <v>25000</v>
      </c>
      <c r="N33" s="7">
        <f t="shared" si="0"/>
        <v>377000</v>
      </c>
    </row>
    <row r="34" spans="1:14" ht="15">
      <c r="A34" s="6" t="s">
        <v>37</v>
      </c>
      <c r="B34" s="8"/>
      <c r="C34" s="8"/>
      <c r="D34" s="8"/>
      <c r="E34" s="8">
        <v>93000</v>
      </c>
      <c r="F34" s="8">
        <v>35000</v>
      </c>
      <c r="G34" s="8">
        <v>9000</v>
      </c>
      <c r="H34" s="19">
        <v>207600</v>
      </c>
      <c r="I34" s="19"/>
      <c r="J34" s="19"/>
      <c r="K34" s="19"/>
      <c r="L34" s="19">
        <v>18500</v>
      </c>
      <c r="M34" s="19">
        <v>25500</v>
      </c>
      <c r="N34" s="7">
        <f t="shared" si="0"/>
        <v>388600</v>
      </c>
    </row>
    <row r="35" spans="1:14" ht="15">
      <c r="A35" s="6" t="s">
        <v>38</v>
      </c>
      <c r="B35" s="8"/>
      <c r="C35" s="8"/>
      <c r="D35" s="8"/>
      <c r="E35" s="8">
        <v>97500</v>
      </c>
      <c r="F35" s="8">
        <v>37000</v>
      </c>
      <c r="G35" s="8">
        <v>10000</v>
      </c>
      <c r="H35" s="19">
        <v>213300</v>
      </c>
      <c r="I35" s="19"/>
      <c r="J35" s="19"/>
      <c r="K35" s="19"/>
      <c r="L35" s="19">
        <v>19500</v>
      </c>
      <c r="M35" s="19">
        <v>26000</v>
      </c>
      <c r="N35" s="7">
        <f t="shared" si="0"/>
        <v>403300</v>
      </c>
    </row>
    <row r="36" spans="1:14" ht="15">
      <c r="A36" s="6" t="s">
        <v>39</v>
      </c>
      <c r="B36" s="8"/>
      <c r="C36" s="8"/>
      <c r="D36" s="8"/>
      <c r="E36" s="8">
        <v>102000</v>
      </c>
      <c r="F36" s="8">
        <v>38000</v>
      </c>
      <c r="G36" s="8">
        <v>10000</v>
      </c>
      <c r="H36" s="19">
        <v>219200</v>
      </c>
      <c r="I36" s="19"/>
      <c r="J36" s="19"/>
      <c r="K36" s="19"/>
      <c r="L36" s="19">
        <v>20000</v>
      </c>
      <c r="M36" s="19">
        <v>27000</v>
      </c>
      <c r="N36" s="7">
        <f t="shared" si="0"/>
        <v>416200</v>
      </c>
    </row>
    <row r="37" spans="1:14" ht="15">
      <c r="A37" s="6" t="s">
        <v>40</v>
      </c>
      <c r="B37" s="8"/>
      <c r="C37" s="8"/>
      <c r="D37" s="8"/>
      <c r="E37" s="8">
        <v>106500</v>
      </c>
      <c r="F37" s="8">
        <v>39000</v>
      </c>
      <c r="G37" s="8">
        <v>10000</v>
      </c>
      <c r="H37" s="19">
        <v>225200</v>
      </c>
      <c r="I37" s="19"/>
      <c r="J37" s="19"/>
      <c r="K37" s="19"/>
      <c r="L37" s="19">
        <v>20500</v>
      </c>
      <c r="M37" s="19">
        <v>27500</v>
      </c>
      <c r="N37" s="7">
        <f t="shared" si="0"/>
        <v>428700</v>
      </c>
    </row>
    <row r="38" spans="1:14" ht="15">
      <c r="A38" s="6" t="s">
        <v>41</v>
      </c>
      <c r="B38" s="8"/>
      <c r="C38" s="8"/>
      <c r="D38" s="8"/>
      <c r="E38" s="8">
        <v>111000</v>
      </c>
      <c r="F38" s="8">
        <v>41000</v>
      </c>
      <c r="G38" s="8">
        <v>11000</v>
      </c>
      <c r="H38" s="19">
        <v>231400</v>
      </c>
      <c r="I38" s="19"/>
      <c r="J38" s="19"/>
      <c r="K38" s="19"/>
      <c r="L38" s="19">
        <v>21500</v>
      </c>
      <c r="M38" s="19">
        <v>28500</v>
      </c>
      <c r="N38" s="7">
        <f t="shared" si="0"/>
        <v>444400</v>
      </c>
    </row>
    <row r="39" spans="1:14" ht="15">
      <c r="A39" s="6" t="s">
        <v>42</v>
      </c>
      <c r="B39" s="8"/>
      <c r="C39" s="8"/>
      <c r="D39" s="8"/>
      <c r="E39" s="8">
        <v>116000</v>
      </c>
      <c r="F39" s="8">
        <v>43000</v>
      </c>
      <c r="G39" s="8">
        <v>11000</v>
      </c>
      <c r="H39" s="19">
        <v>237700</v>
      </c>
      <c r="I39" s="19"/>
      <c r="J39" s="19"/>
      <c r="K39" s="19"/>
      <c r="L39" s="19">
        <v>22000</v>
      </c>
      <c r="M39" s="19">
        <v>29000</v>
      </c>
      <c r="N39" s="7">
        <f t="shared" si="0"/>
        <v>458700</v>
      </c>
    </row>
    <row r="40" spans="1:14" ht="15">
      <c r="A40" s="6" t="s">
        <v>43</v>
      </c>
      <c r="B40" s="8"/>
      <c r="C40" s="8"/>
      <c r="D40" s="8"/>
      <c r="E40" s="8">
        <v>121500</v>
      </c>
      <c r="F40" s="8">
        <v>45000</v>
      </c>
      <c r="G40" s="8">
        <v>12000</v>
      </c>
      <c r="H40" s="19">
        <v>244300</v>
      </c>
      <c r="I40" s="19"/>
      <c r="J40" s="19"/>
      <c r="K40" s="19"/>
      <c r="L40" s="19">
        <v>23000</v>
      </c>
      <c r="M40" s="19">
        <v>36000</v>
      </c>
      <c r="N40" s="7">
        <f t="shared" si="0"/>
        <v>481800</v>
      </c>
    </row>
    <row r="41" spans="1:14" ht="15">
      <c r="A41" s="6" t="s">
        <v>44</v>
      </c>
      <c r="B41" s="8"/>
      <c r="C41" s="8"/>
      <c r="D41" s="8"/>
      <c r="E41" s="8">
        <v>127000</v>
      </c>
      <c r="F41" s="8">
        <v>47000</v>
      </c>
      <c r="G41" s="8">
        <v>13000</v>
      </c>
      <c r="H41" s="19">
        <v>251000</v>
      </c>
      <c r="I41" s="19"/>
      <c r="J41" s="19"/>
      <c r="K41" s="19"/>
      <c r="L41" s="19">
        <v>23500</v>
      </c>
      <c r="M41" s="19">
        <v>31000</v>
      </c>
      <c r="N41" s="7">
        <f t="shared" si="0"/>
        <v>492500</v>
      </c>
    </row>
    <row r="42" spans="1:14" ht="15">
      <c r="A42" s="6" t="s">
        <v>45</v>
      </c>
      <c r="B42" s="8"/>
      <c r="C42" s="8"/>
      <c r="D42" s="8"/>
      <c r="E42" s="8">
        <v>133000</v>
      </c>
      <c r="F42" s="8"/>
      <c r="G42" s="8"/>
      <c r="H42" s="19">
        <v>257900</v>
      </c>
      <c r="I42" s="19"/>
      <c r="J42" s="19"/>
      <c r="K42" s="19"/>
      <c r="L42" s="19">
        <v>24500</v>
      </c>
      <c r="M42" s="19">
        <v>31500</v>
      </c>
      <c r="N42" s="7">
        <f t="shared" si="0"/>
        <v>446900</v>
      </c>
    </row>
    <row r="43" spans="1:14" ht="15">
      <c r="A43" s="17">
        <v>2045</v>
      </c>
      <c r="B43" s="8"/>
      <c r="C43" s="8"/>
      <c r="D43" s="8"/>
      <c r="E43" s="8"/>
      <c r="F43" s="8"/>
      <c r="G43" s="8"/>
      <c r="H43" s="19">
        <v>265000</v>
      </c>
      <c r="I43" s="19"/>
      <c r="J43" s="19"/>
      <c r="K43" s="19"/>
      <c r="L43" s="19">
        <v>25000</v>
      </c>
      <c r="M43" s="19">
        <v>32500</v>
      </c>
      <c r="N43" s="7">
        <f t="shared" si="0"/>
        <v>322500</v>
      </c>
    </row>
    <row r="44" spans="1:14" ht="15">
      <c r="A44" s="17">
        <v>2046</v>
      </c>
      <c r="B44" s="8"/>
      <c r="C44" s="8"/>
      <c r="D44" s="8"/>
      <c r="E44" s="8"/>
      <c r="F44" s="8"/>
      <c r="G44" s="8"/>
      <c r="H44" s="19">
        <v>272300</v>
      </c>
      <c r="I44" s="19"/>
      <c r="J44" s="19"/>
      <c r="K44" s="19"/>
      <c r="L44" s="19">
        <v>26000</v>
      </c>
      <c r="M44" s="19">
        <v>33500</v>
      </c>
      <c r="N44" s="7">
        <f t="shared" si="0"/>
        <v>331800</v>
      </c>
    </row>
    <row r="45" spans="1:14" ht="15">
      <c r="A45" s="17">
        <v>2047</v>
      </c>
      <c r="B45" s="8"/>
      <c r="C45" s="8"/>
      <c r="D45" s="8"/>
      <c r="E45" s="8"/>
      <c r="F45" s="8"/>
      <c r="G45" s="8"/>
      <c r="H45" s="19">
        <v>279800</v>
      </c>
      <c r="I45" s="19"/>
      <c r="J45" s="19"/>
      <c r="K45" s="19"/>
      <c r="L45" s="19">
        <v>27000</v>
      </c>
      <c r="M45" s="19">
        <v>34500</v>
      </c>
      <c r="N45" s="7">
        <f t="shared" si="0"/>
        <v>341300</v>
      </c>
    </row>
    <row r="46" spans="1:14" ht="15">
      <c r="A46" s="17">
        <v>2048</v>
      </c>
      <c r="B46" s="8"/>
      <c r="C46" s="8"/>
      <c r="D46" s="8"/>
      <c r="E46" s="8"/>
      <c r="F46" s="8"/>
      <c r="G46" s="8"/>
      <c r="H46" s="19">
        <v>287500</v>
      </c>
      <c r="I46" s="19"/>
      <c r="J46" s="19"/>
      <c r="K46" s="19"/>
      <c r="L46" s="19">
        <v>28000</v>
      </c>
      <c r="M46" s="19">
        <v>35500</v>
      </c>
      <c r="N46" s="7">
        <f t="shared" si="0"/>
        <v>351000</v>
      </c>
    </row>
    <row r="47" spans="1:14" ht="15">
      <c r="A47" s="17">
        <v>2049</v>
      </c>
      <c r="B47" s="8"/>
      <c r="C47" s="8"/>
      <c r="D47" s="8"/>
      <c r="E47" s="8"/>
      <c r="F47" s="8"/>
      <c r="G47" s="8"/>
      <c r="H47" s="19">
        <v>295400</v>
      </c>
      <c r="I47" s="19"/>
      <c r="J47" s="19"/>
      <c r="K47" s="19"/>
      <c r="L47" s="19">
        <v>29000</v>
      </c>
      <c r="M47" s="19">
        <v>36500</v>
      </c>
      <c r="N47" s="7">
        <f t="shared" si="0"/>
        <v>360900</v>
      </c>
    </row>
    <row r="48" spans="1:14" ht="15">
      <c r="A48" s="17">
        <v>2050</v>
      </c>
      <c r="B48" s="8"/>
      <c r="C48" s="8"/>
      <c r="D48" s="8"/>
      <c r="F48" s="8"/>
      <c r="G48" s="8"/>
      <c r="H48" s="19">
        <v>303500</v>
      </c>
      <c r="I48" s="19"/>
      <c r="J48" s="19"/>
      <c r="K48" s="19"/>
      <c r="L48" s="19">
        <v>12127</v>
      </c>
      <c r="M48" s="19">
        <v>12127</v>
      </c>
      <c r="N48" s="7">
        <f t="shared" si="0"/>
        <v>327754</v>
      </c>
    </row>
    <row r="49" spans="1:14" ht="15">
      <c r="A49" s="17">
        <v>2051</v>
      </c>
      <c r="B49" s="8"/>
      <c r="C49" s="8"/>
      <c r="D49" s="8"/>
      <c r="F49" s="8"/>
      <c r="G49" s="8"/>
      <c r="H49" s="19">
        <v>311800</v>
      </c>
      <c r="I49" s="19"/>
      <c r="J49" s="19"/>
      <c r="K49" s="19"/>
      <c r="L49" s="19"/>
      <c r="M49" s="19"/>
      <c r="N49" s="7">
        <f t="shared" si="0"/>
        <v>311800</v>
      </c>
    </row>
    <row r="50" spans="1:14" ht="15">
      <c r="A50" s="17">
        <v>2052</v>
      </c>
      <c r="B50" s="8"/>
      <c r="C50" s="8"/>
      <c r="D50" s="8"/>
      <c r="F50" s="8"/>
      <c r="G50" s="8"/>
      <c r="H50" s="19">
        <v>318600</v>
      </c>
      <c r="I50" s="19"/>
      <c r="J50" s="19"/>
      <c r="K50" s="19"/>
      <c r="L50" s="19"/>
      <c r="M50" s="19"/>
      <c r="N50" s="7">
        <f t="shared" si="0"/>
        <v>318600</v>
      </c>
    </row>
    <row r="51" spans="1:14" ht="15">
      <c r="A51" s="17">
        <v>2053</v>
      </c>
      <c r="B51" s="8"/>
      <c r="C51" s="8"/>
      <c r="D51" s="8"/>
      <c r="F51" s="8"/>
      <c r="G51" s="8"/>
      <c r="H51" s="19"/>
      <c r="I51" s="19"/>
      <c r="J51" s="19"/>
      <c r="K51" s="19"/>
      <c r="L51" s="19"/>
      <c r="M51" s="19"/>
      <c r="N51" s="7">
        <f t="shared" si="0"/>
        <v>0</v>
      </c>
    </row>
    <row r="52" spans="1:14" ht="15">
      <c r="A52" s="17">
        <v>2054</v>
      </c>
      <c r="H52" s="19"/>
      <c r="N52" s="7">
        <f t="shared" si="0"/>
        <v>0</v>
      </c>
    </row>
    <row r="53" spans="1:14" ht="13.5" thickBot="1">
      <c r="A53" s="6"/>
      <c r="B53" s="9">
        <f>SUM(B12:B48)</f>
        <v>1176665.74</v>
      </c>
      <c r="C53" s="9">
        <f>SUM(C12:C48)</f>
        <v>68751.75</v>
      </c>
      <c r="D53" s="9">
        <f>SUM(D12:D48)</f>
        <v>1658158</v>
      </c>
      <c r="E53" s="9">
        <f>SUM(E12:E42)</f>
        <v>2256000</v>
      </c>
      <c r="F53" s="9">
        <f>SUM(F12:F48)</f>
        <v>799000</v>
      </c>
      <c r="G53" s="9">
        <f>SUM(G12:G48)</f>
        <v>209000</v>
      </c>
      <c r="H53" s="9">
        <f>SUM(H13:H52)</f>
        <v>7700000</v>
      </c>
      <c r="I53" s="9">
        <f>SUM(I13:I49)</f>
        <v>1010000</v>
      </c>
      <c r="J53" s="9">
        <f>SUM(J13:J52)</f>
        <v>329075.24999999994</v>
      </c>
      <c r="K53" s="9">
        <f>SUM(K13:K49)</f>
        <v>368120.92</v>
      </c>
      <c r="L53" s="9">
        <f>SUM(L13:L52)</f>
        <v>600127</v>
      </c>
      <c r="M53" s="9">
        <f>SUM(M13:M52)</f>
        <v>820127</v>
      </c>
      <c r="N53" s="9">
        <f>SUM(N12:N52)</f>
        <v>16995025.659999996</v>
      </c>
    </row>
    <row r="54" spans="1:14" ht="13.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3" t="s">
        <v>47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21"/>
      <c r="M57" s="21"/>
      <c r="N57" s="7"/>
    </row>
    <row r="58" spans="1:14" s="15" customFormat="1" ht="12.75">
      <c r="A58" s="13" t="s">
        <v>3</v>
      </c>
      <c r="B58" s="14" t="s">
        <v>5</v>
      </c>
      <c r="C58" s="14" t="s">
        <v>56</v>
      </c>
      <c r="D58" s="14" t="s">
        <v>8</v>
      </c>
      <c r="E58" s="14">
        <v>2005</v>
      </c>
      <c r="F58" s="14" t="s">
        <v>9</v>
      </c>
      <c r="G58" s="14" t="s">
        <v>10</v>
      </c>
      <c r="H58" s="14">
        <v>2011</v>
      </c>
      <c r="I58" s="14" t="s">
        <v>67</v>
      </c>
      <c r="J58" s="14" t="s">
        <v>71</v>
      </c>
      <c r="K58" s="14" t="s">
        <v>73</v>
      </c>
      <c r="L58" s="14" t="s">
        <v>76</v>
      </c>
      <c r="M58" s="14" t="s">
        <v>77</v>
      </c>
      <c r="N58" s="14" t="s">
        <v>11</v>
      </c>
    </row>
    <row r="59" spans="1:14" ht="15">
      <c r="A59" s="6"/>
      <c r="B59" s="7"/>
      <c r="C59" s="7"/>
      <c r="D59" s="7"/>
      <c r="E59" s="7"/>
      <c r="F59" s="7"/>
      <c r="G59" s="7"/>
      <c r="H59" s="18"/>
      <c r="I59" s="18"/>
      <c r="J59" s="18"/>
      <c r="K59" s="18"/>
      <c r="L59" s="18"/>
      <c r="M59" s="18"/>
      <c r="N59" s="7"/>
    </row>
    <row r="60" spans="1:14" ht="15">
      <c r="A60" s="6" t="s">
        <v>16</v>
      </c>
      <c r="B60" s="7">
        <f>13080.36+12761.67+12439.43+12113.62</f>
        <v>50395.08</v>
      </c>
      <c r="C60" s="7">
        <v>1445.92</v>
      </c>
      <c r="D60" s="7">
        <v>19397</v>
      </c>
      <c r="E60" s="7">
        <v>92297</v>
      </c>
      <c r="F60" s="7">
        <v>35640</v>
      </c>
      <c r="G60" s="7">
        <v>9315</v>
      </c>
      <c r="H60" s="18">
        <f>105875+104261</f>
        <v>210136</v>
      </c>
      <c r="I60" s="18">
        <f>11652.5+11652.5</f>
        <v>23305</v>
      </c>
      <c r="J60" s="18">
        <f>1645.38+411.34+1607.06+401.77</f>
        <v>4065.55</v>
      </c>
      <c r="K60" s="18">
        <f>1840.6+368.12+1797.74+359.55</f>
        <v>4366.01</v>
      </c>
      <c r="L60" s="18">
        <f>8060+12090</f>
        <v>20150</v>
      </c>
      <c r="M60" s="18">
        <f>9166.67+13750</f>
        <v>22916.67</v>
      </c>
      <c r="N60" s="7">
        <f aca="true" t="shared" si="1" ref="N60:N98">SUM(B60:M60)</f>
        <v>493429.23</v>
      </c>
    </row>
    <row r="61" spans="1:14" ht="15">
      <c r="A61" s="6" t="s">
        <v>17</v>
      </c>
      <c r="B61" s="7">
        <f>11784.18+11451.08+11114.28+10773.73</f>
        <v>45123.270000000004</v>
      </c>
      <c r="C61" s="7">
        <v>102.97</v>
      </c>
      <c r="D61" s="7">
        <v>17386</v>
      </c>
      <c r="E61" s="7">
        <v>90740</v>
      </c>
      <c r="F61" s="7">
        <v>34988</v>
      </c>
      <c r="G61" s="7">
        <v>9135</v>
      </c>
      <c r="H61" s="18">
        <f>104261+102601</f>
        <v>206862</v>
      </c>
      <c r="I61" s="18">
        <f>9870+9870</f>
        <v>19740</v>
      </c>
      <c r="J61" s="18">
        <f>1568.56+392.14+1529.86+382.46</f>
        <v>3873.0199999999995</v>
      </c>
      <c r="K61" s="18">
        <f>1754.67+350.93+1711.38+342.28</f>
        <v>4159.26</v>
      </c>
      <c r="L61" s="18">
        <f>12090+12090</f>
        <v>24180</v>
      </c>
      <c r="M61" s="18">
        <f>13750+13750</f>
        <v>27500</v>
      </c>
      <c r="N61" s="7">
        <f t="shared" si="1"/>
        <v>483789.52</v>
      </c>
    </row>
    <row r="62" spans="1:14" ht="15">
      <c r="A62" s="6" t="s">
        <v>18</v>
      </c>
      <c r="B62" s="7">
        <f>10429.4+10081.24+9729.21+9373.26</f>
        <v>39613.11</v>
      </c>
      <c r="C62" s="7"/>
      <c r="D62" s="7">
        <v>15354</v>
      </c>
      <c r="E62" s="8">
        <v>89110</v>
      </c>
      <c r="F62" s="7">
        <v>34312</v>
      </c>
      <c r="G62" s="7">
        <v>8955</v>
      </c>
      <c r="H62" s="18">
        <f>102601+100896</f>
        <v>203497</v>
      </c>
      <c r="I62" s="18">
        <f>8030+8030</f>
        <v>16060</v>
      </c>
      <c r="J62" s="18">
        <f>1490.97+372.74+1451.88+362.97</f>
        <v>3678.5600000000004</v>
      </c>
      <c r="K62" s="18">
        <f>1667.87+333.57+1624.15+324.83</f>
        <v>3950.42</v>
      </c>
      <c r="L62" s="18">
        <f>12090+11927.5</f>
        <v>24017.5</v>
      </c>
      <c r="M62" s="18">
        <f>13750+13543.75</f>
        <v>27293.75</v>
      </c>
      <c r="N62" s="7">
        <f t="shared" si="1"/>
        <v>465841.33999999997</v>
      </c>
    </row>
    <row r="63" spans="1:14" ht="15">
      <c r="A63" s="6" t="s">
        <v>19</v>
      </c>
      <c r="B63" s="7">
        <f>9013.36+8649.46+8281.51+7909.47</f>
        <v>33853.8</v>
      </c>
      <c r="C63" s="7"/>
      <c r="D63" s="7">
        <v>13301</v>
      </c>
      <c r="E63" s="8">
        <v>87409</v>
      </c>
      <c r="F63" s="7">
        <v>33615</v>
      </c>
      <c r="G63" s="7">
        <v>8775</v>
      </c>
      <c r="H63" s="18">
        <f>100896+99144</f>
        <v>200040</v>
      </c>
      <c r="I63" s="18">
        <f>6132.5+6132.5</f>
        <v>12265</v>
      </c>
      <c r="J63" s="18">
        <f>1412.6+353.15+1373.12+343.28</f>
        <v>3482.1499999999996</v>
      </c>
      <c r="K63" s="18">
        <f>1580.2+316.04+1536.04+307.21</f>
        <v>3739.49</v>
      </c>
      <c r="L63" s="18">
        <f>11927.5+11756.88</f>
        <v>23684.379999999997</v>
      </c>
      <c r="M63" s="18">
        <f>13543.75+13330.63</f>
        <v>26874.379999999997</v>
      </c>
      <c r="N63" s="7">
        <f t="shared" si="1"/>
        <v>447039.2</v>
      </c>
    </row>
    <row r="64" spans="1:14" ht="15">
      <c r="A64" s="6" t="s">
        <v>20</v>
      </c>
      <c r="B64" s="8">
        <f>7533.3+7152.95+6768.36+6379.51</f>
        <v>27834.120000000003</v>
      </c>
      <c r="C64" s="8"/>
      <c r="D64" s="8">
        <v>11228</v>
      </c>
      <c r="E64" s="8">
        <v>85635</v>
      </c>
      <c r="F64" s="8">
        <v>32872</v>
      </c>
      <c r="G64" s="8">
        <v>8595</v>
      </c>
      <c r="H64" s="18">
        <f>99144+97345</f>
        <v>196489</v>
      </c>
      <c r="I64" s="18">
        <f>4177.5+4177.5</f>
        <v>8355</v>
      </c>
      <c r="J64" s="18">
        <f>1333.44+333.36+1293.57+323.39</f>
        <v>3283.7599999999998</v>
      </c>
      <c r="K64" s="18">
        <f>1491.66+298.33+1447.05+289.41</f>
        <v>3526.45</v>
      </c>
      <c r="L64" s="18">
        <f>11756.88+11586.25</f>
        <v>23343.129999999997</v>
      </c>
      <c r="M64" s="18">
        <f>13330.63+13110.63</f>
        <v>26441.26</v>
      </c>
      <c r="N64" s="7">
        <f t="shared" si="1"/>
        <v>427602.72000000003</v>
      </c>
    </row>
    <row r="65" spans="1:14" ht="15">
      <c r="A65" s="6" t="s">
        <v>21</v>
      </c>
      <c r="B65" s="8">
        <f>5986.33+5588.77+5186.8+4780.36</f>
        <v>21542.260000000002</v>
      </c>
      <c r="C65" s="8"/>
      <c r="D65" s="8">
        <v>9136</v>
      </c>
      <c r="E65" s="8">
        <v>83779</v>
      </c>
      <c r="F65" s="8">
        <v>32108</v>
      </c>
      <c r="G65" s="8">
        <v>8392</v>
      </c>
      <c r="H65" s="18">
        <f>97345+95495</f>
        <v>192840</v>
      </c>
      <c r="I65" s="18">
        <f>2222.5+2222.5</f>
        <v>4445</v>
      </c>
      <c r="J65" s="18">
        <f>1253.5+313.37+1213.22+303.31</f>
        <v>3083.4</v>
      </c>
      <c r="K65" s="18">
        <f>1402.23+280.45+1357.17+271.43</f>
        <v>3311.28</v>
      </c>
      <c r="L65" s="18">
        <f>11586.25+11407.5</f>
        <v>22993.75</v>
      </c>
      <c r="M65" s="18">
        <f>13110.63+12883.75</f>
        <v>25994.379999999997</v>
      </c>
      <c r="N65" s="7">
        <f t="shared" si="1"/>
        <v>407625.07000000007</v>
      </c>
    </row>
    <row r="66" spans="1:14" ht="15">
      <c r="A66" s="6" t="s">
        <v>22</v>
      </c>
      <c r="B66" s="8">
        <f>4369.41+3953.88+3533.74+3108.92</f>
        <v>14965.95</v>
      </c>
      <c r="C66" s="8"/>
      <c r="D66" s="8">
        <v>7020</v>
      </c>
      <c r="E66" s="8">
        <v>81840</v>
      </c>
      <c r="F66" s="8">
        <v>31320</v>
      </c>
      <c r="G66" s="8">
        <v>8167</v>
      </c>
      <c r="H66" s="18">
        <f>95495+93595</f>
        <v>189090</v>
      </c>
      <c r="I66" s="18">
        <f>210+210</f>
        <v>420</v>
      </c>
      <c r="J66" s="18">
        <f>1172.75+293.19+1132.07+283.02</f>
        <v>2881.03</v>
      </c>
      <c r="K66" s="18">
        <f>1311.9+262.38+1266.39+253.28</f>
        <v>3093.9500000000003</v>
      </c>
      <c r="L66" s="18">
        <f>11407.5+11220.63</f>
        <v>22628.129999999997</v>
      </c>
      <c r="M66" s="18">
        <f>12883.75+12650</f>
        <v>25533.75</v>
      </c>
      <c r="N66" s="7">
        <f t="shared" si="1"/>
        <v>386959.81000000006</v>
      </c>
    </row>
    <row r="67" spans="1:14" ht="15">
      <c r="A67" s="6" t="s">
        <v>23</v>
      </c>
      <c r="B67" s="8">
        <f>2679.38+2245.07+1805.93+1361.9</f>
        <v>8092.280000000001</v>
      </c>
      <c r="C67" s="8"/>
      <c r="D67" s="8">
        <v>4884</v>
      </c>
      <c r="E67" s="8">
        <v>79808</v>
      </c>
      <c r="F67" s="8">
        <v>30488</v>
      </c>
      <c r="G67" s="8">
        <v>7943</v>
      </c>
      <c r="H67" s="18">
        <f>93595+91642</f>
        <v>185237</v>
      </c>
      <c r="I67" s="18"/>
      <c r="J67" s="18">
        <f>1091.19+272.8+1050.1+262.53</f>
        <v>2676.62</v>
      </c>
      <c r="K67" s="18">
        <f>1220.66+244.13+1174.7+234.94</f>
        <v>2874.43</v>
      </c>
      <c r="L67" s="18">
        <f>11220.63+11033.75</f>
        <v>22254.379999999997</v>
      </c>
      <c r="M67" s="18">
        <f>12650+12409.38</f>
        <v>25059.379999999997</v>
      </c>
      <c r="N67" s="7">
        <f t="shared" si="1"/>
        <v>369317.09</v>
      </c>
    </row>
    <row r="68" spans="1:14" ht="15">
      <c r="A68" s="6" t="s">
        <v>24</v>
      </c>
      <c r="B68" s="8">
        <f>912.95+458.94</f>
        <v>1371.89</v>
      </c>
      <c r="C68" s="8"/>
      <c r="D68" s="8">
        <v>2726</v>
      </c>
      <c r="E68" s="8">
        <v>77684</v>
      </c>
      <c r="F68" s="8">
        <v>29610</v>
      </c>
      <c r="G68" s="8">
        <v>7718</v>
      </c>
      <c r="H68" s="18">
        <f>91642+89636</f>
        <v>181278</v>
      </c>
      <c r="I68" s="18"/>
      <c r="J68" s="18">
        <f>1008.81+252.2+967.32+241.83</f>
        <v>2470.16</v>
      </c>
      <c r="K68" s="18">
        <f>1128.51+225.7+1082.09+216.42</f>
        <v>2652.7200000000003</v>
      </c>
      <c r="L68" s="18">
        <f>11033.75+10838.75</f>
        <v>21872.5</v>
      </c>
      <c r="M68" s="18">
        <f>12409.38+12161.88</f>
        <v>24571.26</v>
      </c>
      <c r="N68" s="7">
        <f t="shared" si="1"/>
        <v>351954.52999999997</v>
      </c>
    </row>
    <row r="69" spans="1:14" ht="15">
      <c r="A69" s="6" t="s">
        <v>25</v>
      </c>
      <c r="B69" s="8"/>
      <c r="C69" s="8"/>
      <c r="D69" s="8">
        <v>547</v>
      </c>
      <c r="E69" s="8">
        <v>75467</v>
      </c>
      <c r="F69" s="8">
        <v>28687</v>
      </c>
      <c r="G69" s="8">
        <v>7493</v>
      </c>
      <c r="H69" s="18">
        <f>89636+87575</f>
        <v>177211</v>
      </c>
      <c r="I69" s="18"/>
      <c r="J69" s="18">
        <f>925.61+231.4+883.7+220.92</f>
        <v>2261.63</v>
      </c>
      <c r="K69" s="18">
        <f>1035.44+207.09+988.55+197.71</f>
        <v>2428.79</v>
      </c>
      <c r="L69" s="18">
        <f>10838.75+10635.63</f>
        <v>21474.379999999997</v>
      </c>
      <c r="M69" s="18">
        <f>12161.88+11907.5</f>
        <v>24069.379999999997</v>
      </c>
      <c r="N69" s="7">
        <f t="shared" si="1"/>
        <v>339639.18</v>
      </c>
    </row>
    <row r="70" spans="1:14" ht="15">
      <c r="A70" s="6" t="s">
        <v>26</v>
      </c>
      <c r="B70" s="8"/>
      <c r="C70" s="8"/>
      <c r="D70" s="8"/>
      <c r="E70" s="8">
        <v>73147</v>
      </c>
      <c r="F70" s="8">
        <v>27720</v>
      </c>
      <c r="G70" s="8">
        <v>7245</v>
      </c>
      <c r="H70" s="18">
        <f>87575+85458</f>
        <v>173033</v>
      </c>
      <c r="I70" s="18"/>
      <c r="J70" s="18">
        <f>841.57+210.39+799.24+199.81</f>
        <v>2051.01</v>
      </c>
      <c r="K70" s="18">
        <f>941.43+188.29+894.07+178.81</f>
        <v>2202.6</v>
      </c>
      <c r="L70" s="18">
        <f>10635.63+10424.38</f>
        <v>21060.01</v>
      </c>
      <c r="M70" s="18">
        <f>11907.5+11646.25</f>
        <v>23553.75</v>
      </c>
      <c r="N70" s="7">
        <f t="shared" si="1"/>
        <v>330012.37</v>
      </c>
    </row>
    <row r="71" spans="1:14" ht="15">
      <c r="A71" s="6" t="s">
        <v>27</v>
      </c>
      <c r="B71" s="8"/>
      <c r="C71" s="8"/>
      <c r="D71" s="8"/>
      <c r="E71" s="8">
        <v>70723</v>
      </c>
      <c r="F71" s="8">
        <v>26708</v>
      </c>
      <c r="G71" s="8">
        <v>6975</v>
      </c>
      <c r="H71" s="18">
        <f>85458+83281</f>
        <v>168739</v>
      </c>
      <c r="I71" s="18"/>
      <c r="J71" s="18">
        <f>756.7+189.17+713.94+178.48</f>
        <v>1838.29</v>
      </c>
      <c r="K71" s="18">
        <f>846.48+169.3+798.65+159.73</f>
        <v>1974.1599999999999</v>
      </c>
      <c r="L71" s="18">
        <f>10424.38+10205</f>
        <v>20629.379999999997</v>
      </c>
      <c r="M71" s="18">
        <f>11646.25+11378.13</f>
        <v>23024.379999999997</v>
      </c>
      <c r="N71" s="7">
        <f t="shared" si="1"/>
        <v>320611.20999999996</v>
      </c>
    </row>
    <row r="72" spans="1:14" ht="15">
      <c r="A72" s="6" t="s">
        <v>28</v>
      </c>
      <c r="B72" s="8"/>
      <c r="C72" s="8"/>
      <c r="D72" s="8"/>
      <c r="E72" s="8">
        <v>68197</v>
      </c>
      <c r="F72" s="8">
        <v>25650</v>
      </c>
      <c r="G72" s="8">
        <v>6705</v>
      </c>
      <c r="H72" s="18">
        <f>83281+81045</f>
        <v>164326</v>
      </c>
      <c r="I72" s="18"/>
      <c r="J72" s="18">
        <f>670.97+167.74+627.78+156.95</f>
        <v>1623.44</v>
      </c>
      <c r="K72" s="18">
        <f>750.58+150.12+702.27+140.45</f>
        <v>1743.42</v>
      </c>
      <c r="L72" s="18">
        <f>10205+9977.5</f>
        <v>20182.5</v>
      </c>
      <c r="M72" s="18">
        <f>11378.13+11103.13</f>
        <v>22481.26</v>
      </c>
      <c r="N72" s="7">
        <f t="shared" si="1"/>
        <v>310908.62</v>
      </c>
    </row>
    <row r="73" spans="1:14" ht="15">
      <c r="A73" s="6" t="s">
        <v>29</v>
      </c>
      <c r="B73" s="8"/>
      <c r="C73" s="8"/>
      <c r="D73" s="8"/>
      <c r="E73" s="8">
        <v>65557</v>
      </c>
      <c r="F73" s="8">
        <v>24548</v>
      </c>
      <c r="G73" s="8">
        <v>6435</v>
      </c>
      <c r="H73" s="18">
        <f>81045+78748</f>
        <v>159793</v>
      </c>
      <c r="I73" s="18"/>
      <c r="J73" s="18">
        <f>584.38+146.09+540.76+135.19</f>
        <v>1406.42</v>
      </c>
      <c r="K73" s="18">
        <f>653.72+130.74+604.92+120.98</f>
        <v>1510.3600000000001</v>
      </c>
      <c r="L73" s="18">
        <f>9977.5+9741.88</f>
        <v>19719.379999999997</v>
      </c>
      <c r="M73" s="18">
        <f>11103.13+10821.25</f>
        <v>21924.379999999997</v>
      </c>
      <c r="N73" s="7">
        <f t="shared" si="1"/>
        <v>300893.54</v>
      </c>
    </row>
    <row r="74" spans="1:14" ht="15">
      <c r="A74" s="6" t="s">
        <v>30</v>
      </c>
      <c r="B74" s="8"/>
      <c r="C74" s="8"/>
      <c r="D74" s="8"/>
      <c r="E74" s="8">
        <v>62793</v>
      </c>
      <c r="F74" s="8">
        <v>23400</v>
      </c>
      <c r="G74" s="8">
        <v>6143</v>
      </c>
      <c r="H74" s="18">
        <f>78748+76387</f>
        <v>155135</v>
      </c>
      <c r="I74" s="18"/>
      <c r="J74" s="18">
        <f>496.952+124.23+452.86+113.22</f>
        <v>1187.262</v>
      </c>
      <c r="K74" s="18">
        <f>555.88+111.18+506.6+101.32</f>
        <v>1274.9799999999998</v>
      </c>
      <c r="L74" s="18">
        <f>9741.88+9498.13</f>
        <v>19240.01</v>
      </c>
      <c r="M74" s="18">
        <f>10821.25+10532.5</f>
        <v>21353.75</v>
      </c>
      <c r="N74" s="7">
        <f t="shared" si="1"/>
        <v>290527.002</v>
      </c>
    </row>
    <row r="75" spans="1:14" ht="15">
      <c r="A75" s="6" t="s">
        <v>31</v>
      </c>
      <c r="B75" s="8"/>
      <c r="C75" s="8"/>
      <c r="D75" s="8"/>
      <c r="E75" s="8">
        <v>59905</v>
      </c>
      <c r="F75" s="8">
        <v>22208</v>
      </c>
      <c r="G75" s="8">
        <v>5827</v>
      </c>
      <c r="H75" s="18">
        <f>76387+73961</f>
        <v>150348</v>
      </c>
      <c r="I75" s="18"/>
      <c r="J75" s="18">
        <f>408.59+102.15+364.09+91.02</f>
        <v>965.8499999999999</v>
      </c>
      <c r="K75" s="18">
        <f>457.07+91.41+407.29+81.46</f>
        <v>1037.23</v>
      </c>
      <c r="L75" s="18">
        <f>9498.13+9246.25</f>
        <v>18744.379999999997</v>
      </c>
      <c r="M75" s="18">
        <f>10532.5+10236.88</f>
        <v>20769.379999999997</v>
      </c>
      <c r="N75" s="7">
        <f t="shared" si="1"/>
        <v>279804.84</v>
      </c>
    </row>
    <row r="76" spans="1:14" ht="15">
      <c r="A76" s="6" t="s">
        <v>32</v>
      </c>
      <c r="B76" s="8"/>
      <c r="C76" s="8"/>
      <c r="D76" s="8"/>
      <c r="E76" s="8">
        <v>56884</v>
      </c>
      <c r="F76" s="8">
        <v>20970</v>
      </c>
      <c r="G76" s="8">
        <v>5513</v>
      </c>
      <c r="H76" s="18">
        <f>73961+71468</f>
        <v>145429</v>
      </c>
      <c r="I76" s="18"/>
      <c r="J76" s="18">
        <f>319.37+79.384+274.42+68.61</f>
        <v>741.784</v>
      </c>
      <c r="K76" s="18">
        <f>357.26+71.45+306.99+61.4</f>
        <v>797.1</v>
      </c>
      <c r="L76" s="18">
        <f>9246.25+8986.25</f>
        <v>18232.5</v>
      </c>
      <c r="M76" s="18">
        <f>10236.88+9927.5</f>
        <v>20164.379999999997</v>
      </c>
      <c r="N76" s="7">
        <f t="shared" si="1"/>
        <v>268731.764</v>
      </c>
    </row>
    <row r="77" spans="1:14" ht="15">
      <c r="A77" s="6" t="s">
        <v>33</v>
      </c>
      <c r="B77" s="8"/>
      <c r="C77" s="8"/>
      <c r="D77" s="8"/>
      <c r="E77" s="8">
        <v>53728</v>
      </c>
      <c r="F77" s="8">
        <v>19665</v>
      </c>
      <c r="G77" s="8">
        <v>5175</v>
      </c>
      <c r="H77" s="18">
        <f>71468+68908</f>
        <v>140376</v>
      </c>
      <c r="I77" s="18"/>
      <c r="J77" s="18">
        <f>229.26+57.31+183.86+45.97</f>
        <v>516.4</v>
      </c>
      <c r="K77" s="18">
        <f>256.46+51.29+205.68+41.14</f>
        <v>554.57</v>
      </c>
      <c r="L77" s="18">
        <f>8986.25+8718.13</f>
        <v>17704.379999999997</v>
      </c>
      <c r="M77" s="18">
        <f>9927.5+9611.25</f>
        <v>19538.75</v>
      </c>
      <c r="N77" s="7">
        <f t="shared" si="1"/>
        <v>257258.1</v>
      </c>
    </row>
    <row r="78" spans="1:14" ht="15">
      <c r="A78" s="6" t="s">
        <v>34</v>
      </c>
      <c r="B78" s="8"/>
      <c r="C78" s="8"/>
      <c r="D78" s="8"/>
      <c r="E78" s="8">
        <v>50438</v>
      </c>
      <c r="F78" s="8">
        <v>18293</v>
      </c>
      <c r="G78" s="8">
        <v>4815</v>
      </c>
      <c r="H78" s="18">
        <f>68908+66276</f>
        <v>135184</v>
      </c>
      <c r="I78" s="18"/>
      <c r="J78" s="18">
        <f>138.24+34.56+92.39+23.1</f>
        <v>288.29</v>
      </c>
      <c r="K78" s="18">
        <f>154.64+30.93+103.35+20.67</f>
        <v>309.59</v>
      </c>
      <c r="L78" s="18">
        <f>8718.13+8441.88</f>
        <v>17160.01</v>
      </c>
      <c r="M78" s="18">
        <f>9611.25+9288.13</f>
        <v>18899.379999999997</v>
      </c>
      <c r="N78" s="7">
        <f t="shared" si="1"/>
        <v>245387.27000000002</v>
      </c>
    </row>
    <row r="79" spans="1:14" ht="15">
      <c r="A79" s="6" t="s">
        <v>35</v>
      </c>
      <c r="B79" s="8"/>
      <c r="C79" s="8"/>
      <c r="D79" s="8"/>
      <c r="E79" s="8">
        <v>46994</v>
      </c>
      <c r="F79" s="8">
        <v>16875</v>
      </c>
      <c r="G79" s="8">
        <v>4455</v>
      </c>
      <c r="H79" s="18">
        <f>66276+63573</f>
        <v>129849</v>
      </c>
      <c r="I79" s="18"/>
      <c r="J79" s="18">
        <f>46.45+11.58</f>
        <v>58.03</v>
      </c>
      <c r="K79" s="18">
        <f>51.61+10.36</f>
        <v>61.97</v>
      </c>
      <c r="L79" s="18">
        <f>8441.88+8157.5</f>
        <v>16599.379999999997</v>
      </c>
      <c r="M79" s="18">
        <f>9288.13+8958.13</f>
        <v>18246.26</v>
      </c>
      <c r="N79" s="7">
        <f t="shared" si="1"/>
        <v>233138.64</v>
      </c>
    </row>
    <row r="80" spans="1:14" ht="15">
      <c r="A80" s="6" t="s">
        <v>36</v>
      </c>
      <c r="B80" s="8"/>
      <c r="C80" s="8"/>
      <c r="D80" s="8"/>
      <c r="E80" s="8">
        <v>43395</v>
      </c>
      <c r="F80" s="8">
        <v>15390</v>
      </c>
      <c r="G80" s="8">
        <v>4073</v>
      </c>
      <c r="H80" s="18">
        <f>63573+60796</f>
        <v>124369</v>
      </c>
      <c r="I80" s="18"/>
      <c r="J80" s="18"/>
      <c r="K80" s="18"/>
      <c r="L80" s="18">
        <f>8157.5+7865</f>
        <v>16022.5</v>
      </c>
      <c r="M80" s="18">
        <f>8958.13+8614.38</f>
        <v>17572.51</v>
      </c>
      <c r="N80" s="7">
        <f t="shared" si="1"/>
        <v>220822.01</v>
      </c>
    </row>
    <row r="81" spans="1:14" ht="15">
      <c r="A81" s="6" t="s">
        <v>37</v>
      </c>
      <c r="B81" s="8"/>
      <c r="C81" s="8"/>
      <c r="D81" s="8"/>
      <c r="E81" s="8">
        <v>39641</v>
      </c>
      <c r="F81" s="8">
        <v>13838</v>
      </c>
      <c r="G81" s="8">
        <v>3667</v>
      </c>
      <c r="H81" s="18">
        <f>60796+57941</f>
        <v>118737</v>
      </c>
      <c r="I81" s="18"/>
      <c r="J81" s="18"/>
      <c r="K81" s="18"/>
      <c r="L81" s="18">
        <f>7865+7564.38</f>
        <v>15429.380000000001</v>
      </c>
      <c r="M81" s="18">
        <f>8314.38+8263.75</f>
        <v>16578.129999999997</v>
      </c>
      <c r="N81" s="7">
        <f t="shared" si="1"/>
        <v>207890.51</v>
      </c>
    </row>
    <row r="82" spans="1:14" ht="15">
      <c r="A82" s="6" t="s">
        <v>38</v>
      </c>
      <c r="B82" s="8"/>
      <c r="C82" s="8"/>
      <c r="D82" s="8"/>
      <c r="E82" s="8">
        <v>35712</v>
      </c>
      <c r="F82" s="8">
        <v>12217</v>
      </c>
      <c r="G82" s="8">
        <v>3240</v>
      </c>
      <c r="H82" s="18">
        <f>57941+55008</f>
        <v>112949</v>
      </c>
      <c r="I82" s="18"/>
      <c r="J82" s="18"/>
      <c r="K82" s="18"/>
      <c r="L82" s="18">
        <f>7564.38+7247.5</f>
        <v>14811.880000000001</v>
      </c>
      <c r="M82" s="18">
        <f>8263.75+7906.25</f>
        <v>16170</v>
      </c>
      <c r="N82" s="7">
        <f t="shared" si="1"/>
        <v>195099.88</v>
      </c>
    </row>
    <row r="83" spans="1:14" ht="15">
      <c r="A83" s="6" t="s">
        <v>39</v>
      </c>
      <c r="B83" s="8"/>
      <c r="C83" s="8"/>
      <c r="D83" s="8"/>
      <c r="E83" s="8">
        <v>31597</v>
      </c>
      <c r="F83" s="8">
        <v>10530</v>
      </c>
      <c r="G83" s="8">
        <v>2790</v>
      </c>
      <c r="H83" s="18">
        <f>55008+51994</f>
        <v>107002</v>
      </c>
      <c r="I83" s="18"/>
      <c r="J83" s="18"/>
      <c r="K83" s="18"/>
      <c r="L83" s="18">
        <f>7247.5+6922.5</f>
        <v>14170</v>
      </c>
      <c r="M83" s="18">
        <f>7906.25+7535</f>
        <v>15441.25</v>
      </c>
      <c r="N83" s="7">
        <f t="shared" si="1"/>
        <v>181530.25</v>
      </c>
    </row>
    <row r="84" spans="1:14" ht="15">
      <c r="A84" s="6" t="s">
        <v>40</v>
      </c>
      <c r="B84" s="8"/>
      <c r="C84" s="8"/>
      <c r="D84" s="8"/>
      <c r="E84" s="8">
        <v>27297</v>
      </c>
      <c r="F84" s="8">
        <v>8797</v>
      </c>
      <c r="G84" s="8">
        <v>2340</v>
      </c>
      <c r="H84" s="18">
        <f>51994+48898</f>
        <v>100892</v>
      </c>
      <c r="I84" s="18"/>
      <c r="J84" s="18"/>
      <c r="K84" s="18"/>
      <c r="L84" s="18">
        <f>6922.5+6589.38</f>
        <v>13511.880000000001</v>
      </c>
      <c r="M84" s="18">
        <f>7535+7156.88</f>
        <v>14691.880000000001</v>
      </c>
      <c r="N84" s="7">
        <f t="shared" si="1"/>
        <v>167529.76</v>
      </c>
    </row>
    <row r="85" spans="1:14" ht="15">
      <c r="A85" s="6" t="s">
        <v>41</v>
      </c>
      <c r="B85" s="8"/>
      <c r="C85" s="8"/>
      <c r="D85" s="8"/>
      <c r="E85" s="8">
        <v>22811</v>
      </c>
      <c r="F85" s="8">
        <v>6997</v>
      </c>
      <c r="G85" s="8">
        <v>1868</v>
      </c>
      <c r="H85" s="18">
        <f>48898+45716</f>
        <v>94614</v>
      </c>
      <c r="I85" s="18"/>
      <c r="J85" s="18"/>
      <c r="K85" s="18"/>
      <c r="L85" s="18">
        <f>6589.38+6240</f>
        <v>12829.380000000001</v>
      </c>
      <c r="M85" s="18">
        <f>7156.88+6765</f>
        <v>13921.880000000001</v>
      </c>
      <c r="N85" s="7">
        <f t="shared" si="1"/>
        <v>153041.26</v>
      </c>
    </row>
    <row r="86" spans="1:14" ht="15">
      <c r="A86" s="6" t="s">
        <v>42</v>
      </c>
      <c r="B86" s="8"/>
      <c r="C86" s="8"/>
      <c r="D86" s="8"/>
      <c r="E86" s="8">
        <v>18130</v>
      </c>
      <c r="F86" s="8">
        <v>5107</v>
      </c>
      <c r="G86" s="8">
        <v>1372</v>
      </c>
      <c r="H86" s="18">
        <f>45716+42448</f>
        <v>88164</v>
      </c>
      <c r="I86" s="18"/>
      <c r="J86" s="18"/>
      <c r="K86" s="18"/>
      <c r="L86" s="18">
        <f>6240+5882.5</f>
        <v>12122.5</v>
      </c>
      <c r="M86" s="18">
        <f>6765+6366.25</f>
        <v>13131.25</v>
      </c>
      <c r="N86" s="7">
        <f t="shared" si="1"/>
        <v>138026.75</v>
      </c>
    </row>
    <row r="87" spans="1:14" ht="15">
      <c r="A87" s="6" t="s">
        <v>43</v>
      </c>
      <c r="B87" s="8"/>
      <c r="C87" s="8"/>
      <c r="D87" s="8"/>
      <c r="E87" s="8">
        <v>13231</v>
      </c>
      <c r="F87" s="8">
        <v>3127</v>
      </c>
      <c r="G87" s="8">
        <v>855</v>
      </c>
      <c r="H87" s="18">
        <f>42448+39089</f>
        <v>81537</v>
      </c>
      <c r="I87" s="18"/>
      <c r="J87" s="18"/>
      <c r="K87" s="18"/>
      <c r="L87" s="18">
        <f>5882.5+5508.75</f>
        <v>11391.25</v>
      </c>
      <c r="M87" s="18">
        <f>6366.25+5953.75</f>
        <v>12320</v>
      </c>
      <c r="N87" s="7">
        <f t="shared" si="1"/>
        <v>122461.25</v>
      </c>
    </row>
    <row r="88" spans="1:14" ht="15">
      <c r="A88" s="6" t="s">
        <v>44</v>
      </c>
      <c r="B88" s="8"/>
      <c r="C88" s="8"/>
      <c r="D88" s="8"/>
      <c r="E88" s="8">
        <v>8105</v>
      </c>
      <c r="F88" s="8">
        <v>1057</v>
      </c>
      <c r="G88" s="8">
        <v>292</v>
      </c>
      <c r="H88" s="18">
        <f>39089+35637</f>
        <v>74726</v>
      </c>
      <c r="I88" s="18"/>
      <c r="J88" s="18"/>
      <c r="K88" s="18"/>
      <c r="L88" s="18">
        <f>5508.75+5126.88</f>
        <v>10635.630000000001</v>
      </c>
      <c r="M88" s="18">
        <f>5953.75+5527.5</f>
        <v>11481.25</v>
      </c>
      <c r="N88" s="7">
        <f t="shared" si="1"/>
        <v>106296.88</v>
      </c>
    </row>
    <row r="89" spans="1:14" ht="15">
      <c r="A89" s="6" t="s">
        <v>45</v>
      </c>
      <c r="B89" s="8"/>
      <c r="C89" s="8"/>
      <c r="D89" s="8"/>
      <c r="E89" s="10">
        <v>2743</v>
      </c>
      <c r="F89" s="8"/>
      <c r="G89" s="8"/>
      <c r="H89" s="18">
        <f>35637+32091</f>
        <v>67728</v>
      </c>
      <c r="I89" s="18"/>
      <c r="J89" s="18"/>
      <c r="K89" s="18"/>
      <c r="L89" s="18">
        <f>5126.88+4728.75</f>
        <v>9855.630000000001</v>
      </c>
      <c r="M89" s="18">
        <f>5527.5+5094.38</f>
        <v>10621.880000000001</v>
      </c>
      <c r="N89" s="7">
        <f t="shared" si="1"/>
        <v>90948.51000000001</v>
      </c>
    </row>
    <row r="90" spans="1:14" ht="15">
      <c r="A90" s="6" t="s">
        <v>46</v>
      </c>
      <c r="B90" s="8"/>
      <c r="C90" s="8"/>
      <c r="D90" s="8"/>
      <c r="E90" s="10"/>
      <c r="F90" s="8"/>
      <c r="G90" s="8"/>
      <c r="H90" s="18">
        <f>32091+28447</f>
        <v>60538</v>
      </c>
      <c r="I90" s="18"/>
      <c r="J90" s="18"/>
      <c r="K90" s="18"/>
      <c r="L90" s="18">
        <f>4728.75+4322.5</f>
        <v>9051.25</v>
      </c>
      <c r="M90" s="18">
        <f>5094.38+4647.5</f>
        <v>9741.880000000001</v>
      </c>
      <c r="N90" s="7">
        <f t="shared" si="1"/>
        <v>79331.13</v>
      </c>
    </row>
    <row r="91" spans="1:14" ht="15">
      <c r="A91" s="6" t="s">
        <v>61</v>
      </c>
      <c r="B91" s="8"/>
      <c r="C91" s="8"/>
      <c r="D91" s="8"/>
      <c r="E91" s="10"/>
      <c r="F91" s="8"/>
      <c r="G91" s="8"/>
      <c r="H91" s="18">
        <f>28447+24703</f>
        <v>53150</v>
      </c>
      <c r="I91" s="18"/>
      <c r="J91" s="18"/>
      <c r="K91" s="18"/>
      <c r="L91" s="18">
        <f>4322.5+3900</f>
        <v>8222.5</v>
      </c>
      <c r="M91" s="18">
        <f>4647.5+4186.88</f>
        <v>8834.380000000001</v>
      </c>
      <c r="N91" s="7">
        <f t="shared" si="1"/>
        <v>70206.88</v>
      </c>
    </row>
    <row r="92" spans="1:14" ht="15">
      <c r="A92" s="6" t="s">
        <v>62</v>
      </c>
      <c r="B92" s="8"/>
      <c r="C92" s="8"/>
      <c r="D92" s="8"/>
      <c r="E92" s="10"/>
      <c r="F92" s="8"/>
      <c r="G92" s="8"/>
      <c r="H92" s="18">
        <f>24703+20856</f>
        <v>45559</v>
      </c>
      <c r="I92" s="18"/>
      <c r="J92" s="18"/>
      <c r="K92" s="18"/>
      <c r="L92" s="18">
        <f>3900+3461.25</f>
        <v>7361.25</v>
      </c>
      <c r="M92" s="18">
        <f>4186.88+3712.5</f>
        <v>7899.38</v>
      </c>
      <c r="N92" s="7">
        <f t="shared" si="1"/>
        <v>60819.63</v>
      </c>
    </row>
    <row r="93" spans="1:14" ht="15">
      <c r="A93" s="6" t="s">
        <v>63</v>
      </c>
      <c r="B93" s="8"/>
      <c r="C93" s="8"/>
      <c r="D93" s="8"/>
      <c r="E93" s="10"/>
      <c r="F93" s="8"/>
      <c r="G93" s="8"/>
      <c r="H93" s="18">
        <f>20856+16903</f>
        <v>37759</v>
      </c>
      <c r="I93" s="18"/>
      <c r="J93" s="18"/>
      <c r="K93" s="18"/>
      <c r="L93" s="18">
        <f>3461.25+3006.25</f>
        <v>6467.5</v>
      </c>
      <c r="M93" s="18">
        <f>3712.5+3224.38</f>
        <v>6936.88</v>
      </c>
      <c r="N93" s="7">
        <f t="shared" si="1"/>
        <v>51163.38</v>
      </c>
    </row>
    <row r="94" spans="1:14" ht="15">
      <c r="A94" s="6" t="s">
        <v>64</v>
      </c>
      <c r="B94" s="8"/>
      <c r="C94" s="8"/>
      <c r="D94" s="8"/>
      <c r="E94" s="10"/>
      <c r="F94" s="8"/>
      <c r="G94" s="8"/>
      <c r="H94" s="18">
        <f>16903+12841</f>
        <v>29744</v>
      </c>
      <c r="I94" s="18"/>
      <c r="J94" s="18"/>
      <c r="K94" s="18"/>
      <c r="L94" s="18">
        <f>3006.25+2535</f>
        <v>5541.25</v>
      </c>
      <c r="M94" s="18">
        <f>3224.38+2722.5</f>
        <v>5946.88</v>
      </c>
      <c r="N94" s="7">
        <f t="shared" si="1"/>
        <v>41232.13</v>
      </c>
    </row>
    <row r="95" spans="1:14" ht="15">
      <c r="A95" s="6" t="s">
        <v>65</v>
      </c>
      <c r="B95" s="8"/>
      <c r="C95" s="8"/>
      <c r="D95" s="8"/>
      <c r="E95" s="10"/>
      <c r="F95" s="8"/>
      <c r="G95" s="8"/>
      <c r="H95" s="18">
        <f>12841+8668</f>
        <v>21509</v>
      </c>
      <c r="I95" s="18"/>
      <c r="J95" s="18"/>
      <c r="K95" s="18"/>
      <c r="L95" s="18">
        <f>2535+2047.5</f>
        <v>4582.5</v>
      </c>
      <c r="M95" s="18">
        <f>2722.5+2206.88</f>
        <v>4929.38</v>
      </c>
      <c r="N95" s="7">
        <f t="shared" si="1"/>
        <v>31020.88</v>
      </c>
    </row>
    <row r="96" spans="1:14" ht="15">
      <c r="A96" s="6" t="s">
        <v>66</v>
      </c>
      <c r="B96" s="8"/>
      <c r="C96" s="8"/>
      <c r="D96" s="8"/>
      <c r="E96" s="10"/>
      <c r="F96" s="8"/>
      <c r="G96" s="8"/>
      <c r="H96" s="18">
        <f>8668+4381</f>
        <v>13049</v>
      </c>
      <c r="I96" s="18"/>
      <c r="J96" s="18"/>
      <c r="K96" s="18"/>
      <c r="L96" s="18"/>
      <c r="M96" s="18"/>
      <c r="N96" s="7">
        <f t="shared" si="1"/>
        <v>13049</v>
      </c>
    </row>
    <row r="97" spans="1:14" ht="15">
      <c r="A97" s="6" t="s">
        <v>72</v>
      </c>
      <c r="B97" s="8"/>
      <c r="C97" s="8"/>
      <c r="D97" s="8"/>
      <c r="E97" s="10"/>
      <c r="F97" s="8"/>
      <c r="G97" s="8"/>
      <c r="H97" s="18">
        <v>4381</v>
      </c>
      <c r="I97" s="18"/>
      <c r="J97" s="18"/>
      <c r="K97" s="18"/>
      <c r="L97" s="18"/>
      <c r="M97" s="18"/>
      <c r="N97" s="7">
        <f t="shared" si="1"/>
        <v>4381</v>
      </c>
    </row>
    <row r="98" spans="1:14" ht="15">
      <c r="A98" s="6"/>
      <c r="B98" s="8"/>
      <c r="C98" s="8"/>
      <c r="D98" s="8"/>
      <c r="E98" s="10"/>
      <c r="F98" s="8"/>
      <c r="G98" s="8"/>
      <c r="H98" s="18"/>
      <c r="I98" s="18"/>
      <c r="J98" s="18"/>
      <c r="K98" s="18"/>
      <c r="L98" s="18"/>
      <c r="M98" s="18"/>
      <c r="N98" s="7">
        <f t="shared" si="1"/>
        <v>0</v>
      </c>
    </row>
    <row r="99" spans="1:14" ht="12.75">
      <c r="A99" s="6"/>
      <c r="B99" s="8"/>
      <c r="C99" s="8"/>
      <c r="D99" s="8"/>
      <c r="F99" s="8"/>
      <c r="G99" s="8"/>
      <c r="N99" s="7"/>
    </row>
    <row r="100" spans="1:14" ht="13.5" thickBot="1">
      <c r="A100" s="6"/>
      <c r="B100" s="9">
        <f>SUM(B59:B89)</f>
        <v>242791.76000000004</v>
      </c>
      <c r="C100" s="9">
        <f>SUM(C59:C89)</f>
        <v>1548.89</v>
      </c>
      <c r="D100" s="9">
        <f>SUM(D59:D89)</f>
        <v>100979</v>
      </c>
      <c r="E100" s="9">
        <f>SUM(E59:E99)</f>
        <v>1694797</v>
      </c>
      <c r="F100" s="9">
        <f>SUM(F59:F89)</f>
        <v>626737</v>
      </c>
      <c r="G100" s="9">
        <f>SUM(G59:G89)</f>
        <v>164273</v>
      </c>
      <c r="H100" s="9">
        <f>SUM(H59:H97)</f>
        <v>4701299</v>
      </c>
      <c r="I100" s="9">
        <f>SUM(I59:I96)</f>
        <v>84590</v>
      </c>
      <c r="J100" s="9">
        <f>SUM(J59:J96)</f>
        <v>42432.656</v>
      </c>
      <c r="K100" s="9">
        <f>SUM(K59:K96)</f>
        <v>45568.78</v>
      </c>
      <c r="L100" s="9">
        <f>SUM(L59:L99)</f>
        <v>587876.3600000001</v>
      </c>
      <c r="M100" s="9">
        <f>SUM(M59:M99)</f>
        <v>652428.6900000001</v>
      </c>
      <c r="N100" s="9">
        <f>SUM(N60:N98)</f>
        <v>8945322.136000004</v>
      </c>
    </row>
    <row r="101" ht="13.5" thickTop="1"/>
    <row r="102" spans="1:14" ht="12.75">
      <c r="A102" s="1"/>
      <c r="B102" s="7"/>
      <c r="C102" s="7"/>
      <c r="D102" s="7"/>
      <c r="E102" s="7"/>
      <c r="F102" s="7"/>
      <c r="G102" s="7"/>
      <c r="N102" s="7"/>
    </row>
    <row r="103" spans="1:14" ht="12.75">
      <c r="A103" s="1"/>
      <c r="B103" s="7"/>
      <c r="C103" s="7"/>
      <c r="D103" s="7"/>
      <c r="E103" s="7"/>
      <c r="F103" s="7"/>
      <c r="G103" s="7"/>
      <c r="N103" s="7"/>
    </row>
    <row r="104" spans="1:14" ht="12.75">
      <c r="A104" s="3" t="s">
        <v>48</v>
      </c>
      <c r="B104" s="7"/>
      <c r="C104" s="7"/>
      <c r="D104" s="7"/>
      <c r="E104" s="7"/>
      <c r="F104" s="7"/>
      <c r="G104" s="7"/>
      <c r="N104" s="7"/>
    </row>
    <row r="105" spans="1:14" ht="12.75">
      <c r="A105" s="1"/>
      <c r="B105" s="7"/>
      <c r="C105" s="7"/>
      <c r="D105" s="7"/>
      <c r="E105" s="7"/>
      <c r="F105" s="7"/>
      <c r="G105" s="7"/>
      <c r="L105" s="67"/>
      <c r="M105" s="67"/>
      <c r="N105" s="7"/>
    </row>
    <row r="106" spans="1:15" s="15" customFormat="1" ht="12.75">
      <c r="A106" s="13" t="s">
        <v>3</v>
      </c>
      <c r="B106" s="14" t="s">
        <v>5</v>
      </c>
      <c r="C106" s="14" t="s">
        <v>56</v>
      </c>
      <c r="D106" s="14" t="s">
        <v>8</v>
      </c>
      <c r="E106" s="14">
        <v>2005</v>
      </c>
      <c r="F106" s="14" t="s">
        <v>49</v>
      </c>
      <c r="G106" s="14" t="s">
        <v>50</v>
      </c>
      <c r="H106" s="14">
        <v>2011</v>
      </c>
      <c r="I106" s="14" t="s">
        <v>67</v>
      </c>
      <c r="J106" s="14" t="s">
        <v>71</v>
      </c>
      <c r="K106" s="14" t="s">
        <v>73</v>
      </c>
      <c r="L106" s="14" t="s">
        <v>76</v>
      </c>
      <c r="M106" s="14" t="s">
        <v>77</v>
      </c>
      <c r="N106" s="14" t="s">
        <v>11</v>
      </c>
      <c r="O106" s="14" t="s">
        <v>51</v>
      </c>
    </row>
    <row r="107" spans="1:15" ht="12.75">
      <c r="A107" s="6" t="s">
        <v>16</v>
      </c>
      <c r="B107" s="7">
        <f aca="true" t="shared" si="2" ref="B107:B114">41748.75*4</f>
        <v>166995</v>
      </c>
      <c r="C107" s="7">
        <f>C13+C60</f>
        <v>56251.96000000001</v>
      </c>
      <c r="D107" s="7">
        <v>186633</v>
      </c>
      <c r="E107" s="7">
        <f aca="true" t="shared" si="3" ref="E107:K107">+E13+E60</f>
        <v>129297</v>
      </c>
      <c r="F107" s="7">
        <f t="shared" si="3"/>
        <v>49640</v>
      </c>
      <c r="G107" s="7">
        <f t="shared" si="3"/>
        <v>13315</v>
      </c>
      <c r="H107" s="7">
        <f t="shared" si="3"/>
        <v>327536</v>
      </c>
      <c r="I107" s="7">
        <f t="shared" si="3"/>
        <v>178305</v>
      </c>
      <c r="J107" s="7">
        <f t="shared" si="3"/>
        <v>19429.61</v>
      </c>
      <c r="K107" s="7">
        <f t="shared" si="3"/>
        <v>21553.03</v>
      </c>
      <c r="L107" s="20">
        <f>+L13+L60</f>
        <v>20150</v>
      </c>
      <c r="M107" s="20">
        <f>+M13+M60</f>
        <v>22916.67</v>
      </c>
      <c r="N107" s="7">
        <f aca="true" t="shared" si="4" ref="N107:N145">SUM(B107:M107)</f>
        <v>1192022.27</v>
      </c>
      <c r="O107" s="16">
        <f aca="true" t="shared" si="5" ref="O107:O146">+F107+G107+H107+I107</f>
        <v>568796</v>
      </c>
    </row>
    <row r="108" spans="1:15" ht="12.75">
      <c r="A108" s="6" t="s">
        <v>17</v>
      </c>
      <c r="B108" s="7">
        <f t="shared" si="2"/>
        <v>166995</v>
      </c>
      <c r="C108" s="7">
        <f>C14+C61</f>
        <v>14048.679999999998</v>
      </c>
      <c r="D108" s="7">
        <v>186299</v>
      </c>
      <c r="E108" s="7">
        <f aca="true" t="shared" si="6" ref="E108:M113">+E14+E61</f>
        <v>129240</v>
      </c>
      <c r="F108" s="7">
        <f t="shared" si="6"/>
        <v>49988</v>
      </c>
      <c r="G108" s="7">
        <f t="shared" si="6"/>
        <v>13135</v>
      </c>
      <c r="H108" s="7">
        <f t="shared" si="6"/>
        <v>327562</v>
      </c>
      <c r="I108" s="7">
        <f t="shared" si="6"/>
        <v>179740</v>
      </c>
      <c r="J108" s="7">
        <f t="shared" si="6"/>
        <v>19391.1</v>
      </c>
      <c r="K108" s="7">
        <f t="shared" si="6"/>
        <v>21518.57</v>
      </c>
      <c r="L108" s="20">
        <f t="shared" si="6"/>
        <v>24180</v>
      </c>
      <c r="M108" s="20">
        <f t="shared" si="6"/>
        <v>27500</v>
      </c>
      <c r="N108" s="7">
        <f t="shared" si="4"/>
        <v>1159597.35</v>
      </c>
      <c r="O108" s="16">
        <f t="shared" si="5"/>
        <v>570425</v>
      </c>
    </row>
    <row r="109" spans="1:15" ht="12.75">
      <c r="A109" s="6" t="s">
        <v>18</v>
      </c>
      <c r="B109" s="7">
        <f t="shared" si="2"/>
        <v>166995</v>
      </c>
      <c r="C109" s="7"/>
      <c r="D109" s="7">
        <v>185960</v>
      </c>
      <c r="E109" s="7">
        <f t="shared" si="6"/>
        <v>129610</v>
      </c>
      <c r="F109" s="7">
        <f t="shared" si="6"/>
        <v>49312</v>
      </c>
      <c r="G109" s="7">
        <f t="shared" si="6"/>
        <v>12955</v>
      </c>
      <c r="H109" s="7">
        <f t="shared" si="6"/>
        <v>327497</v>
      </c>
      <c r="I109" s="7">
        <f t="shared" si="6"/>
        <v>181060</v>
      </c>
      <c r="J109" s="7">
        <f t="shared" si="6"/>
        <v>19352.21</v>
      </c>
      <c r="K109" s="7">
        <f t="shared" si="6"/>
        <v>21484.059999999998</v>
      </c>
      <c r="L109" s="20">
        <f t="shared" si="6"/>
        <v>34017.5</v>
      </c>
      <c r="M109" s="20">
        <f t="shared" si="6"/>
        <v>42293.75</v>
      </c>
      <c r="N109" s="7">
        <f t="shared" si="4"/>
        <v>1170536.52</v>
      </c>
      <c r="O109" s="16">
        <f t="shared" si="5"/>
        <v>570824</v>
      </c>
    </row>
    <row r="110" spans="1:15" ht="12.75">
      <c r="A110" s="6" t="s">
        <v>19</v>
      </c>
      <c r="B110" s="7">
        <f t="shared" si="2"/>
        <v>166995</v>
      </c>
      <c r="C110" s="7"/>
      <c r="D110" s="7">
        <v>185617</v>
      </c>
      <c r="E110" s="7">
        <f t="shared" si="6"/>
        <v>129409</v>
      </c>
      <c r="F110" s="7">
        <f t="shared" si="6"/>
        <v>49615</v>
      </c>
      <c r="G110" s="7">
        <f t="shared" si="6"/>
        <v>12775</v>
      </c>
      <c r="H110" s="7">
        <f t="shared" si="6"/>
        <v>327440</v>
      </c>
      <c r="I110" s="7">
        <f t="shared" si="6"/>
        <v>182265</v>
      </c>
      <c r="J110" s="7">
        <f t="shared" si="6"/>
        <v>19312.93</v>
      </c>
      <c r="K110" s="7">
        <f t="shared" si="6"/>
        <v>21448.61</v>
      </c>
      <c r="L110" s="20">
        <f t="shared" si="6"/>
        <v>34184.38</v>
      </c>
      <c r="M110" s="20">
        <f t="shared" si="6"/>
        <v>42374.38</v>
      </c>
      <c r="N110" s="7">
        <f t="shared" si="4"/>
        <v>1171436.2999999998</v>
      </c>
      <c r="O110" s="16">
        <f t="shared" si="5"/>
        <v>572095</v>
      </c>
    </row>
    <row r="111" spans="1:15" ht="12.75">
      <c r="A111" s="6" t="s">
        <v>20</v>
      </c>
      <c r="B111" s="7">
        <f t="shared" si="2"/>
        <v>166995</v>
      </c>
      <c r="C111" s="8"/>
      <c r="D111" s="8">
        <v>185272</v>
      </c>
      <c r="E111" s="7">
        <f t="shared" si="6"/>
        <v>129635</v>
      </c>
      <c r="F111" s="7">
        <f t="shared" si="6"/>
        <v>49872</v>
      </c>
      <c r="G111" s="7">
        <f t="shared" si="6"/>
        <v>12595</v>
      </c>
      <c r="H111" s="7">
        <f t="shared" si="6"/>
        <v>327389</v>
      </c>
      <c r="I111" s="7">
        <f t="shared" si="6"/>
        <v>178355</v>
      </c>
      <c r="J111" s="7">
        <f t="shared" si="6"/>
        <v>19273.25</v>
      </c>
      <c r="K111" s="7">
        <f t="shared" si="6"/>
        <v>21413.100000000002</v>
      </c>
      <c r="L111" s="20">
        <f t="shared" si="6"/>
        <v>33843.13</v>
      </c>
      <c r="M111" s="20">
        <f t="shared" si="6"/>
        <v>42441.259999999995</v>
      </c>
      <c r="N111" s="7">
        <f t="shared" si="4"/>
        <v>1167083.74</v>
      </c>
      <c r="O111" s="16">
        <f t="shared" si="5"/>
        <v>568211</v>
      </c>
    </row>
    <row r="112" spans="1:15" ht="12.75">
      <c r="A112" s="6" t="s">
        <v>21</v>
      </c>
      <c r="B112" s="7">
        <f t="shared" si="2"/>
        <v>166995</v>
      </c>
      <c r="C112" s="8"/>
      <c r="D112" s="8">
        <v>184925</v>
      </c>
      <c r="E112" s="7">
        <f t="shared" si="6"/>
        <v>129779</v>
      </c>
      <c r="F112" s="7">
        <f t="shared" si="6"/>
        <v>49108</v>
      </c>
      <c r="G112" s="7">
        <f t="shared" si="6"/>
        <v>13392</v>
      </c>
      <c r="H112" s="7">
        <f t="shared" si="6"/>
        <v>327340</v>
      </c>
      <c r="I112" s="7">
        <f t="shared" si="6"/>
        <v>179445</v>
      </c>
      <c r="J112" s="7">
        <f t="shared" si="6"/>
        <v>19233.18</v>
      </c>
      <c r="K112" s="7">
        <f t="shared" si="6"/>
        <v>21377.239999999998</v>
      </c>
      <c r="L112" s="20">
        <f t="shared" si="6"/>
        <v>33993.75</v>
      </c>
      <c r="M112" s="20">
        <f t="shared" si="6"/>
        <v>42494.38</v>
      </c>
      <c r="N112" s="7">
        <f t="shared" si="4"/>
        <v>1168082.5499999998</v>
      </c>
      <c r="O112" s="16">
        <f t="shared" si="5"/>
        <v>569285</v>
      </c>
    </row>
    <row r="113" spans="1:15" ht="12.75">
      <c r="A113" s="6" t="s">
        <v>22</v>
      </c>
      <c r="B113" s="7">
        <f t="shared" si="2"/>
        <v>166995</v>
      </c>
      <c r="C113" s="8"/>
      <c r="D113" s="8">
        <v>184571</v>
      </c>
      <c r="E113" s="7">
        <f t="shared" si="6"/>
        <v>129840</v>
      </c>
      <c r="F113" s="7">
        <f t="shared" si="6"/>
        <v>49320</v>
      </c>
      <c r="G113" s="7">
        <f t="shared" si="6"/>
        <v>13167</v>
      </c>
      <c r="H113" s="7">
        <f t="shared" si="6"/>
        <v>327290</v>
      </c>
      <c r="I113" s="7">
        <f t="shared" si="6"/>
        <v>15420</v>
      </c>
      <c r="J113" s="7">
        <f t="shared" si="6"/>
        <v>19192.71</v>
      </c>
      <c r="K113" s="7">
        <f t="shared" si="6"/>
        <v>21341.02</v>
      </c>
      <c r="L113" s="20">
        <f t="shared" si="6"/>
        <v>34128.13</v>
      </c>
      <c r="M113" s="20">
        <f t="shared" si="6"/>
        <v>42533.75</v>
      </c>
      <c r="N113" s="7">
        <f t="shared" si="4"/>
        <v>1003798.61</v>
      </c>
      <c r="O113" s="16">
        <f t="shared" si="5"/>
        <v>405197</v>
      </c>
    </row>
    <row r="114" spans="1:15" ht="12.75">
      <c r="A114" s="6" t="s">
        <v>23</v>
      </c>
      <c r="B114" s="7">
        <f t="shared" si="2"/>
        <v>166995</v>
      </c>
      <c r="C114" s="8"/>
      <c r="D114" s="8">
        <v>184215</v>
      </c>
      <c r="E114" s="7">
        <f aca="true" t="shared" si="7" ref="E114:H135">+E20+E67</f>
        <v>130308</v>
      </c>
      <c r="F114" s="7">
        <f t="shared" si="7"/>
        <v>49488</v>
      </c>
      <c r="G114" s="7">
        <f t="shared" si="7"/>
        <v>12943</v>
      </c>
      <c r="H114" s="7">
        <f t="shared" si="7"/>
        <v>327237</v>
      </c>
      <c r="I114" s="7"/>
      <c r="J114" s="7">
        <f aca="true" t="shared" si="8" ref="J114:M144">+J20+J67</f>
        <v>19151.829999999998</v>
      </c>
      <c r="K114" s="7">
        <f t="shared" si="8"/>
        <v>21304.43</v>
      </c>
      <c r="L114" s="20">
        <f t="shared" si="8"/>
        <v>33754.38</v>
      </c>
      <c r="M114" s="20">
        <f t="shared" si="8"/>
        <v>42559.38</v>
      </c>
      <c r="N114" s="7">
        <f t="shared" si="4"/>
        <v>987956.02</v>
      </c>
      <c r="O114" s="16">
        <f t="shared" si="5"/>
        <v>389668</v>
      </c>
    </row>
    <row r="115" spans="1:15" ht="12.75">
      <c r="A115" s="6" t="s">
        <v>24</v>
      </c>
      <c r="B115" s="8">
        <f>41748.75*2</f>
        <v>83497.5</v>
      </c>
      <c r="C115" s="8"/>
      <c r="D115" s="8">
        <v>183855</v>
      </c>
      <c r="E115" s="7">
        <f t="shared" si="7"/>
        <v>130184</v>
      </c>
      <c r="F115" s="7">
        <f t="shared" si="7"/>
        <v>49610</v>
      </c>
      <c r="G115" s="7">
        <f t="shared" si="7"/>
        <v>12718</v>
      </c>
      <c r="H115" s="7">
        <f t="shared" si="7"/>
        <v>327178</v>
      </c>
      <c r="I115" s="7"/>
      <c r="J115" s="7">
        <f t="shared" si="8"/>
        <v>19110.530000000002</v>
      </c>
      <c r="K115" s="7">
        <f t="shared" si="8"/>
        <v>21267.480000000003</v>
      </c>
      <c r="L115" s="20">
        <f t="shared" si="8"/>
        <v>33872.5</v>
      </c>
      <c r="M115" s="20">
        <f t="shared" si="8"/>
        <v>42571.259999999995</v>
      </c>
      <c r="N115" s="7">
        <f t="shared" si="4"/>
        <v>903864.27</v>
      </c>
      <c r="O115" s="16">
        <f t="shared" si="5"/>
        <v>389506</v>
      </c>
    </row>
    <row r="116" spans="1:15" ht="12.75">
      <c r="A116" s="6" t="s">
        <v>25</v>
      </c>
      <c r="B116" s="8"/>
      <c r="C116" s="8"/>
      <c r="D116" s="8">
        <v>91790</v>
      </c>
      <c r="E116" s="7">
        <f t="shared" si="7"/>
        <v>130467</v>
      </c>
      <c r="F116" s="7">
        <f t="shared" si="7"/>
        <v>49687</v>
      </c>
      <c r="G116" s="7">
        <f t="shared" si="7"/>
        <v>12493</v>
      </c>
      <c r="H116" s="7">
        <f t="shared" si="7"/>
        <v>327111</v>
      </c>
      <c r="I116" s="7"/>
      <c r="J116" s="7">
        <f t="shared" si="8"/>
        <v>19068.82</v>
      </c>
      <c r="K116" s="7">
        <f t="shared" si="8"/>
        <v>21230.16</v>
      </c>
      <c r="L116" s="20">
        <f t="shared" si="8"/>
        <v>33974.38</v>
      </c>
      <c r="M116" s="20">
        <f t="shared" si="8"/>
        <v>42569.38</v>
      </c>
      <c r="N116" s="7">
        <f t="shared" si="4"/>
        <v>728390.74</v>
      </c>
      <c r="O116" s="16">
        <f t="shared" si="5"/>
        <v>389291</v>
      </c>
    </row>
    <row r="117" spans="1:15" ht="12.75">
      <c r="A117" s="6" t="s">
        <v>26</v>
      </c>
      <c r="E117" s="7">
        <f t="shared" si="7"/>
        <v>130647</v>
      </c>
      <c r="F117" s="7">
        <f t="shared" si="7"/>
        <v>49720</v>
      </c>
      <c r="G117" s="7">
        <f t="shared" si="7"/>
        <v>13245</v>
      </c>
      <c r="H117" s="7">
        <f t="shared" si="7"/>
        <v>327033</v>
      </c>
      <c r="I117" s="7"/>
      <c r="J117" s="7">
        <f t="shared" si="8"/>
        <v>19026.700000000004</v>
      </c>
      <c r="K117" s="7">
        <f t="shared" si="8"/>
        <v>21192.46</v>
      </c>
      <c r="L117" s="20">
        <f t="shared" si="8"/>
        <v>34060.009999999995</v>
      </c>
      <c r="M117" s="20">
        <f t="shared" si="8"/>
        <v>42553.75</v>
      </c>
      <c r="N117" s="7">
        <f t="shared" si="4"/>
        <v>637477.9199999999</v>
      </c>
      <c r="O117" s="16">
        <f t="shared" si="5"/>
        <v>389998</v>
      </c>
    </row>
    <row r="118" spans="1:15" ht="12.75">
      <c r="A118" s="6" t="s">
        <v>27</v>
      </c>
      <c r="E118" s="7">
        <f t="shared" si="7"/>
        <v>130723</v>
      </c>
      <c r="F118" s="7">
        <f t="shared" si="7"/>
        <v>49708</v>
      </c>
      <c r="G118" s="7">
        <f t="shared" si="7"/>
        <v>12975</v>
      </c>
      <c r="H118" s="7">
        <f t="shared" si="7"/>
        <v>327039</v>
      </c>
      <c r="I118" s="7"/>
      <c r="J118" s="7">
        <f t="shared" si="8"/>
        <v>18984.15</v>
      </c>
      <c r="K118" s="7">
        <f t="shared" si="8"/>
        <v>21154.44</v>
      </c>
      <c r="L118" s="20">
        <f t="shared" si="8"/>
        <v>34129.38</v>
      </c>
      <c r="M118" s="20">
        <f t="shared" si="8"/>
        <v>42524.38</v>
      </c>
      <c r="N118" s="7">
        <f t="shared" si="4"/>
        <v>637237.35</v>
      </c>
      <c r="O118" s="16">
        <f t="shared" si="5"/>
        <v>389722</v>
      </c>
    </row>
    <row r="119" spans="1:15" ht="12.75">
      <c r="A119" s="6" t="s">
        <v>28</v>
      </c>
      <c r="E119" s="7">
        <f t="shared" si="7"/>
        <v>130697</v>
      </c>
      <c r="F119" s="7">
        <f t="shared" si="7"/>
        <v>49650</v>
      </c>
      <c r="G119" s="7">
        <f t="shared" si="7"/>
        <v>12705</v>
      </c>
      <c r="H119" s="7">
        <f t="shared" si="7"/>
        <v>326926</v>
      </c>
      <c r="I119" s="7"/>
      <c r="J119" s="7">
        <f t="shared" si="8"/>
        <v>18941.19</v>
      </c>
      <c r="K119" s="7">
        <f t="shared" si="8"/>
        <v>21115.93</v>
      </c>
      <c r="L119" s="20">
        <f t="shared" si="8"/>
        <v>34182.5</v>
      </c>
      <c r="M119" s="20">
        <f t="shared" si="8"/>
        <v>42481.259999999995</v>
      </c>
      <c r="N119" s="7">
        <f t="shared" si="4"/>
        <v>636698.88</v>
      </c>
      <c r="O119" s="16">
        <f t="shared" si="5"/>
        <v>389281</v>
      </c>
    </row>
    <row r="120" spans="1:15" ht="12.75">
      <c r="A120" s="6" t="s">
        <v>29</v>
      </c>
      <c r="E120" s="7">
        <f t="shared" si="7"/>
        <v>131057</v>
      </c>
      <c r="F120" s="7">
        <f t="shared" si="7"/>
        <v>49548</v>
      </c>
      <c r="G120" s="7">
        <f t="shared" si="7"/>
        <v>12435</v>
      </c>
      <c r="H120" s="7">
        <f t="shared" si="7"/>
        <v>326893</v>
      </c>
      <c r="I120" s="7"/>
      <c r="J120" s="7">
        <f t="shared" si="8"/>
        <v>18897.78</v>
      </c>
      <c r="K120" s="7">
        <f t="shared" si="8"/>
        <v>21077.08</v>
      </c>
      <c r="L120" s="20">
        <f t="shared" si="8"/>
        <v>34219.38</v>
      </c>
      <c r="M120" s="20">
        <f t="shared" si="8"/>
        <v>42424.38</v>
      </c>
      <c r="N120" s="7">
        <f t="shared" si="4"/>
        <v>636551.62</v>
      </c>
      <c r="O120" s="16">
        <f t="shared" si="5"/>
        <v>388876</v>
      </c>
    </row>
    <row r="121" spans="1:15" ht="12.75">
      <c r="A121" s="6" t="s">
        <v>30</v>
      </c>
      <c r="E121" s="7">
        <f t="shared" si="7"/>
        <v>131293</v>
      </c>
      <c r="F121" s="7">
        <f t="shared" si="7"/>
        <v>49400</v>
      </c>
      <c r="G121" s="7">
        <f t="shared" si="7"/>
        <v>13143</v>
      </c>
      <c r="H121" s="7">
        <f t="shared" si="7"/>
        <v>326835</v>
      </c>
      <c r="I121" s="7"/>
      <c r="J121" s="7">
        <f t="shared" si="8"/>
        <v>18853.982</v>
      </c>
      <c r="K121" s="7">
        <f t="shared" si="8"/>
        <v>21037.859999999997</v>
      </c>
      <c r="L121" s="20">
        <f t="shared" si="8"/>
        <v>34240.009999999995</v>
      </c>
      <c r="M121" s="20">
        <f t="shared" si="8"/>
        <v>42353.75</v>
      </c>
      <c r="N121" s="7">
        <f t="shared" si="4"/>
        <v>637156.602</v>
      </c>
      <c r="O121" s="16">
        <f t="shared" si="5"/>
        <v>389378</v>
      </c>
    </row>
    <row r="122" spans="1:15" ht="12.75">
      <c r="A122" s="6" t="s">
        <v>31</v>
      </c>
      <c r="E122" s="7">
        <f t="shared" si="7"/>
        <v>131405</v>
      </c>
      <c r="F122" s="7">
        <f t="shared" si="7"/>
        <v>49208</v>
      </c>
      <c r="G122" s="7">
        <f t="shared" si="7"/>
        <v>12827</v>
      </c>
      <c r="H122" s="7">
        <f t="shared" si="7"/>
        <v>326748</v>
      </c>
      <c r="I122" s="7"/>
      <c r="J122" s="7">
        <f t="shared" si="8"/>
        <v>18809.67</v>
      </c>
      <c r="K122" s="7">
        <f t="shared" si="8"/>
        <v>20998.23</v>
      </c>
      <c r="L122" s="20">
        <f t="shared" si="8"/>
        <v>34244.38</v>
      </c>
      <c r="M122" s="20">
        <f t="shared" si="8"/>
        <v>42269.38</v>
      </c>
      <c r="N122" s="7">
        <f t="shared" si="4"/>
        <v>636509.66</v>
      </c>
      <c r="O122" s="16">
        <f t="shared" si="5"/>
        <v>388783</v>
      </c>
    </row>
    <row r="123" spans="1:15" ht="12.75">
      <c r="A123" s="6" t="s">
        <v>32</v>
      </c>
      <c r="E123" s="7">
        <f t="shared" si="7"/>
        <v>131884</v>
      </c>
      <c r="F123" s="7">
        <f t="shared" si="7"/>
        <v>48970</v>
      </c>
      <c r="G123" s="7">
        <f t="shared" si="7"/>
        <v>12513</v>
      </c>
      <c r="H123" s="7">
        <f t="shared" si="7"/>
        <v>326729</v>
      </c>
      <c r="I123" s="7"/>
      <c r="J123" s="7">
        <f t="shared" si="8"/>
        <v>18764.494</v>
      </c>
      <c r="K123" s="7">
        <f t="shared" si="8"/>
        <v>20958.21</v>
      </c>
      <c r="L123" s="20">
        <f t="shared" si="8"/>
        <v>34232.5</v>
      </c>
      <c r="M123" s="20">
        <f t="shared" si="8"/>
        <v>42664.38</v>
      </c>
      <c r="N123" s="7">
        <f t="shared" si="4"/>
        <v>636715.5839999999</v>
      </c>
      <c r="O123" s="16">
        <f t="shared" si="5"/>
        <v>388212</v>
      </c>
    </row>
    <row r="124" spans="1:15" ht="12.75">
      <c r="A124" s="6" t="s">
        <v>33</v>
      </c>
      <c r="E124" s="7">
        <f t="shared" si="7"/>
        <v>131728</v>
      </c>
      <c r="F124" s="7">
        <f t="shared" si="7"/>
        <v>49665</v>
      </c>
      <c r="G124" s="7">
        <f t="shared" si="7"/>
        <v>13175</v>
      </c>
      <c r="H124" s="7">
        <f t="shared" si="7"/>
        <v>326576</v>
      </c>
      <c r="I124" s="7"/>
      <c r="J124" s="7">
        <f t="shared" si="8"/>
        <v>18719.78</v>
      </c>
      <c r="K124" s="7">
        <f t="shared" si="8"/>
        <v>20917.79</v>
      </c>
      <c r="L124" s="20">
        <f t="shared" si="8"/>
        <v>34204.38</v>
      </c>
      <c r="M124" s="20">
        <f t="shared" si="8"/>
        <v>42538.75</v>
      </c>
      <c r="N124" s="7">
        <f t="shared" si="4"/>
        <v>637524.7000000001</v>
      </c>
      <c r="O124" s="16">
        <f t="shared" si="5"/>
        <v>389416</v>
      </c>
    </row>
    <row r="125" spans="1:15" ht="12.75">
      <c r="A125" s="6" t="s">
        <v>34</v>
      </c>
      <c r="E125" s="7">
        <f t="shared" si="7"/>
        <v>131938</v>
      </c>
      <c r="F125" s="7">
        <f t="shared" si="7"/>
        <v>49293</v>
      </c>
      <c r="G125" s="7">
        <f t="shared" si="7"/>
        <v>12815</v>
      </c>
      <c r="H125" s="7">
        <f t="shared" si="7"/>
        <v>326584</v>
      </c>
      <c r="I125" s="7"/>
      <c r="J125" s="7">
        <f t="shared" si="8"/>
        <v>18674.160000000003</v>
      </c>
      <c r="K125" s="7">
        <f t="shared" si="8"/>
        <v>20876.960000000003</v>
      </c>
      <c r="L125" s="20">
        <f t="shared" si="8"/>
        <v>34160.009999999995</v>
      </c>
      <c r="M125" s="20">
        <f t="shared" si="8"/>
        <v>42399.38</v>
      </c>
      <c r="N125" s="7">
        <f t="shared" si="4"/>
        <v>636740.51</v>
      </c>
      <c r="O125" s="16">
        <f t="shared" si="5"/>
        <v>388692</v>
      </c>
    </row>
    <row r="126" spans="1:15" ht="12.75">
      <c r="A126" s="6" t="s">
        <v>35</v>
      </c>
      <c r="E126" s="7">
        <f t="shared" si="7"/>
        <v>132494</v>
      </c>
      <c r="F126" s="7">
        <f t="shared" si="7"/>
        <v>48875</v>
      </c>
      <c r="G126" s="7">
        <f t="shared" si="7"/>
        <v>12455</v>
      </c>
      <c r="H126" s="7">
        <f t="shared" si="7"/>
        <v>326449</v>
      </c>
      <c r="I126" s="7"/>
      <c r="J126" s="7">
        <f t="shared" si="8"/>
        <v>9319.83</v>
      </c>
      <c r="K126" s="7">
        <f t="shared" si="8"/>
        <v>10423.039999999999</v>
      </c>
      <c r="L126" s="20">
        <f t="shared" si="8"/>
        <v>34099.38</v>
      </c>
      <c r="M126" s="20">
        <f t="shared" si="8"/>
        <v>42246.259999999995</v>
      </c>
      <c r="N126" s="7">
        <f t="shared" si="4"/>
        <v>616361.51</v>
      </c>
      <c r="O126" s="16">
        <f t="shared" si="5"/>
        <v>387779</v>
      </c>
    </row>
    <row r="127" spans="1:15" ht="12.75">
      <c r="A127" s="6" t="s">
        <v>36</v>
      </c>
      <c r="E127" s="7">
        <f t="shared" si="7"/>
        <v>132395</v>
      </c>
      <c r="F127" s="7">
        <f t="shared" si="7"/>
        <v>49390</v>
      </c>
      <c r="G127" s="7">
        <f t="shared" si="7"/>
        <v>13073</v>
      </c>
      <c r="H127" s="7">
        <f t="shared" si="7"/>
        <v>326369</v>
      </c>
      <c r="I127" s="7"/>
      <c r="J127" s="7">
        <f t="shared" si="8"/>
        <v>0</v>
      </c>
      <c r="K127" s="7">
        <f t="shared" si="8"/>
        <v>0</v>
      </c>
      <c r="L127" s="20">
        <f t="shared" si="8"/>
        <v>34022.5</v>
      </c>
      <c r="M127" s="20">
        <f t="shared" si="8"/>
        <v>42572.509999999995</v>
      </c>
      <c r="N127" s="7">
        <f t="shared" si="4"/>
        <v>597822.01</v>
      </c>
      <c r="O127" s="16">
        <f t="shared" si="5"/>
        <v>388832</v>
      </c>
    </row>
    <row r="128" spans="1:15" ht="12.75">
      <c r="A128" s="6" t="s">
        <v>37</v>
      </c>
      <c r="E128" s="7">
        <f t="shared" si="7"/>
        <v>132641</v>
      </c>
      <c r="F128" s="7">
        <f t="shared" si="7"/>
        <v>48838</v>
      </c>
      <c r="G128" s="7">
        <f t="shared" si="7"/>
        <v>12667</v>
      </c>
      <c r="H128" s="7">
        <f t="shared" si="7"/>
        <v>326337</v>
      </c>
      <c r="I128" s="7"/>
      <c r="J128" s="7">
        <f t="shared" si="8"/>
        <v>0</v>
      </c>
      <c r="K128" s="7">
        <f t="shared" si="8"/>
        <v>0</v>
      </c>
      <c r="L128" s="20">
        <f t="shared" si="8"/>
        <v>33929.380000000005</v>
      </c>
      <c r="M128" s="20">
        <f t="shared" si="8"/>
        <v>42078.13</v>
      </c>
      <c r="N128" s="7">
        <f t="shared" si="4"/>
        <v>596490.51</v>
      </c>
      <c r="O128" s="16">
        <f t="shared" si="5"/>
        <v>387842</v>
      </c>
    </row>
    <row r="129" spans="1:15" ht="12.75">
      <c r="A129" s="6" t="s">
        <v>38</v>
      </c>
      <c r="E129" s="7">
        <f t="shared" si="7"/>
        <v>133212</v>
      </c>
      <c r="F129" s="7">
        <f t="shared" si="7"/>
        <v>49217</v>
      </c>
      <c r="G129" s="7">
        <f t="shared" si="7"/>
        <v>13240</v>
      </c>
      <c r="H129" s="7">
        <f t="shared" si="7"/>
        <v>326249</v>
      </c>
      <c r="I129" s="7"/>
      <c r="J129" s="7">
        <f t="shared" si="8"/>
        <v>0</v>
      </c>
      <c r="K129" s="7">
        <f t="shared" si="8"/>
        <v>0</v>
      </c>
      <c r="L129" s="20">
        <f t="shared" si="8"/>
        <v>34311.880000000005</v>
      </c>
      <c r="M129" s="20">
        <f t="shared" si="8"/>
        <v>42170</v>
      </c>
      <c r="N129" s="7">
        <f t="shared" si="4"/>
        <v>598399.88</v>
      </c>
      <c r="O129" s="16">
        <f t="shared" si="5"/>
        <v>388706</v>
      </c>
    </row>
    <row r="130" spans="1:15" ht="12.75">
      <c r="A130" s="6" t="s">
        <v>39</v>
      </c>
      <c r="E130" s="7">
        <f t="shared" si="7"/>
        <v>133597</v>
      </c>
      <c r="F130" s="7">
        <f t="shared" si="7"/>
        <v>48530</v>
      </c>
      <c r="G130" s="7">
        <f t="shared" si="7"/>
        <v>12790</v>
      </c>
      <c r="H130" s="7">
        <f t="shared" si="7"/>
        <v>326202</v>
      </c>
      <c r="I130" s="7"/>
      <c r="J130" s="7">
        <f t="shared" si="8"/>
        <v>0</v>
      </c>
      <c r="K130" s="7">
        <f t="shared" si="8"/>
        <v>0</v>
      </c>
      <c r="L130" s="20">
        <f t="shared" si="8"/>
        <v>34170</v>
      </c>
      <c r="M130" s="20">
        <f t="shared" si="8"/>
        <v>42441.25</v>
      </c>
      <c r="N130" s="7">
        <f t="shared" si="4"/>
        <v>597730.25</v>
      </c>
      <c r="O130" s="16">
        <f t="shared" si="5"/>
        <v>387522</v>
      </c>
    </row>
    <row r="131" spans="1:15" ht="12.75">
      <c r="A131" s="6" t="s">
        <v>40</v>
      </c>
      <c r="E131" s="7">
        <f t="shared" si="7"/>
        <v>133797</v>
      </c>
      <c r="F131" s="7">
        <f t="shared" si="7"/>
        <v>47797</v>
      </c>
      <c r="G131" s="7">
        <f t="shared" si="7"/>
        <v>12340</v>
      </c>
      <c r="H131" s="7">
        <f t="shared" si="7"/>
        <v>326092</v>
      </c>
      <c r="I131" s="7"/>
      <c r="J131" s="7">
        <f t="shared" si="8"/>
        <v>0</v>
      </c>
      <c r="K131" s="7">
        <f t="shared" si="8"/>
        <v>0</v>
      </c>
      <c r="L131" s="20">
        <f t="shared" si="8"/>
        <v>34011.880000000005</v>
      </c>
      <c r="M131" s="20">
        <f t="shared" si="8"/>
        <v>42191.880000000005</v>
      </c>
      <c r="N131" s="7">
        <f t="shared" si="4"/>
        <v>596229.76</v>
      </c>
      <c r="O131" s="16">
        <f t="shared" si="5"/>
        <v>386229</v>
      </c>
    </row>
    <row r="132" spans="1:15" ht="12.75">
      <c r="A132" s="6" t="s">
        <v>41</v>
      </c>
      <c r="E132" s="7">
        <f t="shared" si="7"/>
        <v>133811</v>
      </c>
      <c r="F132" s="7">
        <f t="shared" si="7"/>
        <v>47997</v>
      </c>
      <c r="G132" s="7">
        <f t="shared" si="7"/>
        <v>12868</v>
      </c>
      <c r="H132" s="7">
        <f t="shared" si="7"/>
        <v>326014</v>
      </c>
      <c r="I132" s="7"/>
      <c r="J132" s="7">
        <f t="shared" si="8"/>
        <v>0</v>
      </c>
      <c r="K132" s="7">
        <f t="shared" si="8"/>
        <v>0</v>
      </c>
      <c r="L132" s="20">
        <f t="shared" si="8"/>
        <v>34329.380000000005</v>
      </c>
      <c r="M132" s="20">
        <f t="shared" si="8"/>
        <v>42421.880000000005</v>
      </c>
      <c r="N132" s="7">
        <f t="shared" si="4"/>
        <v>597441.26</v>
      </c>
      <c r="O132" s="16">
        <f t="shared" si="5"/>
        <v>386879</v>
      </c>
    </row>
    <row r="133" spans="1:15" ht="12.75">
      <c r="A133" s="6" t="s">
        <v>42</v>
      </c>
      <c r="E133" s="7">
        <f t="shared" si="7"/>
        <v>134130</v>
      </c>
      <c r="F133" s="7">
        <f t="shared" si="7"/>
        <v>48107</v>
      </c>
      <c r="G133" s="7">
        <f t="shared" si="7"/>
        <v>12372</v>
      </c>
      <c r="H133" s="7">
        <f t="shared" si="7"/>
        <v>325864</v>
      </c>
      <c r="I133" s="7"/>
      <c r="J133" s="7">
        <f t="shared" si="8"/>
        <v>0</v>
      </c>
      <c r="K133" s="7">
        <f t="shared" si="8"/>
        <v>0</v>
      </c>
      <c r="L133" s="20">
        <f t="shared" si="8"/>
        <v>34122.5</v>
      </c>
      <c r="M133" s="20">
        <f t="shared" si="8"/>
        <v>42131.25</v>
      </c>
      <c r="N133" s="7">
        <f t="shared" si="4"/>
        <v>596726.75</v>
      </c>
      <c r="O133" s="16">
        <f t="shared" si="5"/>
        <v>386343</v>
      </c>
    </row>
    <row r="134" spans="1:15" ht="12.75">
      <c r="A134" s="6" t="s">
        <v>43</v>
      </c>
      <c r="E134" s="7">
        <f t="shared" si="7"/>
        <v>134731</v>
      </c>
      <c r="F134" s="7">
        <f t="shared" si="7"/>
        <v>48127</v>
      </c>
      <c r="G134" s="7">
        <f t="shared" si="7"/>
        <v>12855</v>
      </c>
      <c r="H134" s="7">
        <f t="shared" si="7"/>
        <v>325837</v>
      </c>
      <c r="I134" s="7"/>
      <c r="J134" s="7">
        <f t="shared" si="8"/>
        <v>0</v>
      </c>
      <c r="K134" s="7">
        <f t="shared" si="8"/>
        <v>0</v>
      </c>
      <c r="L134" s="20">
        <f t="shared" si="8"/>
        <v>34391.25</v>
      </c>
      <c r="M134" s="20">
        <f t="shared" si="8"/>
        <v>48320</v>
      </c>
      <c r="N134" s="7">
        <f t="shared" si="4"/>
        <v>604261.25</v>
      </c>
      <c r="O134" s="16">
        <f t="shared" si="5"/>
        <v>386819</v>
      </c>
    </row>
    <row r="135" spans="1:15" ht="12.75">
      <c r="A135" s="6" t="s">
        <v>44</v>
      </c>
      <c r="E135" s="7">
        <f t="shared" si="7"/>
        <v>135105</v>
      </c>
      <c r="F135" s="7">
        <f t="shared" si="7"/>
        <v>48057</v>
      </c>
      <c r="G135" s="7">
        <f t="shared" si="7"/>
        <v>13292</v>
      </c>
      <c r="H135" s="7">
        <f t="shared" si="7"/>
        <v>325726</v>
      </c>
      <c r="I135" s="7"/>
      <c r="J135" s="7">
        <f t="shared" si="8"/>
        <v>0</v>
      </c>
      <c r="K135" s="7">
        <f t="shared" si="8"/>
        <v>0</v>
      </c>
      <c r="L135" s="20">
        <f t="shared" si="8"/>
        <v>34135.630000000005</v>
      </c>
      <c r="M135" s="20">
        <f t="shared" si="8"/>
        <v>42481.25</v>
      </c>
      <c r="N135" s="7">
        <f t="shared" si="4"/>
        <v>598796.88</v>
      </c>
      <c r="O135" s="16">
        <f t="shared" si="5"/>
        <v>387075</v>
      </c>
    </row>
    <row r="136" spans="1:15" ht="12.75">
      <c r="A136" s="6" t="s">
        <v>45</v>
      </c>
      <c r="E136" s="7">
        <v>135743</v>
      </c>
      <c r="F136" s="7"/>
      <c r="G136" s="7"/>
      <c r="H136" s="7">
        <f aca="true" t="shared" si="9" ref="H136:H145">+H42+H89</f>
        <v>325628</v>
      </c>
      <c r="I136" s="7"/>
      <c r="J136" s="7">
        <f t="shared" si="8"/>
        <v>0</v>
      </c>
      <c r="K136" s="7">
        <f t="shared" si="8"/>
        <v>0</v>
      </c>
      <c r="L136" s="20">
        <f t="shared" si="8"/>
        <v>34355.630000000005</v>
      </c>
      <c r="M136" s="20">
        <f t="shared" si="8"/>
        <v>42121.880000000005</v>
      </c>
      <c r="N136" s="7">
        <f t="shared" si="4"/>
        <v>537848.51</v>
      </c>
      <c r="O136" s="16">
        <f t="shared" si="5"/>
        <v>325628</v>
      </c>
    </row>
    <row r="137" spans="1:15" ht="12.75">
      <c r="A137" s="6" t="s">
        <v>46</v>
      </c>
      <c r="E137" s="7"/>
      <c r="F137" s="7"/>
      <c r="G137" s="7"/>
      <c r="H137" s="7">
        <f t="shared" si="9"/>
        <v>325538</v>
      </c>
      <c r="I137" s="7"/>
      <c r="J137" s="7">
        <f t="shared" si="8"/>
        <v>0</v>
      </c>
      <c r="K137" s="7">
        <f t="shared" si="8"/>
        <v>0</v>
      </c>
      <c r="L137" s="20">
        <f t="shared" si="8"/>
        <v>34051.25</v>
      </c>
      <c r="M137" s="20">
        <f t="shared" si="8"/>
        <v>42241.880000000005</v>
      </c>
      <c r="N137" s="7">
        <f t="shared" si="4"/>
        <v>401831.13</v>
      </c>
      <c r="O137" s="16">
        <f t="shared" si="5"/>
        <v>325538</v>
      </c>
    </row>
    <row r="138" spans="1:15" ht="12.75">
      <c r="A138" s="6" t="s">
        <v>61</v>
      </c>
      <c r="E138" s="7"/>
      <c r="F138" s="7"/>
      <c r="G138" s="7"/>
      <c r="H138" s="7">
        <f t="shared" si="9"/>
        <v>325450</v>
      </c>
      <c r="I138" s="7"/>
      <c r="J138" s="7">
        <f t="shared" si="8"/>
        <v>0</v>
      </c>
      <c r="K138" s="7">
        <f t="shared" si="8"/>
        <v>0</v>
      </c>
      <c r="L138" s="20">
        <f t="shared" si="8"/>
        <v>34222.5</v>
      </c>
      <c r="M138" s="20">
        <f t="shared" si="8"/>
        <v>42334.380000000005</v>
      </c>
      <c r="N138" s="7">
        <f t="shared" si="4"/>
        <v>402006.88</v>
      </c>
      <c r="O138" s="16">
        <f t="shared" si="5"/>
        <v>325450</v>
      </c>
    </row>
    <row r="139" spans="1:15" ht="12.75">
      <c r="A139" s="6" t="s">
        <v>62</v>
      </c>
      <c r="E139" s="7"/>
      <c r="F139" s="7"/>
      <c r="G139" s="7"/>
      <c r="H139" s="7">
        <f t="shared" si="9"/>
        <v>325359</v>
      </c>
      <c r="I139" s="7"/>
      <c r="J139" s="7">
        <f t="shared" si="8"/>
        <v>0</v>
      </c>
      <c r="K139" s="7">
        <f t="shared" si="8"/>
        <v>0</v>
      </c>
      <c r="L139" s="20">
        <f t="shared" si="8"/>
        <v>34361.25</v>
      </c>
      <c r="M139" s="20">
        <f t="shared" si="8"/>
        <v>42399.38</v>
      </c>
      <c r="N139" s="7">
        <f t="shared" si="4"/>
        <v>402119.63</v>
      </c>
      <c r="O139" s="16">
        <f t="shared" si="5"/>
        <v>325359</v>
      </c>
    </row>
    <row r="140" spans="1:15" ht="12.75">
      <c r="A140" s="6" t="s">
        <v>63</v>
      </c>
      <c r="E140" s="7"/>
      <c r="F140" s="7"/>
      <c r="G140" s="7"/>
      <c r="H140" s="7">
        <f t="shared" si="9"/>
        <v>325259</v>
      </c>
      <c r="I140" s="7"/>
      <c r="J140" s="7">
        <f t="shared" si="8"/>
        <v>0</v>
      </c>
      <c r="K140" s="7">
        <f t="shared" si="8"/>
        <v>0</v>
      </c>
      <c r="L140" s="20">
        <f t="shared" si="8"/>
        <v>34467.5</v>
      </c>
      <c r="M140" s="20">
        <f t="shared" si="8"/>
        <v>42436.88</v>
      </c>
      <c r="N140" s="7">
        <f t="shared" si="4"/>
        <v>402163.38</v>
      </c>
      <c r="O140" s="16">
        <f t="shared" si="5"/>
        <v>325259</v>
      </c>
    </row>
    <row r="141" spans="1:15" ht="12.75">
      <c r="A141" s="6" t="s">
        <v>64</v>
      </c>
      <c r="E141" s="7"/>
      <c r="F141" s="7"/>
      <c r="G141" s="7"/>
      <c r="H141" s="7">
        <f t="shared" si="9"/>
        <v>325144</v>
      </c>
      <c r="I141" s="7"/>
      <c r="J141" s="7">
        <f t="shared" si="8"/>
        <v>0</v>
      </c>
      <c r="K141" s="7">
        <f t="shared" si="8"/>
        <v>0</v>
      </c>
      <c r="L141" s="20">
        <f t="shared" si="8"/>
        <v>34541.25</v>
      </c>
      <c r="M141" s="20">
        <f t="shared" si="8"/>
        <v>42446.88</v>
      </c>
      <c r="N141" s="7">
        <f t="shared" si="4"/>
        <v>402132.13</v>
      </c>
      <c r="O141" s="16">
        <f t="shared" si="5"/>
        <v>325144</v>
      </c>
    </row>
    <row r="142" spans="1:15" ht="12.75">
      <c r="A142" s="6" t="s">
        <v>65</v>
      </c>
      <c r="E142" s="7"/>
      <c r="F142" s="7"/>
      <c r="G142" s="7"/>
      <c r="H142" s="7">
        <f t="shared" si="9"/>
        <v>325009</v>
      </c>
      <c r="I142" s="7"/>
      <c r="J142" s="7">
        <f t="shared" si="8"/>
        <v>0</v>
      </c>
      <c r="K142" s="7">
        <f t="shared" si="8"/>
        <v>0</v>
      </c>
      <c r="L142" s="20">
        <f t="shared" si="8"/>
        <v>16709.5</v>
      </c>
      <c r="M142" s="20">
        <f t="shared" si="8"/>
        <v>17056.38</v>
      </c>
      <c r="N142" s="7">
        <f t="shared" si="4"/>
        <v>358774.88</v>
      </c>
      <c r="O142" s="16">
        <f t="shared" si="5"/>
        <v>325009</v>
      </c>
    </row>
    <row r="143" spans="1:15" ht="12.75">
      <c r="A143" s="6" t="s">
        <v>66</v>
      </c>
      <c r="E143" s="7"/>
      <c r="F143" s="7"/>
      <c r="G143" s="7"/>
      <c r="H143" s="7">
        <f t="shared" si="9"/>
        <v>324849</v>
      </c>
      <c r="I143" s="7"/>
      <c r="J143" s="7">
        <f t="shared" si="8"/>
        <v>0</v>
      </c>
      <c r="K143" s="7">
        <f t="shared" si="8"/>
        <v>0</v>
      </c>
      <c r="L143" s="20">
        <f t="shared" si="8"/>
        <v>0</v>
      </c>
      <c r="M143" s="20">
        <f t="shared" si="8"/>
        <v>0</v>
      </c>
      <c r="N143" s="7">
        <f t="shared" si="4"/>
        <v>324849</v>
      </c>
      <c r="O143" s="16">
        <f t="shared" si="5"/>
        <v>324849</v>
      </c>
    </row>
    <row r="144" spans="1:15" ht="12.75">
      <c r="A144" s="6"/>
      <c r="E144" s="7"/>
      <c r="F144" s="7"/>
      <c r="G144" s="7"/>
      <c r="H144" s="7">
        <f t="shared" si="9"/>
        <v>322981</v>
      </c>
      <c r="I144" s="7"/>
      <c r="J144" s="7">
        <f t="shared" si="8"/>
        <v>0</v>
      </c>
      <c r="K144" s="7">
        <f t="shared" si="8"/>
        <v>0</v>
      </c>
      <c r="L144" s="20">
        <f t="shared" si="8"/>
        <v>0</v>
      </c>
      <c r="M144" s="20">
        <f t="shared" si="8"/>
        <v>0</v>
      </c>
      <c r="N144" s="7">
        <f t="shared" si="4"/>
        <v>322981</v>
      </c>
      <c r="O144" s="16">
        <f t="shared" si="5"/>
        <v>322981</v>
      </c>
    </row>
    <row r="145" spans="1:15" ht="12.75">
      <c r="A145" s="6"/>
      <c r="E145" s="7"/>
      <c r="F145" s="7"/>
      <c r="G145" s="7"/>
      <c r="H145" s="7">
        <f t="shared" si="9"/>
        <v>0</v>
      </c>
      <c r="I145" s="7"/>
      <c r="J145" s="7">
        <f>+J52+J98</f>
        <v>0</v>
      </c>
      <c r="K145" s="7">
        <f>+K52+K98</f>
        <v>0</v>
      </c>
      <c r="L145" s="20">
        <f>+L51+L98</f>
        <v>0</v>
      </c>
      <c r="M145" s="20">
        <f>+M51+M98</f>
        <v>0</v>
      </c>
      <c r="N145" s="7">
        <f t="shared" si="4"/>
        <v>0</v>
      </c>
      <c r="O145" s="16">
        <f t="shared" si="5"/>
        <v>0</v>
      </c>
    </row>
    <row r="146" spans="1:15" ht="12.75">
      <c r="A146" s="6"/>
      <c r="E146" s="12"/>
      <c r="F146" s="7">
        <f>+F42+F89</f>
        <v>0</v>
      </c>
      <c r="G146" s="7">
        <f>+G42+G89</f>
        <v>0</v>
      </c>
      <c r="H146" s="7"/>
      <c r="I146" s="7"/>
      <c r="J146" s="7"/>
      <c r="K146" s="7"/>
      <c r="L146" s="7"/>
      <c r="M146" s="7"/>
      <c r="N146" s="7">
        <f>SUM(B146:G146)</f>
        <v>0</v>
      </c>
      <c r="O146" s="16">
        <f t="shared" si="5"/>
        <v>0</v>
      </c>
    </row>
    <row r="147" spans="2:14" ht="13.5" thickBot="1">
      <c r="B147" s="9">
        <f>SUM(B107:B116)</f>
        <v>1419457.5</v>
      </c>
      <c r="C147" s="9">
        <f>SUM(C107:C116)</f>
        <v>70300.64</v>
      </c>
      <c r="D147" s="9">
        <f>SUM(D107:D116)</f>
        <v>1759137</v>
      </c>
      <c r="E147" s="9">
        <f>SUM(E107:E146)</f>
        <v>3950797</v>
      </c>
      <c r="F147" s="9">
        <f>SUM(F107:F116)</f>
        <v>495640</v>
      </c>
      <c r="G147" s="9">
        <f>SUM(G107:G145)</f>
        <v>373273</v>
      </c>
      <c r="H147" s="9">
        <f>SUM(H107:H146)</f>
        <v>12401299</v>
      </c>
      <c r="I147" s="9">
        <f>SUM(I107:I116)</f>
        <v>1094590</v>
      </c>
      <c r="J147" s="9">
        <f>SUM(J107:J146)</f>
        <v>371507.906</v>
      </c>
      <c r="K147" s="9">
        <f>SUM(K107:K146)</f>
        <v>413689.69999999995</v>
      </c>
      <c r="L147" s="9">
        <f>SUM(L107:L146)</f>
        <v>1188003.36</v>
      </c>
      <c r="M147" s="9">
        <f>SUM(M107:M146)</f>
        <v>1472555.6899999995</v>
      </c>
      <c r="N147" s="9">
        <f>SUM(N107:N146)</f>
        <v>25940347.796</v>
      </c>
    </row>
    <row r="148" ht="13.5" thickTop="1"/>
  </sheetData>
  <sheetProtection/>
  <mergeCells count="2">
    <mergeCell ref="L10:M10"/>
    <mergeCell ref="L105:M105"/>
  </mergeCells>
  <printOptions/>
  <pageMargins left="0.7" right="0.7" top="0.75" bottom="0.75" header="0.3" footer="0.3"/>
  <pageSetup fitToHeight="1" fitToWidth="1" horizontalDpi="600" verticalDpi="600" orientation="landscape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zoomScalePageLayoutView="0" workbookViewId="0" topLeftCell="A109">
      <selection activeCell="I105" sqref="I105"/>
    </sheetView>
  </sheetViews>
  <sheetFormatPr defaultColWidth="11.7109375" defaultRowHeight="12.75"/>
  <cols>
    <col min="1" max="14" width="11.7109375" style="2" customWidth="1"/>
    <col min="15" max="15" width="14.140625" style="2" customWidth="1"/>
    <col min="16" max="16" width="15.57421875" style="2" bestFit="1" customWidth="1"/>
    <col min="17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spans="1:15" ht="12.75">
      <c r="A3" s="1"/>
      <c r="O3" s="2" t="s">
        <v>70</v>
      </c>
    </row>
    <row r="4" ht="12.75">
      <c r="A4" s="1"/>
    </row>
    <row r="5" ht="12.75">
      <c r="A5" s="1"/>
    </row>
    <row r="6" ht="12.75">
      <c r="A6" s="1"/>
    </row>
    <row r="7" spans="1:8" ht="12.75">
      <c r="A7" s="1"/>
      <c r="H7" s="2" t="s">
        <v>79</v>
      </c>
    </row>
    <row r="8" ht="12.75">
      <c r="A8" s="1"/>
    </row>
    <row r="9" ht="12.75">
      <c r="A9" s="3" t="s">
        <v>2</v>
      </c>
    </row>
    <row r="10" spans="1:14" ht="12.75">
      <c r="A10" s="1"/>
      <c r="M10" s="67"/>
      <c r="N10" s="67"/>
    </row>
    <row r="11" spans="1:15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71</v>
      </c>
      <c r="K11" s="14" t="s">
        <v>73</v>
      </c>
      <c r="L11" s="14" t="s">
        <v>78</v>
      </c>
      <c r="M11" s="14" t="s">
        <v>76</v>
      </c>
      <c r="N11" s="14" t="s">
        <v>77</v>
      </c>
      <c r="O11" s="14" t="s">
        <v>11</v>
      </c>
    </row>
    <row r="12" spans="1:15" ht="12.75">
      <c r="A12" s="6"/>
      <c r="B12" s="7"/>
      <c r="C12" s="7"/>
      <c r="D12" s="7"/>
      <c r="E12" s="7"/>
      <c r="F12" s="7"/>
      <c r="G12" s="7"/>
      <c r="O12" s="7"/>
    </row>
    <row r="13" spans="1:15" ht="15">
      <c r="A13" s="6" t="s">
        <v>17</v>
      </c>
      <c r="B13" s="7">
        <f>29964.57+30297.67+30634.47+30975.02</f>
        <v>121871.73</v>
      </c>
      <c r="C13" s="7">
        <v>13960</v>
      </c>
      <c r="D13" s="7">
        <v>168913</v>
      </c>
      <c r="E13" s="7">
        <v>38500</v>
      </c>
      <c r="F13" s="7">
        <v>15000</v>
      </c>
      <c r="G13" s="7">
        <v>4000</v>
      </c>
      <c r="H13" s="19">
        <v>109000</v>
      </c>
      <c r="I13" s="19">
        <v>160000</v>
      </c>
      <c r="J13" s="19">
        <f>7739.69+7778.39</f>
        <v>15518.08</v>
      </c>
      <c r="K13" s="19">
        <f>8658.01+8701.3</f>
        <v>17359.309999999998</v>
      </c>
      <c r="L13" s="19">
        <v>338970.03</v>
      </c>
      <c r="M13" s="19"/>
      <c r="N13" s="19"/>
      <c r="O13" s="7">
        <f aca="true" t="shared" si="0" ref="O13:O51">SUM(B13:N13)</f>
        <v>1003092.1499999999</v>
      </c>
    </row>
    <row r="14" spans="1:15" ht="15">
      <c r="A14" s="6" t="s">
        <v>18</v>
      </c>
      <c r="B14" s="7">
        <f>31319.35+31667.51+32019.54+32375.49</f>
        <v>127381.89</v>
      </c>
      <c r="C14" s="7"/>
      <c r="D14" s="7">
        <v>170606</v>
      </c>
      <c r="E14" s="7">
        <v>40500</v>
      </c>
      <c r="F14" s="7">
        <v>15000</v>
      </c>
      <c r="G14" s="7">
        <v>4000</v>
      </c>
      <c r="H14" s="19">
        <v>112500</v>
      </c>
      <c r="I14" s="19">
        <v>165000</v>
      </c>
      <c r="J14" s="19">
        <f>7817.28+7856.37</f>
        <v>15673.65</v>
      </c>
      <c r="K14" s="19">
        <f>8744.81+8788.83</f>
        <v>17533.64</v>
      </c>
      <c r="L14" s="19"/>
      <c r="M14" s="19">
        <v>10000</v>
      </c>
      <c r="N14" s="19">
        <v>15000</v>
      </c>
      <c r="O14" s="7">
        <f t="shared" si="0"/>
        <v>693195.18</v>
      </c>
    </row>
    <row r="15" spans="1:15" ht="15">
      <c r="A15" s="6" t="s">
        <v>19</v>
      </c>
      <c r="B15" s="7">
        <f>32735.39+33099.29+33467.24+33839.28</f>
        <v>133141.19999999998</v>
      </c>
      <c r="C15" s="7"/>
      <c r="D15" s="7">
        <v>172316</v>
      </c>
      <c r="E15" s="8">
        <v>42000</v>
      </c>
      <c r="F15" s="7">
        <v>16000</v>
      </c>
      <c r="G15" s="7">
        <v>4000</v>
      </c>
      <c r="H15" s="19">
        <v>116000</v>
      </c>
      <c r="I15" s="19">
        <v>170000</v>
      </c>
      <c r="J15" s="19">
        <f>7895.65+7935.13</f>
        <v>15830.779999999999</v>
      </c>
      <c r="K15" s="19">
        <f>8832.48+8876.64</f>
        <v>17709.12</v>
      </c>
      <c r="L15" s="19"/>
      <c r="M15" s="19">
        <v>10500</v>
      </c>
      <c r="N15" s="19">
        <v>15500</v>
      </c>
      <c r="O15" s="7">
        <f t="shared" si="0"/>
        <v>712997.1</v>
      </c>
    </row>
    <row r="16" spans="1:15" ht="15">
      <c r="A16" s="6" t="s">
        <v>20</v>
      </c>
      <c r="B16" s="8">
        <f>34215.45+34595.8+34980.39+35369.24</f>
        <v>139160.88</v>
      </c>
      <c r="C16" s="8"/>
      <c r="D16" s="8">
        <v>174044</v>
      </c>
      <c r="E16" s="8">
        <v>44000</v>
      </c>
      <c r="F16" s="8">
        <v>17000</v>
      </c>
      <c r="G16" s="8">
        <v>4000</v>
      </c>
      <c r="H16" s="19">
        <v>120000</v>
      </c>
      <c r="I16" s="19">
        <v>170000</v>
      </c>
      <c r="J16" s="19">
        <f>7974.81+8014.68</f>
        <v>15989.490000000002</v>
      </c>
      <c r="K16" s="19">
        <f>8921.02+8965.63</f>
        <v>17886.65</v>
      </c>
      <c r="L16" s="19"/>
      <c r="M16" s="19">
        <v>10500</v>
      </c>
      <c r="N16" s="19">
        <v>16000</v>
      </c>
      <c r="O16" s="7">
        <f t="shared" si="0"/>
        <v>728581.02</v>
      </c>
    </row>
    <row r="17" spans="1:15" ht="15">
      <c r="A17" s="6" t="s">
        <v>21</v>
      </c>
      <c r="B17" s="8">
        <f>35762.42+36159.98+36561.95+36968.39</f>
        <v>145452.74</v>
      </c>
      <c r="C17" s="8"/>
      <c r="D17" s="8">
        <v>175789</v>
      </c>
      <c r="E17" s="8">
        <v>46000</v>
      </c>
      <c r="F17" s="8">
        <v>17000</v>
      </c>
      <c r="G17" s="8">
        <v>5000</v>
      </c>
      <c r="H17" s="19">
        <v>124000</v>
      </c>
      <c r="I17" s="19">
        <v>175000</v>
      </c>
      <c r="J17" s="19">
        <f>8054.75+8095.03</f>
        <v>16149.779999999999</v>
      </c>
      <c r="K17" s="19">
        <f>9010.45+9055.51</f>
        <v>18065.96</v>
      </c>
      <c r="L17" s="19"/>
      <c r="M17" s="19">
        <v>11000</v>
      </c>
      <c r="N17" s="19">
        <v>16500</v>
      </c>
      <c r="O17" s="7">
        <f t="shared" si="0"/>
        <v>749957.48</v>
      </c>
    </row>
    <row r="18" spans="1:15" ht="15">
      <c r="A18" s="6" t="s">
        <v>22</v>
      </c>
      <c r="B18" s="8">
        <f>37379.34+37794.87+38215.01+38639.83</f>
        <v>152029.05</v>
      </c>
      <c r="C18" s="8"/>
      <c r="D18" s="8">
        <v>177551</v>
      </c>
      <c r="E18" s="8">
        <v>48000</v>
      </c>
      <c r="F18" s="8">
        <v>18000</v>
      </c>
      <c r="G18" s="8">
        <v>5000</v>
      </c>
      <c r="H18" s="19">
        <v>128000</v>
      </c>
      <c r="I18" s="19">
        <v>15000</v>
      </c>
      <c r="J18" s="19">
        <f>8135.5+8176.18</f>
        <v>16311.68</v>
      </c>
      <c r="K18" s="19">
        <f>9100.78+9146.29</f>
        <v>18247.07</v>
      </c>
      <c r="L18" s="19"/>
      <c r="M18" s="19">
        <v>11500</v>
      </c>
      <c r="N18" s="19">
        <v>17000</v>
      </c>
      <c r="O18" s="7">
        <f t="shared" si="0"/>
        <v>606638.8</v>
      </c>
    </row>
    <row r="19" spans="1:15" ht="15">
      <c r="A19" s="6" t="s">
        <v>23</v>
      </c>
      <c r="B19" s="8">
        <f>39069.37+39503.68+39942.82+40386.85</f>
        <v>158902.72</v>
      </c>
      <c r="C19" s="8"/>
      <c r="D19" s="8">
        <v>179331</v>
      </c>
      <c r="E19" s="8">
        <v>50500</v>
      </c>
      <c r="F19" s="8">
        <v>19000</v>
      </c>
      <c r="G19" s="8">
        <v>5000</v>
      </c>
      <c r="H19" s="19">
        <v>132000</v>
      </c>
      <c r="I19" s="19"/>
      <c r="J19" s="19">
        <f>8217.06+8258.15</f>
        <v>16475.21</v>
      </c>
      <c r="K19" s="19">
        <f>9192.02+9237.98</f>
        <v>18430</v>
      </c>
      <c r="L19" s="19"/>
      <c r="M19" s="19">
        <v>11500</v>
      </c>
      <c r="N19" s="19">
        <v>17500</v>
      </c>
      <c r="O19" s="7">
        <f t="shared" si="0"/>
        <v>608638.9299999999</v>
      </c>
    </row>
    <row r="20" spans="1:15" ht="15">
      <c r="A20" s="6" t="s">
        <v>24</v>
      </c>
      <c r="B20" s="8">
        <f>40835.8+41289.81</f>
        <v>82125.61</v>
      </c>
      <c r="C20" s="8"/>
      <c r="D20" s="8">
        <v>181129</v>
      </c>
      <c r="E20" s="8">
        <v>52500</v>
      </c>
      <c r="F20" s="8">
        <v>20000</v>
      </c>
      <c r="G20" s="8">
        <v>5000</v>
      </c>
      <c r="H20" s="19">
        <v>136500</v>
      </c>
      <c r="I20" s="19"/>
      <c r="J20" s="19">
        <f>8299.44+8340.93</f>
        <v>16640.370000000003</v>
      </c>
      <c r="K20" s="19">
        <f>9284.17+9330.59</f>
        <v>18614.760000000002</v>
      </c>
      <c r="L20" s="19"/>
      <c r="M20" s="19">
        <v>12000</v>
      </c>
      <c r="N20" s="19">
        <v>18000</v>
      </c>
      <c r="O20" s="7">
        <f t="shared" si="0"/>
        <v>542509.74</v>
      </c>
    </row>
    <row r="21" spans="1:15" ht="15">
      <c r="A21" s="6" t="s">
        <v>25</v>
      </c>
      <c r="B21" s="8"/>
      <c r="C21" s="8"/>
      <c r="D21" s="8">
        <v>91243</v>
      </c>
      <c r="E21" s="8">
        <v>55000</v>
      </c>
      <c r="F21" s="8">
        <v>21000</v>
      </c>
      <c r="G21" s="8">
        <v>5000</v>
      </c>
      <c r="H21" s="19">
        <v>141000</v>
      </c>
      <c r="I21" s="19"/>
      <c r="J21" s="19">
        <f>8382.64+8424.55</f>
        <v>16807.19</v>
      </c>
      <c r="K21" s="19">
        <f>9377.24+9424.13</f>
        <v>18801.37</v>
      </c>
      <c r="L21" s="19"/>
      <c r="M21" s="19">
        <v>12500</v>
      </c>
      <c r="N21" s="19">
        <v>18500</v>
      </c>
      <c r="O21" s="7">
        <f t="shared" si="0"/>
        <v>379851.56</v>
      </c>
    </row>
    <row r="22" spans="1:15" ht="15">
      <c r="A22" s="6" t="s">
        <v>26</v>
      </c>
      <c r="B22" s="8"/>
      <c r="C22" s="8"/>
      <c r="D22" s="8"/>
      <c r="E22" s="8">
        <v>57500</v>
      </c>
      <c r="F22" s="8">
        <v>22000</v>
      </c>
      <c r="G22" s="8">
        <v>6000</v>
      </c>
      <c r="H22" s="19">
        <v>145500</v>
      </c>
      <c r="I22" s="19"/>
      <c r="J22" s="19">
        <f>8466.68+8509.01</f>
        <v>16975.690000000002</v>
      </c>
      <c r="K22" s="19">
        <f>9471.25+9518.61</f>
        <v>18989.86</v>
      </c>
      <c r="L22" s="19"/>
      <c r="M22" s="19">
        <v>13000</v>
      </c>
      <c r="N22" s="19">
        <v>19000</v>
      </c>
      <c r="O22" s="7">
        <f t="shared" si="0"/>
        <v>298965.55</v>
      </c>
    </row>
    <row r="23" spans="1:15" ht="15">
      <c r="A23" s="6" t="s">
        <v>27</v>
      </c>
      <c r="B23" s="8"/>
      <c r="C23" s="8"/>
      <c r="D23" s="8"/>
      <c r="E23" s="8">
        <v>60000</v>
      </c>
      <c r="F23" s="8">
        <v>23000</v>
      </c>
      <c r="G23" s="8">
        <v>6000</v>
      </c>
      <c r="H23" s="19">
        <v>150000</v>
      </c>
      <c r="I23" s="19"/>
      <c r="J23" s="19">
        <f>8551.55+8594.31</f>
        <v>17145.86</v>
      </c>
      <c r="K23" s="19">
        <f>9566.25+9614.03</f>
        <v>19180.28</v>
      </c>
      <c r="L23" s="19"/>
      <c r="M23" s="19">
        <v>13500</v>
      </c>
      <c r="N23" s="19">
        <v>19500</v>
      </c>
      <c r="O23" s="7">
        <f t="shared" si="0"/>
        <v>308326.14</v>
      </c>
    </row>
    <row r="24" spans="1:15" ht="15">
      <c r="A24" s="6" t="s">
        <v>28</v>
      </c>
      <c r="B24" s="8"/>
      <c r="C24" s="8"/>
      <c r="D24" s="8"/>
      <c r="E24" s="8">
        <v>62500</v>
      </c>
      <c r="F24" s="8">
        <v>24000</v>
      </c>
      <c r="G24" s="8">
        <v>6000</v>
      </c>
      <c r="H24" s="19">
        <v>155000</v>
      </c>
      <c r="I24" s="19"/>
      <c r="J24" s="19">
        <f>8637.28+8680.47</f>
        <v>17317.75</v>
      </c>
      <c r="K24" s="19">
        <f>9662.1+9710.41</f>
        <v>19372.510000000002</v>
      </c>
      <c r="L24" s="19"/>
      <c r="M24" s="19">
        <v>14000</v>
      </c>
      <c r="N24" s="19">
        <v>20000</v>
      </c>
      <c r="O24" s="7">
        <f t="shared" si="0"/>
        <v>318190.26</v>
      </c>
    </row>
    <row r="25" spans="1:15" ht="15">
      <c r="A25" s="6" t="s">
        <v>29</v>
      </c>
      <c r="B25" s="8"/>
      <c r="C25" s="8"/>
      <c r="D25" s="8"/>
      <c r="E25" s="8">
        <v>65500</v>
      </c>
      <c r="F25" s="8">
        <v>25000</v>
      </c>
      <c r="G25" s="8">
        <v>6000</v>
      </c>
      <c r="H25" s="19">
        <v>160000</v>
      </c>
      <c r="I25" s="19"/>
      <c r="J25" s="19">
        <f>8723.87+8767.49</f>
        <v>17491.36</v>
      </c>
      <c r="K25" s="19">
        <f>9758.96+9807.76</f>
        <v>19566.72</v>
      </c>
      <c r="L25" s="19"/>
      <c r="M25" s="19">
        <v>14500</v>
      </c>
      <c r="N25" s="19">
        <v>20500</v>
      </c>
      <c r="O25" s="7">
        <f t="shared" si="0"/>
        <v>328558.07999999996</v>
      </c>
    </row>
    <row r="26" spans="1:15" ht="15">
      <c r="A26" s="6" t="s">
        <v>30</v>
      </c>
      <c r="B26" s="8"/>
      <c r="C26" s="8"/>
      <c r="D26" s="8"/>
      <c r="E26" s="8">
        <v>68500</v>
      </c>
      <c r="F26" s="8">
        <v>26000</v>
      </c>
      <c r="G26" s="8">
        <v>7000</v>
      </c>
      <c r="H26" s="19">
        <v>165000</v>
      </c>
      <c r="I26" s="19"/>
      <c r="J26" s="19">
        <f>8811.33+8855.39</f>
        <v>17666.72</v>
      </c>
      <c r="K26" s="19">
        <f>9856.8+9906.08</f>
        <v>19762.879999999997</v>
      </c>
      <c r="L26" s="19"/>
      <c r="M26" s="19">
        <v>15000</v>
      </c>
      <c r="N26" s="19">
        <v>21000</v>
      </c>
      <c r="O26" s="7">
        <f t="shared" si="0"/>
        <v>339929.6</v>
      </c>
    </row>
    <row r="27" spans="1:15" ht="15">
      <c r="A27" s="6" t="s">
        <v>31</v>
      </c>
      <c r="B27" s="8"/>
      <c r="C27" s="8"/>
      <c r="D27" s="8"/>
      <c r="E27" s="8">
        <v>71500</v>
      </c>
      <c r="F27" s="8">
        <v>27000</v>
      </c>
      <c r="G27" s="8">
        <v>7000</v>
      </c>
      <c r="H27" s="19">
        <v>170500</v>
      </c>
      <c r="I27" s="19"/>
      <c r="J27" s="19">
        <f>8899.66+8944.16</f>
        <v>17843.82</v>
      </c>
      <c r="K27" s="19">
        <f>9955.61+10005.39</f>
        <v>19961</v>
      </c>
      <c r="L27" s="19"/>
      <c r="M27" s="19">
        <v>15500</v>
      </c>
      <c r="N27" s="19">
        <v>21500</v>
      </c>
      <c r="O27" s="7">
        <f t="shared" si="0"/>
        <v>350804.82</v>
      </c>
    </row>
    <row r="28" spans="1:15" ht="15">
      <c r="A28" s="6" t="s">
        <v>32</v>
      </c>
      <c r="B28" s="8"/>
      <c r="C28" s="8"/>
      <c r="D28" s="8"/>
      <c r="E28" s="8">
        <v>75000</v>
      </c>
      <c r="F28" s="8">
        <v>28000</v>
      </c>
      <c r="G28" s="8">
        <v>7000</v>
      </c>
      <c r="H28" s="19">
        <v>176000</v>
      </c>
      <c r="I28" s="19"/>
      <c r="J28" s="19">
        <f>8988.88+9033.83</f>
        <v>18022.71</v>
      </c>
      <c r="K28" s="19">
        <f>10055.42+10105.69</f>
        <v>20161.11</v>
      </c>
      <c r="L28" s="19"/>
      <c r="M28" s="19">
        <v>16000</v>
      </c>
      <c r="N28" s="19">
        <v>22500</v>
      </c>
      <c r="O28" s="7">
        <f t="shared" si="0"/>
        <v>362683.82</v>
      </c>
    </row>
    <row r="29" spans="1:15" ht="15">
      <c r="A29" s="6" t="s">
        <v>33</v>
      </c>
      <c r="B29" s="8"/>
      <c r="C29" s="8"/>
      <c r="D29" s="8"/>
      <c r="E29" s="8">
        <v>78000</v>
      </c>
      <c r="F29" s="8">
        <v>30000</v>
      </c>
      <c r="G29" s="8">
        <v>8000</v>
      </c>
      <c r="H29" s="19">
        <v>182000</v>
      </c>
      <c r="I29" s="19"/>
      <c r="J29" s="19">
        <f>9078.99+9124.39</f>
        <v>18203.379999999997</v>
      </c>
      <c r="K29" s="19">
        <f>10156.22+10207</f>
        <v>20363.22</v>
      </c>
      <c r="L29" s="19"/>
      <c r="M29" s="19">
        <v>16500</v>
      </c>
      <c r="N29" s="19">
        <v>23000</v>
      </c>
      <c r="O29" s="7">
        <f t="shared" si="0"/>
        <v>376066.6</v>
      </c>
    </row>
    <row r="30" spans="1:15" ht="15">
      <c r="A30" s="6" t="s">
        <v>34</v>
      </c>
      <c r="B30" s="8"/>
      <c r="C30" s="8"/>
      <c r="D30" s="8"/>
      <c r="E30" s="8">
        <v>81500</v>
      </c>
      <c r="F30" s="8">
        <v>31000</v>
      </c>
      <c r="G30" s="8">
        <v>8000</v>
      </c>
      <c r="H30" s="19">
        <v>187500</v>
      </c>
      <c r="I30" s="19"/>
      <c r="J30" s="19">
        <f>9170.01+9215.86</f>
        <v>18385.870000000003</v>
      </c>
      <c r="K30" s="19">
        <f>10258.04+10309.33</f>
        <v>20567.370000000003</v>
      </c>
      <c r="L30" s="19"/>
      <c r="M30" s="19">
        <v>17000</v>
      </c>
      <c r="N30" s="19">
        <v>23500</v>
      </c>
      <c r="O30" s="7">
        <f t="shared" si="0"/>
        <v>387453.24</v>
      </c>
    </row>
    <row r="31" spans="1:15" ht="15">
      <c r="A31" s="6" t="s">
        <v>35</v>
      </c>
      <c r="B31" s="8"/>
      <c r="C31" s="8"/>
      <c r="D31" s="8"/>
      <c r="E31" s="8">
        <v>85500</v>
      </c>
      <c r="F31" s="8">
        <v>32000</v>
      </c>
      <c r="G31" s="8">
        <v>8000</v>
      </c>
      <c r="H31" s="19">
        <v>194000</v>
      </c>
      <c r="I31" s="19"/>
      <c r="J31" s="19">
        <v>9261.8</v>
      </c>
      <c r="K31" s="19">
        <v>10361.07</v>
      </c>
      <c r="L31" s="19"/>
      <c r="M31" s="19">
        <v>17500</v>
      </c>
      <c r="N31" s="19">
        <v>24000</v>
      </c>
      <c r="O31" s="7">
        <f t="shared" si="0"/>
        <v>380622.87</v>
      </c>
    </row>
    <row r="32" spans="1:15" ht="15">
      <c r="A32" s="6" t="s">
        <v>36</v>
      </c>
      <c r="B32" s="8"/>
      <c r="C32" s="8"/>
      <c r="D32" s="8"/>
      <c r="E32" s="8">
        <v>89000</v>
      </c>
      <c r="F32" s="8">
        <v>34000</v>
      </c>
      <c r="G32" s="8">
        <v>9000</v>
      </c>
      <c r="H32" s="19">
        <v>200000</v>
      </c>
      <c r="I32" s="19"/>
      <c r="J32" s="19"/>
      <c r="K32" s="19"/>
      <c r="L32" s="19"/>
      <c r="M32" s="19">
        <v>18000</v>
      </c>
      <c r="N32" s="19">
        <v>25000</v>
      </c>
      <c r="O32" s="7">
        <f t="shared" si="0"/>
        <v>375000</v>
      </c>
    </row>
    <row r="33" spans="1:15" ht="15">
      <c r="A33" s="6" t="s">
        <v>37</v>
      </c>
      <c r="B33" s="8"/>
      <c r="C33" s="8"/>
      <c r="D33" s="8"/>
      <c r="E33" s="8">
        <v>93000</v>
      </c>
      <c r="F33" s="8">
        <v>35000</v>
      </c>
      <c r="G33" s="8">
        <v>9000</v>
      </c>
      <c r="H33" s="19">
        <v>206500</v>
      </c>
      <c r="I33" s="19"/>
      <c r="J33" s="19"/>
      <c r="K33" s="19"/>
      <c r="L33" s="19"/>
      <c r="M33" s="19">
        <v>18500</v>
      </c>
      <c r="N33" s="19">
        <v>25500</v>
      </c>
      <c r="O33" s="7">
        <f t="shared" si="0"/>
        <v>387500</v>
      </c>
    </row>
    <row r="34" spans="1:15" ht="15">
      <c r="A34" s="6" t="s">
        <v>38</v>
      </c>
      <c r="B34" s="8"/>
      <c r="C34" s="8"/>
      <c r="D34" s="8"/>
      <c r="E34" s="8">
        <v>97500</v>
      </c>
      <c r="F34" s="8">
        <v>37000</v>
      </c>
      <c r="G34" s="8">
        <v>10000</v>
      </c>
      <c r="H34" s="19">
        <v>213500</v>
      </c>
      <c r="I34" s="19"/>
      <c r="J34" s="19"/>
      <c r="K34" s="19"/>
      <c r="L34" s="19"/>
      <c r="M34" s="19">
        <v>19500</v>
      </c>
      <c r="N34" s="19">
        <v>26000</v>
      </c>
      <c r="O34" s="7">
        <f t="shared" si="0"/>
        <v>403500</v>
      </c>
    </row>
    <row r="35" spans="1:15" ht="15">
      <c r="A35" s="6" t="s">
        <v>39</v>
      </c>
      <c r="B35" s="8"/>
      <c r="C35" s="8"/>
      <c r="D35" s="8"/>
      <c r="E35" s="8">
        <v>102000</v>
      </c>
      <c r="F35" s="8">
        <v>38000</v>
      </c>
      <c r="G35" s="8">
        <v>10000</v>
      </c>
      <c r="H35" s="19">
        <v>220500</v>
      </c>
      <c r="I35" s="19"/>
      <c r="J35" s="19"/>
      <c r="K35" s="19"/>
      <c r="L35" s="19"/>
      <c r="M35" s="19">
        <v>20000</v>
      </c>
      <c r="N35" s="19">
        <v>27000</v>
      </c>
      <c r="O35" s="7">
        <f t="shared" si="0"/>
        <v>417500</v>
      </c>
    </row>
    <row r="36" spans="1:15" ht="15">
      <c r="A36" s="6" t="s">
        <v>40</v>
      </c>
      <c r="B36" s="8"/>
      <c r="C36" s="8"/>
      <c r="D36" s="8"/>
      <c r="E36" s="8">
        <v>106500</v>
      </c>
      <c r="F36" s="8">
        <v>39000</v>
      </c>
      <c r="G36" s="8">
        <v>10000</v>
      </c>
      <c r="H36" s="19">
        <v>227500</v>
      </c>
      <c r="I36" s="19"/>
      <c r="J36" s="19"/>
      <c r="K36" s="19"/>
      <c r="L36" s="19"/>
      <c r="M36" s="19">
        <v>20500</v>
      </c>
      <c r="N36" s="19">
        <v>27500</v>
      </c>
      <c r="O36" s="7">
        <f t="shared" si="0"/>
        <v>431000</v>
      </c>
    </row>
    <row r="37" spans="1:15" ht="15">
      <c r="A37" s="6" t="s">
        <v>41</v>
      </c>
      <c r="B37" s="8"/>
      <c r="C37" s="8"/>
      <c r="D37" s="8"/>
      <c r="E37" s="8">
        <v>111000</v>
      </c>
      <c r="F37" s="8">
        <v>41000</v>
      </c>
      <c r="G37" s="8">
        <v>11000</v>
      </c>
      <c r="H37" s="19">
        <v>235000</v>
      </c>
      <c r="I37" s="19"/>
      <c r="J37" s="19"/>
      <c r="K37" s="19"/>
      <c r="L37" s="19"/>
      <c r="M37" s="19">
        <v>21500</v>
      </c>
      <c r="N37" s="19">
        <v>28500</v>
      </c>
      <c r="O37" s="7">
        <f t="shared" si="0"/>
        <v>448000</v>
      </c>
    </row>
    <row r="38" spans="1:15" ht="15">
      <c r="A38" s="6" t="s">
        <v>42</v>
      </c>
      <c r="B38" s="8"/>
      <c r="C38" s="8"/>
      <c r="D38" s="8"/>
      <c r="E38" s="8">
        <v>116000</v>
      </c>
      <c r="F38" s="8">
        <v>43000</v>
      </c>
      <c r="G38" s="8">
        <v>11000</v>
      </c>
      <c r="H38" s="19">
        <v>242500</v>
      </c>
      <c r="I38" s="19"/>
      <c r="J38" s="19"/>
      <c r="K38" s="19"/>
      <c r="L38" s="19"/>
      <c r="M38" s="19">
        <v>22000</v>
      </c>
      <c r="N38" s="19">
        <v>29000</v>
      </c>
      <c r="O38" s="7">
        <f t="shared" si="0"/>
        <v>463500</v>
      </c>
    </row>
    <row r="39" spans="1:15" ht="15">
      <c r="A39" s="6" t="s">
        <v>43</v>
      </c>
      <c r="B39" s="8"/>
      <c r="C39" s="8"/>
      <c r="D39" s="8"/>
      <c r="E39" s="8">
        <v>121500</v>
      </c>
      <c r="F39" s="8">
        <v>45000</v>
      </c>
      <c r="G39" s="8">
        <v>12000</v>
      </c>
      <c r="H39" s="19">
        <v>250500</v>
      </c>
      <c r="I39" s="19"/>
      <c r="J39" s="19"/>
      <c r="K39" s="19"/>
      <c r="L39" s="19"/>
      <c r="M39" s="19">
        <v>23000</v>
      </c>
      <c r="N39" s="19">
        <v>30000</v>
      </c>
      <c r="O39" s="7">
        <f t="shared" si="0"/>
        <v>482000</v>
      </c>
    </row>
    <row r="40" spans="1:15" ht="15">
      <c r="A40" s="6" t="s">
        <v>44</v>
      </c>
      <c r="B40" s="8"/>
      <c r="C40" s="8"/>
      <c r="D40" s="8"/>
      <c r="E40" s="8">
        <v>127000</v>
      </c>
      <c r="F40" s="8">
        <v>47000</v>
      </c>
      <c r="G40" s="8">
        <v>13000</v>
      </c>
      <c r="H40" s="19">
        <v>258500</v>
      </c>
      <c r="I40" s="19"/>
      <c r="J40" s="19"/>
      <c r="K40" s="19"/>
      <c r="L40" s="19"/>
      <c r="M40" s="19">
        <v>23500</v>
      </c>
      <c r="N40" s="19">
        <v>31000</v>
      </c>
      <c r="O40" s="7">
        <f t="shared" si="0"/>
        <v>500000</v>
      </c>
    </row>
    <row r="41" spans="1:15" ht="15">
      <c r="A41" s="6" t="s">
        <v>45</v>
      </c>
      <c r="B41" s="8"/>
      <c r="C41" s="8"/>
      <c r="D41" s="8"/>
      <c r="E41" s="8">
        <v>133000</v>
      </c>
      <c r="F41" s="8"/>
      <c r="G41" s="8"/>
      <c r="H41" s="19">
        <v>267000</v>
      </c>
      <c r="I41" s="19"/>
      <c r="J41" s="19"/>
      <c r="K41" s="19"/>
      <c r="L41" s="19"/>
      <c r="M41" s="19">
        <v>24500</v>
      </c>
      <c r="N41" s="19">
        <v>31500</v>
      </c>
      <c r="O41" s="7">
        <f t="shared" si="0"/>
        <v>456000</v>
      </c>
    </row>
    <row r="42" spans="1:15" ht="15">
      <c r="A42" s="17">
        <v>2045</v>
      </c>
      <c r="B42" s="8"/>
      <c r="C42" s="8"/>
      <c r="D42" s="8"/>
      <c r="E42" s="8"/>
      <c r="F42" s="8"/>
      <c r="G42" s="8"/>
      <c r="H42" s="19">
        <v>275500</v>
      </c>
      <c r="I42" s="19"/>
      <c r="J42" s="19"/>
      <c r="K42" s="19"/>
      <c r="L42" s="19"/>
      <c r="M42" s="19">
        <v>25000</v>
      </c>
      <c r="N42" s="19">
        <v>32500</v>
      </c>
      <c r="O42" s="7">
        <f t="shared" si="0"/>
        <v>333000</v>
      </c>
    </row>
    <row r="43" spans="1:15" ht="15">
      <c r="A43" s="17">
        <v>2046</v>
      </c>
      <c r="B43" s="8"/>
      <c r="C43" s="8"/>
      <c r="D43" s="8"/>
      <c r="E43" s="8"/>
      <c r="F43" s="8"/>
      <c r="G43" s="8"/>
      <c r="H43" s="19">
        <v>284500</v>
      </c>
      <c r="I43" s="19"/>
      <c r="J43" s="19"/>
      <c r="K43" s="19"/>
      <c r="L43" s="19"/>
      <c r="M43" s="19">
        <v>26000</v>
      </c>
      <c r="N43" s="19">
        <v>33500</v>
      </c>
      <c r="O43" s="7">
        <f t="shared" si="0"/>
        <v>344000</v>
      </c>
    </row>
    <row r="44" spans="1:15" ht="15">
      <c r="A44" s="17">
        <v>2047</v>
      </c>
      <c r="B44" s="8"/>
      <c r="C44" s="8"/>
      <c r="D44" s="8"/>
      <c r="E44" s="8"/>
      <c r="F44" s="8"/>
      <c r="G44" s="8"/>
      <c r="H44" s="19">
        <v>294000</v>
      </c>
      <c r="I44" s="19"/>
      <c r="J44" s="19"/>
      <c r="K44" s="19"/>
      <c r="L44" s="19"/>
      <c r="M44" s="19">
        <v>27000</v>
      </c>
      <c r="N44" s="19">
        <v>34500</v>
      </c>
      <c r="O44" s="7">
        <f t="shared" si="0"/>
        <v>355500</v>
      </c>
    </row>
    <row r="45" spans="1:15" ht="15">
      <c r="A45" s="17">
        <v>2048</v>
      </c>
      <c r="B45" s="8"/>
      <c r="C45" s="8"/>
      <c r="D45" s="8"/>
      <c r="E45" s="8"/>
      <c r="F45" s="8"/>
      <c r="G45" s="8"/>
      <c r="H45" s="19">
        <v>303500</v>
      </c>
      <c r="I45" s="19"/>
      <c r="J45" s="19"/>
      <c r="K45" s="19"/>
      <c r="L45" s="19"/>
      <c r="M45" s="19">
        <v>28000</v>
      </c>
      <c r="N45" s="19">
        <v>35500</v>
      </c>
      <c r="O45" s="7">
        <f t="shared" si="0"/>
        <v>367000</v>
      </c>
    </row>
    <row r="46" spans="1:15" ht="15">
      <c r="A46" s="17">
        <v>2049</v>
      </c>
      <c r="B46" s="8"/>
      <c r="C46" s="8"/>
      <c r="D46" s="8"/>
      <c r="E46" s="8"/>
      <c r="F46" s="8"/>
      <c r="G46" s="8"/>
      <c r="H46" s="19">
        <v>313000</v>
      </c>
      <c r="I46" s="19"/>
      <c r="J46" s="19"/>
      <c r="K46" s="19"/>
      <c r="L46" s="19"/>
      <c r="M46" s="19">
        <v>29000</v>
      </c>
      <c r="N46" s="19">
        <v>36500</v>
      </c>
      <c r="O46" s="7">
        <f t="shared" si="0"/>
        <v>378500</v>
      </c>
    </row>
    <row r="47" spans="1:15" ht="15">
      <c r="A47" s="17">
        <v>2050</v>
      </c>
      <c r="B47" s="8"/>
      <c r="C47" s="8"/>
      <c r="D47" s="8"/>
      <c r="F47" s="8"/>
      <c r="G47" s="8"/>
      <c r="H47" s="19">
        <v>323500</v>
      </c>
      <c r="I47" s="19"/>
      <c r="J47" s="19"/>
      <c r="K47" s="19"/>
      <c r="L47" s="19"/>
      <c r="M47" s="19">
        <v>30000</v>
      </c>
      <c r="N47" s="19">
        <v>37500</v>
      </c>
      <c r="O47" s="7">
        <f t="shared" si="0"/>
        <v>391000</v>
      </c>
    </row>
    <row r="48" spans="1:15" ht="15">
      <c r="A48" s="17">
        <v>2051</v>
      </c>
      <c r="B48" s="8"/>
      <c r="C48" s="8"/>
      <c r="D48" s="8"/>
      <c r="F48" s="8"/>
      <c r="G48" s="8"/>
      <c r="H48" s="19">
        <v>334000</v>
      </c>
      <c r="I48" s="19"/>
      <c r="J48" s="19"/>
      <c r="K48" s="19"/>
      <c r="L48" s="19"/>
      <c r="M48" s="19">
        <v>31000</v>
      </c>
      <c r="N48" s="19">
        <v>38500</v>
      </c>
      <c r="O48" s="7">
        <f t="shared" si="0"/>
        <v>403500</v>
      </c>
    </row>
    <row r="49" spans="1:15" ht="15">
      <c r="A49" s="17">
        <v>2052</v>
      </c>
      <c r="B49" s="8"/>
      <c r="C49" s="8"/>
      <c r="D49" s="8"/>
      <c r="F49" s="8"/>
      <c r="G49" s="8"/>
      <c r="H49" s="19">
        <v>340500</v>
      </c>
      <c r="I49" s="19"/>
      <c r="J49" s="19"/>
      <c r="K49" s="19"/>
      <c r="L49" s="19"/>
      <c r="M49" s="19">
        <v>32000</v>
      </c>
      <c r="N49" s="19">
        <v>39500</v>
      </c>
      <c r="O49" s="7">
        <f t="shared" si="0"/>
        <v>412000</v>
      </c>
    </row>
    <row r="50" spans="1:15" ht="15">
      <c r="A50" s="17">
        <v>2053</v>
      </c>
      <c r="B50" s="8"/>
      <c r="C50" s="8"/>
      <c r="D50" s="8"/>
      <c r="F50" s="8"/>
      <c r="G50" s="8"/>
      <c r="H50" s="19"/>
      <c r="I50" s="19"/>
      <c r="J50" s="19"/>
      <c r="K50" s="19"/>
      <c r="L50" s="19"/>
      <c r="M50" s="19">
        <v>33000</v>
      </c>
      <c r="N50" s="19">
        <v>40500</v>
      </c>
      <c r="O50" s="7">
        <f t="shared" si="0"/>
        <v>73500</v>
      </c>
    </row>
    <row r="51" spans="1:15" ht="15">
      <c r="A51" s="17">
        <v>2054</v>
      </c>
      <c r="H51" s="19"/>
      <c r="M51" s="2">
        <v>30000</v>
      </c>
      <c r="N51" s="2">
        <v>42000</v>
      </c>
      <c r="O51" s="7">
        <f t="shared" si="0"/>
        <v>72000</v>
      </c>
    </row>
    <row r="52" spans="1:15" ht="13.5" thickBot="1">
      <c r="A52" s="6"/>
      <c r="B52" s="9">
        <f>SUM(B12:B47)</f>
        <v>1060065.82</v>
      </c>
      <c r="C52" s="9">
        <f>SUM(C12:C47)</f>
        <v>13960</v>
      </c>
      <c r="D52" s="9">
        <f>SUM(D12:D47)</f>
        <v>1490922</v>
      </c>
      <c r="E52" s="9">
        <f>SUM(E12:E41)</f>
        <v>2219000</v>
      </c>
      <c r="F52" s="9">
        <f>SUM(F12:F47)</f>
        <v>785000</v>
      </c>
      <c r="G52" s="9">
        <f>SUM(G12:G47)</f>
        <v>205000</v>
      </c>
      <c r="H52" s="9">
        <f>SUM(H13:H51)</f>
        <v>7594500</v>
      </c>
      <c r="I52" s="9">
        <f>SUM(I13:I48)</f>
        <v>855000</v>
      </c>
      <c r="J52" s="9">
        <f>SUM(J13:J51)</f>
        <v>313711.18999999994</v>
      </c>
      <c r="K52" s="9">
        <f>SUM(K13:K48)</f>
        <v>350933.89999999997</v>
      </c>
      <c r="L52" s="9"/>
      <c r="M52" s="9">
        <f>SUM(M13:M51)</f>
        <v>744000</v>
      </c>
      <c r="N52" s="9">
        <f>SUM(N13:N51)</f>
        <v>1000000</v>
      </c>
      <c r="O52" s="9">
        <f>SUM(O12:O51)</f>
        <v>16971062.939999998</v>
      </c>
    </row>
    <row r="53" spans="1:15" ht="13.5" thickTop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3" t="s">
        <v>47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67"/>
      <c r="N56" s="67"/>
      <c r="O56" s="7"/>
    </row>
    <row r="57" spans="1:15" s="15" customFormat="1" ht="12.75">
      <c r="A57" s="13" t="s">
        <v>3</v>
      </c>
      <c r="B57" s="14" t="s">
        <v>5</v>
      </c>
      <c r="C57" s="14" t="s">
        <v>56</v>
      </c>
      <c r="D57" s="14" t="s">
        <v>8</v>
      </c>
      <c r="E57" s="14">
        <v>2005</v>
      </c>
      <c r="F57" s="14" t="s">
        <v>9</v>
      </c>
      <c r="G57" s="14" t="s">
        <v>10</v>
      </c>
      <c r="H57" s="14">
        <v>2011</v>
      </c>
      <c r="I57" s="14" t="s">
        <v>67</v>
      </c>
      <c r="J57" s="14" t="s">
        <v>71</v>
      </c>
      <c r="K57" s="14" t="s">
        <v>73</v>
      </c>
      <c r="L57" s="14"/>
      <c r="M57" s="14" t="s">
        <v>76</v>
      </c>
      <c r="N57" s="14" t="s">
        <v>77</v>
      </c>
      <c r="O57" s="14" t="s">
        <v>11</v>
      </c>
    </row>
    <row r="58" spans="1:15" ht="15">
      <c r="A58" s="6"/>
      <c r="B58" s="7"/>
      <c r="C58" s="7"/>
      <c r="D58" s="7"/>
      <c r="E58" s="7"/>
      <c r="F58" s="7"/>
      <c r="G58" s="7"/>
      <c r="H58" s="18"/>
      <c r="I58" s="18"/>
      <c r="J58" s="18"/>
      <c r="K58" s="18"/>
      <c r="L58" s="18"/>
      <c r="M58" s="18"/>
      <c r="N58" s="18"/>
      <c r="O58" s="7"/>
    </row>
    <row r="59" spans="1:15" ht="15">
      <c r="A59" s="6" t="s">
        <v>17</v>
      </c>
      <c r="B59" s="7">
        <f>11784.18+11451.08+11114.28+10773.73</f>
        <v>45123.270000000004</v>
      </c>
      <c r="C59" s="7">
        <v>102.97</v>
      </c>
      <c r="D59" s="7">
        <v>17386</v>
      </c>
      <c r="E59" s="7">
        <v>90740</v>
      </c>
      <c r="F59" s="7">
        <v>34988</v>
      </c>
      <c r="G59" s="7">
        <v>9135</v>
      </c>
      <c r="H59" s="18">
        <f>104424.38+102925.63</f>
        <v>207350.01</v>
      </c>
      <c r="I59" s="18">
        <f>9870+9870</f>
        <v>19740</v>
      </c>
      <c r="J59" s="18">
        <f>1568.56+392.14+1529.86+382.46</f>
        <v>3873.0199999999995</v>
      </c>
      <c r="K59" s="18">
        <f>1754.67+350.93+1711.38+342.28</f>
        <v>4159.26</v>
      </c>
      <c r="L59" s="18"/>
      <c r="M59" s="18">
        <f>12090+12090</f>
        <v>24180</v>
      </c>
      <c r="N59" s="18">
        <f>13750+13750</f>
        <v>27500</v>
      </c>
      <c r="O59" s="7">
        <f aca="true" t="shared" si="1" ref="O59:O97">SUM(B59:N59)</f>
        <v>484277.53</v>
      </c>
    </row>
    <row r="60" spans="1:15" ht="15">
      <c r="A60" s="6" t="s">
        <v>18</v>
      </c>
      <c r="B60" s="7">
        <f>10429.4+10081.24+9729.21+9373.26</f>
        <v>39613.11</v>
      </c>
      <c r="C60" s="7"/>
      <c r="D60" s="7">
        <v>15354</v>
      </c>
      <c r="E60" s="8">
        <v>89110</v>
      </c>
      <c r="F60" s="7">
        <v>34312</v>
      </c>
      <c r="G60" s="7">
        <v>8955</v>
      </c>
      <c r="H60" s="18">
        <f>102925.63+101378.75</f>
        <v>204304.38</v>
      </c>
      <c r="I60" s="18">
        <f>8030+8030</f>
        <v>16060</v>
      </c>
      <c r="J60" s="18">
        <f>1490.97+372.74+1451.88+362.97</f>
        <v>3678.5600000000004</v>
      </c>
      <c r="K60" s="18">
        <f>1667.87+333.57+1624.15+324.83</f>
        <v>3950.42</v>
      </c>
      <c r="L60" s="18"/>
      <c r="M60" s="18">
        <f>12090+11927.5</f>
        <v>24017.5</v>
      </c>
      <c r="N60" s="18">
        <f>13750+13543.75</f>
        <v>27293.75</v>
      </c>
      <c r="O60" s="7">
        <f t="shared" si="1"/>
        <v>466648.72</v>
      </c>
    </row>
    <row r="61" spans="1:15" ht="15">
      <c r="A61" s="6" t="s">
        <v>19</v>
      </c>
      <c r="B61" s="7">
        <f>9013.36+8649.46+8281.51+7909.47</f>
        <v>33853.8</v>
      </c>
      <c r="C61" s="7"/>
      <c r="D61" s="7">
        <v>13301</v>
      </c>
      <c r="E61" s="8">
        <v>87409</v>
      </c>
      <c r="F61" s="7">
        <v>33615</v>
      </c>
      <c r="G61" s="7">
        <v>8775</v>
      </c>
      <c r="H61" s="18">
        <f>101378.75+99783.75</f>
        <v>201162.5</v>
      </c>
      <c r="I61" s="18">
        <f>6132.5+6132.5</f>
        <v>12265</v>
      </c>
      <c r="J61" s="18">
        <f>1412.6+353.15+1373.12+343.28</f>
        <v>3482.1499999999996</v>
      </c>
      <c r="K61" s="18">
        <f>1580.2+316.04+1536.04+307.21</f>
        <v>3739.49</v>
      </c>
      <c r="L61" s="18"/>
      <c r="M61" s="18">
        <f>11927.5+11756.88</f>
        <v>23684.379999999997</v>
      </c>
      <c r="N61" s="18">
        <f>13543.75+13330.63</f>
        <v>26874.379999999997</v>
      </c>
      <c r="O61" s="7">
        <f t="shared" si="1"/>
        <v>448161.7</v>
      </c>
    </row>
    <row r="62" spans="1:15" ht="15">
      <c r="A62" s="6" t="s">
        <v>20</v>
      </c>
      <c r="B62" s="8">
        <f>7533.3+7152.95+6768.36+6379.51</f>
        <v>27834.120000000003</v>
      </c>
      <c r="C62" s="8"/>
      <c r="D62" s="8">
        <v>11228</v>
      </c>
      <c r="E62" s="8">
        <v>85635</v>
      </c>
      <c r="F62" s="8">
        <v>32872</v>
      </c>
      <c r="G62" s="8">
        <v>8595</v>
      </c>
      <c r="H62" s="18">
        <f>99783.75+98133.75</f>
        <v>197917.5</v>
      </c>
      <c r="I62" s="18">
        <f>4177.5+4177.5</f>
        <v>8355</v>
      </c>
      <c r="J62" s="18">
        <f>1333.44+333.36+1293.57+323.39</f>
        <v>3283.7599999999998</v>
      </c>
      <c r="K62" s="18">
        <f>1491.66+298.33+1447.05+289.41</f>
        <v>3526.45</v>
      </c>
      <c r="L62" s="18"/>
      <c r="M62" s="18">
        <f>11756.88+11586.25</f>
        <v>23343.129999999997</v>
      </c>
      <c r="N62" s="18">
        <f>13330.63+13110.63</f>
        <v>26441.26</v>
      </c>
      <c r="O62" s="7">
        <f t="shared" si="1"/>
        <v>429031.22000000003</v>
      </c>
    </row>
    <row r="63" spans="1:15" ht="15">
      <c r="A63" s="6" t="s">
        <v>21</v>
      </c>
      <c r="B63" s="8">
        <f>5986.33+5588.77+5186.8+4780.36</f>
        <v>21542.260000000002</v>
      </c>
      <c r="C63" s="8"/>
      <c r="D63" s="8">
        <v>9136</v>
      </c>
      <c r="E63" s="8">
        <v>83779</v>
      </c>
      <c r="F63" s="8">
        <v>32108</v>
      </c>
      <c r="G63" s="8">
        <v>8392</v>
      </c>
      <c r="H63" s="18">
        <f>98133.75+96428.75</f>
        <v>194562.5</v>
      </c>
      <c r="I63" s="18">
        <f>2222.5+2222.5</f>
        <v>4445</v>
      </c>
      <c r="J63" s="18">
        <f>1253.5+313.37+1213.22+303.31</f>
        <v>3083.4</v>
      </c>
      <c r="K63" s="18">
        <f>1402.23+280.45+1357.17+271.43</f>
        <v>3311.28</v>
      </c>
      <c r="L63" s="18"/>
      <c r="M63" s="18">
        <f>11586.25+11407.5</f>
        <v>22993.75</v>
      </c>
      <c r="N63" s="18">
        <f>13110.63+12883.75</f>
        <v>25994.379999999997</v>
      </c>
      <c r="O63" s="7">
        <f t="shared" si="1"/>
        <v>409347.57000000007</v>
      </c>
    </row>
    <row r="64" spans="1:15" ht="15">
      <c r="A64" s="6" t="s">
        <v>22</v>
      </c>
      <c r="B64" s="8">
        <f>4369.41+3953.88+3533.74+3108.92</f>
        <v>14965.95</v>
      </c>
      <c r="C64" s="8"/>
      <c r="D64" s="8">
        <v>7020</v>
      </c>
      <c r="E64" s="8">
        <v>81840</v>
      </c>
      <c r="F64" s="8">
        <v>31320</v>
      </c>
      <c r="G64" s="8">
        <v>8167</v>
      </c>
      <c r="H64" s="18">
        <f>96428.75+94668.75</f>
        <v>191097.5</v>
      </c>
      <c r="I64" s="18">
        <f>210+210</f>
        <v>420</v>
      </c>
      <c r="J64" s="18">
        <f>1172.75+293.19+1132.07+283.02</f>
        <v>2881.03</v>
      </c>
      <c r="K64" s="18">
        <f>1311.9+262.38+1266.39+253.28</f>
        <v>3093.9500000000003</v>
      </c>
      <c r="L64" s="18"/>
      <c r="M64" s="18">
        <f>11407.5+11220.63</f>
        <v>22628.129999999997</v>
      </c>
      <c r="N64" s="18">
        <f>12883.75+12650</f>
        <v>25533.75</v>
      </c>
      <c r="O64" s="7">
        <f t="shared" si="1"/>
        <v>388967.31000000006</v>
      </c>
    </row>
    <row r="65" spans="1:15" ht="15">
      <c r="A65" s="6" t="s">
        <v>23</v>
      </c>
      <c r="B65" s="8">
        <f>2679.38+2245.07+1805.93+1361.9</f>
        <v>8092.280000000001</v>
      </c>
      <c r="C65" s="8"/>
      <c r="D65" s="8">
        <v>4884</v>
      </c>
      <c r="E65" s="8">
        <v>79808</v>
      </c>
      <c r="F65" s="8">
        <v>30488</v>
      </c>
      <c r="G65" s="8">
        <v>7943</v>
      </c>
      <c r="H65" s="18">
        <f>94668.75+92853.75</f>
        <v>187522.5</v>
      </c>
      <c r="I65" s="18"/>
      <c r="J65" s="18">
        <f>1091.19+272.8+1050.1+262.53</f>
        <v>2676.62</v>
      </c>
      <c r="K65" s="18">
        <f>1220.66+244.13+1174.7+234.94</f>
        <v>2874.43</v>
      </c>
      <c r="L65" s="18"/>
      <c r="M65" s="18">
        <f>11220.63+11033.75</f>
        <v>22254.379999999997</v>
      </c>
      <c r="N65" s="18">
        <f>12650+12409.38</f>
        <v>25059.379999999997</v>
      </c>
      <c r="O65" s="7">
        <f t="shared" si="1"/>
        <v>371602.59</v>
      </c>
    </row>
    <row r="66" spans="1:15" ht="15">
      <c r="A66" s="6" t="s">
        <v>24</v>
      </c>
      <c r="B66" s="8">
        <f>912.95+458.94</f>
        <v>1371.89</v>
      </c>
      <c r="C66" s="8"/>
      <c r="D66" s="8">
        <v>2726</v>
      </c>
      <c r="E66" s="8">
        <v>77684</v>
      </c>
      <c r="F66" s="8">
        <v>29610</v>
      </c>
      <c r="G66" s="8">
        <v>7718</v>
      </c>
      <c r="H66" s="18">
        <f>92853.75+90976.88</f>
        <v>183830.63</v>
      </c>
      <c r="I66" s="18"/>
      <c r="J66" s="18">
        <f>1008.81+252.2+967.32+241.83</f>
        <v>2470.16</v>
      </c>
      <c r="K66" s="18">
        <f>1128.51+225.7+1082.09+216.42</f>
        <v>2652.7200000000003</v>
      </c>
      <c r="L66" s="18"/>
      <c r="M66" s="18">
        <f>11033.75+10838.75</f>
        <v>21872.5</v>
      </c>
      <c r="N66" s="18">
        <f>12409.38+12161.88</f>
        <v>24571.26</v>
      </c>
      <c r="O66" s="7">
        <f t="shared" si="1"/>
        <v>354507.16</v>
      </c>
    </row>
    <row r="67" spans="1:15" ht="15">
      <c r="A67" s="6" t="s">
        <v>25</v>
      </c>
      <c r="B67" s="8"/>
      <c r="C67" s="8"/>
      <c r="D67" s="8">
        <v>547</v>
      </c>
      <c r="E67" s="8">
        <v>75467</v>
      </c>
      <c r="F67" s="8">
        <v>28687</v>
      </c>
      <c r="G67" s="8">
        <v>7493</v>
      </c>
      <c r="H67" s="18">
        <f>90976.88+89038.13</f>
        <v>180015.01</v>
      </c>
      <c r="I67" s="18"/>
      <c r="J67" s="18">
        <f>925.61+231.4+883.7+220.92</f>
        <v>2261.63</v>
      </c>
      <c r="K67" s="18">
        <f>1035.44+207.09+988.55+197.71</f>
        <v>2428.79</v>
      </c>
      <c r="L67" s="18"/>
      <c r="M67" s="18">
        <f>10838.75+10635.63</f>
        <v>21474.379999999997</v>
      </c>
      <c r="N67" s="18">
        <f>12161.88+11907.5</f>
        <v>24069.379999999997</v>
      </c>
      <c r="O67" s="7">
        <f t="shared" si="1"/>
        <v>342443.19</v>
      </c>
    </row>
    <row r="68" spans="1:15" ht="15">
      <c r="A68" s="6" t="s">
        <v>26</v>
      </c>
      <c r="B68" s="8"/>
      <c r="C68" s="8"/>
      <c r="D68" s="8"/>
      <c r="E68" s="8">
        <v>73147</v>
      </c>
      <c r="F68" s="8">
        <v>27720</v>
      </c>
      <c r="G68" s="8">
        <v>7245</v>
      </c>
      <c r="H68" s="18">
        <f>89038.13+87037.5</f>
        <v>176075.63</v>
      </c>
      <c r="I68" s="18"/>
      <c r="J68" s="18">
        <f>841.57+210.39+799.24+199.81</f>
        <v>2051.01</v>
      </c>
      <c r="K68" s="18">
        <f>941.43+188.29+894.07+178.81</f>
        <v>2202.6</v>
      </c>
      <c r="L68" s="18"/>
      <c r="M68" s="18">
        <f>10635.63+10424.38</f>
        <v>21060.01</v>
      </c>
      <c r="N68" s="18">
        <f>11907.5+11646.25</f>
        <v>23553.75</v>
      </c>
      <c r="O68" s="7">
        <f t="shared" si="1"/>
        <v>333055</v>
      </c>
    </row>
    <row r="69" spans="1:15" ht="15">
      <c r="A69" s="6" t="s">
        <v>27</v>
      </c>
      <c r="B69" s="8"/>
      <c r="C69" s="8"/>
      <c r="D69" s="8"/>
      <c r="E69" s="8">
        <v>70723</v>
      </c>
      <c r="F69" s="8">
        <v>26708</v>
      </c>
      <c r="G69" s="8">
        <v>6975</v>
      </c>
      <c r="H69" s="18">
        <f>87037.5+84975</f>
        <v>172012.5</v>
      </c>
      <c r="I69" s="18"/>
      <c r="J69" s="18">
        <f>756.7+189.17+713.94+178.48</f>
        <v>1838.29</v>
      </c>
      <c r="K69" s="18">
        <f>846.48+169.3+798.65+159.73</f>
        <v>1974.1599999999999</v>
      </c>
      <c r="L69" s="18"/>
      <c r="M69" s="18">
        <f>10424.38+10205</f>
        <v>20629.379999999997</v>
      </c>
      <c r="N69" s="18">
        <f>11646.25+11378.13</f>
        <v>23024.379999999997</v>
      </c>
      <c r="O69" s="7">
        <f t="shared" si="1"/>
        <v>323884.70999999996</v>
      </c>
    </row>
    <row r="70" spans="1:15" ht="15">
      <c r="A70" s="6" t="s">
        <v>28</v>
      </c>
      <c r="B70" s="8"/>
      <c r="C70" s="8"/>
      <c r="D70" s="8"/>
      <c r="E70" s="8">
        <v>68197</v>
      </c>
      <c r="F70" s="8">
        <v>25650</v>
      </c>
      <c r="G70" s="8">
        <v>6705</v>
      </c>
      <c r="H70" s="18">
        <f>84975+82843.75</f>
        <v>167818.75</v>
      </c>
      <c r="I70" s="18"/>
      <c r="J70" s="18">
        <f>670.97+167.74+627.78+156.95</f>
        <v>1623.44</v>
      </c>
      <c r="K70" s="18">
        <f>750.58+150.12+702.27+140.45</f>
        <v>1743.42</v>
      </c>
      <c r="L70" s="18"/>
      <c r="M70" s="18">
        <f>10205+9977.5</f>
        <v>20182.5</v>
      </c>
      <c r="N70" s="18">
        <f>11378.13+11103.13</f>
        <v>22481.26</v>
      </c>
      <c r="O70" s="7">
        <f t="shared" si="1"/>
        <v>314401.37</v>
      </c>
    </row>
    <row r="71" spans="1:15" ht="15">
      <c r="A71" s="6" t="s">
        <v>29</v>
      </c>
      <c r="B71" s="8"/>
      <c r="C71" s="8"/>
      <c r="D71" s="8"/>
      <c r="E71" s="8">
        <v>65557</v>
      </c>
      <c r="F71" s="8">
        <v>24548</v>
      </c>
      <c r="G71" s="8">
        <v>6435</v>
      </c>
      <c r="H71" s="18">
        <f>82843.75+80643.75</f>
        <v>163487.5</v>
      </c>
      <c r="I71" s="18"/>
      <c r="J71" s="18">
        <f>584.38+146.09+540.76+135.19</f>
        <v>1406.42</v>
      </c>
      <c r="K71" s="18">
        <f>653.72+130.74+604.92+120.98</f>
        <v>1510.3600000000001</v>
      </c>
      <c r="L71" s="18"/>
      <c r="M71" s="18">
        <f>9977.5+9741.88</f>
        <v>19719.379999999997</v>
      </c>
      <c r="N71" s="18">
        <f>11103.13+10821.25</f>
        <v>21924.379999999997</v>
      </c>
      <c r="O71" s="7">
        <f t="shared" si="1"/>
        <v>304588.04000000004</v>
      </c>
    </row>
    <row r="72" spans="1:15" ht="15">
      <c r="A72" s="6" t="s">
        <v>30</v>
      </c>
      <c r="B72" s="8"/>
      <c r="C72" s="8"/>
      <c r="D72" s="8"/>
      <c r="E72" s="8">
        <v>62793</v>
      </c>
      <c r="F72" s="8">
        <v>23400</v>
      </c>
      <c r="G72" s="8">
        <v>6143</v>
      </c>
      <c r="H72" s="18">
        <f>80643.75+78375</f>
        <v>159018.75</v>
      </c>
      <c r="I72" s="18"/>
      <c r="J72" s="18">
        <f>496.952+124.23+452.86+113.22</f>
        <v>1187.262</v>
      </c>
      <c r="K72" s="18">
        <f>555.88+111.18+506.6+101.32</f>
        <v>1274.9799999999998</v>
      </c>
      <c r="L72" s="18"/>
      <c r="M72" s="18">
        <f>9741.88+9498.13</f>
        <v>19240.01</v>
      </c>
      <c r="N72" s="18">
        <f>10821.25+10532.5</f>
        <v>21353.75</v>
      </c>
      <c r="O72" s="7">
        <f t="shared" si="1"/>
        <v>294410.752</v>
      </c>
    </row>
    <row r="73" spans="1:15" ht="15">
      <c r="A73" s="6" t="s">
        <v>31</v>
      </c>
      <c r="B73" s="8"/>
      <c r="C73" s="8"/>
      <c r="D73" s="8"/>
      <c r="E73" s="8">
        <v>59905</v>
      </c>
      <c r="F73" s="8">
        <v>22208</v>
      </c>
      <c r="G73" s="8">
        <v>5827</v>
      </c>
      <c r="H73" s="18">
        <f>79375+76030.63</f>
        <v>155405.63</v>
      </c>
      <c r="I73" s="18"/>
      <c r="J73" s="18">
        <f>408.59+102.15+364.09+91.02</f>
        <v>965.8499999999999</v>
      </c>
      <c r="K73" s="18">
        <f>457.07+91.41+407.29+81.46</f>
        <v>1037.23</v>
      </c>
      <c r="L73" s="18"/>
      <c r="M73" s="18">
        <f>9498.13+9246.25</f>
        <v>18744.379999999997</v>
      </c>
      <c r="N73" s="18">
        <f>10532.5+10236.88</f>
        <v>20769.379999999997</v>
      </c>
      <c r="O73" s="7">
        <f t="shared" si="1"/>
        <v>284862.47000000003</v>
      </c>
    </row>
    <row r="74" spans="1:15" ht="15">
      <c r="A74" s="6" t="s">
        <v>32</v>
      </c>
      <c r="B74" s="8"/>
      <c r="C74" s="8"/>
      <c r="D74" s="8"/>
      <c r="E74" s="8">
        <v>56884</v>
      </c>
      <c r="F74" s="8">
        <v>20970</v>
      </c>
      <c r="G74" s="8">
        <v>5513</v>
      </c>
      <c r="H74" s="18">
        <f>76030.63+73610.63</f>
        <v>149641.26</v>
      </c>
      <c r="I74" s="18"/>
      <c r="J74" s="18">
        <f>319.37+79.384+274.42+68.61</f>
        <v>741.784</v>
      </c>
      <c r="K74" s="18">
        <f>357.26+71.45+306.99+61.4</f>
        <v>797.1</v>
      </c>
      <c r="L74" s="18"/>
      <c r="M74" s="18">
        <f>9246.25+8986.25</f>
        <v>18232.5</v>
      </c>
      <c r="N74" s="18">
        <f>10236.88+9927.5</f>
        <v>20164.379999999997</v>
      </c>
      <c r="O74" s="7">
        <f t="shared" si="1"/>
        <v>272944.02400000003</v>
      </c>
    </row>
    <row r="75" spans="1:15" ht="15">
      <c r="A75" s="6" t="s">
        <v>33</v>
      </c>
      <c r="B75" s="8"/>
      <c r="C75" s="8"/>
      <c r="D75" s="8"/>
      <c r="E75" s="8">
        <v>53728</v>
      </c>
      <c r="F75" s="8">
        <v>19665</v>
      </c>
      <c r="G75" s="8">
        <v>5175</v>
      </c>
      <c r="H75" s="18">
        <f>73610.63+71108.13</f>
        <v>144718.76</v>
      </c>
      <c r="I75" s="18"/>
      <c r="J75" s="18">
        <f>229.26+57.31+183.86+45.97</f>
        <v>516.4</v>
      </c>
      <c r="K75" s="18">
        <f>256.46+51.29+205.68+41.14</f>
        <v>554.57</v>
      </c>
      <c r="L75" s="18"/>
      <c r="M75" s="18">
        <f>8986.25+8718.13</f>
        <v>17704.379999999997</v>
      </c>
      <c r="N75" s="18">
        <f>9927.5+9611.25</f>
        <v>19538.75</v>
      </c>
      <c r="O75" s="7">
        <f t="shared" si="1"/>
        <v>261600.86000000002</v>
      </c>
    </row>
    <row r="76" spans="1:15" ht="15">
      <c r="A76" s="6" t="s">
        <v>34</v>
      </c>
      <c r="B76" s="8"/>
      <c r="C76" s="8"/>
      <c r="D76" s="8"/>
      <c r="E76" s="8">
        <v>50438</v>
      </c>
      <c r="F76" s="8">
        <v>18293</v>
      </c>
      <c r="G76" s="8">
        <v>4815</v>
      </c>
      <c r="H76" s="18">
        <f>71108.13+68530</f>
        <v>139638.13</v>
      </c>
      <c r="I76" s="18"/>
      <c r="J76" s="18">
        <f>138.24+34.56+92.39+23.1</f>
        <v>288.29</v>
      </c>
      <c r="K76" s="18">
        <f>154.64+30.93+103.35+20.67</f>
        <v>309.59</v>
      </c>
      <c r="L76" s="18"/>
      <c r="M76" s="18">
        <f>8718.13+8441.88</f>
        <v>17160.01</v>
      </c>
      <c r="N76" s="18">
        <f>9611.25+9288.13</f>
        <v>18899.379999999997</v>
      </c>
      <c r="O76" s="7">
        <f t="shared" si="1"/>
        <v>249841.40000000002</v>
      </c>
    </row>
    <row r="77" spans="1:15" ht="15">
      <c r="A77" s="6" t="s">
        <v>35</v>
      </c>
      <c r="B77" s="8"/>
      <c r="C77" s="8"/>
      <c r="D77" s="8"/>
      <c r="E77" s="8">
        <v>46994</v>
      </c>
      <c r="F77" s="8">
        <v>16875</v>
      </c>
      <c r="G77" s="8">
        <v>4455</v>
      </c>
      <c r="H77" s="18">
        <f>68530+65862.5</f>
        <v>134392.5</v>
      </c>
      <c r="I77" s="18"/>
      <c r="J77" s="18">
        <f>46.45+11.58</f>
        <v>58.03</v>
      </c>
      <c r="K77" s="18">
        <f>51.61+10.36</f>
        <v>61.97</v>
      </c>
      <c r="L77" s="18"/>
      <c r="M77" s="18">
        <f>8441.88+8157.5</f>
        <v>16599.379999999997</v>
      </c>
      <c r="N77" s="18">
        <f>9288.13+8958.13</f>
        <v>18246.26</v>
      </c>
      <c r="O77" s="7">
        <f>SUM(B77:N77)</f>
        <v>237682.14</v>
      </c>
    </row>
    <row r="78" spans="1:15" ht="15">
      <c r="A78" s="6" t="s">
        <v>36</v>
      </c>
      <c r="B78" s="8"/>
      <c r="C78" s="8"/>
      <c r="D78" s="8"/>
      <c r="E78" s="8">
        <v>43395</v>
      </c>
      <c r="F78" s="8">
        <v>15390</v>
      </c>
      <c r="G78" s="8">
        <v>4073</v>
      </c>
      <c r="H78" s="18">
        <f>65862.5+63112.5</f>
        <v>128975</v>
      </c>
      <c r="I78" s="18"/>
      <c r="J78" s="18"/>
      <c r="K78" s="18"/>
      <c r="L78" s="18"/>
      <c r="M78" s="18">
        <f>8157.5+7865</f>
        <v>16022.5</v>
      </c>
      <c r="N78" s="18">
        <f>8958.13+8614.38</f>
        <v>17572.51</v>
      </c>
      <c r="O78" s="7">
        <f t="shared" si="1"/>
        <v>225428.01</v>
      </c>
    </row>
    <row r="79" spans="1:15" ht="15">
      <c r="A79" s="6" t="s">
        <v>37</v>
      </c>
      <c r="B79" s="8"/>
      <c r="C79" s="8"/>
      <c r="D79" s="8"/>
      <c r="E79" s="8">
        <v>39641</v>
      </c>
      <c r="F79" s="8">
        <v>13838</v>
      </c>
      <c r="G79" s="8">
        <v>3667</v>
      </c>
      <c r="H79" s="18">
        <f>63112.5+60273.13</f>
        <v>123385.63</v>
      </c>
      <c r="I79" s="18"/>
      <c r="J79" s="18"/>
      <c r="K79" s="18"/>
      <c r="L79" s="18"/>
      <c r="M79" s="18">
        <f>7865+7564.38</f>
        <v>15429.380000000001</v>
      </c>
      <c r="N79" s="18">
        <f>8314.38+8263.75</f>
        <v>16578.129999999997</v>
      </c>
      <c r="O79" s="7">
        <f t="shared" si="1"/>
        <v>212539.14</v>
      </c>
    </row>
    <row r="80" spans="1:15" ht="15">
      <c r="A80" s="6" t="s">
        <v>38</v>
      </c>
      <c r="B80" s="8"/>
      <c r="C80" s="8"/>
      <c r="D80" s="8"/>
      <c r="E80" s="8">
        <v>35712</v>
      </c>
      <c r="F80" s="8">
        <v>12217</v>
      </c>
      <c r="G80" s="8">
        <v>3240</v>
      </c>
      <c r="H80" s="18">
        <f>60273.13+57337.5</f>
        <v>117610.63</v>
      </c>
      <c r="I80" s="18"/>
      <c r="J80" s="18"/>
      <c r="K80" s="18"/>
      <c r="L80" s="18"/>
      <c r="M80" s="18">
        <f>7564.38+7247.5</f>
        <v>14811.880000000001</v>
      </c>
      <c r="N80" s="18">
        <f>8263.75+7906.25</f>
        <v>16170</v>
      </c>
      <c r="O80" s="7">
        <f t="shared" si="1"/>
        <v>199761.51</v>
      </c>
    </row>
    <row r="81" spans="1:15" ht="15">
      <c r="A81" s="6" t="s">
        <v>39</v>
      </c>
      <c r="B81" s="8"/>
      <c r="C81" s="8"/>
      <c r="D81" s="8"/>
      <c r="E81" s="8">
        <v>31597</v>
      </c>
      <c r="F81" s="8">
        <v>10530</v>
      </c>
      <c r="G81" s="8">
        <v>2790</v>
      </c>
      <c r="H81" s="18">
        <f>57337.5+54305.63</f>
        <v>111643.13</v>
      </c>
      <c r="I81" s="18"/>
      <c r="J81" s="18"/>
      <c r="K81" s="18"/>
      <c r="L81" s="18"/>
      <c r="M81" s="18">
        <f>7247.5+6922.5</f>
        <v>14170</v>
      </c>
      <c r="N81" s="18">
        <f>7906.25+7535</f>
        <v>15441.25</v>
      </c>
      <c r="O81" s="7">
        <f t="shared" si="1"/>
        <v>186171.38</v>
      </c>
    </row>
    <row r="82" spans="1:15" ht="15">
      <c r="A82" s="6" t="s">
        <v>40</v>
      </c>
      <c r="B82" s="8"/>
      <c r="C82" s="8"/>
      <c r="D82" s="8"/>
      <c r="E82" s="8">
        <v>27297</v>
      </c>
      <c r="F82" s="8">
        <v>8797</v>
      </c>
      <c r="G82" s="8">
        <v>2340</v>
      </c>
      <c r="H82" s="18">
        <f>54305.63+51177.5</f>
        <v>105483.13</v>
      </c>
      <c r="I82" s="18"/>
      <c r="J82" s="18"/>
      <c r="K82" s="18"/>
      <c r="L82" s="18"/>
      <c r="M82" s="18">
        <f>6922.5+6589.38</f>
        <v>13511.880000000001</v>
      </c>
      <c r="N82" s="18">
        <f>7535+7156.88</f>
        <v>14691.880000000001</v>
      </c>
      <c r="O82" s="7">
        <f t="shared" si="1"/>
        <v>172120.89</v>
      </c>
    </row>
    <row r="83" spans="1:15" ht="15">
      <c r="A83" s="6" t="s">
        <v>41</v>
      </c>
      <c r="B83" s="8"/>
      <c r="C83" s="8"/>
      <c r="D83" s="8"/>
      <c r="E83" s="8">
        <v>22811</v>
      </c>
      <c r="F83" s="8">
        <v>6997</v>
      </c>
      <c r="G83" s="8">
        <v>1868</v>
      </c>
      <c r="H83" s="18">
        <f>51177.5+47946.25</f>
        <v>99123.75</v>
      </c>
      <c r="I83" s="18"/>
      <c r="J83" s="18"/>
      <c r="K83" s="18"/>
      <c r="L83" s="18"/>
      <c r="M83" s="18">
        <f>6589.38+6240</f>
        <v>12829.380000000001</v>
      </c>
      <c r="N83" s="18">
        <f>7156.88+6765</f>
        <v>13921.880000000001</v>
      </c>
      <c r="O83" s="7">
        <f t="shared" si="1"/>
        <v>157551.01</v>
      </c>
    </row>
    <row r="84" spans="1:15" ht="15">
      <c r="A84" s="6" t="s">
        <v>42</v>
      </c>
      <c r="B84" s="8"/>
      <c r="C84" s="8"/>
      <c r="D84" s="8"/>
      <c r="E84" s="8">
        <v>18130</v>
      </c>
      <c r="F84" s="8">
        <v>5107</v>
      </c>
      <c r="G84" s="8">
        <v>1372</v>
      </c>
      <c r="H84" s="18">
        <f>47946.255+44611.88</f>
        <v>92558.135</v>
      </c>
      <c r="I84" s="18"/>
      <c r="J84" s="18"/>
      <c r="K84" s="18"/>
      <c r="L84" s="18"/>
      <c r="M84" s="18">
        <f>6240+5882.5</f>
        <v>12122.5</v>
      </c>
      <c r="N84" s="18">
        <f>6765+6366.25</f>
        <v>13131.25</v>
      </c>
      <c r="O84" s="7">
        <f t="shared" si="1"/>
        <v>142420.885</v>
      </c>
    </row>
    <row r="85" spans="1:15" ht="15">
      <c r="A85" s="6" t="s">
        <v>43</v>
      </c>
      <c r="B85" s="8"/>
      <c r="C85" s="8"/>
      <c r="D85" s="8"/>
      <c r="E85" s="8">
        <v>13231</v>
      </c>
      <c r="F85" s="8">
        <v>3127</v>
      </c>
      <c r="G85" s="8">
        <v>855</v>
      </c>
      <c r="H85" s="18">
        <f>44611.88+41167.5</f>
        <v>85779.38</v>
      </c>
      <c r="I85" s="18"/>
      <c r="J85" s="18"/>
      <c r="K85" s="18"/>
      <c r="L85" s="18"/>
      <c r="M85" s="18">
        <f>5882.5+5508.75</f>
        <v>11391.25</v>
      </c>
      <c r="N85" s="18">
        <f>6366.25+5953.75</f>
        <v>12320</v>
      </c>
      <c r="O85" s="7">
        <f t="shared" si="1"/>
        <v>126703.63</v>
      </c>
    </row>
    <row r="86" spans="1:15" ht="15">
      <c r="A86" s="6" t="s">
        <v>44</v>
      </c>
      <c r="B86" s="8"/>
      <c r="C86" s="8"/>
      <c r="D86" s="8"/>
      <c r="E86" s="8">
        <v>8105</v>
      </c>
      <c r="F86" s="8">
        <v>1057</v>
      </c>
      <c r="G86" s="8">
        <v>292</v>
      </c>
      <c r="H86" s="18">
        <f>41167.5+37613.13</f>
        <v>78780.63</v>
      </c>
      <c r="I86" s="18"/>
      <c r="J86" s="18"/>
      <c r="K86" s="18"/>
      <c r="L86" s="18"/>
      <c r="M86" s="18">
        <f>5508.75+5126.88</f>
        <v>10635.630000000001</v>
      </c>
      <c r="N86" s="18">
        <f>5953.75+5527.5</f>
        <v>11481.25</v>
      </c>
      <c r="O86" s="7">
        <f t="shared" si="1"/>
        <v>110351.51000000001</v>
      </c>
    </row>
    <row r="87" spans="1:15" ht="15">
      <c r="A87" s="6" t="s">
        <v>45</v>
      </c>
      <c r="B87" s="8"/>
      <c r="C87" s="8"/>
      <c r="D87" s="8"/>
      <c r="E87" s="10">
        <v>2743</v>
      </c>
      <c r="F87" s="8"/>
      <c r="G87" s="8"/>
      <c r="H87" s="18">
        <f>37613.13+33941.88</f>
        <v>71555.01</v>
      </c>
      <c r="I87" s="18"/>
      <c r="J87" s="18"/>
      <c r="K87" s="18"/>
      <c r="L87" s="18"/>
      <c r="M87" s="18">
        <f>5126.88+4728.75</f>
        <v>9855.630000000001</v>
      </c>
      <c r="N87" s="18">
        <f>5527.5+5094.38</f>
        <v>10621.880000000001</v>
      </c>
      <c r="O87" s="7">
        <f t="shared" si="1"/>
        <v>94775.52</v>
      </c>
    </row>
    <row r="88" spans="1:15" ht="15">
      <c r="A88" s="6" t="s">
        <v>46</v>
      </c>
      <c r="B88" s="8"/>
      <c r="C88" s="8"/>
      <c r="D88" s="8"/>
      <c r="E88" s="10"/>
      <c r="F88" s="8"/>
      <c r="G88" s="8"/>
      <c r="H88" s="18">
        <f>33941.88+30153.75</f>
        <v>64095.63</v>
      </c>
      <c r="I88" s="18"/>
      <c r="J88" s="18"/>
      <c r="K88" s="18"/>
      <c r="L88" s="18"/>
      <c r="M88" s="18">
        <f>4728.75+4322.5</f>
        <v>9051.25</v>
      </c>
      <c r="N88" s="18">
        <f>5094.38+4647.5</f>
        <v>9741.880000000001</v>
      </c>
      <c r="O88" s="7">
        <f t="shared" si="1"/>
        <v>82888.76000000001</v>
      </c>
    </row>
    <row r="89" spans="1:15" ht="15">
      <c r="A89" s="6" t="s">
        <v>61</v>
      </c>
      <c r="B89" s="8"/>
      <c r="C89" s="8"/>
      <c r="D89" s="8"/>
      <c r="E89" s="10"/>
      <c r="F89" s="8"/>
      <c r="G89" s="8"/>
      <c r="H89" s="18">
        <f>30153.75+26241.88</f>
        <v>56395.630000000005</v>
      </c>
      <c r="I89" s="18"/>
      <c r="J89" s="18"/>
      <c r="K89" s="18"/>
      <c r="L89" s="18"/>
      <c r="M89" s="18">
        <f>4322.5+3900</f>
        <v>8222.5</v>
      </c>
      <c r="N89" s="18">
        <f>4647.5+4186.88</f>
        <v>8834.380000000001</v>
      </c>
      <c r="O89" s="7">
        <f t="shared" si="1"/>
        <v>73452.51000000001</v>
      </c>
    </row>
    <row r="90" spans="1:15" ht="15">
      <c r="A90" s="6" t="s">
        <v>62</v>
      </c>
      <c r="B90" s="8"/>
      <c r="C90" s="8"/>
      <c r="D90" s="8"/>
      <c r="E90" s="10"/>
      <c r="F90" s="8"/>
      <c r="G90" s="8"/>
      <c r="H90" s="18">
        <f>26241.88+22199.38</f>
        <v>48441.26</v>
      </c>
      <c r="I90" s="18"/>
      <c r="J90" s="18"/>
      <c r="K90" s="18"/>
      <c r="L90" s="18"/>
      <c r="M90" s="18">
        <f>3900+3461.25</f>
        <v>7361.25</v>
      </c>
      <c r="N90" s="18">
        <f>4186.88+3712.5</f>
        <v>7899.38</v>
      </c>
      <c r="O90" s="7">
        <f t="shared" si="1"/>
        <v>63701.89</v>
      </c>
    </row>
    <row r="91" spans="1:15" ht="15">
      <c r="A91" s="6" t="s">
        <v>63</v>
      </c>
      <c r="B91" s="8"/>
      <c r="C91" s="8"/>
      <c r="D91" s="8"/>
      <c r="E91" s="10"/>
      <c r="F91" s="8"/>
      <c r="G91" s="8"/>
      <c r="H91" s="18">
        <f>22199.38+18026.25</f>
        <v>40225.630000000005</v>
      </c>
      <c r="I91" s="18"/>
      <c r="J91" s="18"/>
      <c r="K91" s="18"/>
      <c r="L91" s="18"/>
      <c r="M91" s="18">
        <f>3461.25+3006.25</f>
        <v>6467.5</v>
      </c>
      <c r="N91" s="18">
        <f>3712.5+3224.38</f>
        <v>6936.88</v>
      </c>
      <c r="O91" s="7">
        <f t="shared" si="1"/>
        <v>53630.01</v>
      </c>
    </row>
    <row r="92" spans="1:15" ht="15">
      <c r="A92" s="6" t="s">
        <v>64</v>
      </c>
      <c r="B92" s="8"/>
      <c r="C92" s="8"/>
      <c r="D92" s="8"/>
      <c r="E92" s="10"/>
      <c r="F92" s="8"/>
      <c r="G92" s="8"/>
      <c r="H92" s="18">
        <f>18026.25+13722.5</f>
        <v>31748.75</v>
      </c>
      <c r="I92" s="18"/>
      <c r="J92" s="18"/>
      <c r="K92" s="18"/>
      <c r="L92" s="18"/>
      <c r="M92" s="18">
        <f>3006.25+2535</f>
        <v>5541.25</v>
      </c>
      <c r="N92" s="18">
        <f>3224.38+2722.5</f>
        <v>5946.88</v>
      </c>
      <c r="O92" s="7">
        <f t="shared" si="1"/>
        <v>43236.88</v>
      </c>
    </row>
    <row r="93" spans="1:15" ht="15">
      <c r="A93" s="6" t="s">
        <v>65</v>
      </c>
      <c r="B93" s="8"/>
      <c r="C93" s="8"/>
      <c r="D93" s="8"/>
      <c r="E93" s="10"/>
      <c r="F93" s="8"/>
      <c r="G93" s="8"/>
      <c r="H93" s="18">
        <f>13722.5+9274.38</f>
        <v>22996.879999999997</v>
      </c>
      <c r="I93" s="18"/>
      <c r="J93" s="18"/>
      <c r="K93" s="18"/>
      <c r="L93" s="18"/>
      <c r="M93" s="18">
        <f>2535+2047.5</f>
        <v>4582.5</v>
      </c>
      <c r="N93" s="18">
        <f>2722.5+2206.88</f>
        <v>4929.38</v>
      </c>
      <c r="O93" s="7">
        <f t="shared" si="1"/>
        <v>32508.76</v>
      </c>
    </row>
    <row r="94" spans="1:15" ht="15">
      <c r="A94" s="6" t="s">
        <v>66</v>
      </c>
      <c r="B94" s="8"/>
      <c r="C94" s="8"/>
      <c r="D94" s="8"/>
      <c r="E94" s="10"/>
      <c r="F94" s="8"/>
      <c r="G94" s="8"/>
      <c r="H94" s="18">
        <f>9274.38+4681.88</f>
        <v>13956.259999999998</v>
      </c>
      <c r="I94" s="18"/>
      <c r="J94" s="18"/>
      <c r="K94" s="18"/>
      <c r="L94" s="18"/>
      <c r="M94" s="18">
        <f>2047.5+1543.75</f>
        <v>3591.25</v>
      </c>
      <c r="N94" s="18">
        <f>2206.88+1677.5</f>
        <v>3884.38</v>
      </c>
      <c r="O94" s="7">
        <f t="shared" si="1"/>
        <v>21431.89</v>
      </c>
    </row>
    <row r="95" spans="1:15" ht="15">
      <c r="A95" s="6" t="s">
        <v>72</v>
      </c>
      <c r="B95" s="8"/>
      <c r="C95" s="8"/>
      <c r="D95" s="8"/>
      <c r="E95" s="10"/>
      <c r="F95" s="8"/>
      <c r="G95" s="8"/>
      <c r="H95" s="18">
        <v>4681.88</v>
      </c>
      <c r="I95" s="18"/>
      <c r="J95" s="18"/>
      <c r="K95" s="18"/>
      <c r="L95" s="18"/>
      <c r="M95" s="18">
        <f>1543.75+1023.75</f>
        <v>2567.5</v>
      </c>
      <c r="N95" s="18">
        <f>1677.5+1134.38</f>
        <v>2811.88</v>
      </c>
      <c r="O95" s="7">
        <f t="shared" si="1"/>
        <v>10061.26</v>
      </c>
    </row>
    <row r="96" spans="1:15" ht="15">
      <c r="A96" s="6" t="s">
        <v>83</v>
      </c>
      <c r="B96" s="8"/>
      <c r="C96" s="8"/>
      <c r="D96" s="8"/>
      <c r="E96" s="10"/>
      <c r="F96" s="8"/>
      <c r="G96" s="8"/>
      <c r="H96" s="18"/>
      <c r="I96" s="18"/>
      <c r="J96" s="18"/>
      <c r="K96" s="18"/>
      <c r="L96" s="18"/>
      <c r="M96" s="18">
        <f>1023.75+487.5</f>
        <v>1511.25</v>
      </c>
      <c r="N96" s="18">
        <f>1134.38+577.5</f>
        <v>1711.88</v>
      </c>
      <c r="O96" s="7">
        <f t="shared" si="1"/>
        <v>3223.13</v>
      </c>
    </row>
    <row r="97" spans="1:15" ht="12.75">
      <c r="A97" s="6" t="s">
        <v>84</v>
      </c>
      <c r="B97" s="8"/>
      <c r="C97" s="8"/>
      <c r="D97" s="8"/>
      <c r="F97" s="8"/>
      <c r="G97" s="8"/>
      <c r="M97" s="2">
        <v>487.5</v>
      </c>
      <c r="N97" s="2">
        <v>577.5</v>
      </c>
      <c r="O97" s="7">
        <f t="shared" si="1"/>
        <v>1065</v>
      </c>
    </row>
    <row r="98" spans="1:15" ht="13.5" thickBot="1">
      <c r="A98" s="6"/>
      <c r="B98" s="9">
        <f>SUM(B58:B87)</f>
        <v>192396.68000000005</v>
      </c>
      <c r="C98" s="9">
        <f>SUM(C58:C87)</f>
        <v>102.97</v>
      </c>
      <c r="D98" s="9">
        <f>SUM(D58:D87)</f>
        <v>81582</v>
      </c>
      <c r="E98" s="9">
        <f>SUM(E58:E97)</f>
        <v>1602500</v>
      </c>
      <c r="F98" s="9">
        <f>SUM(F58:F87)</f>
        <v>591097</v>
      </c>
      <c r="G98" s="9">
        <f>SUM(G58:G87)</f>
        <v>154958</v>
      </c>
      <c r="H98" s="9">
        <f>SUM(H58:H95)</f>
        <v>4607408.284999997</v>
      </c>
      <c r="I98" s="9">
        <f>SUM(I58:I94)</f>
        <v>61285</v>
      </c>
      <c r="J98" s="9">
        <f>SUM(J58:J94)</f>
        <v>38367.106</v>
      </c>
      <c r="K98" s="9">
        <f>SUM(K58:K94)</f>
        <v>41202.770000000004</v>
      </c>
      <c r="L98" s="9"/>
      <c r="M98" s="9">
        <f>SUM(M58:M97)</f>
        <v>575883.8600000001</v>
      </c>
      <c r="N98" s="9">
        <f>SUM(N58:N97)</f>
        <v>638497.66</v>
      </c>
      <c r="O98" s="9">
        <f>SUM(O59:O97)</f>
        <v>8585281.331</v>
      </c>
    </row>
    <row r="99" ht="13.5" thickTop="1"/>
    <row r="100" spans="1:15" ht="12.75">
      <c r="A100" s="1"/>
      <c r="B100" s="7"/>
      <c r="C100" s="7"/>
      <c r="D100" s="7"/>
      <c r="E100" s="7"/>
      <c r="F100" s="7"/>
      <c r="G100" s="7"/>
      <c r="O100" s="7"/>
    </row>
    <row r="101" spans="1:15" ht="12.75">
      <c r="A101" s="1"/>
      <c r="B101" s="7"/>
      <c r="C101" s="7"/>
      <c r="D101" s="7"/>
      <c r="E101" s="7"/>
      <c r="F101" s="7"/>
      <c r="G101" s="7"/>
      <c r="O101" s="7"/>
    </row>
    <row r="102" spans="1:15" ht="12.75">
      <c r="A102" s="3" t="s">
        <v>48</v>
      </c>
      <c r="B102" s="7"/>
      <c r="C102" s="7"/>
      <c r="D102" s="7"/>
      <c r="E102" s="7"/>
      <c r="F102" s="7"/>
      <c r="G102" s="7"/>
      <c r="O102" s="7"/>
    </row>
    <row r="103" spans="1:15" ht="12.75">
      <c r="A103" s="1"/>
      <c r="B103" s="7"/>
      <c r="C103" s="7"/>
      <c r="D103" s="7"/>
      <c r="E103" s="7"/>
      <c r="F103" s="7"/>
      <c r="G103" s="7"/>
      <c r="M103" s="67"/>
      <c r="N103" s="67"/>
      <c r="O103" s="7"/>
    </row>
    <row r="104" spans="1:16" s="15" customFormat="1" ht="12.75">
      <c r="A104" s="13" t="s">
        <v>3</v>
      </c>
      <c r="B104" s="14" t="s">
        <v>5</v>
      </c>
      <c r="C104" s="14" t="s">
        <v>56</v>
      </c>
      <c r="D104" s="14" t="s">
        <v>8</v>
      </c>
      <c r="E104" s="14">
        <v>2005</v>
      </c>
      <c r="F104" s="14" t="s">
        <v>49</v>
      </c>
      <c r="G104" s="14" t="s">
        <v>50</v>
      </c>
      <c r="H104" s="14">
        <v>2011</v>
      </c>
      <c r="I104" s="14" t="s">
        <v>67</v>
      </c>
      <c r="J104" s="14" t="s">
        <v>71</v>
      </c>
      <c r="K104" s="14" t="s">
        <v>73</v>
      </c>
      <c r="L104" s="14"/>
      <c r="M104" s="14" t="s">
        <v>76</v>
      </c>
      <c r="N104" s="14" t="s">
        <v>77</v>
      </c>
      <c r="O104" s="14" t="s">
        <v>11</v>
      </c>
      <c r="P104" s="14" t="s">
        <v>51</v>
      </c>
    </row>
    <row r="105" spans="1:16" ht="12.75">
      <c r="A105" s="6" t="s">
        <v>17</v>
      </c>
      <c r="B105" s="7">
        <f aca="true" t="shared" si="2" ref="B105:B111">41748.75*4</f>
        <v>166995</v>
      </c>
      <c r="C105" s="7">
        <f>C13+C59</f>
        <v>14062.97</v>
      </c>
      <c r="D105" s="7">
        <v>186299</v>
      </c>
      <c r="E105" s="7">
        <f aca="true" t="shared" si="3" ref="E105:N105">+E13+E59</f>
        <v>129240</v>
      </c>
      <c r="F105" s="7">
        <f t="shared" si="3"/>
        <v>49988</v>
      </c>
      <c r="G105" s="7">
        <f t="shared" si="3"/>
        <v>13135</v>
      </c>
      <c r="H105" s="7">
        <f t="shared" si="3"/>
        <v>316350.01</v>
      </c>
      <c r="I105" s="7">
        <f t="shared" si="3"/>
        <v>179740</v>
      </c>
      <c r="J105" s="7">
        <f t="shared" si="3"/>
        <v>19391.1</v>
      </c>
      <c r="K105" s="7">
        <f t="shared" si="3"/>
        <v>21518.57</v>
      </c>
      <c r="L105" s="7">
        <f t="shared" si="3"/>
        <v>338970.03</v>
      </c>
      <c r="M105" s="20">
        <f t="shared" si="3"/>
        <v>24180</v>
      </c>
      <c r="N105" s="20">
        <f t="shared" si="3"/>
        <v>27500</v>
      </c>
      <c r="O105" s="7">
        <f aca="true" t="shared" si="4" ref="O105:O143">SUM(B105:N105)</f>
        <v>1487369.6800000002</v>
      </c>
      <c r="P105" s="16">
        <f aca="true" t="shared" si="5" ref="P105:P146">+F105+G105+H105+I105</f>
        <v>559213.01</v>
      </c>
    </row>
    <row r="106" spans="1:16" ht="12.75">
      <c r="A106" s="6" t="s">
        <v>18</v>
      </c>
      <c r="B106" s="7">
        <f t="shared" si="2"/>
        <v>166995</v>
      </c>
      <c r="C106" s="7"/>
      <c r="D106" s="7">
        <v>185960</v>
      </c>
      <c r="E106" s="7">
        <f aca="true" t="shared" si="6" ref="E106:N106">+E14+E60</f>
        <v>129610</v>
      </c>
      <c r="F106" s="7">
        <f t="shared" si="6"/>
        <v>49312</v>
      </c>
      <c r="G106" s="7">
        <f t="shared" si="6"/>
        <v>12955</v>
      </c>
      <c r="H106" s="7">
        <f t="shared" si="6"/>
        <v>316804.38</v>
      </c>
      <c r="I106" s="7">
        <f t="shared" si="6"/>
        <v>181060</v>
      </c>
      <c r="J106" s="7">
        <f t="shared" si="6"/>
        <v>19352.21</v>
      </c>
      <c r="K106" s="7">
        <f t="shared" si="6"/>
        <v>21484.059999999998</v>
      </c>
      <c r="L106" s="7"/>
      <c r="M106" s="20">
        <f t="shared" si="6"/>
        <v>34017.5</v>
      </c>
      <c r="N106" s="20">
        <f t="shared" si="6"/>
        <v>42293.75</v>
      </c>
      <c r="O106" s="7">
        <f t="shared" si="4"/>
        <v>1159843.9000000001</v>
      </c>
      <c r="P106" s="16">
        <f t="shared" si="5"/>
        <v>560131.38</v>
      </c>
    </row>
    <row r="107" spans="1:16" ht="12.75">
      <c r="A107" s="6" t="s">
        <v>19</v>
      </c>
      <c r="B107" s="7">
        <f t="shared" si="2"/>
        <v>166995</v>
      </c>
      <c r="C107" s="7"/>
      <c r="D107" s="7">
        <v>185617</v>
      </c>
      <c r="E107" s="7">
        <f aca="true" t="shared" si="7" ref="E107:N107">+E15+E61</f>
        <v>129409</v>
      </c>
      <c r="F107" s="7">
        <f t="shared" si="7"/>
        <v>49615</v>
      </c>
      <c r="G107" s="7">
        <f t="shared" si="7"/>
        <v>12775</v>
      </c>
      <c r="H107" s="7">
        <f t="shared" si="7"/>
        <v>317162.5</v>
      </c>
      <c r="I107" s="7">
        <f t="shared" si="7"/>
        <v>182265</v>
      </c>
      <c r="J107" s="7">
        <f t="shared" si="7"/>
        <v>19312.93</v>
      </c>
      <c r="K107" s="7">
        <f t="shared" si="7"/>
        <v>21448.61</v>
      </c>
      <c r="L107" s="7"/>
      <c r="M107" s="20">
        <f t="shared" si="7"/>
        <v>34184.38</v>
      </c>
      <c r="N107" s="20">
        <f t="shared" si="7"/>
        <v>42374.38</v>
      </c>
      <c r="O107" s="7">
        <f t="shared" si="4"/>
        <v>1161158.7999999998</v>
      </c>
      <c r="P107" s="16">
        <f t="shared" si="5"/>
        <v>561817.5</v>
      </c>
    </row>
    <row r="108" spans="1:16" ht="12.75">
      <c r="A108" s="6" t="s">
        <v>20</v>
      </c>
      <c r="B108" s="7">
        <f t="shared" si="2"/>
        <v>166995</v>
      </c>
      <c r="C108" s="8"/>
      <c r="D108" s="8">
        <v>185272</v>
      </c>
      <c r="E108" s="7">
        <f aca="true" t="shared" si="8" ref="E108:N108">+E16+E62</f>
        <v>129635</v>
      </c>
      <c r="F108" s="7">
        <f t="shared" si="8"/>
        <v>49872</v>
      </c>
      <c r="G108" s="7">
        <f t="shared" si="8"/>
        <v>12595</v>
      </c>
      <c r="H108" s="7">
        <f t="shared" si="8"/>
        <v>317917.5</v>
      </c>
      <c r="I108" s="7">
        <f t="shared" si="8"/>
        <v>178355</v>
      </c>
      <c r="J108" s="7">
        <f t="shared" si="8"/>
        <v>19273.25</v>
      </c>
      <c r="K108" s="7">
        <f t="shared" si="8"/>
        <v>21413.100000000002</v>
      </c>
      <c r="L108" s="7"/>
      <c r="M108" s="20">
        <f t="shared" si="8"/>
        <v>33843.13</v>
      </c>
      <c r="N108" s="20">
        <f t="shared" si="8"/>
        <v>42441.259999999995</v>
      </c>
      <c r="O108" s="7">
        <f t="shared" si="4"/>
        <v>1157612.24</v>
      </c>
      <c r="P108" s="16">
        <f t="shared" si="5"/>
        <v>558739.5</v>
      </c>
    </row>
    <row r="109" spans="1:16" ht="12.75">
      <c r="A109" s="6" t="s">
        <v>21</v>
      </c>
      <c r="B109" s="7">
        <f t="shared" si="2"/>
        <v>166995</v>
      </c>
      <c r="C109" s="8"/>
      <c r="D109" s="8">
        <v>184925</v>
      </c>
      <c r="E109" s="7">
        <f aca="true" t="shared" si="9" ref="E109:N109">+E17+E63</f>
        <v>129779</v>
      </c>
      <c r="F109" s="7">
        <f t="shared" si="9"/>
        <v>49108</v>
      </c>
      <c r="G109" s="7">
        <f t="shared" si="9"/>
        <v>13392</v>
      </c>
      <c r="H109" s="7">
        <f t="shared" si="9"/>
        <v>318562.5</v>
      </c>
      <c r="I109" s="7">
        <f t="shared" si="9"/>
        <v>179445</v>
      </c>
      <c r="J109" s="7">
        <f t="shared" si="9"/>
        <v>19233.18</v>
      </c>
      <c r="K109" s="7">
        <f t="shared" si="9"/>
        <v>21377.239999999998</v>
      </c>
      <c r="L109" s="7"/>
      <c r="M109" s="20">
        <f t="shared" si="9"/>
        <v>33993.75</v>
      </c>
      <c r="N109" s="20">
        <f t="shared" si="9"/>
        <v>42494.38</v>
      </c>
      <c r="O109" s="7">
        <f t="shared" si="4"/>
        <v>1159305.0499999998</v>
      </c>
      <c r="P109" s="16">
        <f t="shared" si="5"/>
        <v>560507.5</v>
      </c>
    </row>
    <row r="110" spans="1:16" ht="12.75">
      <c r="A110" s="6" t="s">
        <v>22</v>
      </c>
      <c r="B110" s="7">
        <f t="shared" si="2"/>
        <v>166995</v>
      </c>
      <c r="C110" s="8"/>
      <c r="D110" s="8">
        <v>184571</v>
      </c>
      <c r="E110" s="7">
        <f aca="true" t="shared" si="10" ref="E110:N110">+E18+E64</f>
        <v>129840</v>
      </c>
      <c r="F110" s="7">
        <f t="shared" si="10"/>
        <v>49320</v>
      </c>
      <c r="G110" s="7">
        <f t="shared" si="10"/>
        <v>13167</v>
      </c>
      <c r="H110" s="7">
        <f t="shared" si="10"/>
        <v>319097.5</v>
      </c>
      <c r="I110" s="7">
        <f t="shared" si="10"/>
        <v>15420</v>
      </c>
      <c r="J110" s="7">
        <f t="shared" si="10"/>
        <v>19192.71</v>
      </c>
      <c r="K110" s="7">
        <f t="shared" si="10"/>
        <v>21341.02</v>
      </c>
      <c r="L110" s="7"/>
      <c r="M110" s="20">
        <f t="shared" si="10"/>
        <v>34128.13</v>
      </c>
      <c r="N110" s="20">
        <f t="shared" si="10"/>
        <v>42533.75</v>
      </c>
      <c r="O110" s="7">
        <f t="shared" si="4"/>
        <v>995606.11</v>
      </c>
      <c r="P110" s="16">
        <f t="shared" si="5"/>
        <v>397004.5</v>
      </c>
    </row>
    <row r="111" spans="1:16" ht="12.75">
      <c r="A111" s="6" t="s">
        <v>23</v>
      </c>
      <c r="B111" s="7">
        <f t="shared" si="2"/>
        <v>166995</v>
      </c>
      <c r="C111" s="8"/>
      <c r="D111" s="8">
        <v>184215</v>
      </c>
      <c r="E111" s="7">
        <f aca="true" t="shared" si="11" ref="E111:H132">+E19+E65</f>
        <v>130308</v>
      </c>
      <c r="F111" s="7">
        <f t="shared" si="11"/>
        <v>49488</v>
      </c>
      <c r="G111" s="7">
        <f t="shared" si="11"/>
        <v>12943</v>
      </c>
      <c r="H111" s="7">
        <f t="shared" si="11"/>
        <v>319522.5</v>
      </c>
      <c r="I111" s="7"/>
      <c r="J111" s="7">
        <f aca="true" t="shared" si="12" ref="J111:N140">+J19+J65</f>
        <v>19151.829999999998</v>
      </c>
      <c r="K111" s="7">
        <f t="shared" si="12"/>
        <v>21304.43</v>
      </c>
      <c r="L111" s="7"/>
      <c r="M111" s="20">
        <f t="shared" si="12"/>
        <v>33754.38</v>
      </c>
      <c r="N111" s="20">
        <f t="shared" si="12"/>
        <v>42559.38</v>
      </c>
      <c r="O111" s="7">
        <f t="shared" si="4"/>
        <v>980241.52</v>
      </c>
      <c r="P111" s="16">
        <f t="shared" si="5"/>
        <v>381953.5</v>
      </c>
    </row>
    <row r="112" spans="1:16" ht="12.75">
      <c r="A112" s="6" t="s">
        <v>24</v>
      </c>
      <c r="B112" s="8">
        <f>41748.75*2</f>
        <v>83497.5</v>
      </c>
      <c r="C112" s="8"/>
      <c r="D112" s="8">
        <v>183855</v>
      </c>
      <c r="E112" s="7">
        <f t="shared" si="11"/>
        <v>130184</v>
      </c>
      <c r="F112" s="7">
        <f t="shared" si="11"/>
        <v>49610</v>
      </c>
      <c r="G112" s="7">
        <f t="shared" si="11"/>
        <v>12718</v>
      </c>
      <c r="H112" s="7">
        <f t="shared" si="11"/>
        <v>320330.63</v>
      </c>
      <c r="I112" s="7"/>
      <c r="J112" s="7">
        <f t="shared" si="12"/>
        <v>19110.530000000002</v>
      </c>
      <c r="K112" s="7">
        <f t="shared" si="12"/>
        <v>21267.480000000003</v>
      </c>
      <c r="L112" s="7"/>
      <c r="M112" s="20">
        <f t="shared" si="12"/>
        <v>33872.5</v>
      </c>
      <c r="N112" s="20">
        <f t="shared" si="12"/>
        <v>42571.259999999995</v>
      </c>
      <c r="O112" s="7">
        <f t="shared" si="4"/>
        <v>897016.9</v>
      </c>
      <c r="P112" s="16">
        <f t="shared" si="5"/>
        <v>382658.63</v>
      </c>
    </row>
    <row r="113" spans="1:16" ht="12.75">
      <c r="A113" s="6" t="s">
        <v>25</v>
      </c>
      <c r="B113" s="8"/>
      <c r="C113" s="8"/>
      <c r="D113" s="8">
        <v>91790</v>
      </c>
      <c r="E113" s="7">
        <f t="shared" si="11"/>
        <v>130467</v>
      </c>
      <c r="F113" s="7">
        <f t="shared" si="11"/>
        <v>49687</v>
      </c>
      <c r="G113" s="7">
        <f t="shared" si="11"/>
        <v>12493</v>
      </c>
      <c r="H113" s="7">
        <f t="shared" si="11"/>
        <v>321015.01</v>
      </c>
      <c r="I113" s="7"/>
      <c r="J113" s="7">
        <f t="shared" si="12"/>
        <v>19068.82</v>
      </c>
      <c r="K113" s="7">
        <f t="shared" si="12"/>
        <v>21230.16</v>
      </c>
      <c r="L113" s="7"/>
      <c r="M113" s="20">
        <f t="shared" si="12"/>
        <v>33974.38</v>
      </c>
      <c r="N113" s="20">
        <f t="shared" si="12"/>
        <v>42569.38</v>
      </c>
      <c r="O113" s="7">
        <f t="shared" si="4"/>
        <v>722294.75</v>
      </c>
      <c r="P113" s="16">
        <f t="shared" si="5"/>
        <v>383195.01</v>
      </c>
    </row>
    <row r="114" spans="1:16" ht="12.75">
      <c r="A114" s="6" t="s">
        <v>26</v>
      </c>
      <c r="E114" s="7">
        <f t="shared" si="11"/>
        <v>130647</v>
      </c>
      <c r="F114" s="7">
        <f t="shared" si="11"/>
        <v>49720</v>
      </c>
      <c r="G114" s="7">
        <f t="shared" si="11"/>
        <v>13245</v>
      </c>
      <c r="H114" s="7">
        <f t="shared" si="11"/>
        <v>321575.63</v>
      </c>
      <c r="I114" s="7"/>
      <c r="J114" s="7">
        <f t="shared" si="12"/>
        <v>19026.700000000004</v>
      </c>
      <c r="K114" s="7">
        <f t="shared" si="12"/>
        <v>21192.46</v>
      </c>
      <c r="L114" s="7"/>
      <c r="M114" s="20">
        <f t="shared" si="12"/>
        <v>34060.009999999995</v>
      </c>
      <c r="N114" s="20">
        <f t="shared" si="12"/>
        <v>42553.75</v>
      </c>
      <c r="O114" s="7">
        <f t="shared" si="4"/>
        <v>632020.5499999999</v>
      </c>
      <c r="P114" s="16">
        <f t="shared" si="5"/>
        <v>384540.63</v>
      </c>
    </row>
    <row r="115" spans="1:16" ht="12.75">
      <c r="A115" s="6" t="s">
        <v>27</v>
      </c>
      <c r="E115" s="7">
        <f t="shared" si="11"/>
        <v>130723</v>
      </c>
      <c r="F115" s="7">
        <f t="shared" si="11"/>
        <v>49708</v>
      </c>
      <c r="G115" s="7">
        <f t="shared" si="11"/>
        <v>12975</v>
      </c>
      <c r="H115" s="7">
        <f t="shared" si="11"/>
        <v>322012.5</v>
      </c>
      <c r="I115" s="7"/>
      <c r="J115" s="7">
        <f t="shared" si="12"/>
        <v>18984.15</v>
      </c>
      <c r="K115" s="7">
        <f t="shared" si="12"/>
        <v>21154.44</v>
      </c>
      <c r="L115" s="7"/>
      <c r="M115" s="20">
        <f t="shared" si="12"/>
        <v>34129.38</v>
      </c>
      <c r="N115" s="20">
        <f t="shared" si="12"/>
        <v>42524.38</v>
      </c>
      <c r="O115" s="7">
        <f t="shared" si="4"/>
        <v>632210.85</v>
      </c>
      <c r="P115" s="16">
        <f t="shared" si="5"/>
        <v>384695.5</v>
      </c>
    </row>
    <row r="116" spans="1:16" ht="12.75">
      <c r="A116" s="6" t="s">
        <v>28</v>
      </c>
      <c r="E116" s="7">
        <f t="shared" si="11"/>
        <v>130697</v>
      </c>
      <c r="F116" s="7">
        <f t="shared" si="11"/>
        <v>49650</v>
      </c>
      <c r="G116" s="7">
        <f t="shared" si="11"/>
        <v>12705</v>
      </c>
      <c r="H116" s="7">
        <f t="shared" si="11"/>
        <v>322818.75</v>
      </c>
      <c r="I116" s="7"/>
      <c r="J116" s="7">
        <f t="shared" si="12"/>
        <v>18941.19</v>
      </c>
      <c r="K116" s="7">
        <f t="shared" si="12"/>
        <v>21115.93</v>
      </c>
      <c r="L116" s="7"/>
      <c r="M116" s="20">
        <f t="shared" si="12"/>
        <v>34182.5</v>
      </c>
      <c r="N116" s="20">
        <f t="shared" si="12"/>
        <v>42481.259999999995</v>
      </c>
      <c r="O116" s="7">
        <f t="shared" si="4"/>
        <v>632591.63</v>
      </c>
      <c r="P116" s="16">
        <f t="shared" si="5"/>
        <v>385173.75</v>
      </c>
    </row>
    <row r="117" spans="1:16" ht="12.75">
      <c r="A117" s="6" t="s">
        <v>29</v>
      </c>
      <c r="E117" s="7">
        <f t="shared" si="11"/>
        <v>131057</v>
      </c>
      <c r="F117" s="7">
        <f t="shared" si="11"/>
        <v>49548</v>
      </c>
      <c r="G117" s="7">
        <f t="shared" si="11"/>
        <v>12435</v>
      </c>
      <c r="H117" s="7">
        <f t="shared" si="11"/>
        <v>323487.5</v>
      </c>
      <c r="I117" s="7"/>
      <c r="J117" s="7">
        <f t="shared" si="12"/>
        <v>18897.78</v>
      </c>
      <c r="K117" s="7">
        <f t="shared" si="12"/>
        <v>21077.08</v>
      </c>
      <c r="L117" s="7"/>
      <c r="M117" s="20">
        <f t="shared" si="12"/>
        <v>34219.38</v>
      </c>
      <c r="N117" s="20">
        <f t="shared" si="12"/>
        <v>42424.38</v>
      </c>
      <c r="O117" s="7">
        <f t="shared" si="4"/>
        <v>633146.12</v>
      </c>
      <c r="P117" s="16">
        <f t="shared" si="5"/>
        <v>385470.5</v>
      </c>
    </row>
    <row r="118" spans="1:16" ht="12.75">
      <c r="A118" s="6" t="s">
        <v>30</v>
      </c>
      <c r="E118" s="7">
        <f t="shared" si="11"/>
        <v>131293</v>
      </c>
      <c r="F118" s="7">
        <f t="shared" si="11"/>
        <v>49400</v>
      </c>
      <c r="G118" s="7">
        <f t="shared" si="11"/>
        <v>13143</v>
      </c>
      <c r="H118" s="7">
        <f t="shared" si="11"/>
        <v>324018.75</v>
      </c>
      <c r="I118" s="7"/>
      <c r="J118" s="7">
        <f t="shared" si="12"/>
        <v>18853.982</v>
      </c>
      <c r="K118" s="7">
        <f t="shared" si="12"/>
        <v>21037.859999999997</v>
      </c>
      <c r="L118" s="7"/>
      <c r="M118" s="20">
        <f t="shared" si="12"/>
        <v>34240.009999999995</v>
      </c>
      <c r="N118" s="20">
        <f t="shared" si="12"/>
        <v>42353.75</v>
      </c>
      <c r="O118" s="7">
        <f t="shared" si="4"/>
        <v>634340.352</v>
      </c>
      <c r="P118" s="16">
        <f t="shared" si="5"/>
        <v>386561.75</v>
      </c>
    </row>
    <row r="119" spans="1:16" ht="12.75">
      <c r="A119" s="6" t="s">
        <v>31</v>
      </c>
      <c r="E119" s="7">
        <f t="shared" si="11"/>
        <v>131405</v>
      </c>
      <c r="F119" s="7">
        <f t="shared" si="11"/>
        <v>49208</v>
      </c>
      <c r="G119" s="7">
        <f t="shared" si="11"/>
        <v>12827</v>
      </c>
      <c r="H119" s="7">
        <f t="shared" si="11"/>
        <v>325905.63</v>
      </c>
      <c r="I119" s="7"/>
      <c r="J119" s="7">
        <f t="shared" si="12"/>
        <v>18809.67</v>
      </c>
      <c r="K119" s="7">
        <f t="shared" si="12"/>
        <v>20998.23</v>
      </c>
      <c r="L119" s="7"/>
      <c r="M119" s="20">
        <f t="shared" si="12"/>
        <v>34244.38</v>
      </c>
      <c r="N119" s="20">
        <f t="shared" si="12"/>
        <v>42269.38</v>
      </c>
      <c r="O119" s="7">
        <f t="shared" si="4"/>
        <v>635667.29</v>
      </c>
      <c r="P119" s="16">
        <f t="shared" si="5"/>
        <v>387940.63</v>
      </c>
    </row>
    <row r="120" spans="1:16" ht="12.75">
      <c r="A120" s="6" t="s">
        <v>32</v>
      </c>
      <c r="E120" s="7">
        <f t="shared" si="11"/>
        <v>131884</v>
      </c>
      <c r="F120" s="7">
        <f t="shared" si="11"/>
        <v>48970</v>
      </c>
      <c r="G120" s="7">
        <f t="shared" si="11"/>
        <v>12513</v>
      </c>
      <c r="H120" s="7">
        <f t="shared" si="11"/>
        <v>325641.26</v>
      </c>
      <c r="I120" s="7"/>
      <c r="J120" s="7">
        <f t="shared" si="12"/>
        <v>18764.494</v>
      </c>
      <c r="K120" s="7">
        <f t="shared" si="12"/>
        <v>20958.21</v>
      </c>
      <c r="L120" s="7"/>
      <c r="M120" s="20">
        <f t="shared" si="12"/>
        <v>34232.5</v>
      </c>
      <c r="N120" s="20">
        <f t="shared" si="12"/>
        <v>42664.38</v>
      </c>
      <c r="O120" s="7">
        <f t="shared" si="4"/>
        <v>635627.8439999999</v>
      </c>
      <c r="P120" s="16">
        <f t="shared" si="5"/>
        <v>387124.26</v>
      </c>
    </row>
    <row r="121" spans="1:16" ht="12.75">
      <c r="A121" s="6" t="s">
        <v>33</v>
      </c>
      <c r="E121" s="7">
        <f t="shared" si="11"/>
        <v>131728</v>
      </c>
      <c r="F121" s="7">
        <f t="shared" si="11"/>
        <v>49665</v>
      </c>
      <c r="G121" s="7">
        <f t="shared" si="11"/>
        <v>13175</v>
      </c>
      <c r="H121" s="7">
        <f t="shared" si="11"/>
        <v>326718.76</v>
      </c>
      <c r="I121" s="7"/>
      <c r="J121" s="7">
        <f t="shared" si="12"/>
        <v>18719.78</v>
      </c>
      <c r="K121" s="7">
        <f t="shared" si="12"/>
        <v>20917.79</v>
      </c>
      <c r="L121" s="7"/>
      <c r="M121" s="20">
        <f t="shared" si="12"/>
        <v>34204.38</v>
      </c>
      <c r="N121" s="20">
        <f t="shared" si="12"/>
        <v>42538.75</v>
      </c>
      <c r="O121" s="7">
        <f t="shared" si="4"/>
        <v>637667.4600000001</v>
      </c>
      <c r="P121" s="16">
        <f t="shared" si="5"/>
        <v>389558.76</v>
      </c>
    </row>
    <row r="122" spans="1:16" ht="12.75">
      <c r="A122" s="6" t="s">
        <v>34</v>
      </c>
      <c r="E122" s="7">
        <f t="shared" si="11"/>
        <v>131938</v>
      </c>
      <c r="F122" s="7">
        <f t="shared" si="11"/>
        <v>49293</v>
      </c>
      <c r="G122" s="7">
        <f t="shared" si="11"/>
        <v>12815</v>
      </c>
      <c r="H122" s="7">
        <f t="shared" si="11"/>
        <v>327138.13</v>
      </c>
      <c r="I122" s="7"/>
      <c r="J122" s="7">
        <f t="shared" si="12"/>
        <v>18674.160000000003</v>
      </c>
      <c r="K122" s="7">
        <f t="shared" si="12"/>
        <v>20876.960000000003</v>
      </c>
      <c r="L122" s="7"/>
      <c r="M122" s="20">
        <f t="shared" si="12"/>
        <v>34160.009999999995</v>
      </c>
      <c r="N122" s="20">
        <f t="shared" si="12"/>
        <v>42399.38</v>
      </c>
      <c r="O122" s="7">
        <f t="shared" si="4"/>
        <v>637294.64</v>
      </c>
      <c r="P122" s="16">
        <f t="shared" si="5"/>
        <v>389246.13</v>
      </c>
    </row>
    <row r="123" spans="1:16" ht="12.75">
      <c r="A123" s="6" t="s">
        <v>35</v>
      </c>
      <c r="E123" s="7">
        <f t="shared" si="11"/>
        <v>132494</v>
      </c>
      <c r="F123" s="7">
        <f t="shared" si="11"/>
        <v>48875</v>
      </c>
      <c r="G123" s="7">
        <f t="shared" si="11"/>
        <v>12455</v>
      </c>
      <c r="H123" s="7">
        <f t="shared" si="11"/>
        <v>328392.5</v>
      </c>
      <c r="I123" s="7"/>
      <c r="J123" s="7">
        <f t="shared" si="12"/>
        <v>9319.83</v>
      </c>
      <c r="K123" s="7">
        <f t="shared" si="12"/>
        <v>10423.039999999999</v>
      </c>
      <c r="L123" s="7"/>
      <c r="M123" s="20">
        <f t="shared" si="12"/>
        <v>34099.38</v>
      </c>
      <c r="N123" s="20">
        <f t="shared" si="12"/>
        <v>42246.259999999995</v>
      </c>
      <c r="O123" s="7">
        <f t="shared" si="4"/>
        <v>618305.01</v>
      </c>
      <c r="P123" s="16">
        <f t="shared" si="5"/>
        <v>389722.5</v>
      </c>
    </row>
    <row r="124" spans="1:16" ht="12.75">
      <c r="A124" s="6" t="s">
        <v>36</v>
      </c>
      <c r="E124" s="7">
        <f t="shared" si="11"/>
        <v>132395</v>
      </c>
      <c r="F124" s="7">
        <f t="shared" si="11"/>
        <v>49390</v>
      </c>
      <c r="G124" s="7">
        <f t="shared" si="11"/>
        <v>13073</v>
      </c>
      <c r="H124" s="7">
        <f t="shared" si="11"/>
        <v>328975</v>
      </c>
      <c r="I124" s="7"/>
      <c r="J124" s="7">
        <f t="shared" si="12"/>
        <v>0</v>
      </c>
      <c r="K124" s="7">
        <f t="shared" si="12"/>
        <v>0</v>
      </c>
      <c r="L124" s="7"/>
      <c r="M124" s="20">
        <f t="shared" si="12"/>
        <v>34022.5</v>
      </c>
      <c r="N124" s="20">
        <f t="shared" si="12"/>
        <v>42572.509999999995</v>
      </c>
      <c r="O124" s="7">
        <f t="shared" si="4"/>
        <v>600428.01</v>
      </c>
      <c r="P124" s="16">
        <f t="shared" si="5"/>
        <v>391438</v>
      </c>
    </row>
    <row r="125" spans="1:16" ht="12.75">
      <c r="A125" s="6" t="s">
        <v>37</v>
      </c>
      <c r="E125" s="7">
        <f t="shared" si="11"/>
        <v>132641</v>
      </c>
      <c r="F125" s="7">
        <f t="shared" si="11"/>
        <v>48838</v>
      </c>
      <c r="G125" s="7">
        <f t="shared" si="11"/>
        <v>12667</v>
      </c>
      <c r="H125" s="7">
        <f t="shared" si="11"/>
        <v>329885.63</v>
      </c>
      <c r="I125" s="7"/>
      <c r="J125" s="7">
        <f t="shared" si="12"/>
        <v>0</v>
      </c>
      <c r="K125" s="7">
        <f t="shared" si="12"/>
        <v>0</v>
      </c>
      <c r="L125" s="7"/>
      <c r="M125" s="20">
        <f t="shared" si="12"/>
        <v>33929.380000000005</v>
      </c>
      <c r="N125" s="20">
        <f t="shared" si="12"/>
        <v>42078.13</v>
      </c>
      <c r="O125" s="7">
        <f t="shared" si="4"/>
        <v>600039.14</v>
      </c>
      <c r="P125" s="16">
        <f t="shared" si="5"/>
        <v>391390.63</v>
      </c>
    </row>
    <row r="126" spans="1:16" ht="12.75">
      <c r="A126" s="6" t="s">
        <v>38</v>
      </c>
      <c r="E126" s="7">
        <f t="shared" si="11"/>
        <v>133212</v>
      </c>
      <c r="F126" s="7">
        <f t="shared" si="11"/>
        <v>49217</v>
      </c>
      <c r="G126" s="7">
        <f t="shared" si="11"/>
        <v>13240</v>
      </c>
      <c r="H126" s="7">
        <f t="shared" si="11"/>
        <v>331110.63</v>
      </c>
      <c r="I126" s="7"/>
      <c r="J126" s="7">
        <f t="shared" si="12"/>
        <v>0</v>
      </c>
      <c r="K126" s="7">
        <f t="shared" si="12"/>
        <v>0</v>
      </c>
      <c r="L126" s="7"/>
      <c r="M126" s="20">
        <f t="shared" si="12"/>
        <v>34311.880000000005</v>
      </c>
      <c r="N126" s="20">
        <f t="shared" si="12"/>
        <v>42170</v>
      </c>
      <c r="O126" s="7">
        <f t="shared" si="4"/>
        <v>603261.51</v>
      </c>
      <c r="P126" s="16">
        <f t="shared" si="5"/>
        <v>393567.63</v>
      </c>
    </row>
    <row r="127" spans="1:16" ht="12.75">
      <c r="A127" s="6" t="s">
        <v>39</v>
      </c>
      <c r="E127" s="7">
        <f t="shared" si="11"/>
        <v>133597</v>
      </c>
      <c r="F127" s="7">
        <f t="shared" si="11"/>
        <v>48530</v>
      </c>
      <c r="G127" s="7">
        <f t="shared" si="11"/>
        <v>12790</v>
      </c>
      <c r="H127" s="7">
        <f t="shared" si="11"/>
        <v>332143.13</v>
      </c>
      <c r="I127" s="7"/>
      <c r="J127" s="7">
        <f t="shared" si="12"/>
        <v>0</v>
      </c>
      <c r="K127" s="7">
        <f t="shared" si="12"/>
        <v>0</v>
      </c>
      <c r="L127" s="7"/>
      <c r="M127" s="20">
        <f t="shared" si="12"/>
        <v>34170</v>
      </c>
      <c r="N127" s="20">
        <f t="shared" si="12"/>
        <v>42441.25</v>
      </c>
      <c r="O127" s="7">
        <f t="shared" si="4"/>
        <v>603671.38</v>
      </c>
      <c r="P127" s="16">
        <f t="shared" si="5"/>
        <v>393463.13</v>
      </c>
    </row>
    <row r="128" spans="1:16" ht="12.75">
      <c r="A128" s="6" t="s">
        <v>40</v>
      </c>
      <c r="E128" s="7">
        <f t="shared" si="11"/>
        <v>133797</v>
      </c>
      <c r="F128" s="7">
        <f t="shared" si="11"/>
        <v>47797</v>
      </c>
      <c r="G128" s="7">
        <f t="shared" si="11"/>
        <v>12340</v>
      </c>
      <c r="H128" s="7">
        <f t="shared" si="11"/>
        <v>332983.13</v>
      </c>
      <c r="I128" s="7"/>
      <c r="J128" s="7">
        <f t="shared" si="12"/>
        <v>0</v>
      </c>
      <c r="K128" s="7">
        <f t="shared" si="12"/>
        <v>0</v>
      </c>
      <c r="L128" s="7"/>
      <c r="M128" s="20">
        <f t="shared" si="12"/>
        <v>34011.880000000005</v>
      </c>
      <c r="N128" s="20">
        <f t="shared" si="12"/>
        <v>42191.880000000005</v>
      </c>
      <c r="O128" s="7">
        <f t="shared" si="4"/>
        <v>603120.89</v>
      </c>
      <c r="P128" s="16">
        <f t="shared" si="5"/>
        <v>393120.13</v>
      </c>
    </row>
    <row r="129" spans="1:16" ht="12.75">
      <c r="A129" s="6" t="s">
        <v>41</v>
      </c>
      <c r="E129" s="7">
        <f t="shared" si="11"/>
        <v>133811</v>
      </c>
      <c r="F129" s="7">
        <f t="shared" si="11"/>
        <v>47997</v>
      </c>
      <c r="G129" s="7">
        <f t="shared" si="11"/>
        <v>12868</v>
      </c>
      <c r="H129" s="7">
        <f t="shared" si="11"/>
        <v>334123.75</v>
      </c>
      <c r="I129" s="7"/>
      <c r="J129" s="7">
        <f t="shared" si="12"/>
        <v>0</v>
      </c>
      <c r="K129" s="7">
        <f t="shared" si="12"/>
        <v>0</v>
      </c>
      <c r="L129" s="7"/>
      <c r="M129" s="20">
        <f t="shared" si="12"/>
        <v>34329.380000000005</v>
      </c>
      <c r="N129" s="20">
        <f t="shared" si="12"/>
        <v>42421.880000000005</v>
      </c>
      <c r="O129" s="7">
        <f t="shared" si="4"/>
        <v>605551.01</v>
      </c>
      <c r="P129" s="16">
        <f t="shared" si="5"/>
        <v>394988.75</v>
      </c>
    </row>
    <row r="130" spans="1:16" ht="12.75">
      <c r="A130" s="6" t="s">
        <v>42</v>
      </c>
      <c r="E130" s="7">
        <f t="shared" si="11"/>
        <v>134130</v>
      </c>
      <c r="F130" s="7">
        <f t="shared" si="11"/>
        <v>48107</v>
      </c>
      <c r="G130" s="7">
        <f t="shared" si="11"/>
        <v>12372</v>
      </c>
      <c r="H130" s="7">
        <f t="shared" si="11"/>
        <v>335058.135</v>
      </c>
      <c r="I130" s="7"/>
      <c r="J130" s="7">
        <f t="shared" si="12"/>
        <v>0</v>
      </c>
      <c r="K130" s="7">
        <f t="shared" si="12"/>
        <v>0</v>
      </c>
      <c r="L130" s="7"/>
      <c r="M130" s="20">
        <f t="shared" si="12"/>
        <v>34122.5</v>
      </c>
      <c r="N130" s="20">
        <f t="shared" si="12"/>
        <v>42131.25</v>
      </c>
      <c r="O130" s="7">
        <f t="shared" si="4"/>
        <v>605920.885</v>
      </c>
      <c r="P130" s="16">
        <f t="shared" si="5"/>
        <v>395537.135</v>
      </c>
    </row>
    <row r="131" spans="1:16" ht="12.75">
      <c r="A131" s="6" t="s">
        <v>43</v>
      </c>
      <c r="E131" s="7">
        <f t="shared" si="11"/>
        <v>134731</v>
      </c>
      <c r="F131" s="7">
        <f t="shared" si="11"/>
        <v>48127</v>
      </c>
      <c r="G131" s="7">
        <f t="shared" si="11"/>
        <v>12855</v>
      </c>
      <c r="H131" s="7">
        <f t="shared" si="11"/>
        <v>336279.38</v>
      </c>
      <c r="I131" s="7"/>
      <c r="J131" s="7">
        <f t="shared" si="12"/>
        <v>0</v>
      </c>
      <c r="K131" s="7">
        <f t="shared" si="12"/>
        <v>0</v>
      </c>
      <c r="L131" s="7"/>
      <c r="M131" s="20">
        <f t="shared" si="12"/>
        <v>34391.25</v>
      </c>
      <c r="N131" s="20">
        <f t="shared" si="12"/>
        <v>42320</v>
      </c>
      <c r="O131" s="7">
        <f t="shared" si="4"/>
        <v>608703.63</v>
      </c>
      <c r="P131" s="16">
        <f t="shared" si="5"/>
        <v>397261.38</v>
      </c>
    </row>
    <row r="132" spans="1:16" ht="12.75">
      <c r="A132" s="6" t="s">
        <v>44</v>
      </c>
      <c r="E132" s="7">
        <f t="shared" si="11"/>
        <v>135105</v>
      </c>
      <c r="F132" s="7">
        <f t="shared" si="11"/>
        <v>48057</v>
      </c>
      <c r="G132" s="7">
        <f t="shared" si="11"/>
        <v>13292</v>
      </c>
      <c r="H132" s="7">
        <f t="shared" si="11"/>
        <v>337280.63</v>
      </c>
      <c r="I132" s="7"/>
      <c r="J132" s="7">
        <f t="shared" si="12"/>
        <v>0</v>
      </c>
      <c r="K132" s="7">
        <f t="shared" si="12"/>
        <v>0</v>
      </c>
      <c r="L132" s="7"/>
      <c r="M132" s="20">
        <f t="shared" si="12"/>
        <v>34135.630000000005</v>
      </c>
      <c r="N132" s="20">
        <f t="shared" si="12"/>
        <v>42481.25</v>
      </c>
      <c r="O132" s="7">
        <f t="shared" si="4"/>
        <v>610351.51</v>
      </c>
      <c r="P132" s="16">
        <f t="shared" si="5"/>
        <v>398629.63</v>
      </c>
    </row>
    <row r="133" spans="1:16" ht="12.75">
      <c r="A133" s="6" t="s">
        <v>45</v>
      </c>
      <c r="E133" s="7">
        <v>135743</v>
      </c>
      <c r="F133" s="7"/>
      <c r="G133" s="7"/>
      <c r="H133" s="7">
        <f aca="true" t="shared" si="13" ref="H133:H140">+H41+H87</f>
        <v>338555.01</v>
      </c>
      <c r="I133" s="7"/>
      <c r="J133" s="7">
        <f t="shared" si="12"/>
        <v>0</v>
      </c>
      <c r="K133" s="7">
        <f t="shared" si="12"/>
        <v>0</v>
      </c>
      <c r="L133" s="7"/>
      <c r="M133" s="20">
        <f t="shared" si="12"/>
        <v>34355.630000000005</v>
      </c>
      <c r="N133" s="20">
        <f t="shared" si="12"/>
        <v>42121.880000000005</v>
      </c>
      <c r="O133" s="7">
        <f t="shared" si="4"/>
        <v>550775.52</v>
      </c>
      <c r="P133" s="16">
        <f t="shared" si="5"/>
        <v>338555.01</v>
      </c>
    </row>
    <row r="134" spans="1:16" ht="12.75">
      <c r="A134" s="6" t="s">
        <v>46</v>
      </c>
      <c r="E134" s="7"/>
      <c r="F134" s="7"/>
      <c r="G134" s="7"/>
      <c r="H134" s="7">
        <f t="shared" si="13"/>
        <v>339595.63</v>
      </c>
      <c r="I134" s="7"/>
      <c r="J134" s="7">
        <f t="shared" si="12"/>
        <v>0</v>
      </c>
      <c r="K134" s="7">
        <f t="shared" si="12"/>
        <v>0</v>
      </c>
      <c r="L134" s="7"/>
      <c r="M134" s="20">
        <f t="shared" si="12"/>
        <v>34051.25</v>
      </c>
      <c r="N134" s="20">
        <f t="shared" si="12"/>
        <v>42241.880000000005</v>
      </c>
      <c r="O134" s="7">
        <f t="shared" si="4"/>
        <v>415888.76</v>
      </c>
      <c r="P134" s="16">
        <f t="shared" si="5"/>
        <v>339595.63</v>
      </c>
    </row>
    <row r="135" spans="1:16" ht="12.75">
      <c r="A135" s="6" t="s">
        <v>61</v>
      </c>
      <c r="E135" s="7"/>
      <c r="F135" s="7"/>
      <c r="G135" s="7"/>
      <c r="H135" s="7">
        <f t="shared" si="13"/>
        <v>340895.63</v>
      </c>
      <c r="I135" s="7"/>
      <c r="J135" s="7">
        <f t="shared" si="12"/>
        <v>0</v>
      </c>
      <c r="K135" s="7">
        <f t="shared" si="12"/>
        <v>0</v>
      </c>
      <c r="L135" s="7"/>
      <c r="M135" s="20">
        <f t="shared" si="12"/>
        <v>34222.5</v>
      </c>
      <c r="N135" s="20">
        <f t="shared" si="12"/>
        <v>42334.380000000005</v>
      </c>
      <c r="O135" s="7">
        <f t="shared" si="4"/>
        <v>417452.51</v>
      </c>
      <c r="P135" s="16">
        <f t="shared" si="5"/>
        <v>340895.63</v>
      </c>
    </row>
    <row r="136" spans="1:16" ht="12.75">
      <c r="A136" s="6" t="s">
        <v>62</v>
      </c>
      <c r="E136" s="7"/>
      <c r="F136" s="7"/>
      <c r="G136" s="7"/>
      <c r="H136" s="7">
        <f t="shared" si="13"/>
        <v>342441.26</v>
      </c>
      <c r="I136" s="7"/>
      <c r="J136" s="7">
        <f t="shared" si="12"/>
        <v>0</v>
      </c>
      <c r="K136" s="7">
        <f t="shared" si="12"/>
        <v>0</v>
      </c>
      <c r="L136" s="7"/>
      <c r="M136" s="20">
        <f t="shared" si="12"/>
        <v>34361.25</v>
      </c>
      <c r="N136" s="20">
        <f t="shared" si="12"/>
        <v>42399.38</v>
      </c>
      <c r="O136" s="7">
        <f t="shared" si="4"/>
        <v>419201.89</v>
      </c>
      <c r="P136" s="16">
        <f t="shared" si="5"/>
        <v>342441.26</v>
      </c>
    </row>
    <row r="137" spans="1:16" ht="12.75">
      <c r="A137" s="6" t="s">
        <v>63</v>
      </c>
      <c r="E137" s="7"/>
      <c r="F137" s="7"/>
      <c r="G137" s="7"/>
      <c r="H137" s="7">
        <f t="shared" si="13"/>
        <v>343725.63</v>
      </c>
      <c r="I137" s="7"/>
      <c r="J137" s="7">
        <f t="shared" si="12"/>
        <v>0</v>
      </c>
      <c r="K137" s="7">
        <f t="shared" si="12"/>
        <v>0</v>
      </c>
      <c r="L137" s="7"/>
      <c r="M137" s="20">
        <f t="shared" si="12"/>
        <v>34467.5</v>
      </c>
      <c r="N137" s="20">
        <f t="shared" si="12"/>
        <v>42436.88</v>
      </c>
      <c r="O137" s="7">
        <f t="shared" si="4"/>
        <v>420630.01</v>
      </c>
      <c r="P137" s="16">
        <f t="shared" si="5"/>
        <v>343725.63</v>
      </c>
    </row>
    <row r="138" spans="1:16" ht="12.75">
      <c r="A138" s="6" t="s">
        <v>64</v>
      </c>
      <c r="E138" s="7"/>
      <c r="F138" s="7"/>
      <c r="G138" s="7"/>
      <c r="H138" s="7">
        <f t="shared" si="13"/>
        <v>344748.75</v>
      </c>
      <c r="I138" s="7"/>
      <c r="J138" s="7">
        <f t="shared" si="12"/>
        <v>0</v>
      </c>
      <c r="K138" s="7">
        <f t="shared" si="12"/>
        <v>0</v>
      </c>
      <c r="L138" s="7"/>
      <c r="M138" s="20">
        <f t="shared" si="12"/>
        <v>34541.25</v>
      </c>
      <c r="N138" s="20">
        <f t="shared" si="12"/>
        <v>42446.88</v>
      </c>
      <c r="O138" s="7">
        <f t="shared" si="4"/>
        <v>421736.88</v>
      </c>
      <c r="P138" s="16">
        <f t="shared" si="5"/>
        <v>344748.75</v>
      </c>
    </row>
    <row r="139" spans="1:16" ht="12.75">
      <c r="A139" s="6" t="s">
        <v>65</v>
      </c>
      <c r="E139" s="7"/>
      <c r="F139" s="7"/>
      <c r="G139" s="7"/>
      <c r="H139" s="7">
        <f t="shared" si="13"/>
        <v>346496.88</v>
      </c>
      <c r="I139" s="7"/>
      <c r="J139" s="7">
        <f t="shared" si="12"/>
        <v>0</v>
      </c>
      <c r="K139" s="7">
        <f t="shared" si="12"/>
        <v>0</v>
      </c>
      <c r="L139" s="7"/>
      <c r="M139" s="20">
        <f t="shared" si="12"/>
        <v>34582.5</v>
      </c>
      <c r="N139" s="20">
        <f t="shared" si="12"/>
        <v>42429.38</v>
      </c>
      <c r="O139" s="7">
        <f t="shared" si="4"/>
        <v>423508.76</v>
      </c>
      <c r="P139" s="16">
        <f t="shared" si="5"/>
        <v>346496.88</v>
      </c>
    </row>
    <row r="140" spans="1:16" ht="12.75">
      <c r="A140" s="6" t="s">
        <v>66</v>
      </c>
      <c r="E140" s="7"/>
      <c r="F140" s="7"/>
      <c r="G140" s="7"/>
      <c r="H140" s="7">
        <f t="shared" si="13"/>
        <v>347956.26</v>
      </c>
      <c r="I140" s="7"/>
      <c r="J140" s="7">
        <f t="shared" si="12"/>
        <v>0</v>
      </c>
      <c r="K140" s="7">
        <f t="shared" si="12"/>
        <v>0</v>
      </c>
      <c r="L140" s="7"/>
      <c r="M140" s="20">
        <f t="shared" si="12"/>
        <v>34591.25</v>
      </c>
      <c r="N140" s="20">
        <f t="shared" si="12"/>
        <v>42384.38</v>
      </c>
      <c r="O140" s="7">
        <f t="shared" si="4"/>
        <v>424931.89</v>
      </c>
      <c r="P140" s="16">
        <f t="shared" si="5"/>
        <v>347956.26</v>
      </c>
    </row>
    <row r="141" spans="1:16" ht="12.75">
      <c r="A141" s="6" t="s">
        <v>72</v>
      </c>
      <c r="E141" s="7"/>
      <c r="F141" s="7"/>
      <c r="G141" s="7"/>
      <c r="H141" s="7">
        <f>+H49+H95</f>
        <v>345181.88</v>
      </c>
      <c r="I141" s="7"/>
      <c r="J141" s="7">
        <f>+J49+J95</f>
        <v>0</v>
      </c>
      <c r="K141" s="7">
        <f>+K49+K95</f>
        <v>0</v>
      </c>
      <c r="L141" s="7"/>
      <c r="M141" s="20">
        <f aca="true" t="shared" si="14" ref="M141:N143">+M49+M95</f>
        <v>34567.5</v>
      </c>
      <c r="N141" s="20">
        <f t="shared" si="14"/>
        <v>42311.88</v>
      </c>
      <c r="O141" s="7">
        <f t="shared" si="4"/>
        <v>422061.26</v>
      </c>
      <c r="P141" s="16">
        <f>+F144+G144+H141+I141</f>
        <v>345181.88</v>
      </c>
    </row>
    <row r="142" spans="1:16" ht="12.75">
      <c r="A142" s="6" t="s">
        <v>83</v>
      </c>
      <c r="E142" s="7"/>
      <c r="F142" s="7"/>
      <c r="G142" s="7"/>
      <c r="H142" s="7">
        <f>+H50+H96</f>
        <v>0</v>
      </c>
      <c r="I142" s="7"/>
      <c r="J142" s="7">
        <f>+J51+J96</f>
        <v>0</v>
      </c>
      <c r="K142" s="7">
        <f>+K51+K96</f>
        <v>0</v>
      </c>
      <c r="L142" s="7"/>
      <c r="M142" s="20">
        <f t="shared" si="14"/>
        <v>34511.25</v>
      </c>
      <c r="N142" s="20">
        <f t="shared" si="14"/>
        <v>42211.88</v>
      </c>
      <c r="O142" s="7">
        <f t="shared" si="4"/>
        <v>76723.13</v>
      </c>
      <c r="P142" s="16">
        <f>+F145+G145+H142+I142</f>
        <v>0</v>
      </c>
    </row>
    <row r="143" spans="1:16" ht="12.75">
      <c r="A143" s="6" t="s">
        <v>84</v>
      </c>
      <c r="E143" s="7"/>
      <c r="F143" s="7"/>
      <c r="G143" s="7"/>
      <c r="H143" s="7"/>
      <c r="I143" s="7"/>
      <c r="J143" s="7"/>
      <c r="K143" s="7"/>
      <c r="L143" s="7"/>
      <c r="M143" s="20">
        <f t="shared" si="14"/>
        <v>30487.5</v>
      </c>
      <c r="N143" s="20">
        <f t="shared" si="14"/>
        <v>42577.5</v>
      </c>
      <c r="O143" s="7">
        <f t="shared" si="4"/>
        <v>73065</v>
      </c>
      <c r="P143" s="16">
        <f>+F146+G146+H143+I143</f>
        <v>0</v>
      </c>
    </row>
    <row r="144" spans="1:14" ht="12.75">
      <c r="A144" s="6"/>
      <c r="E144" s="7"/>
      <c r="F144" s="7"/>
      <c r="G144" s="7"/>
      <c r="M144" s="20"/>
      <c r="N144" s="20"/>
    </row>
    <row r="145" spans="1:7" ht="12.75">
      <c r="A145" s="6"/>
      <c r="E145" s="7"/>
      <c r="F145" s="7"/>
      <c r="G145" s="7"/>
    </row>
    <row r="146" spans="1:16" ht="12.75">
      <c r="A146" s="6"/>
      <c r="E146" s="12"/>
      <c r="F146" s="7">
        <f>+F41+F87</f>
        <v>0</v>
      </c>
      <c r="G146" s="7">
        <f>+G41+G87</f>
        <v>0</v>
      </c>
      <c r="H146" s="7"/>
      <c r="I146" s="7"/>
      <c r="J146" s="7"/>
      <c r="K146" s="7"/>
      <c r="L146" s="7"/>
      <c r="M146" s="7"/>
      <c r="N146" s="7"/>
      <c r="O146" s="7">
        <f>SUM(B146:G146)</f>
        <v>0</v>
      </c>
      <c r="P146" s="16">
        <f t="shared" si="5"/>
        <v>0</v>
      </c>
    </row>
    <row r="147" spans="2:16" ht="13.5" thickBot="1">
      <c r="B147" s="9">
        <f>SUM(B105:B113)</f>
        <v>1252462.5</v>
      </c>
      <c r="C147" s="9">
        <f>SUM(C105:C113)</f>
        <v>14062.97</v>
      </c>
      <c r="D147" s="9">
        <f>SUM(D105:D113)</f>
        <v>1572504</v>
      </c>
      <c r="E147" s="9">
        <f>SUM(E105:E146)</f>
        <v>3821500</v>
      </c>
      <c r="F147" s="9">
        <f>SUM(F105:F113)</f>
        <v>446000</v>
      </c>
      <c r="G147" s="9">
        <f>SUM(G105:G145)</f>
        <v>359958</v>
      </c>
      <c r="H147" s="9">
        <f>SUM(H105:H146)</f>
        <v>12201908.285000004</v>
      </c>
      <c r="I147" s="9">
        <f>SUM(I105:I113)</f>
        <v>916285</v>
      </c>
      <c r="J147" s="9">
        <f aca="true" t="shared" si="15" ref="J147:P147">SUM(J105:J146)</f>
        <v>352078.29600000003</v>
      </c>
      <c r="K147" s="9">
        <f t="shared" si="15"/>
        <v>392136.67</v>
      </c>
      <c r="L147" s="9">
        <f t="shared" si="15"/>
        <v>338970.03</v>
      </c>
      <c r="M147" s="9">
        <f t="shared" si="15"/>
        <v>1319883.86</v>
      </c>
      <c r="N147" s="9">
        <f t="shared" si="15"/>
        <v>1638497.6599999992</v>
      </c>
      <c r="O147" s="9">
        <f t="shared" si="15"/>
        <v>25556344.271000016</v>
      </c>
      <c r="P147" s="9">
        <f t="shared" si="15"/>
        <v>14854248.285000008</v>
      </c>
    </row>
    <row r="148" ht="13.5" thickTop="1"/>
  </sheetData>
  <sheetProtection/>
  <mergeCells count="3">
    <mergeCell ref="M10:N10"/>
    <mergeCell ref="M56:N56"/>
    <mergeCell ref="M103:N103"/>
  </mergeCells>
  <printOptions/>
  <pageMargins left="0.7" right="0.7" top="0.75" bottom="0.75" header="0.3" footer="0.3"/>
  <pageSetup fitToHeight="6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H96" sqref="H96"/>
    </sheetView>
  </sheetViews>
  <sheetFormatPr defaultColWidth="9.140625" defaultRowHeight="12.75"/>
  <cols>
    <col min="4" max="4" width="12.7109375" style="0" customWidth="1"/>
    <col min="6" max="6" width="10.28125" style="0" customWidth="1"/>
    <col min="8" max="8" width="11.7109375" style="0" customWidth="1"/>
  </cols>
  <sheetData>
    <row r="1" ht="12.75">
      <c r="A1" s="22" t="s">
        <v>0</v>
      </c>
    </row>
    <row r="2" ht="12.75">
      <c r="A2" s="22" t="s">
        <v>82</v>
      </c>
    </row>
    <row r="7" spans="4:8" ht="12.75">
      <c r="D7" s="22" t="s">
        <v>80</v>
      </c>
      <c r="E7" s="22" t="s">
        <v>81</v>
      </c>
      <c r="F7" s="22" t="s">
        <v>80</v>
      </c>
      <c r="H7" s="22" t="s">
        <v>47</v>
      </c>
    </row>
    <row r="8" spans="4:8" ht="12.75">
      <c r="D8" s="22"/>
      <c r="E8" s="22"/>
      <c r="F8" s="22"/>
      <c r="H8" s="22"/>
    </row>
    <row r="9" ht="12.75">
      <c r="C9" s="23"/>
    </row>
    <row r="10" spans="3:8" ht="15">
      <c r="C10" s="23">
        <v>41974</v>
      </c>
      <c r="D10">
        <v>7700000</v>
      </c>
      <c r="E10" s="19">
        <v>105500</v>
      </c>
      <c r="F10">
        <f>+D10-E10</f>
        <v>7594500</v>
      </c>
      <c r="G10">
        <v>0.0275</v>
      </c>
      <c r="H10" s="24">
        <f>+D10*G10/2</f>
        <v>105875</v>
      </c>
    </row>
    <row r="11" spans="3:8" ht="15">
      <c r="C11" s="23">
        <v>42156</v>
      </c>
      <c r="D11">
        <f>+F10</f>
        <v>7594500</v>
      </c>
      <c r="E11" s="19"/>
      <c r="F11">
        <f aca="true" t="shared" si="0" ref="F11:F74">+D11-E11</f>
        <v>7594500</v>
      </c>
      <c r="G11">
        <v>0.0275</v>
      </c>
      <c r="H11" s="24">
        <f aca="true" t="shared" si="1" ref="H11:H73">+F11*G11/2</f>
        <v>104424.375</v>
      </c>
    </row>
    <row r="12" spans="3:8" ht="15">
      <c r="C12" s="23">
        <v>42339</v>
      </c>
      <c r="D12">
        <f aca="true" t="shared" si="2" ref="D12:D75">+F11</f>
        <v>7594500</v>
      </c>
      <c r="E12" s="19">
        <v>109000</v>
      </c>
      <c r="F12">
        <f t="shared" si="0"/>
        <v>7485500</v>
      </c>
      <c r="G12">
        <v>0.0275</v>
      </c>
      <c r="H12" s="24">
        <f>+D12*G12/2</f>
        <v>104424.375</v>
      </c>
    </row>
    <row r="13" spans="3:8" ht="15">
      <c r="C13" s="23">
        <v>42522</v>
      </c>
      <c r="D13">
        <f t="shared" si="2"/>
        <v>7485500</v>
      </c>
      <c r="E13" s="19"/>
      <c r="F13">
        <f t="shared" si="0"/>
        <v>7485500</v>
      </c>
      <c r="G13">
        <v>0.0275</v>
      </c>
      <c r="H13" s="24">
        <f t="shared" si="1"/>
        <v>102925.625</v>
      </c>
    </row>
    <row r="14" spans="3:8" ht="15">
      <c r="C14" s="23">
        <v>42705</v>
      </c>
      <c r="D14">
        <f t="shared" si="2"/>
        <v>7485500</v>
      </c>
      <c r="E14" s="19">
        <v>112500</v>
      </c>
      <c r="F14">
        <f t="shared" si="0"/>
        <v>7373000</v>
      </c>
      <c r="G14">
        <v>0.0275</v>
      </c>
      <c r="H14" s="24">
        <f>+D14*G14/2</f>
        <v>102925.625</v>
      </c>
    </row>
    <row r="15" spans="3:8" ht="15">
      <c r="C15" s="23">
        <v>42887</v>
      </c>
      <c r="D15">
        <f t="shared" si="2"/>
        <v>7373000</v>
      </c>
      <c r="E15" s="19"/>
      <c r="F15">
        <f t="shared" si="0"/>
        <v>7373000</v>
      </c>
      <c r="G15">
        <v>0.0275</v>
      </c>
      <c r="H15" s="24">
        <f t="shared" si="1"/>
        <v>101378.75</v>
      </c>
    </row>
    <row r="16" spans="3:8" ht="15">
      <c r="C16" s="23">
        <v>43070</v>
      </c>
      <c r="D16">
        <f t="shared" si="2"/>
        <v>7373000</v>
      </c>
      <c r="E16" s="19">
        <v>116000</v>
      </c>
      <c r="F16">
        <f t="shared" si="0"/>
        <v>7257000</v>
      </c>
      <c r="G16">
        <v>0.0275</v>
      </c>
      <c r="H16" s="24">
        <f>+D16*G16/2</f>
        <v>101378.75</v>
      </c>
    </row>
    <row r="17" spans="3:8" ht="15">
      <c r="C17" s="23">
        <v>43252</v>
      </c>
      <c r="D17">
        <f t="shared" si="2"/>
        <v>7257000</v>
      </c>
      <c r="E17" s="19"/>
      <c r="F17">
        <f t="shared" si="0"/>
        <v>7257000</v>
      </c>
      <c r="G17">
        <v>0.0275</v>
      </c>
      <c r="H17" s="24">
        <f t="shared" si="1"/>
        <v>99783.75</v>
      </c>
    </row>
    <row r="18" spans="3:8" ht="15">
      <c r="C18" s="23">
        <v>43435</v>
      </c>
      <c r="D18">
        <f t="shared" si="2"/>
        <v>7257000</v>
      </c>
      <c r="E18" s="19">
        <v>120000</v>
      </c>
      <c r="F18">
        <f t="shared" si="0"/>
        <v>7137000</v>
      </c>
      <c r="G18">
        <v>0.0275</v>
      </c>
      <c r="H18" s="24">
        <f>+D18*G18/2</f>
        <v>99783.75</v>
      </c>
    </row>
    <row r="19" spans="3:8" ht="15">
      <c r="C19" s="23">
        <v>43617</v>
      </c>
      <c r="D19">
        <f t="shared" si="2"/>
        <v>7137000</v>
      </c>
      <c r="E19" s="19"/>
      <c r="F19">
        <f t="shared" si="0"/>
        <v>7137000</v>
      </c>
      <c r="G19">
        <v>0.0275</v>
      </c>
      <c r="H19" s="24">
        <f t="shared" si="1"/>
        <v>98133.75</v>
      </c>
    </row>
    <row r="20" spans="3:8" ht="15">
      <c r="C20" s="23">
        <v>43800</v>
      </c>
      <c r="D20">
        <f t="shared" si="2"/>
        <v>7137000</v>
      </c>
      <c r="E20" s="19">
        <v>124000</v>
      </c>
      <c r="F20">
        <f t="shared" si="0"/>
        <v>7013000</v>
      </c>
      <c r="G20">
        <v>0.0275</v>
      </c>
      <c r="H20" s="24">
        <f>+D20*G20/2</f>
        <v>98133.75</v>
      </c>
    </row>
    <row r="21" spans="3:8" ht="15">
      <c r="C21" s="23">
        <v>43983</v>
      </c>
      <c r="D21">
        <f t="shared" si="2"/>
        <v>7013000</v>
      </c>
      <c r="E21" s="19"/>
      <c r="F21">
        <f t="shared" si="0"/>
        <v>7013000</v>
      </c>
      <c r="G21">
        <v>0.0275</v>
      </c>
      <c r="H21" s="24">
        <f t="shared" si="1"/>
        <v>96428.75</v>
      </c>
    </row>
    <row r="22" spans="3:8" ht="15">
      <c r="C22" s="23">
        <v>44166</v>
      </c>
      <c r="D22">
        <f t="shared" si="2"/>
        <v>7013000</v>
      </c>
      <c r="E22" s="19">
        <v>128000</v>
      </c>
      <c r="F22">
        <f t="shared" si="0"/>
        <v>6885000</v>
      </c>
      <c r="G22">
        <v>0.0275</v>
      </c>
      <c r="H22" s="24">
        <f>+D22*G22/2</f>
        <v>96428.75</v>
      </c>
    </row>
    <row r="23" spans="3:8" ht="15">
      <c r="C23" s="23">
        <v>44348</v>
      </c>
      <c r="D23">
        <f t="shared" si="2"/>
        <v>6885000</v>
      </c>
      <c r="E23" s="19"/>
      <c r="F23">
        <f t="shared" si="0"/>
        <v>6885000</v>
      </c>
      <c r="G23">
        <v>0.0275</v>
      </c>
      <c r="H23" s="24">
        <f t="shared" si="1"/>
        <v>94668.75</v>
      </c>
    </row>
    <row r="24" spans="3:8" ht="15">
      <c r="C24" s="23">
        <v>44531</v>
      </c>
      <c r="D24">
        <f t="shared" si="2"/>
        <v>6885000</v>
      </c>
      <c r="E24" s="19">
        <v>132000</v>
      </c>
      <c r="F24">
        <f t="shared" si="0"/>
        <v>6753000</v>
      </c>
      <c r="G24">
        <v>0.0275</v>
      </c>
      <c r="H24" s="24">
        <f>+D24*G24/2</f>
        <v>94668.75</v>
      </c>
    </row>
    <row r="25" spans="3:8" ht="15">
      <c r="C25" s="23">
        <v>44713</v>
      </c>
      <c r="D25">
        <f t="shared" si="2"/>
        <v>6753000</v>
      </c>
      <c r="E25" s="19"/>
      <c r="F25">
        <f t="shared" si="0"/>
        <v>6753000</v>
      </c>
      <c r="G25">
        <v>0.0275</v>
      </c>
      <c r="H25" s="24">
        <f t="shared" si="1"/>
        <v>92853.75</v>
      </c>
    </row>
    <row r="26" spans="3:8" ht="15">
      <c r="C26" s="23">
        <v>44896</v>
      </c>
      <c r="D26">
        <f t="shared" si="2"/>
        <v>6753000</v>
      </c>
      <c r="E26" s="19">
        <v>136500</v>
      </c>
      <c r="F26">
        <f t="shared" si="0"/>
        <v>6616500</v>
      </c>
      <c r="G26">
        <v>0.0275</v>
      </c>
      <c r="H26" s="24">
        <f>+D26*G26/2</f>
        <v>92853.75</v>
      </c>
    </row>
    <row r="27" spans="3:8" ht="15">
      <c r="C27" s="23">
        <v>45078</v>
      </c>
      <c r="D27">
        <f t="shared" si="2"/>
        <v>6616500</v>
      </c>
      <c r="E27" s="19"/>
      <c r="F27">
        <f t="shared" si="0"/>
        <v>6616500</v>
      </c>
      <c r="G27">
        <v>0.0275</v>
      </c>
      <c r="H27" s="24">
        <f t="shared" si="1"/>
        <v>90976.875</v>
      </c>
    </row>
    <row r="28" spans="3:8" ht="15">
      <c r="C28" s="23">
        <v>45261</v>
      </c>
      <c r="D28">
        <f t="shared" si="2"/>
        <v>6616500</v>
      </c>
      <c r="E28" s="19">
        <v>141000</v>
      </c>
      <c r="F28">
        <f t="shared" si="0"/>
        <v>6475500</v>
      </c>
      <c r="G28">
        <v>0.0275</v>
      </c>
      <c r="H28" s="24">
        <f>+D28*G28/2</f>
        <v>90976.875</v>
      </c>
    </row>
    <row r="29" spans="3:8" ht="15">
      <c r="C29" s="23">
        <v>45444</v>
      </c>
      <c r="D29">
        <f t="shared" si="2"/>
        <v>6475500</v>
      </c>
      <c r="E29" s="19"/>
      <c r="F29">
        <f t="shared" si="0"/>
        <v>6475500</v>
      </c>
      <c r="G29">
        <v>0.0275</v>
      </c>
      <c r="H29" s="24">
        <f t="shared" si="1"/>
        <v>89038.125</v>
      </c>
    </row>
    <row r="30" spans="3:8" ht="15">
      <c r="C30" s="23">
        <v>45627</v>
      </c>
      <c r="D30">
        <f t="shared" si="2"/>
        <v>6475500</v>
      </c>
      <c r="E30" s="19">
        <v>145500</v>
      </c>
      <c r="F30">
        <f t="shared" si="0"/>
        <v>6330000</v>
      </c>
      <c r="G30">
        <v>0.0275</v>
      </c>
      <c r="H30" s="24">
        <f>+D30*G30/2</f>
        <v>89038.125</v>
      </c>
    </row>
    <row r="31" spans="3:8" ht="15">
      <c r="C31" s="23">
        <v>45809</v>
      </c>
      <c r="D31">
        <f t="shared" si="2"/>
        <v>6330000</v>
      </c>
      <c r="E31" s="19"/>
      <c r="F31">
        <f t="shared" si="0"/>
        <v>6330000</v>
      </c>
      <c r="G31">
        <v>0.0275</v>
      </c>
      <c r="H31" s="24">
        <f t="shared" si="1"/>
        <v>87037.5</v>
      </c>
    </row>
    <row r="32" spans="3:8" ht="15">
      <c r="C32" s="23">
        <v>45992</v>
      </c>
      <c r="D32">
        <f t="shared" si="2"/>
        <v>6330000</v>
      </c>
      <c r="E32" s="19">
        <v>150000</v>
      </c>
      <c r="F32">
        <f t="shared" si="0"/>
        <v>6180000</v>
      </c>
      <c r="G32">
        <v>0.0275</v>
      </c>
      <c r="H32" s="24">
        <f>+D32*G32/2</f>
        <v>87037.5</v>
      </c>
    </row>
    <row r="33" spans="3:8" ht="15">
      <c r="C33" s="23">
        <v>46174</v>
      </c>
      <c r="D33">
        <f t="shared" si="2"/>
        <v>6180000</v>
      </c>
      <c r="E33" s="19"/>
      <c r="F33">
        <f t="shared" si="0"/>
        <v>6180000</v>
      </c>
      <c r="G33">
        <v>0.0275</v>
      </c>
      <c r="H33" s="24">
        <f t="shared" si="1"/>
        <v>84975</v>
      </c>
    </row>
    <row r="34" spans="3:8" ht="15">
      <c r="C34" s="23">
        <v>46357</v>
      </c>
      <c r="D34">
        <f t="shared" si="2"/>
        <v>6180000</v>
      </c>
      <c r="E34" s="19">
        <v>155000</v>
      </c>
      <c r="F34">
        <f t="shared" si="0"/>
        <v>6025000</v>
      </c>
      <c r="G34">
        <v>0.0275</v>
      </c>
      <c r="H34" s="24">
        <f>+D34*G34/2</f>
        <v>84975</v>
      </c>
    </row>
    <row r="35" spans="3:8" ht="15">
      <c r="C35" s="23">
        <v>46539</v>
      </c>
      <c r="D35">
        <f t="shared" si="2"/>
        <v>6025000</v>
      </c>
      <c r="E35" s="19"/>
      <c r="F35">
        <f t="shared" si="0"/>
        <v>6025000</v>
      </c>
      <c r="G35">
        <v>0.0275</v>
      </c>
      <c r="H35" s="24">
        <f t="shared" si="1"/>
        <v>82843.75</v>
      </c>
    </row>
    <row r="36" spans="3:8" ht="15">
      <c r="C36" s="23">
        <v>46722</v>
      </c>
      <c r="D36">
        <f t="shared" si="2"/>
        <v>6025000</v>
      </c>
      <c r="E36" s="19">
        <v>160000</v>
      </c>
      <c r="F36">
        <f t="shared" si="0"/>
        <v>5865000</v>
      </c>
      <c r="G36">
        <v>0.0275</v>
      </c>
      <c r="H36" s="24">
        <f>+D36*G36/2</f>
        <v>82843.75</v>
      </c>
    </row>
    <row r="37" spans="3:8" ht="15">
      <c r="C37" s="23">
        <v>46905</v>
      </c>
      <c r="D37">
        <f t="shared" si="2"/>
        <v>5865000</v>
      </c>
      <c r="E37" s="19"/>
      <c r="F37">
        <f t="shared" si="0"/>
        <v>5865000</v>
      </c>
      <c r="G37">
        <v>0.0275</v>
      </c>
      <c r="H37" s="24">
        <f t="shared" si="1"/>
        <v>80643.75</v>
      </c>
    </row>
    <row r="38" spans="3:8" ht="15">
      <c r="C38" s="23">
        <v>47088</v>
      </c>
      <c r="D38">
        <f t="shared" si="2"/>
        <v>5865000</v>
      </c>
      <c r="E38" s="19">
        <v>165000</v>
      </c>
      <c r="F38">
        <f t="shared" si="0"/>
        <v>5700000</v>
      </c>
      <c r="G38">
        <v>0.0275</v>
      </c>
      <c r="H38" s="24">
        <f>+D38*G38/2</f>
        <v>80643.75</v>
      </c>
    </row>
    <row r="39" spans="3:8" ht="15">
      <c r="C39" s="23">
        <v>47270</v>
      </c>
      <c r="D39">
        <f t="shared" si="2"/>
        <v>5700000</v>
      </c>
      <c r="E39" s="19"/>
      <c r="F39">
        <f t="shared" si="0"/>
        <v>5700000</v>
      </c>
      <c r="G39">
        <v>0.0275</v>
      </c>
      <c r="H39" s="24">
        <f t="shared" si="1"/>
        <v>78375</v>
      </c>
    </row>
    <row r="40" spans="3:8" ht="15">
      <c r="C40" s="23">
        <v>47453</v>
      </c>
      <c r="D40">
        <f t="shared" si="2"/>
        <v>5700000</v>
      </c>
      <c r="E40" s="19">
        <v>170500</v>
      </c>
      <c r="F40">
        <f t="shared" si="0"/>
        <v>5529500</v>
      </c>
      <c r="G40">
        <v>0.0275</v>
      </c>
      <c r="H40" s="24">
        <f>+D40*G40/2</f>
        <v>78375</v>
      </c>
    </row>
    <row r="41" spans="3:8" ht="15">
      <c r="C41" s="23">
        <v>47635</v>
      </c>
      <c r="D41">
        <f t="shared" si="2"/>
        <v>5529500</v>
      </c>
      <c r="E41" s="19"/>
      <c r="F41">
        <f t="shared" si="0"/>
        <v>5529500</v>
      </c>
      <c r="G41">
        <v>0.0275</v>
      </c>
      <c r="H41" s="24">
        <f t="shared" si="1"/>
        <v>76030.625</v>
      </c>
    </row>
    <row r="42" spans="3:8" ht="15">
      <c r="C42" s="23">
        <v>47818</v>
      </c>
      <c r="D42">
        <f t="shared" si="2"/>
        <v>5529500</v>
      </c>
      <c r="E42" s="19">
        <v>176000</v>
      </c>
      <c r="F42">
        <f t="shared" si="0"/>
        <v>5353500</v>
      </c>
      <c r="G42">
        <v>0.0275</v>
      </c>
      <c r="H42" s="24">
        <f>+D42*G42/2</f>
        <v>76030.625</v>
      </c>
    </row>
    <row r="43" spans="3:8" ht="15">
      <c r="C43" s="23">
        <v>48000</v>
      </c>
      <c r="D43">
        <f t="shared" si="2"/>
        <v>5353500</v>
      </c>
      <c r="E43" s="19"/>
      <c r="F43">
        <f t="shared" si="0"/>
        <v>5353500</v>
      </c>
      <c r="G43">
        <v>0.0275</v>
      </c>
      <c r="H43" s="24">
        <f t="shared" si="1"/>
        <v>73610.625</v>
      </c>
    </row>
    <row r="44" spans="3:8" ht="15">
      <c r="C44" s="23">
        <v>48183</v>
      </c>
      <c r="D44">
        <f t="shared" si="2"/>
        <v>5353500</v>
      </c>
      <c r="E44" s="19">
        <v>182000</v>
      </c>
      <c r="F44">
        <f t="shared" si="0"/>
        <v>5171500</v>
      </c>
      <c r="G44">
        <v>0.0275</v>
      </c>
      <c r="H44" s="24">
        <f>+D44*G44/2</f>
        <v>73610.625</v>
      </c>
    </row>
    <row r="45" spans="3:8" ht="15">
      <c r="C45" s="23">
        <v>48366</v>
      </c>
      <c r="D45">
        <f t="shared" si="2"/>
        <v>5171500</v>
      </c>
      <c r="E45" s="19"/>
      <c r="F45">
        <f t="shared" si="0"/>
        <v>5171500</v>
      </c>
      <c r="G45">
        <v>0.0275</v>
      </c>
      <c r="H45" s="24">
        <f t="shared" si="1"/>
        <v>71108.125</v>
      </c>
    </row>
    <row r="46" spans="3:8" ht="15">
      <c r="C46" s="23">
        <v>48549</v>
      </c>
      <c r="D46">
        <f t="shared" si="2"/>
        <v>5171500</v>
      </c>
      <c r="E46" s="19">
        <v>187500</v>
      </c>
      <c r="F46">
        <f t="shared" si="0"/>
        <v>4984000</v>
      </c>
      <c r="G46">
        <v>0.0275</v>
      </c>
      <c r="H46" s="24">
        <f>+D46*G46/2</f>
        <v>71108.125</v>
      </c>
    </row>
    <row r="47" spans="3:8" ht="12.75">
      <c r="C47" s="23">
        <v>48731</v>
      </c>
      <c r="D47">
        <f t="shared" si="2"/>
        <v>4984000</v>
      </c>
      <c r="F47">
        <f t="shared" si="0"/>
        <v>4984000</v>
      </c>
      <c r="G47">
        <v>0.0275</v>
      </c>
      <c r="H47" s="24">
        <f t="shared" si="1"/>
        <v>68530</v>
      </c>
    </row>
    <row r="48" spans="3:8" ht="12.75">
      <c r="C48" s="23">
        <v>48914</v>
      </c>
      <c r="D48">
        <f t="shared" si="2"/>
        <v>4984000</v>
      </c>
      <c r="E48">
        <v>194000</v>
      </c>
      <c r="F48">
        <f t="shared" si="0"/>
        <v>4790000</v>
      </c>
      <c r="G48">
        <v>0.0275</v>
      </c>
      <c r="H48" s="24">
        <f>+D48*G48/2</f>
        <v>68530</v>
      </c>
    </row>
    <row r="49" spans="3:8" ht="12.75">
      <c r="C49" s="23">
        <v>49096</v>
      </c>
      <c r="D49">
        <f t="shared" si="2"/>
        <v>4790000</v>
      </c>
      <c r="F49">
        <f t="shared" si="0"/>
        <v>4790000</v>
      </c>
      <c r="G49">
        <v>0.0275</v>
      </c>
      <c r="H49" s="24">
        <f t="shared" si="1"/>
        <v>65862.5</v>
      </c>
    </row>
    <row r="50" spans="3:8" ht="12.75">
      <c r="C50" s="23">
        <v>49279</v>
      </c>
      <c r="D50">
        <f t="shared" si="2"/>
        <v>4790000</v>
      </c>
      <c r="E50">
        <v>200000</v>
      </c>
      <c r="F50">
        <f t="shared" si="0"/>
        <v>4590000</v>
      </c>
      <c r="G50">
        <v>0.0275</v>
      </c>
      <c r="H50" s="24">
        <f>+D50*G50/2</f>
        <v>65862.5</v>
      </c>
    </row>
    <row r="51" spans="3:8" ht="12.75">
      <c r="C51" s="23">
        <v>49461</v>
      </c>
      <c r="D51">
        <f t="shared" si="2"/>
        <v>4590000</v>
      </c>
      <c r="F51">
        <f t="shared" si="0"/>
        <v>4590000</v>
      </c>
      <c r="G51">
        <v>0.0275</v>
      </c>
      <c r="H51" s="24">
        <f t="shared" si="1"/>
        <v>63112.5</v>
      </c>
    </row>
    <row r="52" spans="3:8" ht="12.75">
      <c r="C52" s="23">
        <v>49644</v>
      </c>
      <c r="D52">
        <f t="shared" si="2"/>
        <v>4590000</v>
      </c>
      <c r="E52">
        <v>206500</v>
      </c>
      <c r="F52">
        <f t="shared" si="0"/>
        <v>4383500</v>
      </c>
      <c r="G52">
        <v>0.0275</v>
      </c>
      <c r="H52" s="24">
        <f>+D52*G52/2</f>
        <v>63112.5</v>
      </c>
    </row>
    <row r="53" spans="3:8" ht="12.75">
      <c r="C53" s="23">
        <v>49827</v>
      </c>
      <c r="D53">
        <f t="shared" si="2"/>
        <v>4383500</v>
      </c>
      <c r="F53">
        <f t="shared" si="0"/>
        <v>4383500</v>
      </c>
      <c r="G53">
        <v>0.0275</v>
      </c>
      <c r="H53" s="24">
        <f t="shared" si="1"/>
        <v>60273.125</v>
      </c>
    </row>
    <row r="54" spans="3:8" ht="12.75">
      <c r="C54" s="23">
        <v>50010</v>
      </c>
      <c r="D54">
        <f t="shared" si="2"/>
        <v>4383500</v>
      </c>
      <c r="E54">
        <v>213500</v>
      </c>
      <c r="F54">
        <f t="shared" si="0"/>
        <v>4170000</v>
      </c>
      <c r="G54">
        <v>0.0275</v>
      </c>
      <c r="H54" s="24">
        <f>+D54*G54/2</f>
        <v>60273.125</v>
      </c>
    </row>
    <row r="55" spans="3:8" ht="12.75">
      <c r="C55" s="23">
        <v>50192</v>
      </c>
      <c r="D55">
        <f t="shared" si="2"/>
        <v>4170000</v>
      </c>
      <c r="F55">
        <f t="shared" si="0"/>
        <v>4170000</v>
      </c>
      <c r="G55">
        <v>0.0275</v>
      </c>
      <c r="H55" s="24">
        <f t="shared" si="1"/>
        <v>57337.5</v>
      </c>
    </row>
    <row r="56" spans="3:8" ht="12.75">
      <c r="C56" s="23">
        <v>50375</v>
      </c>
      <c r="D56">
        <f t="shared" si="2"/>
        <v>4170000</v>
      </c>
      <c r="E56">
        <v>220500</v>
      </c>
      <c r="F56">
        <f t="shared" si="0"/>
        <v>3949500</v>
      </c>
      <c r="G56">
        <v>0.0275</v>
      </c>
      <c r="H56" s="24">
        <f>+D56*G56/2</f>
        <v>57337.5</v>
      </c>
    </row>
    <row r="57" spans="3:8" ht="12.75">
      <c r="C57" s="23">
        <v>50557</v>
      </c>
      <c r="D57">
        <f t="shared" si="2"/>
        <v>3949500</v>
      </c>
      <c r="F57">
        <f t="shared" si="0"/>
        <v>3949500</v>
      </c>
      <c r="G57">
        <v>0.0275</v>
      </c>
      <c r="H57" s="24">
        <f t="shared" si="1"/>
        <v>54305.625</v>
      </c>
    </row>
    <row r="58" spans="3:8" ht="12.75">
      <c r="C58" s="23">
        <v>50740</v>
      </c>
      <c r="D58">
        <f t="shared" si="2"/>
        <v>3949500</v>
      </c>
      <c r="E58">
        <v>227500</v>
      </c>
      <c r="F58">
        <f t="shared" si="0"/>
        <v>3722000</v>
      </c>
      <c r="G58">
        <v>0.0275</v>
      </c>
      <c r="H58" s="24">
        <f>+D58*G58/2</f>
        <v>54305.625</v>
      </c>
    </row>
    <row r="59" spans="3:8" ht="12.75">
      <c r="C59" s="23">
        <v>50922</v>
      </c>
      <c r="D59">
        <f t="shared" si="2"/>
        <v>3722000</v>
      </c>
      <c r="F59">
        <f t="shared" si="0"/>
        <v>3722000</v>
      </c>
      <c r="G59">
        <v>0.0275</v>
      </c>
      <c r="H59" s="24">
        <f t="shared" si="1"/>
        <v>51177.5</v>
      </c>
    </row>
    <row r="60" spans="3:8" ht="12.75">
      <c r="C60" s="23">
        <v>51105</v>
      </c>
      <c r="D60">
        <f t="shared" si="2"/>
        <v>3722000</v>
      </c>
      <c r="E60">
        <v>235000</v>
      </c>
      <c r="F60">
        <f t="shared" si="0"/>
        <v>3487000</v>
      </c>
      <c r="G60">
        <v>0.0275</v>
      </c>
      <c r="H60" s="24">
        <f>+D60*G60/2</f>
        <v>51177.5</v>
      </c>
    </row>
    <row r="61" spans="3:8" ht="12.75">
      <c r="C61" s="23">
        <v>51288</v>
      </c>
      <c r="D61">
        <f t="shared" si="2"/>
        <v>3487000</v>
      </c>
      <c r="F61">
        <f t="shared" si="0"/>
        <v>3487000</v>
      </c>
      <c r="G61">
        <v>0.0275</v>
      </c>
      <c r="H61" s="24">
        <f t="shared" si="1"/>
        <v>47946.25</v>
      </c>
    </row>
    <row r="62" spans="3:8" ht="12.75">
      <c r="C62" s="23">
        <v>51471</v>
      </c>
      <c r="D62">
        <f t="shared" si="2"/>
        <v>3487000</v>
      </c>
      <c r="E62">
        <v>242500</v>
      </c>
      <c r="F62">
        <f t="shared" si="0"/>
        <v>3244500</v>
      </c>
      <c r="G62">
        <v>0.0275</v>
      </c>
      <c r="H62" s="24">
        <f>+D62*G62/2</f>
        <v>47946.25</v>
      </c>
    </row>
    <row r="63" spans="3:8" ht="12.75">
      <c r="C63" s="23">
        <v>51653</v>
      </c>
      <c r="D63">
        <f t="shared" si="2"/>
        <v>3244500</v>
      </c>
      <c r="F63">
        <f t="shared" si="0"/>
        <v>3244500</v>
      </c>
      <c r="G63">
        <v>0.0275</v>
      </c>
      <c r="H63" s="24">
        <f t="shared" si="1"/>
        <v>44611.875</v>
      </c>
    </row>
    <row r="64" spans="3:8" ht="12.75">
      <c r="C64" s="23">
        <v>51836</v>
      </c>
      <c r="D64">
        <f t="shared" si="2"/>
        <v>3244500</v>
      </c>
      <c r="E64">
        <v>250500</v>
      </c>
      <c r="F64">
        <f t="shared" si="0"/>
        <v>2994000</v>
      </c>
      <c r="G64">
        <v>0.0275</v>
      </c>
      <c r="H64" s="24">
        <f>+D64*G64/2</f>
        <v>44611.875</v>
      </c>
    </row>
    <row r="65" spans="3:8" ht="12.75">
      <c r="C65" s="23">
        <v>52018</v>
      </c>
      <c r="D65">
        <f t="shared" si="2"/>
        <v>2994000</v>
      </c>
      <c r="F65">
        <f t="shared" si="0"/>
        <v>2994000</v>
      </c>
      <c r="G65">
        <v>0.0275</v>
      </c>
      <c r="H65" s="24">
        <f t="shared" si="1"/>
        <v>41167.5</v>
      </c>
    </row>
    <row r="66" spans="3:8" ht="12.75">
      <c r="C66" s="23">
        <v>52201</v>
      </c>
      <c r="D66">
        <f t="shared" si="2"/>
        <v>2994000</v>
      </c>
      <c r="E66">
        <v>258500</v>
      </c>
      <c r="F66">
        <f t="shared" si="0"/>
        <v>2735500</v>
      </c>
      <c r="G66">
        <v>0.0275</v>
      </c>
      <c r="H66" s="24">
        <f>+D66*G66/2</f>
        <v>41167.5</v>
      </c>
    </row>
    <row r="67" spans="3:8" ht="12.75">
      <c r="C67" s="23">
        <v>52383</v>
      </c>
      <c r="D67">
        <f t="shared" si="2"/>
        <v>2735500</v>
      </c>
      <c r="F67">
        <f t="shared" si="0"/>
        <v>2735500</v>
      </c>
      <c r="G67">
        <v>0.0275</v>
      </c>
      <c r="H67" s="24">
        <f t="shared" si="1"/>
        <v>37613.125</v>
      </c>
    </row>
    <row r="68" spans="3:8" ht="12.75">
      <c r="C68" s="23">
        <v>52566</v>
      </c>
      <c r="D68">
        <f t="shared" si="2"/>
        <v>2735500</v>
      </c>
      <c r="E68">
        <v>267000</v>
      </c>
      <c r="F68">
        <f t="shared" si="0"/>
        <v>2468500</v>
      </c>
      <c r="G68">
        <v>0.0275</v>
      </c>
      <c r="H68" s="24">
        <f>+D68*G68/2</f>
        <v>37613.125</v>
      </c>
    </row>
    <row r="69" spans="3:8" ht="12.75">
      <c r="C69" s="23">
        <v>52749</v>
      </c>
      <c r="D69">
        <f t="shared" si="2"/>
        <v>2468500</v>
      </c>
      <c r="F69">
        <f t="shared" si="0"/>
        <v>2468500</v>
      </c>
      <c r="G69">
        <v>0.0275</v>
      </c>
      <c r="H69" s="24">
        <f t="shared" si="1"/>
        <v>33941.875</v>
      </c>
    </row>
    <row r="70" spans="3:8" ht="12.75">
      <c r="C70" s="23">
        <v>52932</v>
      </c>
      <c r="D70">
        <f t="shared" si="2"/>
        <v>2468500</v>
      </c>
      <c r="E70">
        <v>275500</v>
      </c>
      <c r="F70">
        <f t="shared" si="0"/>
        <v>2193000</v>
      </c>
      <c r="G70">
        <v>0.0275</v>
      </c>
      <c r="H70" s="24">
        <f>+D70*G70/2</f>
        <v>33941.875</v>
      </c>
    </row>
    <row r="71" spans="3:8" ht="12.75">
      <c r="C71" s="23">
        <v>53114</v>
      </c>
      <c r="D71">
        <f t="shared" si="2"/>
        <v>2193000</v>
      </c>
      <c r="F71">
        <f t="shared" si="0"/>
        <v>2193000</v>
      </c>
      <c r="G71">
        <v>0.0275</v>
      </c>
      <c r="H71" s="24">
        <f t="shared" si="1"/>
        <v>30153.75</v>
      </c>
    </row>
    <row r="72" spans="3:8" ht="12.75">
      <c r="C72" s="23">
        <v>53297</v>
      </c>
      <c r="D72">
        <f t="shared" si="2"/>
        <v>2193000</v>
      </c>
      <c r="E72">
        <v>284500</v>
      </c>
      <c r="F72">
        <f t="shared" si="0"/>
        <v>1908500</v>
      </c>
      <c r="G72">
        <v>0.0275</v>
      </c>
      <c r="H72" s="24">
        <f>+D72*G72/2</f>
        <v>30153.75</v>
      </c>
    </row>
    <row r="73" spans="3:8" ht="12.75">
      <c r="C73" s="23">
        <v>53479</v>
      </c>
      <c r="D73">
        <f t="shared" si="2"/>
        <v>1908500</v>
      </c>
      <c r="F73">
        <f t="shared" si="0"/>
        <v>1908500</v>
      </c>
      <c r="G73">
        <v>0.0275</v>
      </c>
      <c r="H73" s="24">
        <f t="shared" si="1"/>
        <v>26241.875</v>
      </c>
    </row>
    <row r="74" spans="3:8" ht="12.75">
      <c r="C74" s="23">
        <v>53662</v>
      </c>
      <c r="D74">
        <f t="shared" si="2"/>
        <v>1908500</v>
      </c>
      <c r="E74">
        <v>294000</v>
      </c>
      <c r="F74">
        <f t="shared" si="0"/>
        <v>1614500</v>
      </c>
      <c r="G74">
        <v>0.0275</v>
      </c>
      <c r="H74" s="24">
        <f>+D74*G74/2</f>
        <v>26241.875</v>
      </c>
    </row>
    <row r="75" spans="3:8" ht="12.75">
      <c r="C75" s="23">
        <v>53844</v>
      </c>
      <c r="D75">
        <f t="shared" si="2"/>
        <v>1614500</v>
      </c>
      <c r="F75">
        <f aca="true" t="shared" si="3" ref="F75:F84">+D75-E75</f>
        <v>1614500</v>
      </c>
      <c r="G75">
        <v>0.0275</v>
      </c>
      <c r="H75" s="24">
        <f aca="true" t="shared" si="4" ref="H75:H83">+F75*G75/2</f>
        <v>22199.375</v>
      </c>
    </row>
    <row r="76" spans="3:8" ht="12.75">
      <c r="C76" s="23">
        <v>54027</v>
      </c>
      <c r="D76">
        <f aca="true" t="shared" si="5" ref="D76:D84">+F75</f>
        <v>1614500</v>
      </c>
      <c r="E76">
        <v>303500</v>
      </c>
      <c r="F76">
        <f t="shared" si="3"/>
        <v>1311000</v>
      </c>
      <c r="G76">
        <v>0.0275</v>
      </c>
      <c r="H76" s="24">
        <f>+D76*G76/2</f>
        <v>22199.375</v>
      </c>
    </row>
    <row r="77" spans="3:8" ht="12.75">
      <c r="C77" s="23">
        <v>54210</v>
      </c>
      <c r="D77">
        <f t="shared" si="5"/>
        <v>1311000</v>
      </c>
      <c r="F77">
        <f t="shared" si="3"/>
        <v>1311000</v>
      </c>
      <c r="G77">
        <v>0.0275</v>
      </c>
      <c r="H77" s="24">
        <f t="shared" si="4"/>
        <v>18026.25</v>
      </c>
    </row>
    <row r="78" spans="3:8" ht="12.75">
      <c r="C78" s="23">
        <v>54393</v>
      </c>
      <c r="D78">
        <f t="shared" si="5"/>
        <v>1311000</v>
      </c>
      <c r="E78">
        <v>313000</v>
      </c>
      <c r="F78">
        <f t="shared" si="3"/>
        <v>998000</v>
      </c>
      <c r="G78">
        <v>0.0275</v>
      </c>
      <c r="H78" s="24">
        <f>+D78*G78/2</f>
        <v>18026.25</v>
      </c>
    </row>
    <row r="79" spans="3:8" ht="12.75">
      <c r="C79" s="23">
        <v>54575</v>
      </c>
      <c r="D79">
        <f t="shared" si="5"/>
        <v>998000</v>
      </c>
      <c r="F79">
        <f t="shared" si="3"/>
        <v>998000</v>
      </c>
      <c r="G79">
        <v>0.0275</v>
      </c>
      <c r="H79" s="24">
        <f t="shared" si="4"/>
        <v>13722.5</v>
      </c>
    </row>
    <row r="80" spans="3:8" ht="12.75">
      <c r="C80" s="23">
        <v>54758</v>
      </c>
      <c r="D80">
        <f t="shared" si="5"/>
        <v>998000</v>
      </c>
      <c r="E80">
        <v>323500</v>
      </c>
      <c r="F80">
        <f t="shared" si="3"/>
        <v>674500</v>
      </c>
      <c r="G80">
        <v>0.0275</v>
      </c>
      <c r="H80" s="24">
        <f>+D80*G80/2</f>
        <v>13722.5</v>
      </c>
    </row>
    <row r="81" spans="3:8" ht="12.75">
      <c r="C81" s="23">
        <v>54940</v>
      </c>
      <c r="D81">
        <f t="shared" si="5"/>
        <v>674500</v>
      </c>
      <c r="F81">
        <f t="shared" si="3"/>
        <v>674500</v>
      </c>
      <c r="G81">
        <v>0.0275</v>
      </c>
      <c r="H81" s="24">
        <f t="shared" si="4"/>
        <v>9274.375</v>
      </c>
    </row>
    <row r="82" spans="3:8" ht="12.75">
      <c r="C82" s="23">
        <v>55123</v>
      </c>
      <c r="D82">
        <f t="shared" si="5"/>
        <v>674500</v>
      </c>
      <c r="E82">
        <v>334000</v>
      </c>
      <c r="F82">
        <f t="shared" si="3"/>
        <v>340500</v>
      </c>
      <c r="G82">
        <v>0.0275</v>
      </c>
      <c r="H82" s="24">
        <f>+D82*G82/2</f>
        <v>9274.375</v>
      </c>
    </row>
    <row r="83" spans="3:8" ht="12.75">
      <c r="C83" s="23">
        <v>55305</v>
      </c>
      <c r="D83">
        <f t="shared" si="5"/>
        <v>340500</v>
      </c>
      <c r="F83">
        <f t="shared" si="3"/>
        <v>340500</v>
      </c>
      <c r="G83">
        <v>0.0275</v>
      </c>
      <c r="H83" s="24">
        <f t="shared" si="4"/>
        <v>4681.875</v>
      </c>
    </row>
    <row r="84" spans="3:8" ht="12.75">
      <c r="C84" s="23">
        <v>55488</v>
      </c>
      <c r="D84">
        <f t="shared" si="5"/>
        <v>340500</v>
      </c>
      <c r="E84">
        <v>340500</v>
      </c>
      <c r="F84">
        <f t="shared" si="3"/>
        <v>0</v>
      </c>
      <c r="G84">
        <v>0.0275</v>
      </c>
      <c r="H84" s="24">
        <f>+D84*G84/2</f>
        <v>4681.875</v>
      </c>
    </row>
    <row r="85" ht="12.75">
      <c r="H85" s="24">
        <f>SUM(H12:H84)</f>
        <v>4606408.125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28">
      <selection activeCell="P14" sqref="P14"/>
    </sheetView>
  </sheetViews>
  <sheetFormatPr defaultColWidth="11.7109375" defaultRowHeight="12.75"/>
  <cols>
    <col min="1" max="17" width="11.7109375" style="2" customWidth="1"/>
    <col min="18" max="18" width="14.140625" style="2" customWidth="1"/>
    <col min="19" max="19" width="15.57421875" style="2" bestFit="1" customWidth="1"/>
    <col min="20" max="16384" width="11.7109375" style="2" customWidth="1"/>
  </cols>
  <sheetData>
    <row r="1" spans="1:7" ht="12.75">
      <c r="A1" s="1" t="s">
        <v>0</v>
      </c>
      <c r="G1" s="2" t="s">
        <v>60</v>
      </c>
    </row>
    <row r="2" ht="12.75">
      <c r="A2" s="1" t="s">
        <v>1</v>
      </c>
    </row>
    <row r="3" spans="1:18" ht="12.75">
      <c r="A3" s="1"/>
      <c r="R3" s="2" t="s">
        <v>70</v>
      </c>
    </row>
    <row r="4" ht="12.75">
      <c r="A4" s="1"/>
    </row>
    <row r="5" ht="12.75">
      <c r="A5" s="1"/>
    </row>
    <row r="6" ht="12.75">
      <c r="A6" s="1"/>
    </row>
    <row r="7" spans="1:8" ht="12.75">
      <c r="A7" s="1"/>
      <c r="H7" s="2" t="s">
        <v>79</v>
      </c>
    </row>
    <row r="8" ht="12.75">
      <c r="A8" s="1"/>
    </row>
    <row r="9" ht="12.75">
      <c r="A9" s="3" t="s">
        <v>2</v>
      </c>
    </row>
    <row r="10" spans="1:17" ht="12.75">
      <c r="A10" s="1"/>
      <c r="P10" s="67"/>
      <c r="Q10" s="67"/>
    </row>
    <row r="11" spans="1:18" s="15" customFormat="1" ht="12.75">
      <c r="A11" s="13" t="s">
        <v>3</v>
      </c>
      <c r="B11" s="14" t="s">
        <v>5</v>
      </c>
      <c r="C11" s="14" t="s">
        <v>56</v>
      </c>
      <c r="D11" s="14" t="s">
        <v>8</v>
      </c>
      <c r="E11" s="14">
        <v>2005</v>
      </c>
      <c r="F11" s="14" t="s">
        <v>9</v>
      </c>
      <c r="G11" s="14" t="s">
        <v>10</v>
      </c>
      <c r="H11" s="14">
        <v>2011</v>
      </c>
      <c r="I11" s="14" t="s">
        <v>67</v>
      </c>
      <c r="J11" s="14" t="s">
        <v>71</v>
      </c>
      <c r="K11" s="14" t="s">
        <v>73</v>
      </c>
      <c r="L11" s="14" t="s">
        <v>85</v>
      </c>
      <c r="M11" s="14" t="s">
        <v>86</v>
      </c>
      <c r="N11" s="14" t="s">
        <v>87</v>
      </c>
      <c r="O11" s="14" t="s">
        <v>78</v>
      </c>
      <c r="P11" s="14" t="s">
        <v>76</v>
      </c>
      <c r="Q11" s="14" t="s">
        <v>77</v>
      </c>
      <c r="R11" s="14" t="s">
        <v>11</v>
      </c>
    </row>
    <row r="12" spans="1:18" ht="12.75">
      <c r="A12" s="6"/>
      <c r="B12" s="7"/>
      <c r="C12" s="7"/>
      <c r="D12" s="7"/>
      <c r="E12" s="7"/>
      <c r="F12" s="7"/>
      <c r="G12" s="7"/>
      <c r="R12" s="7"/>
    </row>
    <row r="13" spans="1:18" ht="15">
      <c r="A13" s="6" t="s">
        <v>17</v>
      </c>
      <c r="B13" s="7">
        <f>29964.57+30297.67+30634.47+30975.02</f>
        <v>121871.73</v>
      </c>
      <c r="C13" s="7">
        <v>13960</v>
      </c>
      <c r="D13" s="7">
        <v>168913</v>
      </c>
      <c r="E13" s="7">
        <v>38500</v>
      </c>
      <c r="F13" s="7">
        <v>15000</v>
      </c>
      <c r="G13" s="7">
        <v>4000</v>
      </c>
      <c r="H13" s="19">
        <v>109000</v>
      </c>
      <c r="I13" s="19">
        <v>160000</v>
      </c>
      <c r="J13" s="19">
        <f>7739.69+7778.39</f>
        <v>15518.08</v>
      </c>
      <c r="K13" s="19">
        <f>8658.01+8701.3</f>
        <v>17359.309999999998</v>
      </c>
      <c r="L13" s="19">
        <v>51029.52</v>
      </c>
      <c r="M13" s="19">
        <f>14388.96+14460.9</f>
        <v>28849.86</v>
      </c>
      <c r="N13" s="19"/>
      <c r="O13" s="19">
        <v>338970.03</v>
      </c>
      <c r="P13" s="19"/>
      <c r="Q13" s="19"/>
      <c r="R13" s="7">
        <f aca="true" t="shared" si="0" ref="R13:R51">SUM(B13:Q13)</f>
        <v>1082971.5299999998</v>
      </c>
    </row>
    <row r="14" spans="1:18" ht="15">
      <c r="A14" s="6" t="s">
        <v>18</v>
      </c>
      <c r="B14" s="7">
        <f>31319.35+31667.51+32019.54+32375.49</f>
        <v>127381.89</v>
      </c>
      <c r="C14" s="7"/>
      <c r="D14" s="7">
        <v>170606</v>
      </c>
      <c r="E14" s="7">
        <v>40500</v>
      </c>
      <c r="F14" s="7">
        <v>15000</v>
      </c>
      <c r="G14" s="7">
        <v>4000</v>
      </c>
      <c r="H14" s="19">
        <v>112500</v>
      </c>
      <c r="I14" s="19">
        <v>165000</v>
      </c>
      <c r="J14" s="19">
        <f>7817.28+7856.37</f>
        <v>15673.65</v>
      </c>
      <c r="K14" s="19">
        <f>8744.81+8788.83</f>
        <v>17533.64</v>
      </c>
      <c r="L14" s="19">
        <f>51476.02+51926.44</f>
        <v>103402.45999999999</v>
      </c>
      <c r="M14" s="19">
        <f>14533.21+14605.88</f>
        <v>29139.089999999997</v>
      </c>
      <c r="N14" s="19"/>
      <c r="O14" s="19"/>
      <c r="P14" s="19">
        <v>10000</v>
      </c>
      <c r="Q14" s="19">
        <v>15000</v>
      </c>
      <c r="R14" s="7">
        <f t="shared" si="0"/>
        <v>825736.73</v>
      </c>
    </row>
    <row r="15" spans="1:18" ht="15">
      <c r="A15" s="6" t="s">
        <v>19</v>
      </c>
      <c r="B15" s="7">
        <f>32735.39+33099.29+33467.24+33839.28</f>
        <v>133141.19999999998</v>
      </c>
      <c r="C15" s="7"/>
      <c r="D15" s="7">
        <v>172316</v>
      </c>
      <c r="E15" s="8">
        <v>42000</v>
      </c>
      <c r="F15" s="7">
        <v>16000</v>
      </c>
      <c r="G15" s="7">
        <v>4000</v>
      </c>
      <c r="H15" s="19">
        <v>116000</v>
      </c>
      <c r="I15" s="19">
        <v>170000</v>
      </c>
      <c r="J15" s="19">
        <f>7895.65+7935.13</f>
        <v>15830.779999999999</v>
      </c>
      <c r="K15" s="19">
        <f>8832.48+8876.64</f>
        <v>17709.12</v>
      </c>
      <c r="L15" s="19">
        <f>52380.8+52839.13</f>
        <v>105219.93</v>
      </c>
      <c r="M15" s="19">
        <f>14678.9+14752.3</f>
        <v>29431.199999999997</v>
      </c>
      <c r="N15" s="19"/>
      <c r="O15" s="19"/>
      <c r="P15" s="19">
        <v>10500</v>
      </c>
      <c r="Q15" s="19">
        <v>15500</v>
      </c>
      <c r="R15" s="7">
        <f t="shared" si="0"/>
        <v>847648.23</v>
      </c>
    </row>
    <row r="16" spans="1:18" ht="15">
      <c r="A16" s="6" t="s">
        <v>20</v>
      </c>
      <c r="B16" s="8">
        <f>34215.45+34595.8+34980.39+35369.24</f>
        <v>139160.88</v>
      </c>
      <c r="C16" s="8"/>
      <c r="D16" s="8">
        <v>174044</v>
      </c>
      <c r="E16" s="8">
        <v>44000</v>
      </c>
      <c r="F16" s="8">
        <v>17000</v>
      </c>
      <c r="G16" s="8">
        <v>4000</v>
      </c>
      <c r="H16" s="19">
        <v>120000</v>
      </c>
      <c r="I16" s="19">
        <v>170000</v>
      </c>
      <c r="J16" s="19">
        <f>7974.81+8014.68</f>
        <v>15989.490000000002</v>
      </c>
      <c r="K16" s="19">
        <f>8921.02+8965.63</f>
        <v>17886.65</v>
      </c>
      <c r="L16" s="19">
        <f>53301.47+53767.86</f>
        <v>107069.33</v>
      </c>
      <c r="M16" s="19">
        <f>14826.06+14900.19</f>
        <v>29726.25</v>
      </c>
      <c r="N16" s="19"/>
      <c r="O16" s="19"/>
      <c r="P16" s="19">
        <v>10500</v>
      </c>
      <c r="Q16" s="19">
        <v>16000</v>
      </c>
      <c r="R16" s="7">
        <f t="shared" si="0"/>
        <v>865376.6</v>
      </c>
    </row>
    <row r="17" spans="1:18" ht="15">
      <c r="A17" s="6" t="s">
        <v>21</v>
      </c>
      <c r="B17" s="8">
        <f>35762.42+36159.98+36561.95+36968.39</f>
        <v>145452.74</v>
      </c>
      <c r="C17" s="8"/>
      <c r="D17" s="8">
        <v>175789</v>
      </c>
      <c r="E17" s="8">
        <v>46000</v>
      </c>
      <c r="F17" s="8">
        <v>17000</v>
      </c>
      <c r="G17" s="8">
        <v>5000</v>
      </c>
      <c r="H17" s="19">
        <v>124000</v>
      </c>
      <c r="I17" s="19">
        <v>175000</v>
      </c>
      <c r="J17" s="19">
        <f>8054.75+8095.03</f>
        <v>16149.779999999999</v>
      </c>
      <c r="K17" s="19">
        <f>9010.45+9055.51</f>
        <v>18065.96</v>
      </c>
      <c r="L17" s="19">
        <f>54238.33+54712.91</f>
        <v>108951.24</v>
      </c>
      <c r="M17" s="19">
        <f>14974.69+15049.57</f>
        <v>30024.260000000002</v>
      </c>
      <c r="N17" s="19"/>
      <c r="O17" s="19"/>
      <c r="P17" s="19">
        <v>11000</v>
      </c>
      <c r="Q17" s="19">
        <v>16500</v>
      </c>
      <c r="R17" s="7">
        <f t="shared" si="0"/>
        <v>888932.98</v>
      </c>
    </row>
    <row r="18" spans="1:18" ht="15">
      <c r="A18" s="6" t="s">
        <v>22</v>
      </c>
      <c r="B18" s="8">
        <f>37379.34+37794.87+38215.01+38639.83</f>
        <v>152029.05</v>
      </c>
      <c r="C18" s="8"/>
      <c r="D18" s="8">
        <v>177551</v>
      </c>
      <c r="E18" s="8">
        <v>48000</v>
      </c>
      <c r="F18" s="8">
        <v>18000</v>
      </c>
      <c r="G18" s="8">
        <v>5000</v>
      </c>
      <c r="H18" s="19">
        <v>128000</v>
      </c>
      <c r="I18" s="19">
        <v>15000</v>
      </c>
      <c r="J18" s="19">
        <f>8135.5+8176.18</f>
        <v>16311.68</v>
      </c>
      <c r="K18" s="19">
        <f>9100.78+9146.29</f>
        <v>18247.07</v>
      </c>
      <c r="L18" s="19">
        <f>55191.65+55674.58</f>
        <v>110866.23000000001</v>
      </c>
      <c r="M18" s="19">
        <f>15124.81+15200.44</f>
        <v>30325.25</v>
      </c>
      <c r="N18" s="19"/>
      <c r="O18" s="19"/>
      <c r="P18" s="19">
        <v>11500</v>
      </c>
      <c r="Q18" s="19">
        <v>17000</v>
      </c>
      <c r="R18" s="7">
        <f t="shared" si="0"/>
        <v>747830.28</v>
      </c>
    </row>
    <row r="19" spans="1:18" ht="15">
      <c r="A19" s="6" t="s">
        <v>23</v>
      </c>
      <c r="B19" s="8">
        <f>39069.37+39503.68+39942.82+40386.85</f>
        <v>158902.72</v>
      </c>
      <c r="C19" s="8"/>
      <c r="D19" s="8">
        <v>179331</v>
      </c>
      <c r="E19" s="8">
        <v>50500</v>
      </c>
      <c r="F19" s="8">
        <v>19000</v>
      </c>
      <c r="G19" s="8">
        <v>5000</v>
      </c>
      <c r="H19" s="19">
        <v>132000</v>
      </c>
      <c r="I19" s="19"/>
      <c r="J19" s="19">
        <f>8217.06+8258.15</f>
        <v>16475.21</v>
      </c>
      <c r="K19" s="19">
        <f>9192.02+9237.98</f>
        <v>18430</v>
      </c>
      <c r="L19" s="19">
        <f>56161.73+56653.14</f>
        <v>112814.87</v>
      </c>
      <c r="M19" s="19">
        <f>15276.44+15352.82</f>
        <v>30629.260000000002</v>
      </c>
      <c r="N19" s="19"/>
      <c r="O19" s="19"/>
      <c r="P19" s="19">
        <v>11500</v>
      </c>
      <c r="Q19" s="19">
        <v>17500</v>
      </c>
      <c r="R19" s="7">
        <f t="shared" si="0"/>
        <v>752083.0599999999</v>
      </c>
    </row>
    <row r="20" spans="1:18" ht="15">
      <c r="A20" s="6" t="s">
        <v>24</v>
      </c>
      <c r="B20" s="8">
        <f>40835.8+41289.81</f>
        <v>82125.61</v>
      </c>
      <c r="C20" s="8"/>
      <c r="D20" s="8">
        <v>181129</v>
      </c>
      <c r="E20" s="8">
        <v>52500</v>
      </c>
      <c r="F20" s="8">
        <v>20000</v>
      </c>
      <c r="G20" s="8">
        <v>5000</v>
      </c>
      <c r="H20" s="19">
        <v>136500</v>
      </c>
      <c r="I20" s="19"/>
      <c r="J20" s="19">
        <f>8299.44+8340.93</f>
        <v>16640.370000000003</v>
      </c>
      <c r="K20" s="19">
        <f>9284.17+9330.59</f>
        <v>18614.760000000002</v>
      </c>
      <c r="L20" s="19">
        <f>57148.86+57648.91</f>
        <v>114797.77</v>
      </c>
      <c r="M20" s="19">
        <f>15429.59+15506.73</f>
        <v>30936.32</v>
      </c>
      <c r="N20" s="19"/>
      <c r="O20" s="19"/>
      <c r="P20" s="19">
        <v>12000</v>
      </c>
      <c r="Q20" s="19">
        <v>18000</v>
      </c>
      <c r="R20" s="7">
        <f t="shared" si="0"/>
        <v>688243.83</v>
      </c>
    </row>
    <row r="21" spans="1:18" ht="15">
      <c r="A21" s="6" t="s">
        <v>25</v>
      </c>
      <c r="B21" s="8"/>
      <c r="C21" s="8"/>
      <c r="D21" s="8">
        <v>91243</v>
      </c>
      <c r="E21" s="8">
        <v>55000</v>
      </c>
      <c r="F21" s="8">
        <v>21000</v>
      </c>
      <c r="G21" s="8">
        <v>5000</v>
      </c>
      <c r="H21" s="19">
        <v>141000</v>
      </c>
      <c r="I21" s="19"/>
      <c r="J21" s="19">
        <f>8382.64+8424.55</f>
        <v>16807.19</v>
      </c>
      <c r="K21" s="19">
        <f>9377.24+9424.13</f>
        <v>18801.37</v>
      </c>
      <c r="L21" s="19">
        <f>58153.34+58662.18</f>
        <v>116815.51999999999</v>
      </c>
      <c r="M21" s="19">
        <f>15584.27+15662.19</f>
        <v>31246.46</v>
      </c>
      <c r="N21" s="19"/>
      <c r="O21" s="19"/>
      <c r="P21" s="19">
        <v>12500</v>
      </c>
      <c r="Q21" s="19">
        <v>18500</v>
      </c>
      <c r="R21" s="7">
        <f t="shared" si="0"/>
        <v>527913.54</v>
      </c>
    </row>
    <row r="22" spans="1:18" ht="15">
      <c r="A22" s="6" t="s">
        <v>26</v>
      </c>
      <c r="B22" s="8"/>
      <c r="C22" s="8"/>
      <c r="D22" s="8"/>
      <c r="E22" s="8">
        <v>57500</v>
      </c>
      <c r="F22" s="8">
        <v>22000</v>
      </c>
      <c r="G22" s="8">
        <v>6000</v>
      </c>
      <c r="H22" s="19">
        <v>145500</v>
      </c>
      <c r="I22" s="19"/>
      <c r="J22" s="19">
        <f>8466.68+8509.01</f>
        <v>16975.690000000002</v>
      </c>
      <c r="K22" s="19">
        <f>9471.25+9518.61</f>
        <v>18989.86</v>
      </c>
      <c r="L22" s="19">
        <f>59175.48+59693.26</f>
        <v>118868.74</v>
      </c>
      <c r="M22" s="19">
        <f>15740.5+15819.32</f>
        <v>31559.82</v>
      </c>
      <c r="N22" s="19"/>
      <c r="O22" s="19"/>
      <c r="P22" s="19">
        <v>13000</v>
      </c>
      <c r="Q22" s="19">
        <v>19000</v>
      </c>
      <c r="R22" s="7">
        <f t="shared" si="0"/>
        <v>449394.11</v>
      </c>
    </row>
    <row r="23" spans="1:18" ht="15">
      <c r="A23" s="6" t="s">
        <v>27</v>
      </c>
      <c r="B23" s="8"/>
      <c r="C23" s="8"/>
      <c r="D23" s="8"/>
      <c r="E23" s="8">
        <v>60000</v>
      </c>
      <c r="F23" s="8">
        <v>23000</v>
      </c>
      <c r="G23" s="8">
        <v>6000</v>
      </c>
      <c r="H23" s="19">
        <v>150000</v>
      </c>
      <c r="I23" s="19"/>
      <c r="J23" s="19">
        <f>8551.55+8594.31</f>
        <v>17145.86</v>
      </c>
      <c r="K23" s="19">
        <f>9566.25+9614.03</f>
        <v>19180.28</v>
      </c>
      <c r="L23" s="19">
        <f>60215.58+60742.46</f>
        <v>120958.04000000001</v>
      </c>
      <c r="M23" s="19">
        <f>15898.3+15977.79</f>
        <v>31876.09</v>
      </c>
      <c r="N23" s="19"/>
      <c r="O23" s="19"/>
      <c r="P23" s="19">
        <v>13500</v>
      </c>
      <c r="Q23" s="19">
        <v>19500</v>
      </c>
      <c r="R23" s="7">
        <f t="shared" si="0"/>
        <v>461160.2700000001</v>
      </c>
    </row>
    <row r="24" spans="1:18" ht="15">
      <c r="A24" s="6" t="s">
        <v>28</v>
      </c>
      <c r="B24" s="8"/>
      <c r="C24" s="8"/>
      <c r="D24" s="8"/>
      <c r="E24" s="8">
        <v>62500</v>
      </c>
      <c r="F24" s="8">
        <v>24000</v>
      </c>
      <c r="G24" s="8">
        <v>6000</v>
      </c>
      <c r="H24" s="19">
        <v>155000</v>
      </c>
      <c r="I24" s="19"/>
      <c r="J24" s="19">
        <f>8637.28+8680.47</f>
        <v>17317.75</v>
      </c>
      <c r="K24" s="19">
        <f>9662.1+9710.41</f>
        <v>19372.510000000002</v>
      </c>
      <c r="L24" s="19">
        <f>61273.96+61810.11</f>
        <v>123084.07</v>
      </c>
      <c r="M24" s="19">
        <f>16057.68+16137.97</f>
        <v>32195.65</v>
      </c>
      <c r="N24" s="19"/>
      <c r="O24" s="19"/>
      <c r="P24" s="19">
        <v>14000</v>
      </c>
      <c r="Q24" s="19">
        <v>20000</v>
      </c>
      <c r="R24" s="7">
        <f t="shared" si="0"/>
        <v>473469.98000000004</v>
      </c>
    </row>
    <row r="25" spans="1:18" ht="15">
      <c r="A25" s="6" t="s">
        <v>29</v>
      </c>
      <c r="B25" s="8"/>
      <c r="C25" s="8"/>
      <c r="D25" s="8"/>
      <c r="E25" s="8">
        <v>65500</v>
      </c>
      <c r="F25" s="8">
        <v>25000</v>
      </c>
      <c r="G25" s="8">
        <v>6000</v>
      </c>
      <c r="H25" s="19">
        <v>160000</v>
      </c>
      <c r="I25" s="19"/>
      <c r="J25" s="19">
        <f>8723.87+8767.49</f>
        <v>17491.36</v>
      </c>
      <c r="K25" s="19">
        <f>9758.96+9807.76</f>
        <v>19566.72</v>
      </c>
      <c r="L25" s="19">
        <f>62350.95+62896.52</f>
        <v>125247.47</v>
      </c>
      <c r="M25" s="19">
        <f>16218.66+16299.75</f>
        <v>32518.41</v>
      </c>
      <c r="N25" s="19"/>
      <c r="O25" s="19"/>
      <c r="P25" s="19">
        <v>14500</v>
      </c>
      <c r="Q25" s="19">
        <v>20500</v>
      </c>
      <c r="R25" s="7">
        <f t="shared" si="0"/>
        <v>486323.9599999999</v>
      </c>
    </row>
    <row r="26" spans="1:18" ht="15">
      <c r="A26" s="6" t="s">
        <v>30</v>
      </c>
      <c r="B26" s="8"/>
      <c r="C26" s="8"/>
      <c r="D26" s="8"/>
      <c r="E26" s="8">
        <v>68500</v>
      </c>
      <c r="F26" s="8">
        <v>26000</v>
      </c>
      <c r="G26" s="8">
        <v>7000</v>
      </c>
      <c r="H26" s="19">
        <v>165000</v>
      </c>
      <c r="I26" s="19"/>
      <c r="J26" s="19">
        <f>8811.33+8855.39</f>
        <v>17666.72</v>
      </c>
      <c r="K26" s="19">
        <f>9856.8+9906.08</f>
        <v>19762.879999999997</v>
      </c>
      <c r="L26" s="19">
        <f>63446.86+64002.02</f>
        <v>127448.88</v>
      </c>
      <c r="M26" s="19">
        <f>16381.25+16463.16</f>
        <v>32844.41</v>
      </c>
      <c r="N26" s="19"/>
      <c r="O26" s="19"/>
      <c r="P26" s="19">
        <v>15000</v>
      </c>
      <c r="Q26" s="19">
        <v>21000</v>
      </c>
      <c r="R26" s="7">
        <f t="shared" si="0"/>
        <v>500222.89</v>
      </c>
    </row>
    <row r="27" spans="1:18" ht="15">
      <c r="A27" s="6" t="s">
        <v>31</v>
      </c>
      <c r="B27" s="8"/>
      <c r="C27" s="8"/>
      <c r="D27" s="8"/>
      <c r="E27" s="8">
        <v>71500</v>
      </c>
      <c r="F27" s="8">
        <v>27000</v>
      </c>
      <c r="G27" s="8">
        <v>7000</v>
      </c>
      <c r="H27" s="19">
        <v>170500</v>
      </c>
      <c r="I27" s="19"/>
      <c r="J27" s="19">
        <f>8899.66+8944.16</f>
        <v>17843.82</v>
      </c>
      <c r="K27" s="19">
        <f>9955.61+10005.39</f>
        <v>19961</v>
      </c>
      <c r="L27" s="19">
        <f>64562.04+65126.96</f>
        <v>129689</v>
      </c>
      <c r="M27" s="19">
        <f>16545.47+16628.2</f>
        <v>33173.67</v>
      </c>
      <c r="N27" s="19"/>
      <c r="O27" s="19"/>
      <c r="P27" s="19">
        <v>15500</v>
      </c>
      <c r="Q27" s="19">
        <v>21500</v>
      </c>
      <c r="R27" s="7">
        <f t="shared" si="0"/>
        <v>513667.49</v>
      </c>
    </row>
    <row r="28" spans="1:18" ht="15">
      <c r="A28" s="6" t="s">
        <v>32</v>
      </c>
      <c r="B28" s="8"/>
      <c r="C28" s="8"/>
      <c r="D28" s="8"/>
      <c r="E28" s="8">
        <v>75000</v>
      </c>
      <c r="F28" s="8">
        <v>28000</v>
      </c>
      <c r="G28" s="8">
        <v>7000</v>
      </c>
      <c r="H28" s="19">
        <v>176000</v>
      </c>
      <c r="I28" s="19"/>
      <c r="J28" s="19">
        <f>8988.88+9033.83</f>
        <v>18022.71</v>
      </c>
      <c r="K28" s="19">
        <f>10055.42+10105.69</f>
        <v>20161.11</v>
      </c>
      <c r="L28" s="19">
        <f>65696.82+66271.66</f>
        <v>131968.48</v>
      </c>
      <c r="M28" s="19">
        <f>16711.34+16794.9</f>
        <v>33506.240000000005</v>
      </c>
      <c r="N28" s="19"/>
      <c r="O28" s="19"/>
      <c r="P28" s="19">
        <v>16000</v>
      </c>
      <c r="Q28" s="19">
        <v>22500</v>
      </c>
      <c r="R28" s="7">
        <f t="shared" si="0"/>
        <v>528158.54</v>
      </c>
    </row>
    <row r="29" spans="1:18" ht="15">
      <c r="A29" s="6" t="s">
        <v>33</v>
      </c>
      <c r="B29" s="8"/>
      <c r="C29" s="8"/>
      <c r="D29" s="8"/>
      <c r="E29" s="8">
        <v>78000</v>
      </c>
      <c r="F29" s="8">
        <v>30000</v>
      </c>
      <c r="G29" s="8">
        <v>8000</v>
      </c>
      <c r="H29" s="19">
        <v>182000</v>
      </c>
      <c r="I29" s="19"/>
      <c r="J29" s="19">
        <f>9078.99+9124.39</f>
        <v>18203.379999999997</v>
      </c>
      <c r="K29" s="19">
        <f>10156.22+10207</f>
        <v>20363.22</v>
      </c>
      <c r="L29" s="19">
        <f>66851.54+67436.49</f>
        <v>134288.03</v>
      </c>
      <c r="M29" s="19">
        <f>16878.87+16963.26</f>
        <v>33842.13</v>
      </c>
      <c r="N29" s="19"/>
      <c r="O29" s="19"/>
      <c r="P29" s="19">
        <v>16500</v>
      </c>
      <c r="Q29" s="19">
        <v>23000</v>
      </c>
      <c r="R29" s="7">
        <f t="shared" si="0"/>
        <v>544196.76</v>
      </c>
    </row>
    <row r="30" spans="1:18" ht="15">
      <c r="A30" s="6" t="s">
        <v>34</v>
      </c>
      <c r="B30" s="8"/>
      <c r="C30" s="8"/>
      <c r="D30" s="8"/>
      <c r="E30" s="8">
        <v>81500</v>
      </c>
      <c r="F30" s="8">
        <v>31000</v>
      </c>
      <c r="G30" s="8">
        <v>8000</v>
      </c>
      <c r="H30" s="19">
        <v>187500</v>
      </c>
      <c r="I30" s="19"/>
      <c r="J30" s="19">
        <f>9170.01+9215.86</f>
        <v>18385.870000000003</v>
      </c>
      <c r="K30" s="19">
        <f>10258.04+10309.33</f>
        <v>20567.370000000003</v>
      </c>
      <c r="L30" s="19">
        <f>68026.56+68621.79</f>
        <v>136648.34999999998</v>
      </c>
      <c r="M30" s="19">
        <f>17048.08+17133.32</f>
        <v>34181.4</v>
      </c>
      <c r="N30" s="19"/>
      <c r="O30" s="19"/>
      <c r="P30" s="19">
        <v>17000</v>
      </c>
      <c r="Q30" s="19">
        <v>23500</v>
      </c>
      <c r="R30" s="7">
        <f t="shared" si="0"/>
        <v>558282.99</v>
      </c>
    </row>
    <row r="31" spans="1:18" ht="15">
      <c r="A31" s="6" t="s">
        <v>35</v>
      </c>
      <c r="B31" s="8"/>
      <c r="C31" s="8"/>
      <c r="D31" s="8"/>
      <c r="E31" s="8">
        <v>85500</v>
      </c>
      <c r="F31" s="8">
        <v>32000</v>
      </c>
      <c r="G31" s="8">
        <v>8000</v>
      </c>
      <c r="H31" s="19">
        <v>194000</v>
      </c>
      <c r="I31" s="19"/>
      <c r="J31" s="19">
        <v>9261.8</v>
      </c>
      <c r="K31" s="19">
        <v>10361.07</v>
      </c>
      <c r="L31" s="19">
        <f>69222.23+69827.93</f>
        <v>139050.15999999997</v>
      </c>
      <c r="M31" s="19">
        <f>17218.99+17305.08</f>
        <v>34524.07000000001</v>
      </c>
      <c r="N31" s="19"/>
      <c r="O31" s="19"/>
      <c r="P31" s="19">
        <v>17500</v>
      </c>
      <c r="Q31" s="19">
        <v>24000</v>
      </c>
      <c r="R31" s="7">
        <f t="shared" si="0"/>
        <v>554197.1</v>
      </c>
    </row>
    <row r="32" spans="1:18" ht="15">
      <c r="A32" s="6" t="s">
        <v>36</v>
      </c>
      <c r="B32" s="8"/>
      <c r="C32" s="8"/>
      <c r="D32" s="8"/>
      <c r="E32" s="8">
        <v>89000</v>
      </c>
      <c r="F32" s="8">
        <v>34000</v>
      </c>
      <c r="G32" s="8">
        <v>9000</v>
      </c>
      <c r="H32" s="19">
        <v>200000</v>
      </c>
      <c r="I32" s="19"/>
      <c r="J32" s="19"/>
      <c r="K32" s="19"/>
      <c r="L32" s="19">
        <f>70438.92+71055.26</f>
        <v>141494.18</v>
      </c>
      <c r="M32" s="19">
        <f>17391.61+17478.67</f>
        <v>34870.28</v>
      </c>
      <c r="N32" s="19"/>
      <c r="O32" s="19"/>
      <c r="P32" s="19">
        <v>18000</v>
      </c>
      <c r="Q32" s="19">
        <v>25000</v>
      </c>
      <c r="R32" s="7">
        <f t="shared" si="0"/>
        <v>551364.46</v>
      </c>
    </row>
    <row r="33" spans="1:18" ht="15">
      <c r="A33" s="6" t="s">
        <v>37</v>
      </c>
      <c r="B33" s="8"/>
      <c r="C33" s="8"/>
      <c r="D33" s="8"/>
      <c r="E33" s="8">
        <v>93000</v>
      </c>
      <c r="F33" s="8">
        <v>35000</v>
      </c>
      <c r="G33" s="8">
        <v>9000</v>
      </c>
      <c r="H33" s="19">
        <v>206500</v>
      </c>
      <c r="I33" s="19"/>
      <c r="J33" s="19"/>
      <c r="K33" s="19"/>
      <c r="L33" s="19">
        <v>71676.82</v>
      </c>
      <c r="M33" s="19"/>
      <c r="N33" s="19"/>
      <c r="O33" s="19"/>
      <c r="P33" s="19">
        <v>18500</v>
      </c>
      <c r="Q33" s="19">
        <v>25500</v>
      </c>
      <c r="R33" s="7">
        <f t="shared" si="0"/>
        <v>459176.82</v>
      </c>
    </row>
    <row r="34" spans="1:18" ht="15">
      <c r="A34" s="6" t="s">
        <v>38</v>
      </c>
      <c r="B34" s="8"/>
      <c r="C34" s="8"/>
      <c r="D34" s="8"/>
      <c r="E34" s="8">
        <v>97500</v>
      </c>
      <c r="F34" s="8">
        <v>37000</v>
      </c>
      <c r="G34" s="8">
        <v>10000</v>
      </c>
      <c r="H34" s="19">
        <v>213500</v>
      </c>
      <c r="I34" s="19"/>
      <c r="J34" s="19"/>
      <c r="K34" s="19"/>
      <c r="L34" s="19"/>
      <c r="M34" s="19"/>
      <c r="N34" s="19"/>
      <c r="O34" s="19"/>
      <c r="P34" s="19">
        <v>19500</v>
      </c>
      <c r="Q34" s="19">
        <v>26000</v>
      </c>
      <c r="R34" s="7">
        <f t="shared" si="0"/>
        <v>403500</v>
      </c>
    </row>
    <row r="35" spans="1:18" ht="15">
      <c r="A35" s="6" t="s">
        <v>39</v>
      </c>
      <c r="B35" s="8"/>
      <c r="C35" s="8"/>
      <c r="D35" s="8"/>
      <c r="E35" s="8">
        <v>102000</v>
      </c>
      <c r="F35" s="8">
        <v>38000</v>
      </c>
      <c r="G35" s="8">
        <v>10000</v>
      </c>
      <c r="H35" s="19">
        <v>220500</v>
      </c>
      <c r="I35" s="19"/>
      <c r="J35" s="19"/>
      <c r="K35" s="19"/>
      <c r="L35" s="19"/>
      <c r="M35" s="19"/>
      <c r="N35" s="19"/>
      <c r="O35" s="19"/>
      <c r="P35" s="19">
        <v>20000</v>
      </c>
      <c r="Q35" s="19">
        <v>27000</v>
      </c>
      <c r="R35" s="7">
        <f t="shared" si="0"/>
        <v>417500</v>
      </c>
    </row>
    <row r="36" spans="1:18" ht="15">
      <c r="A36" s="6" t="s">
        <v>40</v>
      </c>
      <c r="B36" s="8"/>
      <c r="C36" s="8"/>
      <c r="D36" s="8"/>
      <c r="E36" s="8">
        <v>106500</v>
      </c>
      <c r="F36" s="8">
        <v>39000</v>
      </c>
      <c r="G36" s="8">
        <v>10000</v>
      </c>
      <c r="H36" s="19">
        <v>227500</v>
      </c>
      <c r="I36" s="19"/>
      <c r="J36" s="19"/>
      <c r="K36" s="19"/>
      <c r="L36" s="19"/>
      <c r="M36" s="19"/>
      <c r="N36" s="19"/>
      <c r="O36" s="19"/>
      <c r="P36" s="19">
        <v>20500</v>
      </c>
      <c r="Q36" s="19">
        <v>27500</v>
      </c>
      <c r="R36" s="7">
        <f t="shared" si="0"/>
        <v>431000</v>
      </c>
    </row>
    <row r="37" spans="1:18" ht="15">
      <c r="A37" s="6" t="s">
        <v>41</v>
      </c>
      <c r="B37" s="8"/>
      <c r="C37" s="8"/>
      <c r="D37" s="8"/>
      <c r="E37" s="8">
        <v>111000</v>
      </c>
      <c r="F37" s="8">
        <v>41000</v>
      </c>
      <c r="G37" s="8">
        <v>11000</v>
      </c>
      <c r="H37" s="19">
        <v>235000</v>
      </c>
      <c r="I37" s="19"/>
      <c r="J37" s="19"/>
      <c r="K37" s="19"/>
      <c r="L37" s="19"/>
      <c r="M37" s="19"/>
      <c r="N37" s="19"/>
      <c r="O37" s="19"/>
      <c r="P37" s="19">
        <v>21500</v>
      </c>
      <c r="Q37" s="19">
        <v>28500</v>
      </c>
      <c r="R37" s="7">
        <f t="shared" si="0"/>
        <v>448000</v>
      </c>
    </row>
    <row r="38" spans="1:18" ht="15">
      <c r="A38" s="6" t="s">
        <v>42</v>
      </c>
      <c r="B38" s="8"/>
      <c r="C38" s="8"/>
      <c r="D38" s="8"/>
      <c r="E38" s="8">
        <v>116000</v>
      </c>
      <c r="F38" s="8">
        <v>43000</v>
      </c>
      <c r="G38" s="8">
        <v>11000</v>
      </c>
      <c r="H38" s="19">
        <v>242500</v>
      </c>
      <c r="I38" s="19"/>
      <c r="J38" s="19"/>
      <c r="K38" s="19"/>
      <c r="L38" s="19"/>
      <c r="M38" s="19"/>
      <c r="N38" s="19"/>
      <c r="O38" s="19"/>
      <c r="P38" s="19">
        <v>22000</v>
      </c>
      <c r="Q38" s="19">
        <v>29000</v>
      </c>
      <c r="R38" s="7">
        <f t="shared" si="0"/>
        <v>463500</v>
      </c>
    </row>
    <row r="39" spans="1:18" ht="15">
      <c r="A39" s="6" t="s">
        <v>43</v>
      </c>
      <c r="B39" s="8"/>
      <c r="C39" s="8"/>
      <c r="D39" s="8"/>
      <c r="E39" s="8">
        <v>121500</v>
      </c>
      <c r="F39" s="8">
        <v>45000</v>
      </c>
      <c r="G39" s="8">
        <v>12000</v>
      </c>
      <c r="H39" s="19">
        <v>250500</v>
      </c>
      <c r="I39" s="19"/>
      <c r="J39" s="19"/>
      <c r="K39" s="19"/>
      <c r="L39" s="19"/>
      <c r="M39" s="19"/>
      <c r="N39" s="19"/>
      <c r="O39" s="19"/>
      <c r="P39" s="19">
        <v>23000</v>
      </c>
      <c r="Q39" s="19">
        <v>30000</v>
      </c>
      <c r="R39" s="7">
        <f t="shared" si="0"/>
        <v>482000</v>
      </c>
    </row>
    <row r="40" spans="1:18" ht="15">
      <c r="A40" s="6" t="s">
        <v>44</v>
      </c>
      <c r="B40" s="8"/>
      <c r="C40" s="8"/>
      <c r="D40" s="8"/>
      <c r="E40" s="8">
        <v>127000</v>
      </c>
      <c r="F40" s="8">
        <v>47000</v>
      </c>
      <c r="G40" s="8">
        <v>13000</v>
      </c>
      <c r="H40" s="19">
        <v>258500</v>
      </c>
      <c r="I40" s="19"/>
      <c r="J40" s="19"/>
      <c r="K40" s="19"/>
      <c r="L40" s="19"/>
      <c r="M40" s="19"/>
      <c r="N40" s="19"/>
      <c r="O40" s="19"/>
      <c r="P40" s="19">
        <v>23500</v>
      </c>
      <c r="Q40" s="19">
        <v>31000</v>
      </c>
      <c r="R40" s="7">
        <f t="shared" si="0"/>
        <v>500000</v>
      </c>
    </row>
    <row r="41" spans="1:18" ht="15">
      <c r="A41" s="6" t="s">
        <v>45</v>
      </c>
      <c r="B41" s="8"/>
      <c r="C41" s="8"/>
      <c r="D41" s="8"/>
      <c r="E41" s="8">
        <v>133000</v>
      </c>
      <c r="F41" s="8"/>
      <c r="G41" s="8"/>
      <c r="H41" s="19">
        <v>267000</v>
      </c>
      <c r="I41" s="19"/>
      <c r="J41" s="19"/>
      <c r="K41" s="19"/>
      <c r="L41" s="19"/>
      <c r="M41" s="19"/>
      <c r="N41" s="19"/>
      <c r="O41" s="19"/>
      <c r="P41" s="19">
        <v>24500</v>
      </c>
      <c r="Q41" s="19">
        <v>31500</v>
      </c>
      <c r="R41" s="7">
        <f t="shared" si="0"/>
        <v>456000</v>
      </c>
    </row>
    <row r="42" spans="1:18" ht="15">
      <c r="A42" s="17">
        <v>2045</v>
      </c>
      <c r="B42" s="8"/>
      <c r="C42" s="8"/>
      <c r="D42" s="8"/>
      <c r="E42" s="8"/>
      <c r="F42" s="8"/>
      <c r="G42" s="8"/>
      <c r="H42" s="19">
        <v>275500</v>
      </c>
      <c r="I42" s="19"/>
      <c r="J42" s="19"/>
      <c r="K42" s="19"/>
      <c r="L42" s="19"/>
      <c r="M42" s="19"/>
      <c r="N42" s="19"/>
      <c r="O42" s="19"/>
      <c r="P42" s="19">
        <v>25000</v>
      </c>
      <c r="Q42" s="19">
        <v>32500</v>
      </c>
      <c r="R42" s="7">
        <f t="shared" si="0"/>
        <v>333000</v>
      </c>
    </row>
    <row r="43" spans="1:18" ht="15">
      <c r="A43" s="17">
        <v>2046</v>
      </c>
      <c r="B43" s="8"/>
      <c r="C43" s="8"/>
      <c r="D43" s="8"/>
      <c r="E43" s="8"/>
      <c r="F43" s="8"/>
      <c r="G43" s="8"/>
      <c r="H43" s="19">
        <v>284500</v>
      </c>
      <c r="I43" s="19"/>
      <c r="J43" s="19"/>
      <c r="K43" s="19"/>
      <c r="L43" s="19"/>
      <c r="M43" s="19"/>
      <c r="N43" s="19"/>
      <c r="O43" s="19"/>
      <c r="P43" s="19">
        <v>26000</v>
      </c>
      <c r="Q43" s="19">
        <v>33500</v>
      </c>
      <c r="R43" s="7">
        <f t="shared" si="0"/>
        <v>344000</v>
      </c>
    </row>
    <row r="44" spans="1:18" ht="15">
      <c r="A44" s="17">
        <v>2047</v>
      </c>
      <c r="B44" s="8"/>
      <c r="C44" s="8"/>
      <c r="D44" s="8"/>
      <c r="E44" s="8"/>
      <c r="F44" s="8"/>
      <c r="G44" s="8"/>
      <c r="H44" s="19">
        <v>294000</v>
      </c>
      <c r="I44" s="19"/>
      <c r="J44" s="19"/>
      <c r="K44" s="19"/>
      <c r="L44" s="19"/>
      <c r="M44" s="19"/>
      <c r="N44" s="19"/>
      <c r="O44" s="19"/>
      <c r="P44" s="19">
        <v>27000</v>
      </c>
      <c r="Q44" s="19">
        <v>34500</v>
      </c>
      <c r="R44" s="7">
        <f t="shared" si="0"/>
        <v>355500</v>
      </c>
    </row>
    <row r="45" spans="1:18" ht="15">
      <c r="A45" s="17">
        <v>2048</v>
      </c>
      <c r="B45" s="8"/>
      <c r="C45" s="8"/>
      <c r="D45" s="8"/>
      <c r="E45" s="8"/>
      <c r="F45" s="8"/>
      <c r="G45" s="8"/>
      <c r="H45" s="19">
        <v>303500</v>
      </c>
      <c r="I45" s="19"/>
      <c r="J45" s="19"/>
      <c r="K45" s="19"/>
      <c r="L45" s="19"/>
      <c r="M45" s="19"/>
      <c r="N45" s="19"/>
      <c r="O45" s="19"/>
      <c r="P45" s="19">
        <v>28000</v>
      </c>
      <c r="Q45" s="19">
        <v>35500</v>
      </c>
      <c r="R45" s="7">
        <f t="shared" si="0"/>
        <v>367000</v>
      </c>
    </row>
    <row r="46" spans="1:18" ht="15">
      <c r="A46" s="17">
        <v>2049</v>
      </c>
      <c r="B46" s="8"/>
      <c r="C46" s="8"/>
      <c r="D46" s="8"/>
      <c r="E46" s="8"/>
      <c r="F46" s="8"/>
      <c r="G46" s="8"/>
      <c r="H46" s="19">
        <v>313000</v>
      </c>
      <c r="I46" s="19"/>
      <c r="J46" s="19"/>
      <c r="K46" s="19"/>
      <c r="L46" s="19"/>
      <c r="M46" s="19"/>
      <c r="N46" s="19"/>
      <c r="O46" s="19"/>
      <c r="P46" s="19">
        <v>29000</v>
      </c>
      <c r="Q46" s="19">
        <v>36500</v>
      </c>
      <c r="R46" s="7">
        <f t="shared" si="0"/>
        <v>378500</v>
      </c>
    </row>
    <row r="47" spans="1:18" ht="15">
      <c r="A47" s="17">
        <v>2050</v>
      </c>
      <c r="B47" s="8"/>
      <c r="C47" s="8"/>
      <c r="D47" s="8"/>
      <c r="F47" s="8"/>
      <c r="G47" s="8"/>
      <c r="H47" s="19">
        <v>323500</v>
      </c>
      <c r="I47" s="19"/>
      <c r="J47" s="19"/>
      <c r="K47" s="19"/>
      <c r="L47" s="19"/>
      <c r="M47" s="19"/>
      <c r="N47" s="19"/>
      <c r="O47" s="19"/>
      <c r="P47" s="19">
        <v>30000</v>
      </c>
      <c r="Q47" s="19">
        <v>37500</v>
      </c>
      <c r="R47" s="7">
        <f t="shared" si="0"/>
        <v>391000</v>
      </c>
    </row>
    <row r="48" spans="1:18" ht="15">
      <c r="A48" s="17">
        <v>2051</v>
      </c>
      <c r="B48" s="8"/>
      <c r="C48" s="8"/>
      <c r="D48" s="8"/>
      <c r="F48" s="8"/>
      <c r="G48" s="8"/>
      <c r="H48" s="19">
        <v>334000</v>
      </c>
      <c r="I48" s="19"/>
      <c r="J48" s="19"/>
      <c r="K48" s="19"/>
      <c r="L48" s="19"/>
      <c r="M48" s="19"/>
      <c r="N48" s="19"/>
      <c r="O48" s="19"/>
      <c r="P48" s="19">
        <v>31000</v>
      </c>
      <c r="Q48" s="19">
        <v>38500</v>
      </c>
      <c r="R48" s="7">
        <f t="shared" si="0"/>
        <v>403500</v>
      </c>
    </row>
    <row r="49" spans="1:18" ht="15">
      <c r="A49" s="17">
        <v>2052</v>
      </c>
      <c r="B49" s="8"/>
      <c r="C49" s="8"/>
      <c r="D49" s="8"/>
      <c r="F49" s="8"/>
      <c r="G49" s="8"/>
      <c r="H49" s="19">
        <v>340500</v>
      </c>
      <c r="I49" s="19"/>
      <c r="J49" s="19"/>
      <c r="K49" s="19"/>
      <c r="L49" s="19"/>
      <c r="M49" s="19"/>
      <c r="N49" s="19"/>
      <c r="O49" s="19"/>
      <c r="P49" s="19">
        <v>32000</v>
      </c>
      <c r="Q49" s="19">
        <v>39500</v>
      </c>
      <c r="R49" s="7">
        <f t="shared" si="0"/>
        <v>412000</v>
      </c>
    </row>
    <row r="50" spans="1:18" ht="15">
      <c r="A50" s="17">
        <v>2053</v>
      </c>
      <c r="B50" s="8"/>
      <c r="C50" s="8"/>
      <c r="D50" s="8"/>
      <c r="F50" s="8"/>
      <c r="G50" s="8"/>
      <c r="H50" s="19"/>
      <c r="I50" s="19"/>
      <c r="J50" s="19"/>
      <c r="K50" s="19"/>
      <c r="L50" s="19"/>
      <c r="M50" s="19"/>
      <c r="N50" s="19"/>
      <c r="O50" s="19"/>
      <c r="P50" s="19">
        <v>33000</v>
      </c>
      <c r="Q50" s="19">
        <v>40500</v>
      </c>
      <c r="R50" s="7">
        <f t="shared" si="0"/>
        <v>73500</v>
      </c>
    </row>
    <row r="51" spans="1:18" ht="15">
      <c r="A51" s="17">
        <v>2054</v>
      </c>
      <c r="H51" s="19"/>
      <c r="P51" s="2">
        <v>30000</v>
      </c>
      <c r="Q51" s="2">
        <v>42000</v>
      </c>
      <c r="R51" s="7">
        <f t="shared" si="0"/>
        <v>72000</v>
      </c>
    </row>
    <row r="52" spans="1:18" ht="13.5" thickBot="1">
      <c r="A52" s="6"/>
      <c r="B52" s="9">
        <f>SUM(B12:B47)</f>
        <v>1060065.82</v>
      </c>
      <c r="C52" s="9">
        <f>SUM(C12:C47)</f>
        <v>13960</v>
      </c>
      <c r="D52" s="9">
        <f>SUM(D12:D47)</f>
        <v>1490922</v>
      </c>
      <c r="E52" s="9">
        <f>SUM(E12:E41)</f>
        <v>2219000</v>
      </c>
      <c r="F52" s="9">
        <f>SUM(F12:F47)</f>
        <v>785000</v>
      </c>
      <c r="G52" s="9">
        <f>SUM(G12:G47)</f>
        <v>205000</v>
      </c>
      <c r="H52" s="9">
        <f>SUM(H13:H51)</f>
        <v>7594500</v>
      </c>
      <c r="I52" s="9">
        <f>SUM(I13:I48)</f>
        <v>855000</v>
      </c>
      <c r="J52" s="9">
        <f>SUM(J13:J51)</f>
        <v>313711.18999999994</v>
      </c>
      <c r="K52" s="9">
        <f>SUM(K13:K48)</f>
        <v>350933.89999999997</v>
      </c>
      <c r="L52" s="9">
        <f>SUM(L13:L48)</f>
        <v>2431389.0900000003</v>
      </c>
      <c r="M52" s="9">
        <f>SUM(M13:M48)</f>
        <v>635400.1200000001</v>
      </c>
      <c r="N52" s="9"/>
      <c r="O52" s="9"/>
      <c r="P52" s="9">
        <f>SUM(P13:P51)</f>
        <v>744000</v>
      </c>
      <c r="Q52" s="9">
        <f>SUM(Q13:Q51)</f>
        <v>1000000</v>
      </c>
      <c r="R52" s="9">
        <f>SUM(R12:R51)</f>
        <v>20037852.15</v>
      </c>
    </row>
    <row r="53" spans="1:18" ht="13.5" thickTop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3" t="s">
        <v>47</v>
      </c>
      <c r="B55" s="7"/>
      <c r="C55" s="7"/>
      <c r="D55" s="7"/>
      <c r="E55" s="7"/>
      <c r="F55" s="7"/>
      <c r="G55" s="7"/>
      <c r="H55" s="7"/>
      <c r="I55" s="7" t="s">
        <v>59</v>
      </c>
      <c r="J55" s="7" t="s">
        <v>59</v>
      </c>
      <c r="K55" s="7"/>
      <c r="L55" s="7" t="s">
        <v>59</v>
      </c>
      <c r="M55" s="7"/>
      <c r="N55" s="7"/>
      <c r="O55" s="7"/>
      <c r="P55" s="7"/>
      <c r="Q55" s="7"/>
      <c r="R55" s="7"/>
    </row>
    <row r="56" spans="1:18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67"/>
      <c r="Q56" s="67"/>
      <c r="R56" s="7"/>
    </row>
    <row r="57" spans="1:18" s="15" customFormat="1" ht="12.75">
      <c r="A57" s="13" t="s">
        <v>3</v>
      </c>
      <c r="B57" s="14" t="s">
        <v>5</v>
      </c>
      <c r="C57" s="14" t="s">
        <v>56</v>
      </c>
      <c r="D57" s="14" t="s">
        <v>8</v>
      </c>
      <c r="E57" s="14">
        <v>2005</v>
      </c>
      <c r="F57" s="14" t="s">
        <v>9</v>
      </c>
      <c r="G57" s="14" t="s">
        <v>10</v>
      </c>
      <c r="H57" s="14">
        <v>2011</v>
      </c>
      <c r="I57" s="14" t="s">
        <v>67</v>
      </c>
      <c r="J57" s="14" t="s">
        <v>71</v>
      </c>
      <c r="K57" s="14" t="s">
        <v>73</v>
      </c>
      <c r="L57" s="14" t="s">
        <v>85</v>
      </c>
      <c r="M57" s="14" t="s">
        <v>86</v>
      </c>
      <c r="N57" s="14"/>
      <c r="O57" s="14"/>
      <c r="P57" s="14" t="s">
        <v>76</v>
      </c>
      <c r="Q57" s="14" t="s">
        <v>77</v>
      </c>
      <c r="R57" s="14" t="s">
        <v>11</v>
      </c>
    </row>
    <row r="58" spans="1:18" ht="15">
      <c r="A58" s="6"/>
      <c r="B58" s="7"/>
      <c r="C58" s="7"/>
      <c r="D58" s="7"/>
      <c r="E58" s="7"/>
      <c r="F58" s="7"/>
      <c r="G58" s="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7"/>
    </row>
    <row r="59" spans="1:19" ht="15">
      <c r="A59" s="6" t="s">
        <v>17</v>
      </c>
      <c r="B59" s="25">
        <f>11784.18+11451.08+11114.28+10773.73</f>
        <v>45123.270000000004</v>
      </c>
      <c r="C59" s="25">
        <v>102.97</v>
      </c>
      <c r="D59" s="25">
        <v>17386</v>
      </c>
      <c r="E59" s="25">
        <v>90740</v>
      </c>
      <c r="F59" s="25">
        <v>34988</v>
      </c>
      <c r="G59" s="25">
        <v>9135</v>
      </c>
      <c r="H59" s="26">
        <f>104424.38+102925.63</f>
        <v>207350.01</v>
      </c>
      <c r="I59" s="26">
        <f>9870+9870</f>
        <v>19740</v>
      </c>
      <c r="J59" s="26">
        <f>1568.56+392.14+1529.86+382.46</f>
        <v>3873.0199999999995</v>
      </c>
      <c r="K59" s="26">
        <f>1754.67+350.93+1711.38+342.28</f>
        <v>4159.26</v>
      </c>
      <c r="L59" s="26">
        <f>21274.65+3039.24</f>
        <v>24313.89</v>
      </c>
      <c r="M59" s="26">
        <f>3177+3105.06+635.4+621.01</f>
        <v>7538.469999999999</v>
      </c>
      <c r="N59" s="18"/>
      <c r="O59" s="18"/>
      <c r="P59" s="26">
        <f>12090+12090</f>
        <v>24180</v>
      </c>
      <c r="Q59" s="26">
        <f>13750+13750</f>
        <v>27500</v>
      </c>
      <c r="R59" s="7">
        <f aca="true" t="shared" si="1" ref="R59:R97">SUM(B59:Q59)</f>
        <v>516129.89</v>
      </c>
      <c r="S59" s="27" t="s">
        <v>88</v>
      </c>
    </row>
    <row r="60" spans="1:18" ht="15">
      <c r="A60" s="6" t="s">
        <v>18</v>
      </c>
      <c r="B60" s="7">
        <f>10429.4+10081.24+9729.21+9373.26</f>
        <v>39613.11</v>
      </c>
      <c r="C60" s="7"/>
      <c r="D60" s="7">
        <v>15354</v>
      </c>
      <c r="E60" s="8">
        <v>89110</v>
      </c>
      <c r="F60" s="7">
        <v>34312</v>
      </c>
      <c r="G60" s="7">
        <v>8955</v>
      </c>
      <c r="H60" s="18">
        <f>102925.63+101378.75</f>
        <v>204304.38</v>
      </c>
      <c r="I60" s="18">
        <f>8030+8030</f>
        <v>16060</v>
      </c>
      <c r="J60" s="18">
        <f>1490.97+372.74+1451.88+362.97</f>
        <v>3678.5600000000004</v>
      </c>
      <c r="K60" s="18">
        <f>1667.87+333.57+1624.15+324.83</f>
        <v>3950.42</v>
      </c>
      <c r="L60" s="18">
        <f>20828.15+2975.45+20377.73+2911.1</f>
        <v>47092.43</v>
      </c>
      <c r="M60" s="18">
        <f>3032.75+2960.08+606.55+592.02</f>
        <v>7191.4</v>
      </c>
      <c r="N60" s="18"/>
      <c r="O60" s="18"/>
      <c r="P60" s="18">
        <f>12090+11927.5</f>
        <v>24017.5</v>
      </c>
      <c r="Q60" s="18">
        <f>13750+13543.75</f>
        <v>27293.75</v>
      </c>
      <c r="R60" s="7">
        <f t="shared" si="1"/>
        <v>520932.55</v>
      </c>
    </row>
    <row r="61" spans="1:18" ht="15">
      <c r="A61" s="6" t="s">
        <v>19</v>
      </c>
      <c r="B61" s="7">
        <f>9013.36+8649.46+8281.51+7909.47</f>
        <v>33853.8</v>
      </c>
      <c r="C61" s="7"/>
      <c r="D61" s="7">
        <v>13301</v>
      </c>
      <c r="E61" s="8">
        <v>87409</v>
      </c>
      <c r="F61" s="7">
        <v>33615</v>
      </c>
      <c r="G61" s="7">
        <v>8775</v>
      </c>
      <c r="H61" s="18">
        <f>101378.75+99783.75</f>
        <v>201162.5</v>
      </c>
      <c r="I61" s="18">
        <f>6132.5+6132.5</f>
        <v>12265</v>
      </c>
      <c r="J61" s="18">
        <f>1412.6+353.15+1373.12+343.28</f>
        <v>3482.1499999999996</v>
      </c>
      <c r="K61" s="18">
        <f>1580.2+316.04+1536.04+307.21</f>
        <v>3739.49</v>
      </c>
      <c r="L61" s="18">
        <f>19923.37+2846.2+19465.04+2780.72</f>
        <v>45015.33</v>
      </c>
      <c r="M61" s="18">
        <f>2887.06+2813.66+577.41+562.73</f>
        <v>6840.859999999999</v>
      </c>
      <c r="N61" s="18"/>
      <c r="O61" s="18"/>
      <c r="P61" s="18">
        <f>11927.5+11756.88</f>
        <v>23684.379999999997</v>
      </c>
      <c r="Q61" s="18">
        <f>13543.75+13330.63</f>
        <v>26874.379999999997</v>
      </c>
      <c r="R61" s="7">
        <f t="shared" si="1"/>
        <v>500017.89</v>
      </c>
    </row>
    <row r="62" spans="1:18" ht="15">
      <c r="A62" s="6" t="s">
        <v>20</v>
      </c>
      <c r="B62" s="8">
        <f>7533.3+7152.95+6768.36+6379.51</f>
        <v>27834.120000000003</v>
      </c>
      <c r="C62" s="8"/>
      <c r="D62" s="8">
        <v>11228</v>
      </c>
      <c r="E62" s="8">
        <v>85635</v>
      </c>
      <c r="F62" s="8">
        <v>32872</v>
      </c>
      <c r="G62" s="8">
        <v>8595</v>
      </c>
      <c r="H62" s="18">
        <f>99783.75+98133.75</f>
        <v>197917.5</v>
      </c>
      <c r="I62" s="18">
        <f>4177.5+4177.5</f>
        <v>8355</v>
      </c>
      <c r="J62" s="18">
        <f>1333.44+333.36+1293.57+323.39</f>
        <v>3283.7599999999998</v>
      </c>
      <c r="K62" s="18">
        <f>1491.66+298.33+1447.05+289.41</f>
        <v>3526.45</v>
      </c>
      <c r="L62" s="18">
        <f>19002.7+2714.67+18536.31+2648.04</f>
        <v>42901.72000000001</v>
      </c>
      <c r="M62" s="18">
        <f>2739.9+2665.77+547.98+533.15</f>
        <v>6486.799999999999</v>
      </c>
      <c r="N62" s="18"/>
      <c r="O62" s="18"/>
      <c r="P62" s="18">
        <f>11756.88+11586.25</f>
        <v>23343.129999999997</v>
      </c>
      <c r="Q62" s="18">
        <f>13330.63+13110.63</f>
        <v>26441.26</v>
      </c>
      <c r="R62" s="7">
        <f t="shared" si="1"/>
        <v>478419.74000000005</v>
      </c>
    </row>
    <row r="63" spans="1:18" ht="15">
      <c r="A63" s="6" t="s">
        <v>21</v>
      </c>
      <c r="B63" s="8">
        <f>5986.33+5588.77+5186.8+4780.36</f>
        <v>21542.260000000002</v>
      </c>
      <c r="C63" s="8"/>
      <c r="D63" s="8">
        <v>9136</v>
      </c>
      <c r="E63" s="8">
        <v>83779</v>
      </c>
      <c r="F63" s="8">
        <v>32108</v>
      </c>
      <c r="G63" s="8">
        <v>8392</v>
      </c>
      <c r="H63" s="18">
        <f>98133.75+96428.75</f>
        <v>194562.5</v>
      </c>
      <c r="I63" s="18">
        <f>2222.5+2222.5</f>
        <v>4445</v>
      </c>
      <c r="J63" s="18">
        <f>1253.5+313.37+1213.22+303.31</f>
        <v>3083.4</v>
      </c>
      <c r="K63" s="18">
        <f>1402.23+280.45+1357.17+271.43</f>
        <v>3311.28</v>
      </c>
      <c r="L63" s="18">
        <f>18065.84+2580.83+17591.26+2513.04</f>
        <v>40750.969999999994</v>
      </c>
      <c r="M63" s="18">
        <f>2591.27+2516.39+518.25+503.28</f>
        <v>6129.19</v>
      </c>
      <c r="N63" s="18"/>
      <c r="O63" s="18"/>
      <c r="P63" s="18">
        <f>11586.25+11407.5</f>
        <v>22993.75</v>
      </c>
      <c r="Q63" s="18">
        <f>13110.63+12883.75</f>
        <v>25994.379999999997</v>
      </c>
      <c r="R63" s="7">
        <f t="shared" si="1"/>
        <v>456227.73000000004</v>
      </c>
    </row>
    <row r="64" spans="1:18" ht="15">
      <c r="A64" s="6" t="s">
        <v>22</v>
      </c>
      <c r="B64" s="8">
        <f>4369.41+3953.88+3533.74+3108.92</f>
        <v>14965.95</v>
      </c>
      <c r="C64" s="8"/>
      <c r="D64" s="8">
        <v>7020</v>
      </c>
      <c r="E64" s="8">
        <v>81840</v>
      </c>
      <c r="F64" s="8">
        <v>31320</v>
      </c>
      <c r="G64" s="8">
        <v>8167</v>
      </c>
      <c r="H64" s="18">
        <f>96428.75+94668.75</f>
        <v>191097.5</v>
      </c>
      <c r="I64" s="18">
        <f>210+210</f>
        <v>420</v>
      </c>
      <c r="J64" s="18">
        <f>1172.75+293.19+1132.07+283.02</f>
        <v>2881.03</v>
      </c>
      <c r="K64" s="18">
        <f>1311.9+262.38+1266.39+253.28</f>
        <v>3093.9500000000003</v>
      </c>
      <c r="L64" s="18">
        <f>17112.52+2444.65+16629.59+2375.66</f>
        <v>38562.42</v>
      </c>
      <c r="M64" s="18">
        <f>2441.15+2365.52+488.23+473.1</f>
        <v>5768</v>
      </c>
      <c r="N64" s="18"/>
      <c r="O64" s="18"/>
      <c r="P64" s="18">
        <f>11407.5+11220.63</f>
        <v>22628.129999999997</v>
      </c>
      <c r="Q64" s="18">
        <f>12883.75+12650</f>
        <v>25533.75</v>
      </c>
      <c r="R64" s="7">
        <f t="shared" si="1"/>
        <v>433297.73000000004</v>
      </c>
    </row>
    <row r="65" spans="1:18" ht="15">
      <c r="A65" s="6" t="s">
        <v>23</v>
      </c>
      <c r="B65" s="8">
        <f>2679.38+2245.07+1805.93+1361.9</f>
        <v>8092.280000000001</v>
      </c>
      <c r="C65" s="8"/>
      <c r="D65" s="8">
        <v>4884</v>
      </c>
      <c r="E65" s="8">
        <v>79808</v>
      </c>
      <c r="F65" s="8">
        <v>30488</v>
      </c>
      <c r="G65" s="8">
        <v>7943</v>
      </c>
      <c r="H65" s="18">
        <f>94668.75+92853.75</f>
        <v>187522.5</v>
      </c>
      <c r="I65" s="18"/>
      <c r="J65" s="18">
        <f>1091.19+272.8+1050.1+262.53</f>
        <v>2676.62</v>
      </c>
      <c r="K65" s="18">
        <f>1220.66+244.13+1174.7+234.94</f>
        <v>2874.43</v>
      </c>
      <c r="L65" s="18">
        <f>16142.44+2306.06+15651.03+2235.86</f>
        <v>36335.39</v>
      </c>
      <c r="M65" s="18">
        <f>2289.52+2213.14+457.9+442.63</f>
        <v>5403.19</v>
      </c>
      <c r="N65" s="18"/>
      <c r="O65" s="18"/>
      <c r="P65" s="18">
        <f>11220.63+11033.75</f>
        <v>22254.379999999997</v>
      </c>
      <c r="Q65" s="18">
        <f>12650+12409.38</f>
        <v>25059.379999999997</v>
      </c>
      <c r="R65" s="7">
        <f t="shared" si="1"/>
        <v>413341.17000000004</v>
      </c>
    </row>
    <row r="66" spans="1:18" ht="15">
      <c r="A66" s="6" t="s">
        <v>24</v>
      </c>
      <c r="B66" s="8">
        <f>912.95+458.94</f>
        <v>1371.89</v>
      </c>
      <c r="C66" s="8"/>
      <c r="D66" s="8">
        <v>2726</v>
      </c>
      <c r="E66" s="8">
        <v>77684</v>
      </c>
      <c r="F66" s="8">
        <v>29610</v>
      </c>
      <c r="G66" s="8">
        <v>7718</v>
      </c>
      <c r="H66" s="18">
        <f>92853.75+90976.88</f>
        <v>183830.63</v>
      </c>
      <c r="I66" s="18"/>
      <c r="J66" s="18">
        <f>1008.81+252.2+967.32+241.83</f>
        <v>2470.16</v>
      </c>
      <c r="K66" s="18">
        <f>1128.51+225.7+1082.09+216.42</f>
        <v>2652.7200000000003</v>
      </c>
      <c r="L66" s="18">
        <f>15155.31+2165.04+14655.26+2093.61</f>
        <v>34069.22</v>
      </c>
      <c r="M66" s="18">
        <f>2136.37+2059.23+427.27+411.85</f>
        <v>5034.720000000001</v>
      </c>
      <c r="N66" s="18"/>
      <c r="O66" s="18"/>
      <c r="P66" s="18">
        <f>11033.75+10838.75</f>
        <v>21872.5</v>
      </c>
      <c r="Q66" s="18">
        <f>12409.38+12161.88</f>
        <v>24571.26</v>
      </c>
      <c r="R66" s="7">
        <f t="shared" si="1"/>
        <v>393611.1</v>
      </c>
    </row>
    <row r="67" spans="1:18" ht="15">
      <c r="A67" s="6" t="s">
        <v>25</v>
      </c>
      <c r="B67" s="8"/>
      <c r="C67" s="8"/>
      <c r="D67" s="8">
        <v>547</v>
      </c>
      <c r="E67" s="8">
        <v>75467</v>
      </c>
      <c r="F67" s="8">
        <v>28687</v>
      </c>
      <c r="G67" s="8">
        <v>7493</v>
      </c>
      <c r="H67" s="18">
        <f>90976.88+89038.13</f>
        <v>180015.01</v>
      </c>
      <c r="I67" s="18"/>
      <c r="J67" s="18">
        <f>925.61+231.4+883.7+220.92</f>
        <v>2261.63</v>
      </c>
      <c r="K67" s="18">
        <f>1035.44+207.09+988.55+197.71</f>
        <v>2428.79</v>
      </c>
      <c r="L67" s="18">
        <f>14150.83+2021.55+13641.99+1948.86</f>
        <v>31763.23</v>
      </c>
      <c r="M67" s="18">
        <f>1981.69+1903.77+396.34+380.75</f>
        <v>4662.55</v>
      </c>
      <c r="N67" s="18"/>
      <c r="O67" s="18"/>
      <c r="P67" s="18">
        <f>10838.75+10635.63</f>
        <v>21474.379999999997</v>
      </c>
      <c r="Q67" s="18">
        <f>12161.88+11907.5</f>
        <v>24069.379999999997</v>
      </c>
      <c r="R67" s="7">
        <f t="shared" si="1"/>
        <v>378868.97</v>
      </c>
    </row>
    <row r="68" spans="1:18" ht="15">
      <c r="A68" s="6" t="s">
        <v>26</v>
      </c>
      <c r="B68" s="8"/>
      <c r="C68" s="8"/>
      <c r="D68" s="8"/>
      <c r="E68" s="8">
        <v>73147</v>
      </c>
      <c r="F68" s="8">
        <v>27720</v>
      </c>
      <c r="G68" s="8">
        <v>7245</v>
      </c>
      <c r="H68" s="18">
        <f>89038.13+87037.5</f>
        <v>176075.63</v>
      </c>
      <c r="I68" s="18"/>
      <c r="J68" s="18">
        <f>841.57+210.39+799.24+199.81</f>
        <v>2051.01</v>
      </c>
      <c r="K68" s="18">
        <f>941.43+188.29+894.07+178.81</f>
        <v>2202.6</v>
      </c>
      <c r="L68" s="18">
        <f>13128.69+1875.53+12610.91+1801.56</f>
        <v>29416.690000000002</v>
      </c>
      <c r="M68" s="18">
        <f>1825.46+1746.76+365.09+349.35</f>
        <v>4286.660000000001</v>
      </c>
      <c r="N68" s="18"/>
      <c r="O68" s="18"/>
      <c r="P68" s="18">
        <f>10635.63+10424.38</f>
        <v>21060.01</v>
      </c>
      <c r="Q68" s="18">
        <f>11907.5+11646.25</f>
        <v>23553.75</v>
      </c>
      <c r="R68" s="7">
        <f t="shared" si="1"/>
        <v>366758.35</v>
      </c>
    </row>
    <row r="69" spans="1:18" ht="15">
      <c r="A69" s="6" t="s">
        <v>27</v>
      </c>
      <c r="B69" s="8"/>
      <c r="C69" s="8"/>
      <c r="D69" s="8"/>
      <c r="E69" s="8">
        <v>70723</v>
      </c>
      <c r="F69" s="8">
        <v>26708</v>
      </c>
      <c r="G69" s="8">
        <v>6975</v>
      </c>
      <c r="H69" s="18">
        <f>87037.5+84975</f>
        <v>172012.5</v>
      </c>
      <c r="I69" s="18"/>
      <c r="J69" s="18">
        <f>756.7+189.17+713.94+178.48</f>
        <v>1838.29</v>
      </c>
      <c r="K69" s="18">
        <f>846.48+169.3+798.65+159.73</f>
        <v>1974.1599999999999</v>
      </c>
      <c r="L69" s="18">
        <f>12088.59+1726.94+11561.71+1651.67</f>
        <v>27028.909999999996</v>
      </c>
      <c r="M69" s="18">
        <f>1667.66+1588.17+333.53+317.63</f>
        <v>3906.99</v>
      </c>
      <c r="N69" s="18"/>
      <c r="O69" s="18"/>
      <c r="P69" s="18">
        <f>10424.38+10205</f>
        <v>20629.379999999997</v>
      </c>
      <c r="Q69" s="18">
        <f>11646.25+11378.13</f>
        <v>23024.379999999997</v>
      </c>
      <c r="R69" s="7">
        <f t="shared" si="1"/>
        <v>354820.6099999999</v>
      </c>
    </row>
    <row r="70" spans="1:18" ht="15">
      <c r="A70" s="6" t="s">
        <v>28</v>
      </c>
      <c r="B70" s="8"/>
      <c r="C70" s="8"/>
      <c r="D70" s="8"/>
      <c r="E70" s="8">
        <v>68197</v>
      </c>
      <c r="F70" s="8">
        <v>25650</v>
      </c>
      <c r="G70" s="8">
        <v>6705</v>
      </c>
      <c r="H70" s="18">
        <f>84975+82843.75</f>
        <v>167818.75</v>
      </c>
      <c r="I70" s="18"/>
      <c r="J70" s="18">
        <f>670.97+167.74+627.78+156.95</f>
        <v>1623.44</v>
      </c>
      <c r="K70" s="18">
        <f>750.58+150.12+702.27+140.45</f>
        <v>1743.42</v>
      </c>
      <c r="L70" s="18">
        <f>11030.21+1575.74+10494.06+1499.15</f>
        <v>24599.16</v>
      </c>
      <c r="M70" s="18">
        <f>1508.28+1427.99+301.66+285.6</f>
        <v>3523.5299999999997</v>
      </c>
      <c r="N70" s="18"/>
      <c r="O70" s="18"/>
      <c r="P70" s="18">
        <f>10205+9977.5</f>
        <v>20182.5</v>
      </c>
      <c r="Q70" s="18">
        <f>11378.13+11103.13</f>
        <v>22481.26</v>
      </c>
      <c r="R70" s="7">
        <f t="shared" si="1"/>
        <v>342524.06</v>
      </c>
    </row>
    <row r="71" spans="1:18" ht="15">
      <c r="A71" s="6" t="s">
        <v>29</v>
      </c>
      <c r="B71" s="8"/>
      <c r="C71" s="8"/>
      <c r="D71" s="8"/>
      <c r="E71" s="8">
        <v>65557</v>
      </c>
      <c r="F71" s="8">
        <v>24548</v>
      </c>
      <c r="G71" s="8">
        <v>6435</v>
      </c>
      <c r="H71" s="18">
        <f>82843.75+80643.75</f>
        <v>163487.5</v>
      </c>
      <c r="I71" s="18"/>
      <c r="J71" s="18">
        <f>584.38+146.09+540.76+135.19</f>
        <v>1406.42</v>
      </c>
      <c r="K71" s="18">
        <f>653.72+130.74+604.92+120.98</f>
        <v>1510.3600000000001</v>
      </c>
      <c r="L71" s="18">
        <f>9953.22+1421.89+9407.65+1343.95</f>
        <v>22126.71</v>
      </c>
      <c r="M71" s="18">
        <f>1347.3+1266.21+269.46+253.24</f>
        <v>3136.21</v>
      </c>
      <c r="N71" s="18"/>
      <c r="O71" s="18"/>
      <c r="P71" s="18">
        <f>9977.5+9741.88</f>
        <v>19719.379999999997</v>
      </c>
      <c r="Q71" s="18">
        <f>11103.13+10821.25</f>
        <v>21924.379999999997</v>
      </c>
      <c r="R71" s="7">
        <f t="shared" si="1"/>
        <v>329850.9600000001</v>
      </c>
    </row>
    <row r="72" spans="1:18" ht="15">
      <c r="A72" s="6" t="s">
        <v>30</v>
      </c>
      <c r="B72" s="8"/>
      <c r="C72" s="8"/>
      <c r="D72" s="8"/>
      <c r="E72" s="8">
        <v>62793</v>
      </c>
      <c r="F72" s="8">
        <v>23400</v>
      </c>
      <c r="G72" s="8">
        <v>6143</v>
      </c>
      <c r="H72" s="18">
        <f>80643.75+78375</f>
        <v>159018.75</v>
      </c>
      <c r="I72" s="18"/>
      <c r="J72" s="18">
        <f>496.952+124.23+452.86+113.22</f>
        <v>1187.262</v>
      </c>
      <c r="K72" s="18">
        <f>555.88+111.18+506.6+101.32</f>
        <v>1274.9799999999998</v>
      </c>
      <c r="L72" s="18">
        <f>8857.31+1265.33+8302.15+1186.02</f>
        <v>19610.81</v>
      </c>
      <c r="M72" s="18">
        <f>1184.71+1102.8+236.94+220.56</f>
        <v>2745.01</v>
      </c>
      <c r="N72" s="18"/>
      <c r="O72" s="18"/>
      <c r="P72" s="18">
        <f>9741.88+9498.13</f>
        <v>19240.01</v>
      </c>
      <c r="Q72" s="18">
        <f>10821.25+10532.5</f>
        <v>21353.75</v>
      </c>
      <c r="R72" s="7">
        <f t="shared" si="1"/>
        <v>316766.57200000004</v>
      </c>
    </row>
    <row r="73" spans="1:18" ht="15">
      <c r="A73" s="6" t="s">
        <v>31</v>
      </c>
      <c r="B73" s="8"/>
      <c r="C73" s="8"/>
      <c r="D73" s="8"/>
      <c r="E73" s="8">
        <v>59905</v>
      </c>
      <c r="F73" s="8">
        <v>22208</v>
      </c>
      <c r="G73" s="8">
        <v>5827</v>
      </c>
      <c r="H73" s="18">
        <f>79375+76030.63</f>
        <v>155405.63</v>
      </c>
      <c r="I73" s="18"/>
      <c r="J73" s="18">
        <f>408.59+102.15+364.09+91.02</f>
        <v>965.8499999999999</v>
      </c>
      <c r="K73" s="18">
        <f>457.07+91.41+407.29+81.46</f>
        <v>1037.23</v>
      </c>
      <c r="L73" s="18">
        <f>7742.13+1106.02+7177.21+1025.32</f>
        <v>17050.68</v>
      </c>
      <c r="M73" s="18">
        <f>1020.49+937.76+204.1+187.55</f>
        <v>2349.9</v>
      </c>
      <c r="N73" s="18"/>
      <c r="O73" s="18"/>
      <c r="P73" s="18">
        <f>9498.13+9246.25</f>
        <v>18744.379999999997</v>
      </c>
      <c r="Q73" s="18">
        <f>10532.5+10236.88</f>
        <v>20769.379999999997</v>
      </c>
      <c r="R73" s="7">
        <f t="shared" si="1"/>
        <v>304263.05000000005</v>
      </c>
    </row>
    <row r="74" spans="1:18" ht="15">
      <c r="A74" s="6" t="s">
        <v>32</v>
      </c>
      <c r="B74" s="8"/>
      <c r="C74" s="8"/>
      <c r="D74" s="8"/>
      <c r="E74" s="8">
        <v>56884</v>
      </c>
      <c r="F74" s="8">
        <v>20970</v>
      </c>
      <c r="G74" s="8">
        <v>5513</v>
      </c>
      <c r="H74" s="18">
        <f>76030.63+73610.63</f>
        <v>149641.26</v>
      </c>
      <c r="I74" s="18"/>
      <c r="J74" s="18">
        <f>319.37+79.384+274.42+68.61</f>
        <v>741.784</v>
      </c>
      <c r="K74" s="18">
        <f>357.26+71.45+306.99+61.4</f>
        <v>797.1</v>
      </c>
      <c r="L74" s="18">
        <f>6607.35+943.91+6032.51+861.79</f>
        <v>14445.560000000001</v>
      </c>
      <c r="M74" s="18">
        <f>854.62+771.06+170.92+154.21</f>
        <v>1950.81</v>
      </c>
      <c r="N74" s="18"/>
      <c r="O74" s="18"/>
      <c r="P74" s="18">
        <f>9246.25+8986.25</f>
        <v>18232.5</v>
      </c>
      <c r="Q74" s="18">
        <f>10236.88+9927.5</f>
        <v>20164.379999999997</v>
      </c>
      <c r="R74" s="7">
        <f t="shared" si="1"/>
        <v>289340.39400000003</v>
      </c>
    </row>
    <row r="75" spans="1:18" ht="15">
      <c r="A75" s="6" t="s">
        <v>33</v>
      </c>
      <c r="B75" s="8"/>
      <c r="C75" s="8"/>
      <c r="D75" s="8"/>
      <c r="E75" s="8">
        <v>53728</v>
      </c>
      <c r="F75" s="8">
        <v>19665</v>
      </c>
      <c r="G75" s="8">
        <v>5175</v>
      </c>
      <c r="H75" s="18">
        <f>73610.63+71108.13</f>
        <v>144718.76</v>
      </c>
      <c r="I75" s="18"/>
      <c r="J75" s="18">
        <f>229.26+57.31+183.86+45.97</f>
        <v>516.4</v>
      </c>
      <c r="K75" s="18">
        <f>256.46+51.29+205.68+41.14</f>
        <v>554.57</v>
      </c>
      <c r="L75" s="18">
        <f>5452.63+778.95+4867.68+695.38</f>
        <v>11794.64</v>
      </c>
      <c r="M75" s="18">
        <f>687.09+602.7+137.42+120.54</f>
        <v>1547.75</v>
      </c>
      <c r="N75" s="18"/>
      <c r="O75" s="18"/>
      <c r="P75" s="18">
        <f>8986.25+8718.13</f>
        <v>17704.379999999997</v>
      </c>
      <c r="Q75" s="18">
        <f>9927.5+9611.25</f>
        <v>19538.75</v>
      </c>
      <c r="R75" s="7">
        <f t="shared" si="1"/>
        <v>274943.25</v>
      </c>
    </row>
    <row r="76" spans="1:18" ht="15">
      <c r="A76" s="6" t="s">
        <v>34</v>
      </c>
      <c r="B76" s="8"/>
      <c r="C76" s="8"/>
      <c r="D76" s="8"/>
      <c r="E76" s="8">
        <v>50438</v>
      </c>
      <c r="F76" s="8">
        <v>18293</v>
      </c>
      <c r="G76" s="8">
        <v>4815</v>
      </c>
      <c r="H76" s="18">
        <f>71108.13+68530</f>
        <v>139638.13</v>
      </c>
      <c r="I76" s="18"/>
      <c r="J76" s="18">
        <f>138.24+34.56+92.39+23.1</f>
        <v>288.29</v>
      </c>
      <c r="K76" s="18">
        <f>154.64+30.93+103.35+20.67</f>
        <v>309.59</v>
      </c>
      <c r="L76" s="18">
        <f>4277.61+611.09+3682.38+526.05</f>
        <v>9097.13</v>
      </c>
      <c r="M76" s="18">
        <f>517.88+432.64+103.58+86.53</f>
        <v>1140.6299999999999</v>
      </c>
      <c r="N76" s="18"/>
      <c r="O76" s="18"/>
      <c r="P76" s="18">
        <f>8718.13+8441.88</f>
        <v>17160.01</v>
      </c>
      <c r="Q76" s="18">
        <f>9611.25+9288.13</f>
        <v>18899.379999999997</v>
      </c>
      <c r="R76" s="7">
        <f t="shared" si="1"/>
        <v>260079.16000000003</v>
      </c>
    </row>
    <row r="77" spans="1:18" ht="15">
      <c r="A77" s="6" t="s">
        <v>35</v>
      </c>
      <c r="B77" s="8"/>
      <c r="C77" s="8"/>
      <c r="D77" s="8"/>
      <c r="E77" s="8">
        <v>46994</v>
      </c>
      <c r="F77" s="8">
        <v>16875</v>
      </c>
      <c r="G77" s="8">
        <v>4455</v>
      </c>
      <c r="H77" s="18">
        <f>68530+65862.5</f>
        <v>134392.5</v>
      </c>
      <c r="I77" s="18"/>
      <c r="J77" s="18">
        <f>46.45+11.58</f>
        <v>58.03</v>
      </c>
      <c r="K77" s="18">
        <f>51.61+10.36</f>
        <v>61.97</v>
      </c>
      <c r="L77" s="18">
        <f>3081.94+440.28+2476.24+353.75</f>
        <v>6352.21</v>
      </c>
      <c r="M77" s="18">
        <f>346.97+260.88+69.39+52.18</f>
        <v>729.42</v>
      </c>
      <c r="N77" s="18"/>
      <c r="O77" s="18"/>
      <c r="P77" s="18">
        <f>8441.88+8157.5</f>
        <v>16599.379999999997</v>
      </c>
      <c r="Q77" s="18">
        <f>9288.13+8958.13</f>
        <v>18246.26</v>
      </c>
      <c r="R77" s="7">
        <f>SUM(B77:Q77)</f>
        <v>244763.77000000002</v>
      </c>
    </row>
    <row r="78" spans="1:18" ht="15">
      <c r="A78" s="6" t="s">
        <v>36</v>
      </c>
      <c r="B78" s="8"/>
      <c r="C78" s="8"/>
      <c r="D78" s="8"/>
      <c r="E78" s="8">
        <v>43395</v>
      </c>
      <c r="F78" s="8">
        <v>15390</v>
      </c>
      <c r="G78" s="8">
        <v>4073</v>
      </c>
      <c r="H78" s="18">
        <f>65862.5+63112.5</f>
        <v>128975</v>
      </c>
      <c r="I78" s="18"/>
      <c r="J78" s="18"/>
      <c r="K78" s="18"/>
      <c r="L78" s="18">
        <f>1865.25+266.45+1248.91+178.42</f>
        <v>3559.0299999999997</v>
      </c>
      <c r="M78" s="18">
        <f>174.35+87.29+34.87+17.48</f>
        <v>313.99</v>
      </c>
      <c r="N78" s="18"/>
      <c r="O78" s="18"/>
      <c r="P78" s="18">
        <f>8157.5+7865</f>
        <v>16022.5</v>
      </c>
      <c r="Q78" s="18">
        <f>8958.13+8614.38</f>
        <v>17572.51</v>
      </c>
      <c r="R78" s="7">
        <f t="shared" si="1"/>
        <v>229301.03</v>
      </c>
    </row>
    <row r="79" spans="1:18" ht="15">
      <c r="A79" s="6" t="s">
        <v>37</v>
      </c>
      <c r="B79" s="8"/>
      <c r="C79" s="8"/>
      <c r="D79" s="8"/>
      <c r="E79" s="8">
        <v>39641</v>
      </c>
      <c r="F79" s="8">
        <v>13838</v>
      </c>
      <c r="G79" s="8">
        <v>3667</v>
      </c>
      <c r="H79" s="18">
        <f>63112.5+60273.13</f>
        <v>123385.63</v>
      </c>
      <c r="I79" s="18"/>
      <c r="J79" s="18"/>
      <c r="K79" s="18"/>
      <c r="L79" s="18">
        <f>627.35+89.6</f>
        <v>716.95</v>
      </c>
      <c r="M79" s="18"/>
      <c r="N79" s="18"/>
      <c r="O79" s="18"/>
      <c r="P79" s="18">
        <f>7865+7564.38</f>
        <v>15429.380000000001</v>
      </c>
      <c r="Q79" s="18">
        <f>8314.38+8263.75</f>
        <v>16578.129999999997</v>
      </c>
      <c r="R79" s="7">
        <f t="shared" si="1"/>
        <v>213256.09000000003</v>
      </c>
    </row>
    <row r="80" spans="1:18" ht="15">
      <c r="A80" s="6" t="s">
        <v>38</v>
      </c>
      <c r="B80" s="8"/>
      <c r="C80" s="8"/>
      <c r="D80" s="8"/>
      <c r="E80" s="8">
        <v>35712</v>
      </c>
      <c r="F80" s="8">
        <v>12217</v>
      </c>
      <c r="G80" s="8">
        <v>3240</v>
      </c>
      <c r="H80" s="18">
        <f>60273.13+57337.5</f>
        <v>117610.63</v>
      </c>
      <c r="I80" s="18"/>
      <c r="J80" s="18"/>
      <c r="K80" s="18"/>
      <c r="L80" s="18"/>
      <c r="M80" s="18"/>
      <c r="N80" s="18"/>
      <c r="O80" s="18"/>
      <c r="P80" s="18">
        <f>7564.38+7247.5</f>
        <v>14811.880000000001</v>
      </c>
      <c r="Q80" s="18">
        <f>8263.75+7906.25</f>
        <v>16170</v>
      </c>
      <c r="R80" s="7">
        <f t="shared" si="1"/>
        <v>199761.51</v>
      </c>
    </row>
    <row r="81" spans="1:18" ht="15">
      <c r="A81" s="6" t="s">
        <v>39</v>
      </c>
      <c r="B81" s="8"/>
      <c r="C81" s="8"/>
      <c r="D81" s="8"/>
      <c r="E81" s="8">
        <v>31597</v>
      </c>
      <c r="F81" s="8">
        <v>10530</v>
      </c>
      <c r="G81" s="8">
        <v>2790</v>
      </c>
      <c r="H81" s="18">
        <f>57337.5+54305.63</f>
        <v>111643.13</v>
      </c>
      <c r="I81" s="18"/>
      <c r="J81" s="18"/>
      <c r="K81" s="18"/>
      <c r="L81" s="18"/>
      <c r="M81" s="18"/>
      <c r="N81" s="18"/>
      <c r="O81" s="18"/>
      <c r="P81" s="18">
        <f>7247.5+6922.5</f>
        <v>14170</v>
      </c>
      <c r="Q81" s="18">
        <f>7906.25+7535</f>
        <v>15441.25</v>
      </c>
      <c r="R81" s="7">
        <f t="shared" si="1"/>
        <v>186171.38</v>
      </c>
    </row>
    <row r="82" spans="1:18" ht="15">
      <c r="A82" s="6" t="s">
        <v>40</v>
      </c>
      <c r="B82" s="8"/>
      <c r="C82" s="8"/>
      <c r="D82" s="8"/>
      <c r="E82" s="8">
        <v>27297</v>
      </c>
      <c r="F82" s="8">
        <v>8797</v>
      </c>
      <c r="G82" s="8">
        <v>2340</v>
      </c>
      <c r="H82" s="18">
        <f>54305.63+51177.5</f>
        <v>105483.13</v>
      </c>
      <c r="I82" s="18"/>
      <c r="J82" s="18"/>
      <c r="K82" s="18"/>
      <c r="L82" s="18"/>
      <c r="M82" s="18"/>
      <c r="N82" s="18"/>
      <c r="O82" s="18"/>
      <c r="P82" s="18">
        <f>6922.5+6589.38</f>
        <v>13511.880000000001</v>
      </c>
      <c r="Q82" s="18">
        <f>7535+7156.88</f>
        <v>14691.880000000001</v>
      </c>
      <c r="R82" s="7">
        <f t="shared" si="1"/>
        <v>172120.89</v>
      </c>
    </row>
    <row r="83" spans="1:18" ht="15">
      <c r="A83" s="6" t="s">
        <v>41</v>
      </c>
      <c r="B83" s="8"/>
      <c r="C83" s="8"/>
      <c r="D83" s="8"/>
      <c r="E83" s="8">
        <v>22811</v>
      </c>
      <c r="F83" s="8">
        <v>6997</v>
      </c>
      <c r="G83" s="8">
        <v>1868</v>
      </c>
      <c r="H83" s="18">
        <f>51177.5+47946.25</f>
        <v>99123.75</v>
      </c>
      <c r="I83" s="18"/>
      <c r="J83" s="18"/>
      <c r="K83" s="18"/>
      <c r="L83" s="18"/>
      <c r="M83" s="18"/>
      <c r="N83" s="18"/>
      <c r="O83" s="18"/>
      <c r="P83" s="18">
        <f>6589.38+6240</f>
        <v>12829.380000000001</v>
      </c>
      <c r="Q83" s="18">
        <f>7156.88+6765</f>
        <v>13921.880000000001</v>
      </c>
      <c r="R83" s="7">
        <f t="shared" si="1"/>
        <v>157551.01</v>
      </c>
    </row>
    <row r="84" spans="1:18" ht="15">
      <c r="A84" s="6" t="s">
        <v>42</v>
      </c>
      <c r="B84" s="8"/>
      <c r="C84" s="8"/>
      <c r="D84" s="8"/>
      <c r="E84" s="8">
        <v>18130</v>
      </c>
      <c r="F84" s="8">
        <v>5107</v>
      </c>
      <c r="G84" s="8">
        <v>1372</v>
      </c>
      <c r="H84" s="18">
        <f>47946.255+44611.88</f>
        <v>92558.135</v>
      </c>
      <c r="I84" s="18"/>
      <c r="J84" s="18"/>
      <c r="K84" s="18"/>
      <c r="L84" s="18"/>
      <c r="M84" s="18"/>
      <c r="N84" s="18"/>
      <c r="O84" s="18"/>
      <c r="P84" s="18">
        <f>6240+5882.5</f>
        <v>12122.5</v>
      </c>
      <c r="Q84" s="18">
        <f>6765+6366.25</f>
        <v>13131.25</v>
      </c>
      <c r="R84" s="7">
        <f t="shared" si="1"/>
        <v>142420.885</v>
      </c>
    </row>
    <row r="85" spans="1:18" ht="15">
      <c r="A85" s="6" t="s">
        <v>43</v>
      </c>
      <c r="B85" s="8"/>
      <c r="C85" s="8"/>
      <c r="D85" s="8"/>
      <c r="E85" s="8">
        <v>13231</v>
      </c>
      <c r="F85" s="8">
        <v>3127</v>
      </c>
      <c r="G85" s="8">
        <v>855</v>
      </c>
      <c r="H85" s="18">
        <f>44611.88+41167.5</f>
        <v>85779.38</v>
      </c>
      <c r="I85" s="18"/>
      <c r="J85" s="18"/>
      <c r="K85" s="18"/>
      <c r="L85" s="18"/>
      <c r="M85" s="18"/>
      <c r="N85" s="18"/>
      <c r="O85" s="18"/>
      <c r="P85" s="18">
        <f>5882.5+5508.75</f>
        <v>11391.25</v>
      </c>
      <c r="Q85" s="18">
        <f>6366.25+5953.75</f>
        <v>12320</v>
      </c>
      <c r="R85" s="7">
        <f t="shared" si="1"/>
        <v>126703.63</v>
      </c>
    </row>
    <row r="86" spans="1:18" ht="15">
      <c r="A86" s="6" t="s">
        <v>44</v>
      </c>
      <c r="B86" s="8"/>
      <c r="C86" s="8"/>
      <c r="D86" s="8"/>
      <c r="E86" s="8">
        <v>8105</v>
      </c>
      <c r="F86" s="8">
        <v>1057</v>
      </c>
      <c r="G86" s="8">
        <v>292</v>
      </c>
      <c r="H86" s="18">
        <f>41167.5+37613.13</f>
        <v>78780.63</v>
      </c>
      <c r="I86" s="18"/>
      <c r="J86" s="18"/>
      <c r="K86" s="18"/>
      <c r="L86" s="18"/>
      <c r="M86" s="18"/>
      <c r="N86" s="18"/>
      <c r="O86" s="18"/>
      <c r="P86" s="18">
        <f>5508.75+5126.88</f>
        <v>10635.630000000001</v>
      </c>
      <c r="Q86" s="18">
        <f>5953.75+5527.5</f>
        <v>11481.25</v>
      </c>
      <c r="R86" s="7">
        <f t="shared" si="1"/>
        <v>110351.51000000001</v>
      </c>
    </row>
    <row r="87" spans="1:18" ht="15">
      <c r="A87" s="6" t="s">
        <v>45</v>
      </c>
      <c r="B87" s="8"/>
      <c r="C87" s="8"/>
      <c r="D87" s="8"/>
      <c r="E87" s="10">
        <v>2743</v>
      </c>
      <c r="F87" s="8"/>
      <c r="G87" s="8"/>
      <c r="H87" s="18">
        <f>37613.13+33941.88</f>
        <v>71555.01</v>
      </c>
      <c r="I87" s="18"/>
      <c r="J87" s="18"/>
      <c r="K87" s="18"/>
      <c r="L87" s="18"/>
      <c r="M87" s="18"/>
      <c r="N87" s="18"/>
      <c r="O87" s="18"/>
      <c r="P87" s="18">
        <f>5126.88+4728.75</f>
        <v>9855.630000000001</v>
      </c>
      <c r="Q87" s="18">
        <f>5527.5+5094.38</f>
        <v>10621.880000000001</v>
      </c>
      <c r="R87" s="7">
        <f t="shared" si="1"/>
        <v>94775.52</v>
      </c>
    </row>
    <row r="88" spans="1:18" ht="15">
      <c r="A88" s="6" t="s">
        <v>46</v>
      </c>
      <c r="B88" s="8"/>
      <c r="C88" s="8"/>
      <c r="D88" s="8"/>
      <c r="E88" s="10"/>
      <c r="F88" s="8"/>
      <c r="G88" s="8"/>
      <c r="H88" s="18">
        <f>33941.88+30153.75</f>
        <v>64095.63</v>
      </c>
      <c r="I88" s="18"/>
      <c r="J88" s="18"/>
      <c r="K88" s="18"/>
      <c r="L88" s="18"/>
      <c r="M88" s="18"/>
      <c r="N88" s="18"/>
      <c r="O88" s="18"/>
      <c r="P88" s="18">
        <f>4728.75+4322.5</f>
        <v>9051.25</v>
      </c>
      <c r="Q88" s="18">
        <f>5094.38+4647.5</f>
        <v>9741.880000000001</v>
      </c>
      <c r="R88" s="7">
        <f t="shared" si="1"/>
        <v>82888.76000000001</v>
      </c>
    </row>
    <row r="89" spans="1:18" ht="15">
      <c r="A89" s="6" t="s">
        <v>61</v>
      </c>
      <c r="B89" s="8"/>
      <c r="C89" s="8"/>
      <c r="D89" s="8"/>
      <c r="E89" s="10"/>
      <c r="F89" s="8"/>
      <c r="G89" s="8"/>
      <c r="H89" s="18">
        <f>30153.75+26241.88</f>
        <v>56395.630000000005</v>
      </c>
      <c r="I89" s="18"/>
      <c r="J89" s="18"/>
      <c r="K89" s="18"/>
      <c r="L89" s="18"/>
      <c r="M89" s="18"/>
      <c r="N89" s="18"/>
      <c r="O89" s="18"/>
      <c r="P89" s="18">
        <f>4322.5+3900</f>
        <v>8222.5</v>
      </c>
      <c r="Q89" s="18">
        <f>4647.5+4186.88</f>
        <v>8834.380000000001</v>
      </c>
      <c r="R89" s="7">
        <f t="shared" si="1"/>
        <v>73452.51000000001</v>
      </c>
    </row>
    <row r="90" spans="1:18" ht="15">
      <c r="A90" s="6" t="s">
        <v>62</v>
      </c>
      <c r="B90" s="8"/>
      <c r="C90" s="8"/>
      <c r="D90" s="8"/>
      <c r="E90" s="10"/>
      <c r="F90" s="8"/>
      <c r="G90" s="8"/>
      <c r="H90" s="18">
        <f>26241.88+22199.38</f>
        <v>48441.26</v>
      </c>
      <c r="I90" s="18"/>
      <c r="J90" s="18"/>
      <c r="K90" s="18"/>
      <c r="L90" s="18"/>
      <c r="M90" s="18"/>
      <c r="N90" s="18"/>
      <c r="O90" s="18"/>
      <c r="P90" s="18">
        <f>3900+3461.25</f>
        <v>7361.25</v>
      </c>
      <c r="Q90" s="18">
        <f>4186.88+3712.5</f>
        <v>7899.38</v>
      </c>
      <c r="R90" s="7">
        <f t="shared" si="1"/>
        <v>63701.89</v>
      </c>
    </row>
    <row r="91" spans="1:18" ht="15">
      <c r="A91" s="6" t="s">
        <v>63</v>
      </c>
      <c r="B91" s="8"/>
      <c r="C91" s="8"/>
      <c r="D91" s="8"/>
      <c r="E91" s="10"/>
      <c r="F91" s="8"/>
      <c r="G91" s="8"/>
      <c r="H91" s="18">
        <f>22199.38+18026.25</f>
        <v>40225.630000000005</v>
      </c>
      <c r="I91" s="18"/>
      <c r="J91" s="18"/>
      <c r="K91" s="18"/>
      <c r="L91" s="18"/>
      <c r="M91" s="18"/>
      <c r="N91" s="18"/>
      <c r="O91" s="18"/>
      <c r="P91" s="18">
        <f>3461.25+3006.25</f>
        <v>6467.5</v>
      </c>
      <c r="Q91" s="18">
        <f>3712.5+3224.38</f>
        <v>6936.88</v>
      </c>
      <c r="R91" s="7">
        <f t="shared" si="1"/>
        <v>53630.01</v>
      </c>
    </row>
    <row r="92" spans="1:18" ht="15">
      <c r="A92" s="6" t="s">
        <v>64</v>
      </c>
      <c r="B92" s="8"/>
      <c r="C92" s="8"/>
      <c r="D92" s="8"/>
      <c r="E92" s="10"/>
      <c r="F92" s="8"/>
      <c r="G92" s="8"/>
      <c r="H92" s="18">
        <f>18026.25+13722.5</f>
        <v>31748.75</v>
      </c>
      <c r="I92" s="18"/>
      <c r="J92" s="18"/>
      <c r="K92" s="18"/>
      <c r="L92" s="18"/>
      <c r="M92" s="18"/>
      <c r="N92" s="18"/>
      <c r="O92" s="18"/>
      <c r="P92" s="18">
        <f>3006.25+2535</f>
        <v>5541.25</v>
      </c>
      <c r="Q92" s="18">
        <f>3224.38+2722.5</f>
        <v>5946.88</v>
      </c>
      <c r="R92" s="7">
        <f t="shared" si="1"/>
        <v>43236.88</v>
      </c>
    </row>
    <row r="93" spans="1:18" ht="15">
      <c r="A93" s="6" t="s">
        <v>65</v>
      </c>
      <c r="B93" s="8"/>
      <c r="C93" s="8"/>
      <c r="D93" s="8"/>
      <c r="E93" s="10"/>
      <c r="F93" s="8"/>
      <c r="G93" s="8"/>
      <c r="H93" s="18">
        <f>13722.5+9274.38</f>
        <v>22996.879999999997</v>
      </c>
      <c r="I93" s="18"/>
      <c r="J93" s="18"/>
      <c r="K93" s="18"/>
      <c r="L93" s="18"/>
      <c r="M93" s="18"/>
      <c r="N93" s="18"/>
      <c r="O93" s="18"/>
      <c r="P93" s="18">
        <f>2535+2047.5</f>
        <v>4582.5</v>
      </c>
      <c r="Q93" s="18">
        <f>2722.5+2206.88</f>
        <v>4929.38</v>
      </c>
      <c r="R93" s="7">
        <f t="shared" si="1"/>
        <v>32508.76</v>
      </c>
    </row>
    <row r="94" spans="1:18" ht="15">
      <c r="A94" s="6" t="s">
        <v>66</v>
      </c>
      <c r="B94" s="8"/>
      <c r="C94" s="8"/>
      <c r="D94" s="8"/>
      <c r="E94" s="10"/>
      <c r="F94" s="8"/>
      <c r="G94" s="8"/>
      <c r="H94" s="18">
        <f>9274.38+4681.88</f>
        <v>13956.259999999998</v>
      </c>
      <c r="I94" s="18"/>
      <c r="J94" s="18"/>
      <c r="K94" s="18"/>
      <c r="L94" s="18"/>
      <c r="M94" s="18"/>
      <c r="N94" s="18"/>
      <c r="O94" s="18"/>
      <c r="P94" s="18">
        <f>2047.5+1543.75</f>
        <v>3591.25</v>
      </c>
      <c r="Q94" s="18">
        <f>2206.88+1677.5</f>
        <v>3884.38</v>
      </c>
      <c r="R94" s="7">
        <f t="shared" si="1"/>
        <v>21431.89</v>
      </c>
    </row>
    <row r="95" spans="1:18" ht="15">
      <c r="A95" s="6" t="s">
        <v>72</v>
      </c>
      <c r="B95" s="8"/>
      <c r="C95" s="8"/>
      <c r="D95" s="8"/>
      <c r="E95" s="10"/>
      <c r="F95" s="8"/>
      <c r="G95" s="8"/>
      <c r="H95" s="18">
        <v>4681.88</v>
      </c>
      <c r="I95" s="18"/>
      <c r="J95" s="18"/>
      <c r="K95" s="18"/>
      <c r="L95" s="18"/>
      <c r="M95" s="18"/>
      <c r="N95" s="18"/>
      <c r="O95" s="18"/>
      <c r="P95" s="18">
        <f>1543.75+1023.75</f>
        <v>2567.5</v>
      </c>
      <c r="Q95" s="18">
        <f>1677.5+1134.38</f>
        <v>2811.88</v>
      </c>
      <c r="R95" s="7">
        <f t="shared" si="1"/>
        <v>10061.26</v>
      </c>
    </row>
    <row r="96" spans="1:18" ht="15">
      <c r="A96" s="6" t="s">
        <v>83</v>
      </c>
      <c r="B96" s="8"/>
      <c r="C96" s="8"/>
      <c r="D96" s="8"/>
      <c r="E96" s="10"/>
      <c r="F96" s="8"/>
      <c r="G96" s="8"/>
      <c r="H96" s="18"/>
      <c r="I96" s="18"/>
      <c r="J96" s="18"/>
      <c r="K96" s="18"/>
      <c r="L96" s="18"/>
      <c r="M96" s="18"/>
      <c r="N96" s="18"/>
      <c r="O96" s="18"/>
      <c r="P96" s="18">
        <f>1023.75+487.5</f>
        <v>1511.25</v>
      </c>
      <c r="Q96" s="18">
        <f>1134.38+577.5</f>
        <v>1711.88</v>
      </c>
      <c r="R96" s="7">
        <f t="shared" si="1"/>
        <v>3223.13</v>
      </c>
    </row>
    <row r="97" spans="1:18" ht="12.75">
      <c r="A97" s="6" t="s">
        <v>84</v>
      </c>
      <c r="B97" s="8"/>
      <c r="C97" s="8"/>
      <c r="D97" s="8"/>
      <c r="F97" s="8"/>
      <c r="G97" s="8"/>
      <c r="P97" s="2">
        <v>487.5</v>
      </c>
      <c r="Q97" s="2">
        <v>577.5</v>
      </c>
      <c r="R97" s="7">
        <f t="shared" si="1"/>
        <v>1065</v>
      </c>
    </row>
    <row r="98" spans="1:18" ht="13.5" thickBot="1">
      <c r="A98" s="6"/>
      <c r="B98" s="9">
        <f>SUM(B58:B87)</f>
        <v>192396.68000000005</v>
      </c>
      <c r="C98" s="9">
        <f>SUM(C58:C87)</f>
        <v>102.97</v>
      </c>
      <c r="D98" s="9">
        <f>SUM(D58:D87)</f>
        <v>81582</v>
      </c>
      <c r="E98" s="9">
        <f>SUM(E58:E97)</f>
        <v>1602500</v>
      </c>
      <c r="F98" s="9">
        <f>SUM(F58:F87)</f>
        <v>591097</v>
      </c>
      <c r="G98" s="9">
        <f>SUM(G58:G87)</f>
        <v>154958</v>
      </c>
      <c r="H98" s="9">
        <f>SUM(H58:H95)</f>
        <v>4607408.284999997</v>
      </c>
      <c r="I98" s="9">
        <f>SUM(I58:I94)</f>
        <v>61285</v>
      </c>
      <c r="J98" s="9">
        <f>SUM(J58:J94)</f>
        <v>38367.106</v>
      </c>
      <c r="K98" s="9">
        <f>SUM(K58:K94)</f>
        <v>41202.770000000004</v>
      </c>
      <c r="L98" s="9">
        <f>SUM(L58:L94)</f>
        <v>526603.08</v>
      </c>
      <c r="M98" s="9">
        <f>SUM(M58:M94)</f>
        <v>80686.08</v>
      </c>
      <c r="N98" s="9"/>
      <c r="O98" s="9"/>
      <c r="P98" s="9">
        <f>SUM(P58:P97)</f>
        <v>575883.8600000001</v>
      </c>
      <c r="Q98" s="9">
        <f>SUM(Q58:Q97)</f>
        <v>638497.66</v>
      </c>
      <c r="R98" s="9">
        <f>SUM(R59:R97)</f>
        <v>9192570.491000002</v>
      </c>
    </row>
    <row r="99" ht="13.5" thickTop="1"/>
    <row r="100" spans="1:18" ht="12.75">
      <c r="A100" s="1"/>
      <c r="B100" s="7"/>
      <c r="C100" s="7"/>
      <c r="D100" s="7"/>
      <c r="E100" s="7"/>
      <c r="F100" s="7"/>
      <c r="G100" s="7"/>
      <c r="R100" s="7"/>
    </row>
    <row r="101" spans="1:18" ht="12.75">
      <c r="A101" s="1"/>
      <c r="B101" s="7"/>
      <c r="C101" s="7"/>
      <c r="D101" s="7"/>
      <c r="E101" s="7"/>
      <c r="F101" s="7"/>
      <c r="G101" s="7"/>
      <c r="R101" s="7"/>
    </row>
    <row r="102" spans="1:18" ht="12.75">
      <c r="A102" s="3" t="s">
        <v>48</v>
      </c>
      <c r="B102" s="7"/>
      <c r="C102" s="7"/>
      <c r="D102" s="7"/>
      <c r="E102" s="7"/>
      <c r="F102" s="7"/>
      <c r="G102" s="7"/>
      <c r="R102" s="7"/>
    </row>
    <row r="103" spans="1:18" ht="12.75">
      <c r="A103" s="1"/>
      <c r="B103" s="7"/>
      <c r="C103" s="7"/>
      <c r="D103" s="7"/>
      <c r="E103" s="7"/>
      <c r="F103" s="7"/>
      <c r="G103" s="7"/>
      <c r="P103" s="67"/>
      <c r="Q103" s="67"/>
      <c r="R103" s="7"/>
    </row>
    <row r="104" spans="1:19" s="15" customFormat="1" ht="12.75">
      <c r="A104" s="13" t="s">
        <v>3</v>
      </c>
      <c r="B104" s="14" t="s">
        <v>5</v>
      </c>
      <c r="C104" s="14" t="s">
        <v>56</v>
      </c>
      <c r="D104" s="14" t="s">
        <v>8</v>
      </c>
      <c r="E104" s="14">
        <v>2005</v>
      </c>
      <c r="F104" s="14" t="s">
        <v>49</v>
      </c>
      <c r="G104" s="14" t="s">
        <v>50</v>
      </c>
      <c r="H104" s="14">
        <v>2011</v>
      </c>
      <c r="I104" s="14" t="s">
        <v>67</v>
      </c>
      <c r="J104" s="14" t="s">
        <v>71</v>
      </c>
      <c r="K104" s="14" t="s">
        <v>73</v>
      </c>
      <c r="L104" s="14" t="s">
        <v>85</v>
      </c>
      <c r="M104" s="14" t="s">
        <v>86</v>
      </c>
      <c r="N104" s="14"/>
      <c r="O104" s="14"/>
      <c r="P104" s="14" t="s">
        <v>76</v>
      </c>
      <c r="Q104" s="14" t="s">
        <v>77</v>
      </c>
      <c r="R104" s="14" t="s">
        <v>11</v>
      </c>
      <c r="S104" s="14" t="s">
        <v>51</v>
      </c>
    </row>
    <row r="105" spans="1:19" ht="12.75">
      <c r="A105" s="6" t="s">
        <v>17</v>
      </c>
      <c r="B105" s="7">
        <f aca="true" t="shared" si="2" ref="B105:B111">41748.75*4</f>
        <v>166995</v>
      </c>
      <c r="C105" s="7">
        <f>C13+C59</f>
        <v>14062.97</v>
      </c>
      <c r="D105" s="7">
        <v>186299</v>
      </c>
      <c r="E105" s="7">
        <f aca="true" t="shared" si="3" ref="E105:Q120">+E13+E59</f>
        <v>129240</v>
      </c>
      <c r="F105" s="7">
        <f t="shared" si="3"/>
        <v>49988</v>
      </c>
      <c r="G105" s="7">
        <f t="shared" si="3"/>
        <v>13135</v>
      </c>
      <c r="H105" s="7">
        <f t="shared" si="3"/>
        <v>316350.01</v>
      </c>
      <c r="I105" s="7">
        <f t="shared" si="3"/>
        <v>179740</v>
      </c>
      <c r="J105" s="7">
        <f t="shared" si="3"/>
        <v>19391.1</v>
      </c>
      <c r="K105" s="7">
        <f t="shared" si="3"/>
        <v>21518.57</v>
      </c>
      <c r="L105" s="7">
        <f>+L13+L59</f>
        <v>75343.41</v>
      </c>
      <c r="M105" s="7">
        <f>+M13+M59</f>
        <v>36388.33</v>
      </c>
      <c r="N105" s="7"/>
      <c r="O105" s="7">
        <f t="shared" si="3"/>
        <v>338970.03</v>
      </c>
      <c r="P105" s="20">
        <f t="shared" si="3"/>
        <v>24180</v>
      </c>
      <c r="Q105" s="20">
        <f t="shared" si="3"/>
        <v>27500</v>
      </c>
      <c r="R105" s="7">
        <f aca="true" t="shared" si="4" ref="R105:R143">SUM(B105:Q105)</f>
        <v>1599101.4200000002</v>
      </c>
      <c r="S105" s="16">
        <f aca="true" t="shared" si="5" ref="S105:S146">+F105+G105+H105+I105</f>
        <v>559213.01</v>
      </c>
    </row>
    <row r="106" spans="1:19" ht="12.75">
      <c r="A106" s="6" t="s">
        <v>18</v>
      </c>
      <c r="B106" s="7">
        <f t="shared" si="2"/>
        <v>166995</v>
      </c>
      <c r="C106" s="7"/>
      <c r="D106" s="7">
        <v>185960</v>
      </c>
      <c r="E106" s="7">
        <f t="shared" si="3"/>
        <v>129610</v>
      </c>
      <c r="F106" s="7">
        <f t="shared" si="3"/>
        <v>49312</v>
      </c>
      <c r="G106" s="7">
        <f t="shared" si="3"/>
        <v>12955</v>
      </c>
      <c r="H106" s="7">
        <f t="shared" si="3"/>
        <v>316804.38</v>
      </c>
      <c r="I106" s="7">
        <f t="shared" si="3"/>
        <v>181060</v>
      </c>
      <c r="J106" s="7">
        <f t="shared" si="3"/>
        <v>19352.21</v>
      </c>
      <c r="K106" s="7">
        <f t="shared" si="3"/>
        <v>21484.059999999998</v>
      </c>
      <c r="L106" s="7">
        <f t="shared" si="3"/>
        <v>150494.88999999998</v>
      </c>
      <c r="M106" s="7">
        <f t="shared" si="3"/>
        <v>36330.49</v>
      </c>
      <c r="N106" s="7"/>
      <c r="O106" s="7"/>
      <c r="P106" s="20">
        <f t="shared" si="3"/>
        <v>34017.5</v>
      </c>
      <c r="Q106" s="20">
        <f t="shared" si="3"/>
        <v>42293.75</v>
      </c>
      <c r="R106" s="7">
        <f t="shared" si="4"/>
        <v>1346669.28</v>
      </c>
      <c r="S106" s="16">
        <f t="shared" si="5"/>
        <v>560131.38</v>
      </c>
    </row>
    <row r="107" spans="1:19" ht="12.75">
      <c r="A107" s="6" t="s">
        <v>19</v>
      </c>
      <c r="B107" s="7">
        <f t="shared" si="2"/>
        <v>166995</v>
      </c>
      <c r="C107" s="7"/>
      <c r="D107" s="7">
        <v>185617</v>
      </c>
      <c r="E107" s="7">
        <f t="shared" si="3"/>
        <v>129409</v>
      </c>
      <c r="F107" s="7">
        <f t="shared" si="3"/>
        <v>49615</v>
      </c>
      <c r="G107" s="7">
        <f t="shared" si="3"/>
        <v>12775</v>
      </c>
      <c r="H107" s="7">
        <f t="shared" si="3"/>
        <v>317162.5</v>
      </c>
      <c r="I107" s="7">
        <f t="shared" si="3"/>
        <v>182265</v>
      </c>
      <c r="J107" s="7">
        <f t="shared" si="3"/>
        <v>19312.93</v>
      </c>
      <c r="K107" s="7">
        <f t="shared" si="3"/>
        <v>21448.61</v>
      </c>
      <c r="L107" s="7">
        <f t="shared" si="3"/>
        <v>150235.26</v>
      </c>
      <c r="M107" s="7">
        <f t="shared" si="3"/>
        <v>36272.06</v>
      </c>
      <c r="N107" s="7"/>
      <c r="O107" s="7"/>
      <c r="P107" s="20">
        <f t="shared" si="3"/>
        <v>34184.38</v>
      </c>
      <c r="Q107" s="20">
        <f t="shared" si="3"/>
        <v>42374.38</v>
      </c>
      <c r="R107" s="7">
        <f t="shared" si="4"/>
        <v>1347666.1199999999</v>
      </c>
      <c r="S107" s="16">
        <f t="shared" si="5"/>
        <v>561817.5</v>
      </c>
    </row>
    <row r="108" spans="1:19" ht="12.75">
      <c r="A108" s="6" t="s">
        <v>20</v>
      </c>
      <c r="B108" s="7">
        <f t="shared" si="2"/>
        <v>166995</v>
      </c>
      <c r="C108" s="8"/>
      <c r="D108" s="8">
        <v>185272</v>
      </c>
      <c r="E108" s="7">
        <f t="shared" si="3"/>
        <v>129635</v>
      </c>
      <c r="F108" s="7">
        <f t="shared" si="3"/>
        <v>49872</v>
      </c>
      <c r="G108" s="7">
        <f t="shared" si="3"/>
        <v>12595</v>
      </c>
      <c r="H108" s="7">
        <f t="shared" si="3"/>
        <v>317917.5</v>
      </c>
      <c r="I108" s="7">
        <f t="shared" si="3"/>
        <v>178355</v>
      </c>
      <c r="J108" s="7">
        <f t="shared" si="3"/>
        <v>19273.25</v>
      </c>
      <c r="K108" s="7">
        <f t="shared" si="3"/>
        <v>21413.100000000002</v>
      </c>
      <c r="L108" s="7">
        <f t="shared" si="3"/>
        <v>149971.05000000002</v>
      </c>
      <c r="M108" s="7">
        <f t="shared" si="3"/>
        <v>36213.05</v>
      </c>
      <c r="N108" s="7"/>
      <c r="O108" s="7"/>
      <c r="P108" s="20">
        <f t="shared" si="3"/>
        <v>33843.13</v>
      </c>
      <c r="Q108" s="20">
        <f t="shared" si="3"/>
        <v>42441.259999999995</v>
      </c>
      <c r="R108" s="7">
        <f t="shared" si="4"/>
        <v>1343796.34</v>
      </c>
      <c r="S108" s="16">
        <f t="shared" si="5"/>
        <v>558739.5</v>
      </c>
    </row>
    <row r="109" spans="1:19" ht="12.75">
      <c r="A109" s="6" t="s">
        <v>21</v>
      </c>
      <c r="B109" s="7">
        <f t="shared" si="2"/>
        <v>166995</v>
      </c>
      <c r="C109" s="8"/>
      <c r="D109" s="8">
        <v>184925</v>
      </c>
      <c r="E109" s="7">
        <f t="shared" si="3"/>
        <v>129779</v>
      </c>
      <c r="F109" s="7">
        <f t="shared" si="3"/>
        <v>49108</v>
      </c>
      <c r="G109" s="7">
        <f t="shared" si="3"/>
        <v>13392</v>
      </c>
      <c r="H109" s="7">
        <f t="shared" si="3"/>
        <v>318562.5</v>
      </c>
      <c r="I109" s="7">
        <f t="shared" si="3"/>
        <v>179445</v>
      </c>
      <c r="J109" s="7">
        <f t="shared" si="3"/>
        <v>19233.18</v>
      </c>
      <c r="K109" s="7">
        <f t="shared" si="3"/>
        <v>21377.239999999998</v>
      </c>
      <c r="L109" s="7">
        <f t="shared" si="3"/>
        <v>149702.21</v>
      </c>
      <c r="M109" s="7">
        <f t="shared" si="3"/>
        <v>36153.450000000004</v>
      </c>
      <c r="N109" s="7"/>
      <c r="O109" s="7"/>
      <c r="P109" s="20">
        <f t="shared" si="3"/>
        <v>33993.75</v>
      </c>
      <c r="Q109" s="20">
        <f t="shared" si="3"/>
        <v>42494.38</v>
      </c>
      <c r="R109" s="7">
        <f t="shared" si="4"/>
        <v>1345160.7099999997</v>
      </c>
      <c r="S109" s="16">
        <f t="shared" si="5"/>
        <v>560507.5</v>
      </c>
    </row>
    <row r="110" spans="1:19" ht="12.75">
      <c r="A110" s="6" t="s">
        <v>22</v>
      </c>
      <c r="B110" s="7">
        <f t="shared" si="2"/>
        <v>166995</v>
      </c>
      <c r="C110" s="8"/>
      <c r="D110" s="8">
        <v>184571</v>
      </c>
      <c r="E110" s="7">
        <f t="shared" si="3"/>
        <v>129840</v>
      </c>
      <c r="F110" s="7">
        <f t="shared" si="3"/>
        <v>49320</v>
      </c>
      <c r="G110" s="7">
        <f t="shared" si="3"/>
        <v>13167</v>
      </c>
      <c r="H110" s="7">
        <f t="shared" si="3"/>
        <v>319097.5</v>
      </c>
      <c r="I110" s="7">
        <f t="shared" si="3"/>
        <v>15420</v>
      </c>
      <c r="J110" s="7">
        <f t="shared" si="3"/>
        <v>19192.71</v>
      </c>
      <c r="K110" s="7">
        <f t="shared" si="3"/>
        <v>21341.02</v>
      </c>
      <c r="L110" s="7">
        <f t="shared" si="3"/>
        <v>149428.65000000002</v>
      </c>
      <c r="M110" s="7">
        <f t="shared" si="3"/>
        <v>36093.25</v>
      </c>
      <c r="N110" s="7"/>
      <c r="O110" s="7"/>
      <c r="P110" s="20">
        <f t="shared" si="3"/>
        <v>34128.13</v>
      </c>
      <c r="Q110" s="20">
        <f t="shared" si="3"/>
        <v>42533.75</v>
      </c>
      <c r="R110" s="7">
        <f t="shared" si="4"/>
        <v>1181128.0099999998</v>
      </c>
      <c r="S110" s="16">
        <f t="shared" si="5"/>
        <v>397004.5</v>
      </c>
    </row>
    <row r="111" spans="1:19" ht="12.75">
      <c r="A111" s="6" t="s">
        <v>23</v>
      </c>
      <c r="B111" s="7">
        <f t="shared" si="2"/>
        <v>166995</v>
      </c>
      <c r="C111" s="8"/>
      <c r="D111" s="8">
        <v>184215</v>
      </c>
      <c r="E111" s="7">
        <f t="shared" si="3"/>
        <v>130308</v>
      </c>
      <c r="F111" s="7">
        <f t="shared" si="3"/>
        <v>49488</v>
      </c>
      <c r="G111" s="7">
        <f t="shared" si="3"/>
        <v>12943</v>
      </c>
      <c r="H111" s="7">
        <f t="shared" si="3"/>
        <v>319522.5</v>
      </c>
      <c r="I111" s="7"/>
      <c r="J111" s="7">
        <f t="shared" si="3"/>
        <v>19151.829999999998</v>
      </c>
      <c r="K111" s="7">
        <f t="shared" si="3"/>
        <v>21304.43</v>
      </c>
      <c r="L111" s="7">
        <f t="shared" si="3"/>
        <v>149150.26</v>
      </c>
      <c r="M111" s="7">
        <f t="shared" si="3"/>
        <v>36032.450000000004</v>
      </c>
      <c r="N111" s="7"/>
      <c r="O111" s="7"/>
      <c r="P111" s="20">
        <f t="shared" si="3"/>
        <v>33754.38</v>
      </c>
      <c r="Q111" s="20">
        <f t="shared" si="3"/>
        <v>42559.38</v>
      </c>
      <c r="R111" s="7">
        <f t="shared" si="4"/>
        <v>1165424.2299999997</v>
      </c>
      <c r="S111" s="16">
        <f t="shared" si="5"/>
        <v>381953.5</v>
      </c>
    </row>
    <row r="112" spans="1:19" ht="12.75">
      <c r="A112" s="6" t="s">
        <v>24</v>
      </c>
      <c r="B112" s="8">
        <f>41748.75*2</f>
        <v>83497.5</v>
      </c>
      <c r="C112" s="8"/>
      <c r="D112" s="8">
        <v>183855</v>
      </c>
      <c r="E112" s="7">
        <f t="shared" si="3"/>
        <v>130184</v>
      </c>
      <c r="F112" s="7">
        <f t="shared" si="3"/>
        <v>49610</v>
      </c>
      <c r="G112" s="7">
        <f t="shared" si="3"/>
        <v>12718</v>
      </c>
      <c r="H112" s="7">
        <f t="shared" si="3"/>
        <v>320330.63</v>
      </c>
      <c r="I112" s="7"/>
      <c r="J112" s="7">
        <f t="shared" si="3"/>
        <v>19110.530000000002</v>
      </c>
      <c r="K112" s="7">
        <f t="shared" si="3"/>
        <v>21267.480000000003</v>
      </c>
      <c r="L112" s="7">
        <f t="shared" si="3"/>
        <v>148866.99</v>
      </c>
      <c r="M112" s="7">
        <f t="shared" si="3"/>
        <v>35971.04</v>
      </c>
      <c r="N112" s="7"/>
      <c r="O112" s="7"/>
      <c r="P112" s="20">
        <f t="shared" si="3"/>
        <v>33872.5</v>
      </c>
      <c r="Q112" s="20">
        <f t="shared" si="3"/>
        <v>42571.259999999995</v>
      </c>
      <c r="R112" s="7">
        <f t="shared" si="4"/>
        <v>1081854.93</v>
      </c>
      <c r="S112" s="16">
        <f t="shared" si="5"/>
        <v>382658.63</v>
      </c>
    </row>
    <row r="113" spans="1:19" ht="12.75">
      <c r="A113" s="6" t="s">
        <v>25</v>
      </c>
      <c r="B113" s="8"/>
      <c r="C113" s="8"/>
      <c r="D113" s="8">
        <v>91790</v>
      </c>
      <c r="E113" s="7">
        <f t="shared" si="3"/>
        <v>130467</v>
      </c>
      <c r="F113" s="7">
        <f t="shared" si="3"/>
        <v>49687</v>
      </c>
      <c r="G113" s="7">
        <f t="shared" si="3"/>
        <v>12493</v>
      </c>
      <c r="H113" s="7">
        <f t="shared" si="3"/>
        <v>321015.01</v>
      </c>
      <c r="I113" s="7"/>
      <c r="J113" s="7">
        <f t="shared" si="3"/>
        <v>19068.82</v>
      </c>
      <c r="K113" s="7">
        <f t="shared" si="3"/>
        <v>21230.16</v>
      </c>
      <c r="L113" s="7">
        <f t="shared" si="3"/>
        <v>148578.75</v>
      </c>
      <c r="M113" s="7">
        <f t="shared" si="3"/>
        <v>35909.01</v>
      </c>
      <c r="N113" s="7"/>
      <c r="O113" s="7"/>
      <c r="P113" s="20">
        <f t="shared" si="3"/>
        <v>33974.38</v>
      </c>
      <c r="Q113" s="20">
        <f t="shared" si="3"/>
        <v>42569.38</v>
      </c>
      <c r="R113" s="7">
        <f t="shared" si="4"/>
        <v>906782.51</v>
      </c>
      <c r="S113" s="16">
        <f t="shared" si="5"/>
        <v>383195.01</v>
      </c>
    </row>
    <row r="114" spans="1:19" ht="12.75">
      <c r="A114" s="6" t="s">
        <v>26</v>
      </c>
      <c r="E114" s="7">
        <f t="shared" si="3"/>
        <v>130647</v>
      </c>
      <c r="F114" s="7">
        <f t="shared" si="3"/>
        <v>49720</v>
      </c>
      <c r="G114" s="7">
        <f t="shared" si="3"/>
        <v>13245</v>
      </c>
      <c r="H114" s="7">
        <f t="shared" si="3"/>
        <v>321575.63</v>
      </c>
      <c r="I114" s="7"/>
      <c r="J114" s="7">
        <f t="shared" si="3"/>
        <v>19026.700000000004</v>
      </c>
      <c r="K114" s="7">
        <f t="shared" si="3"/>
        <v>21192.46</v>
      </c>
      <c r="L114" s="7">
        <f t="shared" si="3"/>
        <v>148285.43</v>
      </c>
      <c r="M114" s="7">
        <f t="shared" si="3"/>
        <v>35846.48</v>
      </c>
      <c r="N114" s="7"/>
      <c r="O114" s="7"/>
      <c r="P114" s="20">
        <f t="shared" si="3"/>
        <v>34060.009999999995</v>
      </c>
      <c r="Q114" s="20">
        <f t="shared" si="3"/>
        <v>42553.75</v>
      </c>
      <c r="R114" s="7">
        <f t="shared" si="4"/>
        <v>816152.46</v>
      </c>
      <c r="S114" s="16">
        <f t="shared" si="5"/>
        <v>384540.63</v>
      </c>
    </row>
    <row r="115" spans="1:19" ht="12.75">
      <c r="A115" s="6" t="s">
        <v>27</v>
      </c>
      <c r="E115" s="7">
        <f t="shared" si="3"/>
        <v>130723</v>
      </c>
      <c r="F115" s="7">
        <f t="shared" si="3"/>
        <v>49708</v>
      </c>
      <c r="G115" s="7">
        <f t="shared" si="3"/>
        <v>12975</v>
      </c>
      <c r="H115" s="7">
        <f t="shared" si="3"/>
        <v>322012.5</v>
      </c>
      <c r="I115" s="7"/>
      <c r="J115" s="7">
        <f t="shared" si="3"/>
        <v>18984.15</v>
      </c>
      <c r="K115" s="7">
        <f t="shared" si="3"/>
        <v>21154.44</v>
      </c>
      <c r="L115" s="7">
        <f t="shared" si="3"/>
        <v>147986.95</v>
      </c>
      <c r="M115" s="7">
        <f t="shared" si="3"/>
        <v>35783.08</v>
      </c>
      <c r="N115" s="7"/>
      <c r="O115" s="7"/>
      <c r="P115" s="20">
        <f t="shared" si="3"/>
        <v>34129.38</v>
      </c>
      <c r="Q115" s="20">
        <f t="shared" si="3"/>
        <v>42524.38</v>
      </c>
      <c r="R115" s="7">
        <f t="shared" si="4"/>
        <v>815980.88</v>
      </c>
      <c r="S115" s="16">
        <f t="shared" si="5"/>
        <v>384695.5</v>
      </c>
    </row>
    <row r="116" spans="1:19" ht="12.75">
      <c r="A116" s="6" t="s">
        <v>28</v>
      </c>
      <c r="E116" s="7">
        <f t="shared" si="3"/>
        <v>130697</v>
      </c>
      <c r="F116" s="7">
        <f t="shared" si="3"/>
        <v>49650</v>
      </c>
      <c r="G116" s="7">
        <f t="shared" si="3"/>
        <v>12705</v>
      </c>
      <c r="H116" s="7">
        <f t="shared" si="3"/>
        <v>322818.75</v>
      </c>
      <c r="I116" s="7"/>
      <c r="J116" s="7">
        <f t="shared" si="3"/>
        <v>18941.19</v>
      </c>
      <c r="K116" s="7">
        <f t="shared" si="3"/>
        <v>21115.93</v>
      </c>
      <c r="L116" s="7">
        <f t="shared" si="3"/>
        <v>147683.23</v>
      </c>
      <c r="M116" s="7">
        <f t="shared" si="3"/>
        <v>35719.18</v>
      </c>
      <c r="N116" s="7"/>
      <c r="O116" s="7"/>
      <c r="P116" s="20">
        <f t="shared" si="3"/>
        <v>34182.5</v>
      </c>
      <c r="Q116" s="20">
        <f t="shared" si="3"/>
        <v>42481.259999999995</v>
      </c>
      <c r="R116" s="7">
        <f t="shared" si="4"/>
        <v>815994.04</v>
      </c>
      <c r="S116" s="16">
        <f t="shared" si="5"/>
        <v>385173.75</v>
      </c>
    </row>
    <row r="117" spans="1:19" ht="12.75">
      <c r="A117" s="6" t="s">
        <v>29</v>
      </c>
      <c r="E117" s="7">
        <f t="shared" si="3"/>
        <v>131057</v>
      </c>
      <c r="F117" s="7">
        <f t="shared" si="3"/>
        <v>49548</v>
      </c>
      <c r="G117" s="7">
        <f t="shared" si="3"/>
        <v>12435</v>
      </c>
      <c r="H117" s="7">
        <f t="shared" si="3"/>
        <v>323487.5</v>
      </c>
      <c r="I117" s="7"/>
      <c r="J117" s="7">
        <f t="shared" si="3"/>
        <v>18897.78</v>
      </c>
      <c r="K117" s="7">
        <f t="shared" si="3"/>
        <v>21077.08</v>
      </c>
      <c r="L117" s="7">
        <f t="shared" si="3"/>
        <v>147374.18</v>
      </c>
      <c r="M117" s="7">
        <f t="shared" si="3"/>
        <v>35654.62</v>
      </c>
      <c r="N117" s="7"/>
      <c r="O117" s="7"/>
      <c r="P117" s="20">
        <f t="shared" si="3"/>
        <v>34219.38</v>
      </c>
      <c r="Q117" s="20">
        <f t="shared" si="3"/>
        <v>42424.38</v>
      </c>
      <c r="R117" s="7">
        <f t="shared" si="4"/>
        <v>816174.92</v>
      </c>
      <c r="S117" s="16">
        <f t="shared" si="5"/>
        <v>385470.5</v>
      </c>
    </row>
    <row r="118" spans="1:19" ht="12.75">
      <c r="A118" s="6" t="s">
        <v>30</v>
      </c>
      <c r="E118" s="7">
        <f t="shared" si="3"/>
        <v>131293</v>
      </c>
      <c r="F118" s="7">
        <f t="shared" si="3"/>
        <v>49400</v>
      </c>
      <c r="G118" s="7">
        <f t="shared" si="3"/>
        <v>13143</v>
      </c>
      <c r="H118" s="7">
        <f t="shared" si="3"/>
        <v>324018.75</v>
      </c>
      <c r="I118" s="7"/>
      <c r="J118" s="7">
        <f t="shared" si="3"/>
        <v>18853.982</v>
      </c>
      <c r="K118" s="7">
        <f t="shared" si="3"/>
        <v>21037.859999999997</v>
      </c>
      <c r="L118" s="7">
        <f t="shared" si="3"/>
        <v>147059.69</v>
      </c>
      <c r="M118" s="7">
        <f t="shared" si="3"/>
        <v>35589.420000000006</v>
      </c>
      <c r="N118" s="7"/>
      <c r="O118" s="7"/>
      <c r="P118" s="20">
        <f t="shared" si="3"/>
        <v>34240.009999999995</v>
      </c>
      <c r="Q118" s="20">
        <f t="shared" si="3"/>
        <v>42353.75</v>
      </c>
      <c r="R118" s="7">
        <f t="shared" si="4"/>
        <v>816989.4619999999</v>
      </c>
      <c r="S118" s="16">
        <f t="shared" si="5"/>
        <v>386561.75</v>
      </c>
    </row>
    <row r="119" spans="1:19" ht="12.75">
      <c r="A119" s="6" t="s">
        <v>31</v>
      </c>
      <c r="E119" s="7">
        <f t="shared" si="3"/>
        <v>131405</v>
      </c>
      <c r="F119" s="7">
        <f t="shared" si="3"/>
        <v>49208</v>
      </c>
      <c r="G119" s="7">
        <f t="shared" si="3"/>
        <v>12827</v>
      </c>
      <c r="H119" s="7">
        <f t="shared" si="3"/>
        <v>325905.63</v>
      </c>
      <c r="I119" s="7"/>
      <c r="J119" s="7">
        <f t="shared" si="3"/>
        <v>18809.67</v>
      </c>
      <c r="K119" s="7">
        <f t="shared" si="3"/>
        <v>20998.23</v>
      </c>
      <c r="L119" s="7">
        <f t="shared" si="3"/>
        <v>146739.68</v>
      </c>
      <c r="M119" s="7">
        <f t="shared" si="3"/>
        <v>35523.57</v>
      </c>
      <c r="N119" s="7"/>
      <c r="O119" s="7"/>
      <c r="P119" s="20">
        <f t="shared" si="3"/>
        <v>34244.38</v>
      </c>
      <c r="Q119" s="20">
        <f t="shared" si="3"/>
        <v>42269.38</v>
      </c>
      <c r="R119" s="7">
        <f t="shared" si="4"/>
        <v>817930.5399999999</v>
      </c>
      <c r="S119" s="16">
        <f t="shared" si="5"/>
        <v>387940.63</v>
      </c>
    </row>
    <row r="120" spans="1:19" ht="12.75">
      <c r="A120" s="6" t="s">
        <v>32</v>
      </c>
      <c r="E120" s="7">
        <f t="shared" si="3"/>
        <v>131884</v>
      </c>
      <c r="F120" s="7">
        <f t="shared" si="3"/>
        <v>48970</v>
      </c>
      <c r="G120" s="7">
        <f t="shared" si="3"/>
        <v>12513</v>
      </c>
      <c r="H120" s="7">
        <f t="shared" si="3"/>
        <v>325641.26</v>
      </c>
      <c r="I120" s="7"/>
      <c r="J120" s="7">
        <f t="shared" si="3"/>
        <v>18764.494</v>
      </c>
      <c r="K120" s="7">
        <f t="shared" si="3"/>
        <v>20958.21</v>
      </c>
      <c r="L120" s="7">
        <f t="shared" si="3"/>
        <v>146414.04</v>
      </c>
      <c r="M120" s="7">
        <f t="shared" si="3"/>
        <v>35457.05</v>
      </c>
      <c r="N120" s="7"/>
      <c r="O120" s="7"/>
      <c r="P120" s="20">
        <f t="shared" si="3"/>
        <v>34232.5</v>
      </c>
      <c r="Q120" s="20">
        <f t="shared" si="3"/>
        <v>42664.38</v>
      </c>
      <c r="R120" s="7">
        <f t="shared" si="4"/>
        <v>817498.934</v>
      </c>
      <c r="S120" s="16">
        <f t="shared" si="5"/>
        <v>387124.26</v>
      </c>
    </row>
    <row r="121" spans="1:19" ht="12.75">
      <c r="A121" s="6" t="s">
        <v>33</v>
      </c>
      <c r="E121" s="7">
        <f aca="true" t="shared" si="6" ref="E121:H136">+E29+E75</f>
        <v>131728</v>
      </c>
      <c r="F121" s="7">
        <f t="shared" si="6"/>
        <v>49665</v>
      </c>
      <c r="G121" s="7">
        <f t="shared" si="6"/>
        <v>13175</v>
      </c>
      <c r="H121" s="7">
        <f t="shared" si="6"/>
        <v>326718.76</v>
      </c>
      <c r="I121" s="7"/>
      <c r="J121" s="7">
        <f aca="true" t="shared" si="7" ref="J121:Q136">+J29+J75</f>
        <v>18719.78</v>
      </c>
      <c r="K121" s="7">
        <f t="shared" si="7"/>
        <v>20917.79</v>
      </c>
      <c r="L121" s="7">
        <f t="shared" si="7"/>
        <v>146082.66999999998</v>
      </c>
      <c r="M121" s="7">
        <f t="shared" si="7"/>
        <v>35389.88</v>
      </c>
      <c r="N121" s="7"/>
      <c r="O121" s="7"/>
      <c r="P121" s="20">
        <f t="shared" si="7"/>
        <v>34204.38</v>
      </c>
      <c r="Q121" s="20">
        <f t="shared" si="7"/>
        <v>42538.75</v>
      </c>
      <c r="R121" s="7">
        <f t="shared" si="4"/>
        <v>819140.01</v>
      </c>
      <c r="S121" s="16">
        <f t="shared" si="5"/>
        <v>389558.76</v>
      </c>
    </row>
    <row r="122" spans="1:19" ht="12.75">
      <c r="A122" s="6" t="s">
        <v>34</v>
      </c>
      <c r="E122" s="7">
        <f t="shared" si="6"/>
        <v>131938</v>
      </c>
      <c r="F122" s="7">
        <f t="shared" si="6"/>
        <v>49293</v>
      </c>
      <c r="G122" s="7">
        <f t="shared" si="6"/>
        <v>12815</v>
      </c>
      <c r="H122" s="7">
        <f t="shared" si="6"/>
        <v>327138.13</v>
      </c>
      <c r="I122" s="7"/>
      <c r="J122" s="7">
        <f t="shared" si="7"/>
        <v>18674.160000000003</v>
      </c>
      <c r="K122" s="7">
        <f t="shared" si="7"/>
        <v>20876.960000000003</v>
      </c>
      <c r="L122" s="7">
        <f t="shared" si="7"/>
        <v>145745.47999999998</v>
      </c>
      <c r="M122" s="7">
        <f t="shared" si="7"/>
        <v>35322.03</v>
      </c>
      <c r="N122" s="7"/>
      <c r="O122" s="7"/>
      <c r="P122" s="20">
        <f t="shared" si="7"/>
        <v>34160.009999999995</v>
      </c>
      <c r="Q122" s="20">
        <f t="shared" si="7"/>
        <v>42399.38</v>
      </c>
      <c r="R122" s="7">
        <f t="shared" si="4"/>
        <v>818362.15</v>
      </c>
      <c r="S122" s="16">
        <f t="shared" si="5"/>
        <v>389246.13</v>
      </c>
    </row>
    <row r="123" spans="1:19" ht="12.75">
      <c r="A123" s="6" t="s">
        <v>35</v>
      </c>
      <c r="E123" s="7">
        <f t="shared" si="6"/>
        <v>132494</v>
      </c>
      <c r="F123" s="7">
        <f t="shared" si="6"/>
        <v>48875</v>
      </c>
      <c r="G123" s="7">
        <f t="shared" si="6"/>
        <v>12455</v>
      </c>
      <c r="H123" s="7">
        <f t="shared" si="6"/>
        <v>328392.5</v>
      </c>
      <c r="I123" s="7"/>
      <c r="J123" s="7">
        <f t="shared" si="7"/>
        <v>9319.83</v>
      </c>
      <c r="K123" s="7">
        <f t="shared" si="7"/>
        <v>10423.039999999999</v>
      </c>
      <c r="L123" s="7">
        <f t="shared" si="7"/>
        <v>145402.36999999997</v>
      </c>
      <c r="M123" s="7">
        <f t="shared" si="7"/>
        <v>35253.490000000005</v>
      </c>
      <c r="N123" s="7"/>
      <c r="O123" s="7"/>
      <c r="P123" s="20">
        <f t="shared" si="7"/>
        <v>34099.38</v>
      </c>
      <c r="Q123" s="20">
        <f t="shared" si="7"/>
        <v>42246.259999999995</v>
      </c>
      <c r="R123" s="7">
        <f t="shared" si="4"/>
        <v>798960.87</v>
      </c>
      <c r="S123" s="16">
        <f t="shared" si="5"/>
        <v>389722.5</v>
      </c>
    </row>
    <row r="124" spans="1:19" ht="12.75">
      <c r="A124" s="6" t="s">
        <v>36</v>
      </c>
      <c r="E124" s="7">
        <f t="shared" si="6"/>
        <v>132395</v>
      </c>
      <c r="F124" s="7">
        <f t="shared" si="6"/>
        <v>49390</v>
      </c>
      <c r="G124" s="7">
        <f t="shared" si="6"/>
        <v>13073</v>
      </c>
      <c r="H124" s="7">
        <f t="shared" si="6"/>
        <v>328975</v>
      </c>
      <c r="I124" s="7"/>
      <c r="J124" s="7">
        <f t="shared" si="7"/>
        <v>0</v>
      </c>
      <c r="K124" s="7">
        <f t="shared" si="7"/>
        <v>0</v>
      </c>
      <c r="L124" s="7">
        <f t="shared" si="7"/>
        <v>145053.21</v>
      </c>
      <c r="M124" s="7">
        <f t="shared" si="7"/>
        <v>35184.27</v>
      </c>
      <c r="N124" s="7"/>
      <c r="O124" s="7"/>
      <c r="P124" s="20">
        <f t="shared" si="7"/>
        <v>34022.5</v>
      </c>
      <c r="Q124" s="20">
        <f t="shared" si="7"/>
        <v>42572.509999999995</v>
      </c>
      <c r="R124" s="7">
        <f t="shared" si="4"/>
        <v>780665.49</v>
      </c>
      <c r="S124" s="16">
        <f t="shared" si="5"/>
        <v>391438</v>
      </c>
    </row>
    <row r="125" spans="1:19" ht="12.75">
      <c r="A125" s="6" t="s">
        <v>37</v>
      </c>
      <c r="E125" s="7">
        <f t="shared" si="6"/>
        <v>132641</v>
      </c>
      <c r="F125" s="7">
        <f t="shared" si="6"/>
        <v>48838</v>
      </c>
      <c r="G125" s="7">
        <f t="shared" si="6"/>
        <v>12667</v>
      </c>
      <c r="H125" s="7">
        <f t="shared" si="6"/>
        <v>329885.63</v>
      </c>
      <c r="I125" s="7"/>
      <c r="J125" s="7">
        <f t="shared" si="7"/>
        <v>0</v>
      </c>
      <c r="K125" s="7">
        <f t="shared" si="7"/>
        <v>0</v>
      </c>
      <c r="L125" s="7">
        <f t="shared" si="7"/>
        <v>72393.77</v>
      </c>
      <c r="M125" s="7">
        <f t="shared" si="7"/>
        <v>0</v>
      </c>
      <c r="N125" s="7"/>
      <c r="O125" s="7"/>
      <c r="P125" s="20">
        <f t="shared" si="7"/>
        <v>33929.380000000005</v>
      </c>
      <c r="Q125" s="20">
        <f t="shared" si="7"/>
        <v>42078.13</v>
      </c>
      <c r="R125" s="7">
        <f t="shared" si="4"/>
        <v>672432.91</v>
      </c>
      <c r="S125" s="16">
        <f t="shared" si="5"/>
        <v>391390.63</v>
      </c>
    </row>
    <row r="126" spans="1:19" ht="12.75">
      <c r="A126" s="6" t="s">
        <v>38</v>
      </c>
      <c r="E126" s="7">
        <f t="shared" si="6"/>
        <v>133212</v>
      </c>
      <c r="F126" s="7">
        <f t="shared" si="6"/>
        <v>49217</v>
      </c>
      <c r="G126" s="7">
        <f t="shared" si="6"/>
        <v>13240</v>
      </c>
      <c r="H126" s="7">
        <f t="shared" si="6"/>
        <v>331110.63</v>
      </c>
      <c r="I126" s="7"/>
      <c r="J126" s="7">
        <f t="shared" si="7"/>
        <v>0</v>
      </c>
      <c r="K126" s="7">
        <f t="shared" si="7"/>
        <v>0</v>
      </c>
      <c r="L126" s="7">
        <f t="shared" si="7"/>
        <v>0</v>
      </c>
      <c r="M126" s="7">
        <f t="shared" si="7"/>
        <v>0</v>
      </c>
      <c r="N126" s="7"/>
      <c r="O126" s="7"/>
      <c r="P126" s="20">
        <f t="shared" si="7"/>
        <v>34311.880000000005</v>
      </c>
      <c r="Q126" s="20">
        <f t="shared" si="7"/>
        <v>42170</v>
      </c>
      <c r="R126" s="7">
        <f t="shared" si="4"/>
        <v>603261.51</v>
      </c>
      <c r="S126" s="16">
        <f t="shared" si="5"/>
        <v>393567.63</v>
      </c>
    </row>
    <row r="127" spans="1:19" ht="12.75">
      <c r="A127" s="6" t="s">
        <v>39</v>
      </c>
      <c r="E127" s="7">
        <f t="shared" si="6"/>
        <v>133597</v>
      </c>
      <c r="F127" s="7">
        <f t="shared" si="6"/>
        <v>48530</v>
      </c>
      <c r="G127" s="7">
        <f t="shared" si="6"/>
        <v>12790</v>
      </c>
      <c r="H127" s="7">
        <f t="shared" si="6"/>
        <v>332143.13</v>
      </c>
      <c r="I127" s="7"/>
      <c r="J127" s="7">
        <f t="shared" si="7"/>
        <v>0</v>
      </c>
      <c r="K127" s="7">
        <f t="shared" si="7"/>
        <v>0</v>
      </c>
      <c r="L127" s="7">
        <f t="shared" si="7"/>
        <v>0</v>
      </c>
      <c r="M127" s="7">
        <f t="shared" si="7"/>
        <v>0</v>
      </c>
      <c r="N127" s="7"/>
      <c r="O127" s="7"/>
      <c r="P127" s="20">
        <f t="shared" si="7"/>
        <v>34170</v>
      </c>
      <c r="Q127" s="20">
        <f t="shared" si="7"/>
        <v>42441.25</v>
      </c>
      <c r="R127" s="7">
        <f t="shared" si="4"/>
        <v>603671.38</v>
      </c>
      <c r="S127" s="16">
        <f t="shared" si="5"/>
        <v>393463.13</v>
      </c>
    </row>
    <row r="128" spans="1:19" ht="12.75">
      <c r="A128" s="6" t="s">
        <v>40</v>
      </c>
      <c r="E128" s="7">
        <f t="shared" si="6"/>
        <v>133797</v>
      </c>
      <c r="F128" s="7">
        <f t="shared" si="6"/>
        <v>47797</v>
      </c>
      <c r="G128" s="7">
        <f t="shared" si="6"/>
        <v>12340</v>
      </c>
      <c r="H128" s="7">
        <f t="shared" si="6"/>
        <v>332983.13</v>
      </c>
      <c r="I128" s="7"/>
      <c r="J128" s="7">
        <f t="shared" si="7"/>
        <v>0</v>
      </c>
      <c r="K128" s="7">
        <f t="shared" si="7"/>
        <v>0</v>
      </c>
      <c r="L128" s="7">
        <f t="shared" si="7"/>
        <v>0</v>
      </c>
      <c r="M128" s="7">
        <f t="shared" si="7"/>
        <v>0</v>
      </c>
      <c r="N128" s="7"/>
      <c r="O128" s="7"/>
      <c r="P128" s="20">
        <f t="shared" si="7"/>
        <v>34011.880000000005</v>
      </c>
      <c r="Q128" s="20">
        <f t="shared" si="7"/>
        <v>42191.880000000005</v>
      </c>
      <c r="R128" s="7">
        <f t="shared" si="4"/>
        <v>603120.89</v>
      </c>
      <c r="S128" s="16">
        <f t="shared" si="5"/>
        <v>393120.13</v>
      </c>
    </row>
    <row r="129" spans="1:19" ht="12.75">
      <c r="A129" s="6" t="s">
        <v>41</v>
      </c>
      <c r="E129" s="7">
        <f t="shared" si="6"/>
        <v>133811</v>
      </c>
      <c r="F129" s="7">
        <f t="shared" si="6"/>
        <v>47997</v>
      </c>
      <c r="G129" s="7">
        <f t="shared" si="6"/>
        <v>12868</v>
      </c>
      <c r="H129" s="7">
        <f t="shared" si="6"/>
        <v>334123.75</v>
      </c>
      <c r="I129" s="7"/>
      <c r="J129" s="7">
        <f t="shared" si="7"/>
        <v>0</v>
      </c>
      <c r="K129" s="7">
        <f t="shared" si="7"/>
        <v>0</v>
      </c>
      <c r="L129" s="7">
        <f t="shared" si="7"/>
        <v>0</v>
      </c>
      <c r="M129" s="7">
        <f t="shared" si="7"/>
        <v>0</v>
      </c>
      <c r="N129" s="7"/>
      <c r="O129" s="7"/>
      <c r="P129" s="20">
        <f t="shared" si="7"/>
        <v>34329.380000000005</v>
      </c>
      <c r="Q129" s="20">
        <f t="shared" si="7"/>
        <v>42421.880000000005</v>
      </c>
      <c r="R129" s="7">
        <f t="shared" si="4"/>
        <v>605551.01</v>
      </c>
      <c r="S129" s="16">
        <f t="shared" si="5"/>
        <v>394988.75</v>
      </c>
    </row>
    <row r="130" spans="1:19" ht="12.75">
      <c r="A130" s="6" t="s">
        <v>42</v>
      </c>
      <c r="E130" s="7">
        <f t="shared" si="6"/>
        <v>134130</v>
      </c>
      <c r="F130" s="7">
        <f t="shared" si="6"/>
        <v>48107</v>
      </c>
      <c r="G130" s="7">
        <f t="shared" si="6"/>
        <v>12372</v>
      </c>
      <c r="H130" s="7">
        <f t="shared" si="6"/>
        <v>335058.135</v>
      </c>
      <c r="I130" s="7"/>
      <c r="J130" s="7">
        <f t="shared" si="7"/>
        <v>0</v>
      </c>
      <c r="K130" s="7">
        <f t="shared" si="7"/>
        <v>0</v>
      </c>
      <c r="L130" s="7">
        <f t="shared" si="7"/>
        <v>0</v>
      </c>
      <c r="M130" s="7">
        <f t="shared" si="7"/>
        <v>0</v>
      </c>
      <c r="N130" s="7"/>
      <c r="O130" s="7"/>
      <c r="P130" s="20">
        <f t="shared" si="7"/>
        <v>34122.5</v>
      </c>
      <c r="Q130" s="20">
        <f t="shared" si="7"/>
        <v>42131.25</v>
      </c>
      <c r="R130" s="7">
        <f t="shared" si="4"/>
        <v>605920.885</v>
      </c>
      <c r="S130" s="16">
        <f t="shared" si="5"/>
        <v>395537.135</v>
      </c>
    </row>
    <row r="131" spans="1:19" ht="12.75">
      <c r="A131" s="6" t="s">
        <v>43</v>
      </c>
      <c r="E131" s="7">
        <f t="shared" si="6"/>
        <v>134731</v>
      </c>
      <c r="F131" s="7">
        <f t="shared" si="6"/>
        <v>48127</v>
      </c>
      <c r="G131" s="7">
        <f t="shared" si="6"/>
        <v>12855</v>
      </c>
      <c r="H131" s="7">
        <f t="shared" si="6"/>
        <v>336279.38</v>
      </c>
      <c r="I131" s="7"/>
      <c r="J131" s="7">
        <f t="shared" si="7"/>
        <v>0</v>
      </c>
      <c r="K131" s="7">
        <f t="shared" si="7"/>
        <v>0</v>
      </c>
      <c r="L131" s="7"/>
      <c r="M131" s="7">
        <f>+M39+M85</f>
        <v>0</v>
      </c>
      <c r="N131" s="7"/>
      <c r="O131" s="7"/>
      <c r="P131" s="20">
        <f t="shared" si="7"/>
        <v>34391.25</v>
      </c>
      <c r="Q131" s="20">
        <f t="shared" si="7"/>
        <v>42320</v>
      </c>
      <c r="R131" s="7">
        <f t="shared" si="4"/>
        <v>608703.63</v>
      </c>
      <c r="S131" s="16">
        <f t="shared" si="5"/>
        <v>397261.38</v>
      </c>
    </row>
    <row r="132" spans="1:19" ht="12.75">
      <c r="A132" s="6" t="s">
        <v>44</v>
      </c>
      <c r="E132" s="7">
        <f t="shared" si="6"/>
        <v>135105</v>
      </c>
      <c r="F132" s="7">
        <f t="shared" si="6"/>
        <v>48057</v>
      </c>
      <c r="G132" s="7">
        <f t="shared" si="6"/>
        <v>13292</v>
      </c>
      <c r="H132" s="7">
        <f t="shared" si="6"/>
        <v>337280.63</v>
      </c>
      <c r="I132" s="7"/>
      <c r="J132" s="7">
        <f t="shared" si="7"/>
        <v>0</v>
      </c>
      <c r="K132" s="7">
        <f t="shared" si="7"/>
        <v>0</v>
      </c>
      <c r="L132" s="7"/>
      <c r="M132" s="7">
        <f>+M40+M86</f>
        <v>0</v>
      </c>
      <c r="N132" s="7"/>
      <c r="O132" s="7"/>
      <c r="P132" s="20">
        <f t="shared" si="7"/>
        <v>34135.630000000005</v>
      </c>
      <c r="Q132" s="20">
        <f t="shared" si="7"/>
        <v>42481.25</v>
      </c>
      <c r="R132" s="7">
        <f t="shared" si="4"/>
        <v>610351.51</v>
      </c>
      <c r="S132" s="16">
        <f t="shared" si="5"/>
        <v>398629.63</v>
      </c>
    </row>
    <row r="133" spans="1:19" ht="12.75">
      <c r="A133" s="6" t="s">
        <v>45</v>
      </c>
      <c r="E133" s="7">
        <v>135743</v>
      </c>
      <c r="F133" s="7"/>
      <c r="G133" s="7"/>
      <c r="H133" s="7">
        <f t="shared" si="6"/>
        <v>338555.01</v>
      </c>
      <c r="I133" s="7"/>
      <c r="J133" s="7">
        <f t="shared" si="7"/>
        <v>0</v>
      </c>
      <c r="K133" s="7">
        <f t="shared" si="7"/>
        <v>0</v>
      </c>
      <c r="L133" s="7"/>
      <c r="M133" s="7">
        <f>+M41+M87</f>
        <v>0</v>
      </c>
      <c r="N133" s="7"/>
      <c r="O133" s="7"/>
      <c r="P133" s="20">
        <f t="shared" si="7"/>
        <v>34355.630000000005</v>
      </c>
      <c r="Q133" s="20">
        <f t="shared" si="7"/>
        <v>42121.880000000005</v>
      </c>
      <c r="R133" s="7">
        <f t="shared" si="4"/>
        <v>550775.52</v>
      </c>
      <c r="S133" s="16">
        <f t="shared" si="5"/>
        <v>338555.01</v>
      </c>
    </row>
    <row r="134" spans="1:19" ht="12.75">
      <c r="A134" s="6" t="s">
        <v>46</v>
      </c>
      <c r="E134" s="7"/>
      <c r="F134" s="7"/>
      <c r="G134" s="7"/>
      <c r="H134" s="7">
        <f t="shared" si="6"/>
        <v>339595.63</v>
      </c>
      <c r="I134" s="7"/>
      <c r="J134" s="7">
        <f t="shared" si="7"/>
        <v>0</v>
      </c>
      <c r="K134" s="7">
        <f t="shared" si="7"/>
        <v>0</v>
      </c>
      <c r="L134" s="7"/>
      <c r="M134" s="7">
        <f>+M42+M88</f>
        <v>0</v>
      </c>
      <c r="N134" s="7"/>
      <c r="O134" s="7"/>
      <c r="P134" s="20">
        <f t="shared" si="7"/>
        <v>34051.25</v>
      </c>
      <c r="Q134" s="20">
        <f t="shared" si="7"/>
        <v>42241.880000000005</v>
      </c>
      <c r="R134" s="7">
        <f t="shared" si="4"/>
        <v>415888.76</v>
      </c>
      <c r="S134" s="16">
        <f t="shared" si="5"/>
        <v>339595.63</v>
      </c>
    </row>
    <row r="135" spans="1:19" ht="12.75">
      <c r="A135" s="6" t="s">
        <v>61</v>
      </c>
      <c r="E135" s="7"/>
      <c r="F135" s="7"/>
      <c r="G135" s="7"/>
      <c r="H135" s="7">
        <f t="shared" si="6"/>
        <v>340895.63</v>
      </c>
      <c r="I135" s="7"/>
      <c r="J135" s="7">
        <f t="shared" si="7"/>
        <v>0</v>
      </c>
      <c r="K135" s="7">
        <f t="shared" si="7"/>
        <v>0</v>
      </c>
      <c r="L135" s="7"/>
      <c r="M135" s="7">
        <f>+M43+M89</f>
        <v>0</v>
      </c>
      <c r="N135" s="7"/>
      <c r="O135" s="7"/>
      <c r="P135" s="20">
        <f t="shared" si="7"/>
        <v>34222.5</v>
      </c>
      <c r="Q135" s="20">
        <f t="shared" si="7"/>
        <v>42334.380000000005</v>
      </c>
      <c r="R135" s="7">
        <f t="shared" si="4"/>
        <v>417452.51</v>
      </c>
      <c r="S135" s="16">
        <f t="shared" si="5"/>
        <v>340895.63</v>
      </c>
    </row>
    <row r="136" spans="1:19" ht="12.75">
      <c r="A136" s="6" t="s">
        <v>62</v>
      </c>
      <c r="E136" s="7"/>
      <c r="F136" s="7"/>
      <c r="G136" s="7"/>
      <c r="H136" s="7">
        <f t="shared" si="6"/>
        <v>342441.26</v>
      </c>
      <c r="I136" s="7"/>
      <c r="J136" s="7">
        <f t="shared" si="7"/>
        <v>0</v>
      </c>
      <c r="K136" s="7">
        <f t="shared" si="7"/>
        <v>0</v>
      </c>
      <c r="L136" s="7"/>
      <c r="M136" s="7"/>
      <c r="N136" s="7"/>
      <c r="O136" s="7"/>
      <c r="P136" s="20">
        <f t="shared" si="7"/>
        <v>34361.25</v>
      </c>
      <c r="Q136" s="20">
        <f t="shared" si="7"/>
        <v>42399.38</v>
      </c>
      <c r="R136" s="7">
        <f t="shared" si="4"/>
        <v>419201.89</v>
      </c>
      <c r="S136" s="16">
        <f t="shared" si="5"/>
        <v>342441.26</v>
      </c>
    </row>
    <row r="137" spans="1:19" ht="12.75">
      <c r="A137" s="6" t="s">
        <v>63</v>
      </c>
      <c r="E137" s="7"/>
      <c r="F137" s="7"/>
      <c r="G137" s="7"/>
      <c r="H137" s="7">
        <f aca="true" t="shared" si="8" ref="H137:H142">+H45+H91</f>
        <v>343725.63</v>
      </c>
      <c r="I137" s="7"/>
      <c r="J137" s="7">
        <f aca="true" t="shared" si="9" ref="J137:K141">+J45+J91</f>
        <v>0</v>
      </c>
      <c r="K137" s="7">
        <f t="shared" si="9"/>
        <v>0</v>
      </c>
      <c r="L137" s="7"/>
      <c r="M137" s="7"/>
      <c r="N137" s="7"/>
      <c r="O137" s="7"/>
      <c r="P137" s="20">
        <f aca="true" t="shared" si="10" ref="P137:Q143">+P45+P91</f>
        <v>34467.5</v>
      </c>
      <c r="Q137" s="20">
        <f t="shared" si="10"/>
        <v>42436.88</v>
      </c>
      <c r="R137" s="7">
        <f t="shared" si="4"/>
        <v>420630.01</v>
      </c>
      <c r="S137" s="16">
        <f t="shared" si="5"/>
        <v>343725.63</v>
      </c>
    </row>
    <row r="138" spans="1:19" ht="12.75">
      <c r="A138" s="6" t="s">
        <v>64</v>
      </c>
      <c r="E138" s="7"/>
      <c r="F138" s="7"/>
      <c r="G138" s="7"/>
      <c r="H138" s="7">
        <f t="shared" si="8"/>
        <v>344748.75</v>
      </c>
      <c r="I138" s="7"/>
      <c r="J138" s="7">
        <f t="shared" si="9"/>
        <v>0</v>
      </c>
      <c r="K138" s="7">
        <f t="shared" si="9"/>
        <v>0</v>
      </c>
      <c r="L138" s="7"/>
      <c r="M138" s="7"/>
      <c r="N138" s="7"/>
      <c r="O138" s="7"/>
      <c r="P138" s="20">
        <f t="shared" si="10"/>
        <v>34541.25</v>
      </c>
      <c r="Q138" s="20">
        <f t="shared" si="10"/>
        <v>42446.88</v>
      </c>
      <c r="R138" s="7">
        <f t="shared" si="4"/>
        <v>421736.88</v>
      </c>
      <c r="S138" s="16">
        <f t="shared" si="5"/>
        <v>344748.75</v>
      </c>
    </row>
    <row r="139" spans="1:19" ht="12.75">
      <c r="A139" s="6" t="s">
        <v>65</v>
      </c>
      <c r="E139" s="7"/>
      <c r="F139" s="7"/>
      <c r="G139" s="7"/>
      <c r="H139" s="7">
        <f t="shared" si="8"/>
        <v>346496.88</v>
      </c>
      <c r="I139" s="7"/>
      <c r="J139" s="7">
        <f t="shared" si="9"/>
        <v>0</v>
      </c>
      <c r="K139" s="7">
        <f t="shared" si="9"/>
        <v>0</v>
      </c>
      <c r="L139" s="7"/>
      <c r="M139" s="7"/>
      <c r="N139" s="7"/>
      <c r="O139" s="7"/>
      <c r="P139" s="20">
        <f t="shared" si="10"/>
        <v>34582.5</v>
      </c>
      <c r="Q139" s="20">
        <f t="shared" si="10"/>
        <v>42429.38</v>
      </c>
      <c r="R139" s="7">
        <f t="shared" si="4"/>
        <v>423508.76</v>
      </c>
      <c r="S139" s="16">
        <f t="shared" si="5"/>
        <v>346496.88</v>
      </c>
    </row>
    <row r="140" spans="1:19" ht="12.75">
      <c r="A140" s="6" t="s">
        <v>66</v>
      </c>
      <c r="E140" s="7"/>
      <c r="F140" s="7"/>
      <c r="G140" s="7"/>
      <c r="H140" s="7">
        <f t="shared" si="8"/>
        <v>347956.26</v>
      </c>
      <c r="I140" s="7"/>
      <c r="J140" s="7">
        <f t="shared" si="9"/>
        <v>0</v>
      </c>
      <c r="K140" s="7">
        <f t="shared" si="9"/>
        <v>0</v>
      </c>
      <c r="L140" s="7"/>
      <c r="M140" s="7"/>
      <c r="N140" s="7"/>
      <c r="O140" s="7"/>
      <c r="P140" s="20">
        <f t="shared" si="10"/>
        <v>34591.25</v>
      </c>
      <c r="Q140" s="20">
        <f t="shared" si="10"/>
        <v>42384.38</v>
      </c>
      <c r="R140" s="7">
        <f t="shared" si="4"/>
        <v>424931.89</v>
      </c>
      <c r="S140" s="16">
        <f t="shared" si="5"/>
        <v>347956.26</v>
      </c>
    </row>
    <row r="141" spans="1:19" ht="12.75">
      <c r="A141" s="6" t="s">
        <v>72</v>
      </c>
      <c r="E141" s="7"/>
      <c r="F141" s="7"/>
      <c r="G141" s="7"/>
      <c r="H141" s="7">
        <f t="shared" si="8"/>
        <v>345181.88</v>
      </c>
      <c r="I141" s="7"/>
      <c r="J141" s="7">
        <f t="shared" si="9"/>
        <v>0</v>
      </c>
      <c r="K141" s="7">
        <f t="shared" si="9"/>
        <v>0</v>
      </c>
      <c r="L141" s="7"/>
      <c r="M141" s="7"/>
      <c r="N141" s="7"/>
      <c r="O141" s="7"/>
      <c r="P141" s="20">
        <f t="shared" si="10"/>
        <v>34567.5</v>
      </c>
      <c r="Q141" s="20">
        <f t="shared" si="10"/>
        <v>42311.88</v>
      </c>
      <c r="R141" s="7">
        <f t="shared" si="4"/>
        <v>422061.26</v>
      </c>
      <c r="S141" s="16">
        <f>+F144+G144+H141+I141</f>
        <v>345181.88</v>
      </c>
    </row>
    <row r="142" spans="1:19" ht="12.75">
      <c r="A142" s="6" t="s">
        <v>83</v>
      </c>
      <c r="E142" s="7"/>
      <c r="F142" s="7"/>
      <c r="G142" s="7"/>
      <c r="H142" s="7">
        <f t="shared" si="8"/>
        <v>0</v>
      </c>
      <c r="I142" s="7"/>
      <c r="J142" s="7">
        <f>+J51+J96</f>
        <v>0</v>
      </c>
      <c r="K142" s="7">
        <f>+K51+K96</f>
        <v>0</v>
      </c>
      <c r="L142" s="7"/>
      <c r="M142" s="7"/>
      <c r="N142" s="7"/>
      <c r="O142" s="7"/>
      <c r="P142" s="20">
        <f t="shared" si="10"/>
        <v>34511.25</v>
      </c>
      <c r="Q142" s="20">
        <f t="shared" si="10"/>
        <v>42211.88</v>
      </c>
      <c r="R142" s="7">
        <f t="shared" si="4"/>
        <v>76723.13</v>
      </c>
      <c r="S142" s="16">
        <f>+F145+G145+H142+I142</f>
        <v>0</v>
      </c>
    </row>
    <row r="143" spans="1:19" ht="12.75">
      <c r="A143" s="6" t="s">
        <v>84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20">
        <f t="shared" si="10"/>
        <v>30487.5</v>
      </c>
      <c r="Q143" s="20">
        <f t="shared" si="10"/>
        <v>42577.5</v>
      </c>
      <c r="R143" s="7">
        <f t="shared" si="4"/>
        <v>73065</v>
      </c>
      <c r="S143" s="16">
        <f>+F146+G146+H143+I143</f>
        <v>0</v>
      </c>
    </row>
    <row r="144" spans="1:17" ht="12.75">
      <c r="A144" s="6"/>
      <c r="E144" s="7"/>
      <c r="F144" s="7"/>
      <c r="G144" s="7"/>
      <c r="P144" s="20"/>
      <c r="Q144" s="20"/>
    </row>
    <row r="145" spans="1:7" ht="12.75">
      <c r="A145" s="6"/>
      <c r="E145" s="7"/>
      <c r="F145" s="7"/>
      <c r="G145" s="7"/>
    </row>
    <row r="146" spans="1:19" ht="12.75">
      <c r="A146" s="6"/>
      <c r="E146" s="12"/>
      <c r="F146" s="7">
        <f>+F41+F87</f>
        <v>0</v>
      </c>
      <c r="G146" s="7">
        <f>+G41+G87</f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f>SUM(B146:G146)</f>
        <v>0</v>
      </c>
      <c r="S146" s="16">
        <f t="shared" si="5"/>
        <v>0</v>
      </c>
    </row>
    <row r="147" spans="2:19" ht="13.5" thickBot="1">
      <c r="B147" s="9">
        <f>SUM(B105:B113)</f>
        <v>1252462.5</v>
      </c>
      <c r="C147" s="9">
        <f>SUM(C105:C113)</f>
        <v>14062.97</v>
      </c>
      <c r="D147" s="9">
        <f>SUM(D105:D113)</f>
        <v>1572504</v>
      </c>
      <c r="E147" s="9">
        <f>SUM(E105:E146)</f>
        <v>3821500</v>
      </c>
      <c r="F147" s="9">
        <f>SUM(F105:F113)</f>
        <v>446000</v>
      </c>
      <c r="G147" s="9">
        <f>SUM(G105:G145)</f>
        <v>359958</v>
      </c>
      <c r="H147" s="9">
        <f>SUM(H105:H146)</f>
        <v>12201908.285000004</v>
      </c>
      <c r="I147" s="9">
        <f>SUM(I105:I113)</f>
        <v>916285</v>
      </c>
      <c r="J147" s="9">
        <f aca="true" t="shared" si="11" ref="J147:S147">SUM(J105:J146)</f>
        <v>352078.29600000003</v>
      </c>
      <c r="K147" s="9">
        <f t="shared" si="11"/>
        <v>392136.67</v>
      </c>
      <c r="L147" s="9">
        <f t="shared" si="11"/>
        <v>2957992.17</v>
      </c>
      <c r="M147" s="9">
        <f t="shared" si="11"/>
        <v>716086.2000000001</v>
      </c>
      <c r="N147" s="9"/>
      <c r="O147" s="9">
        <f t="shared" si="11"/>
        <v>338970.03</v>
      </c>
      <c r="P147" s="9">
        <f t="shared" si="11"/>
        <v>1319883.86</v>
      </c>
      <c r="Q147" s="9">
        <f t="shared" si="11"/>
        <v>1638497.6599999992</v>
      </c>
      <c r="R147" s="9">
        <f t="shared" si="11"/>
        <v>29230422.64100001</v>
      </c>
      <c r="S147" s="9">
        <f t="shared" si="11"/>
        <v>14854248.285000008</v>
      </c>
    </row>
    <row r="148" ht="13.5" thickTop="1"/>
  </sheetData>
  <sheetProtection/>
  <mergeCells count="3">
    <mergeCell ref="P10:Q10"/>
    <mergeCell ref="P56:Q56"/>
    <mergeCell ref="P103:Q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bfuller</dc:creator>
  <cp:keywords/>
  <dc:description/>
  <cp:lastModifiedBy>Amanda Lamb</cp:lastModifiedBy>
  <cp:lastPrinted>2021-09-15T11:30:20Z</cp:lastPrinted>
  <dcterms:created xsi:type="dcterms:W3CDTF">2009-07-24T19:09:41Z</dcterms:created>
  <dcterms:modified xsi:type="dcterms:W3CDTF">2022-12-01T20:27:39Z</dcterms:modified>
  <cp:category/>
  <cp:version/>
  <cp:contentType/>
  <cp:contentStatus/>
</cp:coreProperties>
</file>