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i\Google Drive\Sharpsburg\RFI #1 files\"/>
    </mc:Choice>
  </mc:AlternateContent>
  <xr:revisionPtr revIDLastSave="0" documentId="8_{C6DCBF49-FDDB-44B6-803A-4A38F72570E6}" xr6:coauthVersionLast="47" xr6:coauthVersionMax="47" xr10:uidLastSave="{00000000-0000-0000-0000-000000000000}"/>
  <bookViews>
    <workbookView xWindow="-96" yWindow="-96" windowWidth="23232" windowHeight="12552" xr2:uid="{93A1CD88-4D8B-4932-A4B4-DB706422AC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R32" i="1"/>
  <c r="T32" i="1" s="1"/>
  <c r="T31" i="1"/>
  <c r="T30" i="1"/>
  <c r="C30" i="1"/>
  <c r="T29" i="1"/>
  <c r="E29" i="1"/>
  <c r="F29" i="1" s="1"/>
  <c r="T28" i="1"/>
  <c r="E28" i="1"/>
  <c r="F28" i="1" s="1"/>
  <c r="T27" i="1"/>
  <c r="E27" i="1"/>
  <c r="F27" i="1" s="1"/>
  <c r="T26" i="1"/>
  <c r="E26" i="1"/>
  <c r="F26" i="1" s="1"/>
  <c r="T23" i="1"/>
  <c r="T20" i="1"/>
  <c r="O17" i="1"/>
  <c r="O23" i="1" s="1"/>
  <c r="C17" i="1"/>
  <c r="D16" i="1"/>
  <c r="E16" i="1" s="1"/>
  <c r="E18" i="1" s="1"/>
  <c r="M12" i="1"/>
  <c r="O12" i="1" s="1"/>
  <c r="J12" i="1"/>
  <c r="J11" i="1"/>
  <c r="M11" i="1" s="1"/>
  <c r="O11" i="1" s="1"/>
  <c r="D11" i="1"/>
  <c r="M10" i="1"/>
  <c r="O10" i="1" s="1"/>
  <c r="O9" i="1"/>
  <c r="M9" i="1"/>
  <c r="M8" i="1"/>
  <c r="O8" i="1" s="1"/>
  <c r="U7" i="1"/>
  <c r="N7" i="1"/>
  <c r="M7" i="1"/>
  <c r="O7" i="1" s="1"/>
  <c r="U6" i="1"/>
  <c r="U8" i="1" s="1"/>
  <c r="U10" i="1" s="1"/>
  <c r="T33" i="1" l="1"/>
  <c r="T21" i="1" s="1"/>
  <c r="T22" i="1" s="1"/>
  <c r="T24" i="1" s="1"/>
  <c r="U14" i="1"/>
  <c r="U13" i="1"/>
  <c r="O13" i="1"/>
  <c r="E30" i="1"/>
  <c r="F30" i="1" s="1"/>
  <c r="F31" i="1" s="1"/>
  <c r="F32" i="1" s="1"/>
  <c r="F34" i="1" s="1"/>
  <c r="O20" i="1" l="1"/>
  <c r="O22" i="1" s="1"/>
  <c r="O24" i="1" s="1"/>
  <c r="O16" i="1"/>
  <c r="O18" i="1" s="1"/>
  <c r="U15" i="1"/>
</calcChain>
</file>

<file path=xl/sharedStrings.xml><?xml version="1.0" encoding="utf-8"?>
<sst xmlns="http://schemas.openxmlformats.org/spreadsheetml/2006/main" count="86" uniqueCount="73">
  <si>
    <t>Sharpsburg Water District</t>
  </si>
  <si>
    <t>Water Loss Adjustment:</t>
  </si>
  <si>
    <t>Salaries &amp; Wages and Associated Adjustments</t>
  </si>
  <si>
    <t>Capitalized Expense Adjustments:</t>
  </si>
  <si>
    <t>Produced &amp; Purchased</t>
  </si>
  <si>
    <t>Total</t>
  </si>
  <si>
    <t>Sold</t>
  </si>
  <si>
    <t>Pro Forma</t>
  </si>
  <si>
    <t xml:space="preserve">Pro Forma </t>
  </si>
  <si>
    <t>Gas Allowance</t>
  </si>
  <si>
    <t>No.</t>
  </si>
  <si>
    <t>Tap Fee</t>
  </si>
  <si>
    <t>Uses:</t>
  </si>
  <si>
    <t>Employee</t>
  </si>
  <si>
    <t>Reg. Hrs</t>
  </si>
  <si>
    <t>O. T. Hours</t>
  </si>
  <si>
    <t>Wage Rate</t>
  </si>
  <si>
    <t>Reg. Wages</t>
  </si>
  <si>
    <t>or Bonus</t>
  </si>
  <si>
    <t>Wages</t>
  </si>
  <si>
    <t>3/4" meters installed</t>
  </si>
  <si>
    <t xml:space="preserve">  WTP</t>
  </si>
  <si>
    <t>James</t>
  </si>
  <si>
    <t>salary</t>
  </si>
  <si>
    <t>1" meters installed</t>
  </si>
  <si>
    <t xml:space="preserve">  Flushing</t>
  </si>
  <si>
    <t>Gayle</t>
  </si>
  <si>
    <t>Total Tap Fees Collected</t>
  </si>
  <si>
    <t xml:space="preserve">  Fire</t>
  </si>
  <si>
    <t>Shania</t>
  </si>
  <si>
    <t xml:space="preserve">  Other</t>
  </si>
  <si>
    <t>Ricky</t>
  </si>
  <si>
    <t>Total  tap fees</t>
  </si>
  <si>
    <t>Samuel</t>
  </si>
  <si>
    <t>Sierra</t>
  </si>
  <si>
    <t>Line Brks.</t>
  </si>
  <si>
    <t>labor</t>
  </si>
  <si>
    <t>Tank Overflow</t>
  </si>
  <si>
    <t>materials</t>
  </si>
  <si>
    <t>Other</t>
  </si>
  <si>
    <t>Adjustments</t>
  </si>
  <si>
    <t xml:space="preserve">  water loss percentage</t>
  </si>
  <si>
    <t>Pro Forma Salaries &amp; Wages Expense</t>
  </si>
  <si>
    <t>check</t>
  </si>
  <si>
    <t xml:space="preserve">  allowable in rates</t>
  </si>
  <si>
    <t>Less: Test Year Salaries &amp; Wages Exp</t>
  </si>
  <si>
    <t xml:space="preserve">  adjustment percentage</t>
  </si>
  <si>
    <t>Pro Forma Salaries &amp; Wages Adj'mt</t>
  </si>
  <si>
    <t>PWA Adjustment</t>
  </si>
  <si>
    <t xml:space="preserve"> </t>
  </si>
  <si>
    <t>Gals Purch</t>
  </si>
  <si>
    <t>Rate</t>
  </si>
  <si>
    <t>Pro Forma Salaries and Wages Expense</t>
  </si>
  <si>
    <t>Bath Co.</t>
  </si>
  <si>
    <t>Times: 7.65 Percent FICA Rate</t>
  </si>
  <si>
    <t>Carlisle</t>
  </si>
  <si>
    <t>Health Insurance Adjustment</t>
  </si>
  <si>
    <t>Pro Forma Payroll Taxes</t>
  </si>
  <si>
    <t>Less: Test Year Payroll Taxes</t>
  </si>
  <si>
    <t>Less: Test Year Purch Water Exp</t>
  </si>
  <si>
    <t>Dist. Contrib</t>
  </si>
  <si>
    <t>BLS avg.</t>
  </si>
  <si>
    <t>Premium</t>
  </si>
  <si>
    <t>Payroll Tax Adjustment</t>
  </si>
  <si>
    <t>Adjustment for Purch Water Exp</t>
  </si>
  <si>
    <t>at 100% *</t>
  </si>
  <si>
    <t>Empl. rate</t>
  </si>
  <si>
    <t>Adj'mt.</t>
  </si>
  <si>
    <t>Life</t>
  </si>
  <si>
    <t>Allowable monthly prem.</t>
  </si>
  <si>
    <t>Allowable annual prem.</t>
  </si>
  <si>
    <t>Less prem. pd. in test yr.</t>
  </si>
  <si>
    <t>Health Ins.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</si>
</sst>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  <numFmt numFmtId="167" formatCode="_([$$-409]* #,##0_);_([$$-409]* \(#,##0\);_([$$-409]* &quot;-&quot;??_);_(@_)"/>
    <numFmt numFmtId="168" formatCode="_(&quot;$&quot;* #,##0_);_(&quot;$&quot;* \(#,##0\);_(&quot;$&quot;* &quot;-&quot;??_);_(@_)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"/>
      <family val="2"/>
    </font>
    <font>
      <b/>
      <i/>
      <u/>
      <sz val="11"/>
      <name val="Calibri"/>
      <family val="2"/>
      <scheme val="minor"/>
    </font>
    <font>
      <b/>
      <i/>
      <u/>
      <sz val="11"/>
      <color rgb="FF59B589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64" fontId="2" fillId="0" borderId="0" xfId="1" applyNumberFormat="1" applyFont="1"/>
    <xf numFmtId="3" fontId="7" fillId="0" borderId="0" xfId="0" applyNumberFormat="1" applyFont="1"/>
    <xf numFmtId="3" fontId="2" fillId="0" borderId="0" xfId="0" applyNumberFormat="1" applyFont="1"/>
    <xf numFmtId="3" fontId="8" fillId="0" borderId="0" xfId="0" applyNumberFormat="1" applyFont="1"/>
    <xf numFmtId="44" fontId="2" fillId="0" borderId="0" xfId="2" applyFont="1"/>
    <xf numFmtId="0" fontId="2" fillId="0" borderId="0" xfId="0" applyFont="1" applyAlignment="1">
      <alignment horizontal="center"/>
    </xf>
    <xf numFmtId="0" fontId="5" fillId="0" borderId="0" xfId="0" applyFont="1"/>
    <xf numFmtId="43" fontId="9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3" applyNumberFormat="1" applyFont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43" fontId="2" fillId="0" borderId="0" xfId="1" applyFont="1" applyAlignment="1">
      <alignment horizontal="center"/>
    </xf>
    <xf numFmtId="164" fontId="9" fillId="0" borderId="0" xfId="3" applyNumberFormat="1" applyFont="1"/>
    <xf numFmtId="165" fontId="2" fillId="0" borderId="0" xfId="1" applyNumberFormat="1" applyFont="1"/>
    <xf numFmtId="43" fontId="2" fillId="0" borderId="0" xfId="3" applyFont="1"/>
    <xf numFmtId="43" fontId="2" fillId="0" borderId="0" xfId="1" applyFont="1"/>
    <xf numFmtId="3" fontId="2" fillId="0" borderId="1" xfId="0" applyNumberFormat="1" applyFont="1" applyBorder="1"/>
    <xf numFmtId="43" fontId="4" fillId="0" borderId="0" xfId="3" applyFont="1"/>
    <xf numFmtId="164" fontId="4" fillId="0" borderId="0" xfId="1" applyNumberFormat="1" applyFont="1"/>
    <xf numFmtId="164" fontId="9" fillId="0" borderId="0" xfId="1" applyNumberFormat="1" applyFont="1"/>
    <xf numFmtId="0" fontId="5" fillId="0" borderId="0" xfId="0" applyFont="1" applyAlignment="1">
      <alignment horizontal="center"/>
    </xf>
    <xf numFmtId="164" fontId="10" fillId="0" borderId="0" xfId="1" applyNumberFormat="1" applyFont="1"/>
    <xf numFmtId="0" fontId="4" fillId="0" borderId="0" xfId="0" applyFont="1"/>
    <xf numFmtId="164" fontId="4" fillId="0" borderId="0" xfId="0" applyNumberFormat="1" applyFont="1"/>
    <xf numFmtId="166" fontId="2" fillId="0" borderId="0" xfId="4" applyNumberFormat="1" applyFont="1"/>
    <xf numFmtId="167" fontId="2" fillId="0" borderId="0" xfId="0" applyNumberFormat="1" applyFont="1"/>
    <xf numFmtId="3" fontId="2" fillId="0" borderId="0" xfId="0" applyNumberFormat="1" applyFont="1" applyAlignment="1">
      <alignment horizontal="right"/>
    </xf>
    <xf numFmtId="166" fontId="11" fillId="0" borderId="0" xfId="4" applyNumberFormat="1" applyFont="1"/>
    <xf numFmtId="0" fontId="12" fillId="0" borderId="0" xfId="0" applyFont="1"/>
    <xf numFmtId="164" fontId="2" fillId="0" borderId="0" xfId="3" applyNumberFormat="1" applyFont="1" applyAlignment="1">
      <alignment vertical="center"/>
    </xf>
    <xf numFmtId="166" fontId="4" fillId="0" borderId="0" xfId="4" applyNumberFormat="1" applyFont="1"/>
    <xf numFmtId="3" fontId="4" fillId="0" borderId="0" xfId="0" applyNumberFormat="1" applyFont="1"/>
    <xf numFmtId="168" fontId="4" fillId="0" borderId="0" xfId="2" applyNumberFormat="1" applyFont="1" applyBorder="1"/>
    <xf numFmtId="0" fontId="11" fillId="0" borderId="0" xfId="0" applyFont="1" applyAlignment="1">
      <alignment horizontal="center"/>
    </xf>
    <xf numFmtId="168" fontId="2" fillId="0" borderId="0" xfId="2" applyNumberFormat="1" applyFont="1"/>
    <xf numFmtId="10" fontId="2" fillId="0" borderId="1" xfId="0" applyNumberFormat="1" applyFont="1" applyBorder="1"/>
    <xf numFmtId="164" fontId="2" fillId="0" borderId="0" xfId="0" applyNumberFormat="1" applyFont="1"/>
    <xf numFmtId="168" fontId="9" fillId="0" borderId="0" xfId="2" applyNumberFormat="1" applyFont="1" applyBorder="1"/>
    <xf numFmtId="164" fontId="11" fillId="0" borderId="0" xfId="1" applyNumberFormat="1" applyFont="1"/>
    <xf numFmtId="0" fontId="4" fillId="0" borderId="0" xfId="0" applyFont="1" applyAlignment="1">
      <alignment horizontal="right"/>
    </xf>
    <xf numFmtId="9" fontId="2" fillId="0" borderId="0" xfId="4" applyFont="1"/>
    <xf numFmtId="43" fontId="9" fillId="0" borderId="0" xfId="1" applyFont="1"/>
    <xf numFmtId="43" fontId="2" fillId="0" borderId="0" xfId="1" applyFont="1" applyAlignment="1">
      <alignment horizontal="right"/>
    </xf>
    <xf numFmtId="44" fontId="2" fillId="0" borderId="0" xfId="0" applyNumberFormat="1" applyFont="1"/>
    <xf numFmtId="43" fontId="4" fillId="0" borderId="0" xfId="1" applyFont="1"/>
    <xf numFmtId="43" fontId="4" fillId="0" borderId="0" xfId="1" applyFont="1" applyAlignment="1">
      <alignment horizontal="right"/>
    </xf>
    <xf numFmtId="0" fontId="9" fillId="0" borderId="0" xfId="0" applyFont="1" applyAlignment="1">
      <alignment horizontal="center"/>
    </xf>
    <xf numFmtId="43" fontId="2" fillId="0" borderId="0" xfId="0" applyNumberFormat="1" applyFont="1"/>
    <xf numFmtId="43" fontId="9" fillId="0" borderId="0" xfId="0" applyNumberFormat="1" applyFont="1"/>
  </cellXfs>
  <cellStyles count="5">
    <cellStyle name="Comma" xfId="1" builtinId="3"/>
    <cellStyle name="Comma 2" xfId="3" xr:uid="{73386260-F64E-45F8-9B1D-F61B5EE2A9B9}"/>
    <cellStyle name="Currency 2" xfId="2" xr:uid="{6EE4F9D4-5D95-45D5-B530-FA6D578D69B4}"/>
    <cellStyle name="Normal" xfId="0" builtinId="0"/>
    <cellStyle name="Percent 2" xfId="4" xr:uid="{60530C44-A260-41FF-9432-463ED8A57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ili\Google%20Drive\Sharpsburg\Shaprsburg%20WD%202022.xlsx" TargetMode="External"/><Relationship Id="rId1" Type="http://schemas.openxmlformats.org/officeDocument/2006/relationships/externalLinkPath" Target="/Users/avili/Google%20Drive/Sharpsburg/Shaprsburg%20W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"/>
      <sheetName val="Adj"/>
      <sheetName val="DeprAdj"/>
      <sheetName val="DSch"/>
      <sheetName val="Rates"/>
      <sheetName val="Bills"/>
      <sheetName val="ExBA"/>
      <sheetName val="PropBA"/>
      <sheetName val="Notice"/>
    </sheetNames>
    <sheetDataSet>
      <sheetData sheetId="0">
        <row r="22">
          <cell r="F22">
            <v>-33950.949999999997</v>
          </cell>
        </row>
        <row r="24">
          <cell r="E24">
            <v>23432</v>
          </cell>
        </row>
        <row r="25">
          <cell r="E25">
            <v>372328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C773-A306-4E58-92DB-17048EAEB7AC}">
  <dimension ref="A1:AB55"/>
  <sheetViews>
    <sheetView tabSelected="1" workbookViewId="0"/>
  </sheetViews>
  <sheetFormatPr defaultRowHeight="14.4" x14ac:dyDescent="0.55000000000000004"/>
  <cols>
    <col min="1" max="1" width="3.62890625" customWidth="1"/>
    <col min="6" max="6" width="11.5234375" customWidth="1"/>
    <col min="15" max="15" width="11.7890625" customWidth="1"/>
    <col min="20" max="20" width="12.15625" customWidth="1"/>
  </cols>
  <sheetData>
    <row r="1" spans="1:28" ht="18.3" x14ac:dyDescent="0.55000000000000004">
      <c r="A1" s="1"/>
      <c r="B1" s="2" t="s">
        <v>0</v>
      </c>
      <c r="C1" s="1"/>
      <c r="D1" s="1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55000000000000004">
      <c r="A2" s="1"/>
      <c r="B2" s="1"/>
      <c r="C2" s="1"/>
      <c r="D2" s="4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55000000000000004">
      <c r="A3" s="5"/>
      <c r="B3" s="6" t="s">
        <v>1</v>
      </c>
      <c r="C3" s="7"/>
      <c r="D3" s="7"/>
      <c r="E3" s="7"/>
      <c r="F3" s="7"/>
      <c r="G3" s="1"/>
      <c r="H3" s="1"/>
      <c r="I3" s="8" t="s">
        <v>2</v>
      </c>
      <c r="J3" s="1"/>
      <c r="K3" s="1"/>
      <c r="L3" s="1"/>
      <c r="M3" s="1"/>
      <c r="N3" s="1"/>
      <c r="O3" s="1"/>
      <c r="P3" s="1"/>
      <c r="Q3" s="8" t="s">
        <v>3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55000000000000004">
      <c r="A4" s="5"/>
      <c r="B4" s="7" t="s">
        <v>4</v>
      </c>
      <c r="C4" s="7"/>
      <c r="D4" s="7">
        <v>110655</v>
      </c>
      <c r="E4" s="7"/>
      <c r="F4" s="9"/>
      <c r="G4" s="1"/>
      <c r="H4" s="1"/>
      <c r="I4" s="1"/>
      <c r="J4" s="1"/>
      <c r="K4" s="1"/>
      <c r="L4" s="1"/>
      <c r="M4" s="1"/>
      <c r="N4" s="1"/>
      <c r="O4" s="10" t="s">
        <v>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6.2" x14ac:dyDescent="0.85">
      <c r="A5" s="5"/>
      <c r="B5" s="7" t="s">
        <v>6</v>
      </c>
      <c r="C5" s="7"/>
      <c r="D5" s="7">
        <v>83330</v>
      </c>
      <c r="E5" s="7"/>
      <c r="F5" s="7"/>
      <c r="G5" s="1"/>
      <c r="H5" s="1"/>
      <c r="I5" s="1"/>
      <c r="J5" s="10" t="s">
        <v>7</v>
      </c>
      <c r="K5" s="10" t="s">
        <v>7</v>
      </c>
      <c r="L5" s="10" t="s">
        <v>8</v>
      </c>
      <c r="M5" s="10" t="s">
        <v>7</v>
      </c>
      <c r="N5" s="10" t="s">
        <v>9</v>
      </c>
      <c r="O5" s="10" t="s">
        <v>7</v>
      </c>
      <c r="P5" s="1"/>
      <c r="Q5" s="11"/>
      <c r="R5" s="1"/>
      <c r="S5" s="12" t="s">
        <v>10</v>
      </c>
      <c r="T5" s="12" t="s">
        <v>11</v>
      </c>
      <c r="U5" s="12" t="s">
        <v>5</v>
      </c>
      <c r="V5" s="1"/>
      <c r="W5" s="1"/>
      <c r="X5" s="1"/>
      <c r="Y5" s="1"/>
      <c r="Z5" s="1"/>
      <c r="AA5" s="1"/>
      <c r="AB5" s="1"/>
    </row>
    <row r="6" spans="1:28" x14ac:dyDescent="0.55000000000000004">
      <c r="A6" s="5"/>
      <c r="B6" s="7" t="s">
        <v>12</v>
      </c>
      <c r="C6" s="7"/>
      <c r="D6" s="7"/>
      <c r="E6" s="7"/>
      <c r="F6" s="7"/>
      <c r="G6" s="1"/>
      <c r="H6" s="1"/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3" t="s">
        <v>19</v>
      </c>
      <c r="P6" s="1"/>
      <c r="Q6" s="1" t="s">
        <v>20</v>
      </c>
      <c r="R6" s="1"/>
      <c r="S6" s="14">
        <v>26</v>
      </c>
      <c r="T6" s="14">
        <v>1050</v>
      </c>
      <c r="U6" s="14">
        <f>S6*T6</f>
        <v>27300</v>
      </c>
      <c r="V6" s="1"/>
      <c r="W6" s="1"/>
      <c r="X6" s="1"/>
      <c r="Y6" s="1"/>
      <c r="Z6" s="1"/>
      <c r="AA6" s="1"/>
      <c r="AB6" s="1"/>
    </row>
    <row r="7" spans="1:28" ht="16.2" x14ac:dyDescent="0.85">
      <c r="A7" s="5"/>
      <c r="B7" s="1" t="s">
        <v>21</v>
      </c>
      <c r="C7" s="1">
        <v>0</v>
      </c>
      <c r="D7" s="7"/>
      <c r="E7" s="7"/>
      <c r="F7" s="7"/>
      <c r="G7" s="1"/>
      <c r="H7" s="15"/>
      <c r="I7" s="5" t="s">
        <v>22</v>
      </c>
      <c r="J7" s="16">
        <v>2080</v>
      </c>
      <c r="K7" s="17">
        <v>0</v>
      </c>
      <c r="L7" s="18" t="s">
        <v>23</v>
      </c>
      <c r="M7" s="5">
        <f>1613.21*26</f>
        <v>41943.46</v>
      </c>
      <c r="N7" s="5">
        <f>(365*20)+2288.66</f>
        <v>9588.66</v>
      </c>
      <c r="O7" s="5">
        <f>M7+N7</f>
        <v>51532.119999999995</v>
      </c>
      <c r="P7" s="1"/>
      <c r="Q7" s="1" t="s">
        <v>24</v>
      </c>
      <c r="R7" s="1"/>
      <c r="S7" s="14">
        <v>0</v>
      </c>
      <c r="T7" s="14"/>
      <c r="U7" s="19">
        <f>S7*T7</f>
        <v>0</v>
      </c>
      <c r="V7" s="1"/>
      <c r="W7" s="1"/>
      <c r="X7" s="1"/>
      <c r="Y7" s="1"/>
      <c r="Z7" s="1"/>
      <c r="AA7" s="1"/>
      <c r="AB7" s="1"/>
    </row>
    <row r="8" spans="1:28" x14ac:dyDescent="0.55000000000000004">
      <c r="A8" s="5"/>
      <c r="B8" s="7" t="s">
        <v>25</v>
      </c>
      <c r="C8" s="7">
        <v>1300</v>
      </c>
      <c r="D8" s="7"/>
      <c r="E8" s="7"/>
      <c r="F8" s="7"/>
      <c r="G8" s="1"/>
      <c r="H8" s="1"/>
      <c r="I8" s="5" t="s">
        <v>26</v>
      </c>
      <c r="J8" s="16">
        <v>2080</v>
      </c>
      <c r="K8" s="20"/>
      <c r="L8" s="18" t="s">
        <v>23</v>
      </c>
      <c r="M8" s="5">
        <f>(2120*26)+(2099.61*12)</f>
        <v>80315.320000000007</v>
      </c>
      <c r="N8" s="5"/>
      <c r="O8" s="5">
        <f>M8</f>
        <v>80315.320000000007</v>
      </c>
      <c r="P8" s="1"/>
      <c r="Q8" s="1" t="s">
        <v>27</v>
      </c>
      <c r="R8" s="21"/>
      <c r="S8" s="14"/>
      <c r="T8" s="14"/>
      <c r="U8" s="14">
        <f>U6+U7</f>
        <v>27300</v>
      </c>
      <c r="V8" s="1"/>
      <c r="W8" s="1"/>
      <c r="X8" s="1"/>
      <c r="Y8" s="1"/>
      <c r="Z8" s="1"/>
      <c r="AA8" s="1"/>
      <c r="AB8" s="1"/>
    </row>
    <row r="9" spans="1:28" x14ac:dyDescent="0.55000000000000004">
      <c r="A9" s="5"/>
      <c r="B9" s="7" t="s">
        <v>28</v>
      </c>
      <c r="C9" s="7">
        <v>31</v>
      </c>
      <c r="D9" s="7"/>
      <c r="E9" s="7"/>
      <c r="F9" s="7"/>
      <c r="G9" s="1"/>
      <c r="H9" s="15"/>
      <c r="I9" s="5" t="s">
        <v>29</v>
      </c>
      <c r="J9" s="16">
        <v>2080</v>
      </c>
      <c r="K9" s="20"/>
      <c r="L9" s="22">
        <v>14</v>
      </c>
      <c r="M9" s="5">
        <f>L9*J9</f>
        <v>29120</v>
      </c>
      <c r="N9" s="5"/>
      <c r="O9" s="5">
        <f t="shared" ref="O9:O11" si="0">M9+N9</f>
        <v>29120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55000000000000004">
      <c r="A10" s="5"/>
      <c r="B10" s="7" t="s">
        <v>30</v>
      </c>
      <c r="C10" s="23">
        <v>477</v>
      </c>
      <c r="D10" s="7"/>
      <c r="E10" s="7"/>
      <c r="F10" s="7"/>
      <c r="G10" s="1"/>
      <c r="H10" s="15"/>
      <c r="I10" s="5" t="s">
        <v>31</v>
      </c>
      <c r="J10" s="16">
        <v>2080</v>
      </c>
      <c r="K10" s="20"/>
      <c r="L10" s="18" t="s">
        <v>23</v>
      </c>
      <c r="M10" s="5">
        <f>1250*26</f>
        <v>32500</v>
      </c>
      <c r="N10" s="5"/>
      <c r="O10" s="5">
        <f t="shared" si="0"/>
        <v>32500</v>
      </c>
      <c r="P10" s="1"/>
      <c r="Q10" s="1"/>
      <c r="R10" s="1"/>
      <c r="S10" s="24" t="s">
        <v>32</v>
      </c>
      <c r="T10" s="25"/>
      <c r="U10" s="25">
        <f>U8</f>
        <v>27300</v>
      </c>
      <c r="V10" s="1"/>
      <c r="W10" s="1"/>
      <c r="X10" s="1"/>
      <c r="Y10" s="1"/>
      <c r="Z10" s="1"/>
      <c r="AA10" s="1"/>
      <c r="AB10" s="1"/>
    </row>
    <row r="11" spans="1:28" x14ac:dyDescent="0.55000000000000004">
      <c r="A11" s="5"/>
      <c r="B11" s="7"/>
      <c r="C11" s="7"/>
      <c r="D11" s="7">
        <f>SUM(C7:C10)</f>
        <v>1808</v>
      </c>
      <c r="E11" s="7"/>
      <c r="F11" s="7"/>
      <c r="G11" s="1"/>
      <c r="H11" s="15"/>
      <c r="I11" s="5" t="s">
        <v>33</v>
      </c>
      <c r="J11" s="16">
        <f>2586/9.5</f>
        <v>272.21052631578948</v>
      </c>
      <c r="K11" s="20"/>
      <c r="L11" s="22">
        <v>12</v>
      </c>
      <c r="M11" s="5">
        <f t="shared" ref="M11" si="1">J11*L11</f>
        <v>3266.5263157894738</v>
      </c>
      <c r="N11" s="5">
        <v>500</v>
      </c>
      <c r="O11" s="5">
        <f t="shared" si="0"/>
        <v>3766.5263157894738</v>
      </c>
      <c r="P11" s="1"/>
      <c r="Q11" s="1"/>
      <c r="R11" s="21"/>
      <c r="S11" s="5"/>
      <c r="T11" s="5"/>
      <c r="U11" s="5"/>
      <c r="V11" s="1"/>
      <c r="W11" s="1"/>
      <c r="X11" s="1"/>
      <c r="Y11" s="1"/>
      <c r="Z11" s="1"/>
      <c r="AA11" s="1"/>
      <c r="AB11" s="1"/>
    </row>
    <row r="12" spans="1:28" ht="16.2" x14ac:dyDescent="0.85">
      <c r="A12" s="5"/>
      <c r="B12" s="7"/>
      <c r="C12" s="7"/>
      <c r="D12" s="7"/>
      <c r="E12" s="7"/>
      <c r="F12" s="7"/>
      <c r="G12" s="1"/>
      <c r="H12" s="15"/>
      <c r="I12" s="5" t="s">
        <v>34</v>
      </c>
      <c r="J12" s="16">
        <f>1160/9.5</f>
        <v>122.10526315789474</v>
      </c>
      <c r="K12" s="20"/>
      <c r="L12" s="22">
        <v>12</v>
      </c>
      <c r="M12" s="5">
        <f>J12*L12</f>
        <v>1465.2631578947369</v>
      </c>
      <c r="N12" s="5">
        <v>500</v>
      </c>
      <c r="O12" s="26">
        <f>M12+N12</f>
        <v>1965.2631578947369</v>
      </c>
      <c r="P12" s="1"/>
      <c r="Q12" s="1"/>
      <c r="R12" s="21"/>
      <c r="S12" s="5"/>
      <c r="T12" s="5"/>
      <c r="U12" s="5"/>
      <c r="V12" s="1"/>
      <c r="W12" s="1"/>
      <c r="X12" s="1"/>
      <c r="Y12" s="1"/>
      <c r="Z12" s="1"/>
      <c r="AA12" s="1"/>
      <c r="AB12" s="1"/>
    </row>
    <row r="13" spans="1:28" x14ac:dyDescent="0.55000000000000004">
      <c r="A13" s="5"/>
      <c r="B13" s="7" t="s">
        <v>35</v>
      </c>
      <c r="C13" s="7">
        <v>50</v>
      </c>
      <c r="D13" s="7"/>
      <c r="E13" s="7"/>
      <c r="F13" s="7"/>
      <c r="G13" s="1"/>
      <c r="H13" s="15"/>
      <c r="I13" s="5"/>
      <c r="J13" s="5"/>
      <c r="K13" s="5"/>
      <c r="L13" s="22"/>
      <c r="M13" s="5"/>
      <c r="N13" s="5"/>
      <c r="O13" s="5">
        <f>SUM(O7:O12)</f>
        <v>199199.22947368422</v>
      </c>
      <c r="P13" s="1"/>
      <c r="Q13" s="1"/>
      <c r="R13" s="1"/>
      <c r="S13" s="25" t="s">
        <v>36</v>
      </c>
      <c r="T13" s="25"/>
      <c r="U13" s="25">
        <f>0.3*U10</f>
        <v>8190</v>
      </c>
      <c r="V13" s="1"/>
      <c r="W13" s="1"/>
      <c r="X13" s="1"/>
      <c r="Y13" s="1"/>
      <c r="Z13" s="1"/>
      <c r="AA13" s="1"/>
      <c r="AB13" s="1"/>
    </row>
    <row r="14" spans="1:28" ht="16.2" x14ac:dyDescent="0.85">
      <c r="A14" s="5"/>
      <c r="B14" s="7" t="s">
        <v>37</v>
      </c>
      <c r="C14" s="7">
        <v>90</v>
      </c>
      <c r="D14" s="7"/>
      <c r="E14" s="7"/>
      <c r="F14" s="7"/>
      <c r="G14" s="1"/>
      <c r="H14" s="15"/>
      <c r="I14" s="5"/>
      <c r="J14" s="5"/>
      <c r="K14" s="5"/>
      <c r="L14" s="1"/>
      <c r="M14" s="1"/>
      <c r="N14" s="1"/>
      <c r="O14" s="27"/>
      <c r="P14" s="1"/>
      <c r="Q14" s="1"/>
      <c r="R14" s="1"/>
      <c r="S14" s="25" t="s">
        <v>38</v>
      </c>
      <c r="T14" s="25"/>
      <c r="U14" s="28">
        <f>0.7*U10</f>
        <v>19110</v>
      </c>
      <c r="V14" s="1"/>
      <c r="W14" s="1"/>
      <c r="X14" s="1"/>
      <c r="Y14" s="1"/>
      <c r="Z14" s="1"/>
      <c r="AA14" s="1"/>
      <c r="AB14" s="1"/>
    </row>
    <row r="15" spans="1:28" x14ac:dyDescent="0.55000000000000004">
      <c r="A15" s="5"/>
      <c r="B15" s="7" t="s">
        <v>39</v>
      </c>
      <c r="C15" s="23">
        <v>25377</v>
      </c>
      <c r="D15" s="7"/>
      <c r="E15" s="7"/>
      <c r="F15" s="7"/>
      <c r="G15" s="1"/>
      <c r="H15" s="1"/>
      <c r="I15" s="5"/>
      <c r="J15" s="5"/>
      <c r="K15" s="5"/>
      <c r="L15" s="1"/>
      <c r="M15" s="1"/>
      <c r="N15" s="1"/>
      <c r="O15" s="27" t="s">
        <v>40</v>
      </c>
      <c r="P15" s="1"/>
      <c r="Q15" s="21"/>
      <c r="R15" s="1"/>
      <c r="S15" s="24"/>
      <c r="T15" s="29"/>
      <c r="U15" s="30">
        <f>U13+U14</f>
        <v>27300</v>
      </c>
      <c r="V15" s="1"/>
      <c r="W15" s="1"/>
      <c r="X15" s="1"/>
      <c r="Y15" s="1"/>
      <c r="Z15" s="1"/>
      <c r="AA15" s="1"/>
      <c r="AB15" s="1"/>
    </row>
    <row r="16" spans="1:28" x14ac:dyDescent="0.55000000000000004">
      <c r="A16" s="5"/>
      <c r="B16" s="7"/>
      <c r="C16" s="7"/>
      <c r="D16" s="7">
        <f>C13+C14+C15</f>
        <v>25517</v>
      </c>
      <c r="E16" s="31">
        <f>D16/D4</f>
        <v>0.23059961140481677</v>
      </c>
      <c r="F16" s="7" t="s">
        <v>41</v>
      </c>
      <c r="G16" s="1"/>
      <c r="H16" s="1"/>
      <c r="I16" s="5"/>
      <c r="J16" s="5"/>
      <c r="K16" s="5"/>
      <c r="L16" s="1" t="s">
        <v>42</v>
      </c>
      <c r="M16" s="1"/>
      <c r="N16" s="1"/>
      <c r="O16" s="32">
        <f>O13</f>
        <v>199199.22947368422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2" x14ac:dyDescent="0.85">
      <c r="A17" s="5"/>
      <c r="B17" s="33" t="s">
        <v>43</v>
      </c>
      <c r="C17" s="7">
        <f>SUM(D5:D16)</f>
        <v>110655</v>
      </c>
      <c r="D17" s="1"/>
      <c r="E17" s="34">
        <v>0.15</v>
      </c>
      <c r="F17" s="7" t="s">
        <v>44</v>
      </c>
      <c r="G17" s="1"/>
      <c r="H17" s="15"/>
      <c r="I17" s="5"/>
      <c r="J17" s="5"/>
      <c r="K17" s="5"/>
      <c r="L17" s="1" t="s">
        <v>45</v>
      </c>
      <c r="M17" s="35"/>
      <c r="N17" s="35"/>
      <c r="O17" s="26">
        <f>-169324+[1]SAO!F22</f>
        <v>-203274.95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55000000000000004">
      <c r="A18" s="5"/>
      <c r="B18" s="36"/>
      <c r="C18" s="7"/>
      <c r="D18" s="7"/>
      <c r="E18" s="37">
        <f>E16-E17</f>
        <v>8.0599611404816779E-2</v>
      </c>
      <c r="F18" s="38" t="s">
        <v>46</v>
      </c>
      <c r="G18" s="1"/>
      <c r="H18" s="15"/>
      <c r="I18" s="5"/>
      <c r="J18" s="5"/>
      <c r="K18" s="5"/>
      <c r="L18" s="29" t="s">
        <v>47</v>
      </c>
      <c r="M18" s="29"/>
      <c r="N18" s="29"/>
      <c r="O18" s="39">
        <f>O16+O17</f>
        <v>-4075.7205263157957</v>
      </c>
      <c r="P18" s="1"/>
      <c r="Q18" s="8" t="s">
        <v>48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55000000000000004">
      <c r="A19" s="5"/>
      <c r="B19" s="1"/>
      <c r="C19" s="1"/>
      <c r="D19" s="1"/>
      <c r="E19" s="1"/>
      <c r="F19" s="1"/>
      <c r="G19" s="1"/>
      <c r="H19" s="15"/>
      <c r="I19" s="5"/>
      <c r="J19" s="5"/>
      <c r="K19" s="5"/>
      <c r="L19" s="1"/>
      <c r="M19" s="1"/>
      <c r="N19" s="1"/>
      <c r="O19" s="1" t="s">
        <v>49</v>
      </c>
      <c r="P19" s="1"/>
      <c r="Q19" s="1"/>
      <c r="R19" s="40" t="s">
        <v>50</v>
      </c>
      <c r="S19" s="40" t="s">
        <v>51</v>
      </c>
      <c r="T19" s="40" t="s">
        <v>5</v>
      </c>
      <c r="U19" s="1"/>
      <c r="V19" s="1"/>
      <c r="W19" s="1"/>
      <c r="X19" s="1"/>
      <c r="Y19" s="1"/>
      <c r="Z19" s="1"/>
      <c r="AA19" s="1"/>
      <c r="AB19" s="1"/>
    </row>
    <row r="20" spans="1:28" x14ac:dyDescent="0.55000000000000004">
      <c r="A20" s="5"/>
      <c r="B20" s="1"/>
      <c r="C20" s="1"/>
      <c r="D20" s="1"/>
      <c r="E20" s="1"/>
      <c r="F20" s="1"/>
      <c r="G20" s="1"/>
      <c r="H20" s="15"/>
      <c r="I20" s="5"/>
      <c r="J20" s="5"/>
      <c r="K20" s="5"/>
      <c r="L20" s="1" t="s">
        <v>52</v>
      </c>
      <c r="M20" s="1"/>
      <c r="N20" s="1"/>
      <c r="O20" s="41">
        <f>O13</f>
        <v>199199.22947368422</v>
      </c>
      <c r="P20" s="1"/>
      <c r="Q20" s="1" t="s">
        <v>53</v>
      </c>
      <c r="R20" s="14">
        <v>88636</v>
      </c>
      <c r="S20" s="1">
        <v>3.89</v>
      </c>
      <c r="T20" s="14">
        <f>S20*R20</f>
        <v>344794.04000000004</v>
      </c>
      <c r="U20" s="1"/>
      <c r="V20" s="1"/>
      <c r="W20" s="1"/>
      <c r="X20" s="1"/>
      <c r="Y20" s="1"/>
      <c r="Z20" s="1"/>
      <c r="AA20" s="1"/>
      <c r="AB20" s="1"/>
    </row>
    <row r="21" spans="1:28" ht="16.2" x14ac:dyDescent="0.85">
      <c r="A21" s="5"/>
      <c r="B21" s="1"/>
      <c r="C21" s="1"/>
      <c r="D21" s="1"/>
      <c r="E21" s="1"/>
      <c r="F21" s="1"/>
      <c r="G21" s="1"/>
      <c r="H21" s="1"/>
      <c r="I21" s="5"/>
      <c r="J21" s="5"/>
      <c r="K21" s="5"/>
      <c r="L21" s="1" t="s">
        <v>54</v>
      </c>
      <c r="M21" s="1"/>
      <c r="N21" s="1"/>
      <c r="O21" s="42">
        <v>7.6499999999999999E-2</v>
      </c>
      <c r="P21" s="1"/>
      <c r="Q21" s="1" t="s">
        <v>55</v>
      </c>
      <c r="R21" s="14">
        <v>22683.4</v>
      </c>
      <c r="S21" s="1"/>
      <c r="T21" s="19">
        <f>T33</f>
        <v>46363.828000000001</v>
      </c>
      <c r="U21" s="1"/>
      <c r="V21" s="1"/>
      <c r="W21" s="1"/>
      <c r="X21" s="1"/>
      <c r="Y21" s="1"/>
      <c r="Z21" s="1"/>
      <c r="AA21" s="1"/>
      <c r="AB21" s="1"/>
    </row>
    <row r="22" spans="1:28" x14ac:dyDescent="0.55000000000000004">
      <c r="A22" s="5"/>
      <c r="B22" s="8" t="s">
        <v>56</v>
      </c>
      <c r="C22" s="21"/>
      <c r="D22" s="21"/>
      <c r="E22" s="14"/>
      <c r="F22" s="1"/>
      <c r="G22" s="1"/>
      <c r="H22" s="1"/>
      <c r="I22" s="5"/>
      <c r="J22" s="5"/>
      <c r="K22" s="5"/>
      <c r="L22" s="1" t="s">
        <v>57</v>
      </c>
      <c r="M22" s="1"/>
      <c r="N22" s="1"/>
      <c r="O22" s="5">
        <f>+O20*O21</f>
        <v>15238.741054736842</v>
      </c>
      <c r="P22" s="1"/>
      <c r="Q22" s="1"/>
      <c r="R22" s="1"/>
      <c r="S22" s="1"/>
      <c r="T22" s="43">
        <f>T20+T21</f>
        <v>391157.86800000002</v>
      </c>
      <c r="U22" s="1"/>
      <c r="V22" s="1"/>
      <c r="W22" s="1"/>
      <c r="X22" s="1"/>
      <c r="Y22" s="1"/>
      <c r="Z22" s="1"/>
      <c r="AA22" s="1"/>
      <c r="AB22" s="1"/>
    </row>
    <row r="23" spans="1:28" ht="16.2" x14ac:dyDescent="0.85">
      <c r="A23" s="5"/>
      <c r="B23" s="7"/>
      <c r="C23" s="21"/>
      <c r="D23" s="21"/>
      <c r="E23" s="14"/>
      <c r="F23" s="1"/>
      <c r="G23" s="1"/>
      <c r="H23" s="5"/>
      <c r="I23" s="5"/>
      <c r="J23" s="5"/>
      <c r="K23" s="5"/>
      <c r="L23" s="1" t="s">
        <v>58</v>
      </c>
      <c r="M23" s="35"/>
      <c r="N23" s="35"/>
      <c r="O23" s="44">
        <f>O17*O21</f>
        <v>-15550.533675000001</v>
      </c>
      <c r="P23" s="1"/>
      <c r="Q23" s="1"/>
      <c r="R23" s="1"/>
      <c r="S23" s="15" t="s">
        <v>59</v>
      </c>
      <c r="T23" s="45">
        <f>-[1]SAO!E25</f>
        <v>-372328</v>
      </c>
      <c r="U23" s="1"/>
      <c r="V23" s="1"/>
      <c r="W23" s="1"/>
      <c r="X23" s="1"/>
      <c r="Y23" s="1"/>
      <c r="Z23" s="1"/>
      <c r="AA23" s="1"/>
      <c r="AB23" s="1"/>
    </row>
    <row r="24" spans="1:28" ht="16.2" x14ac:dyDescent="0.85">
      <c r="A24" s="1"/>
      <c r="B24" s="1"/>
      <c r="C24" s="12" t="s">
        <v>60</v>
      </c>
      <c r="D24" s="12" t="s">
        <v>61</v>
      </c>
      <c r="E24" s="12" t="s">
        <v>62</v>
      </c>
      <c r="F24" s="12" t="s">
        <v>7</v>
      </c>
      <c r="G24" s="1"/>
      <c r="H24" s="5"/>
      <c r="I24" s="5"/>
      <c r="J24" s="5"/>
      <c r="K24" s="5"/>
      <c r="L24" s="29" t="s">
        <v>63</v>
      </c>
      <c r="M24" s="29"/>
      <c r="N24" s="29"/>
      <c r="O24" s="39">
        <f>+O22+O23</f>
        <v>-311.79262026315882</v>
      </c>
      <c r="P24" s="1"/>
      <c r="Q24" s="1"/>
      <c r="R24" s="1"/>
      <c r="S24" s="46" t="s">
        <v>64</v>
      </c>
      <c r="T24" s="30">
        <f>T22+T23</f>
        <v>18829.868000000017</v>
      </c>
      <c r="U24" s="1"/>
      <c r="V24" s="1"/>
      <c r="W24" s="1"/>
      <c r="X24" s="1"/>
      <c r="Y24" s="1"/>
      <c r="Z24" s="1"/>
      <c r="AA24" s="1"/>
      <c r="AB24" s="1"/>
    </row>
    <row r="25" spans="1:28" ht="16.2" x14ac:dyDescent="0.85">
      <c r="A25" s="1"/>
      <c r="B25" s="1"/>
      <c r="C25" s="12" t="s">
        <v>65</v>
      </c>
      <c r="D25" s="12" t="s">
        <v>66</v>
      </c>
      <c r="E25" s="12" t="s">
        <v>67</v>
      </c>
      <c r="F25" s="12" t="s">
        <v>60</v>
      </c>
      <c r="G25" s="1"/>
      <c r="H25" s="5"/>
      <c r="I25" s="5"/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55000000000000004">
      <c r="A26" s="1"/>
      <c r="B26" s="7" t="s">
        <v>31</v>
      </c>
      <c r="C26" s="22">
        <v>1417.2</v>
      </c>
      <c r="D26" s="47">
        <v>0.22</v>
      </c>
      <c r="E26" s="22">
        <f>C26*D26</f>
        <v>311.78399999999999</v>
      </c>
      <c r="F26" s="22">
        <f>C26-E26</f>
        <v>1105.4160000000002</v>
      </c>
      <c r="G26" s="1"/>
      <c r="H26" s="5"/>
      <c r="I26" s="5"/>
      <c r="J26" s="5"/>
      <c r="K26" s="5"/>
      <c r="L26" s="1"/>
      <c r="M26" s="1"/>
      <c r="N26" s="1"/>
      <c r="O26" s="41"/>
      <c r="P26" s="1"/>
      <c r="Q26" s="1">
        <v>1000</v>
      </c>
      <c r="R26" s="5">
        <v>12</v>
      </c>
      <c r="S26" s="22">
        <v>14.91</v>
      </c>
      <c r="T26" s="9">
        <f>S26*R26</f>
        <v>178.92000000000002</v>
      </c>
      <c r="U26" s="1"/>
      <c r="V26" s="1"/>
      <c r="W26" s="1"/>
      <c r="X26" s="1"/>
      <c r="Y26" s="1"/>
      <c r="Z26" s="1"/>
      <c r="AA26" s="1"/>
      <c r="AB26" s="1"/>
    </row>
    <row r="27" spans="1:28" x14ac:dyDescent="0.55000000000000004">
      <c r="A27" s="1"/>
      <c r="B27" s="7" t="s">
        <v>29</v>
      </c>
      <c r="C27" s="22">
        <v>557.52</v>
      </c>
      <c r="D27" s="47">
        <v>0.22</v>
      </c>
      <c r="E27" s="22">
        <f>C27*D27</f>
        <v>122.6544</v>
      </c>
      <c r="F27" s="22">
        <f>C27-E27</f>
        <v>434.86559999999997</v>
      </c>
      <c r="G27" s="35"/>
      <c r="H27" s="5"/>
      <c r="I27" s="5"/>
      <c r="J27" s="5"/>
      <c r="K27" s="5"/>
      <c r="L27" s="1"/>
      <c r="M27" s="1"/>
      <c r="N27" s="1"/>
      <c r="P27" s="1"/>
      <c r="Q27" s="1">
        <v>4000</v>
      </c>
      <c r="R27" s="5">
        <v>48</v>
      </c>
      <c r="S27" s="22">
        <v>5.08</v>
      </c>
      <c r="T27" s="22">
        <f t="shared" ref="T27:T32" si="2">S27*R27</f>
        <v>243.84</v>
      </c>
      <c r="U27" s="1"/>
      <c r="V27" s="1"/>
      <c r="W27" s="1"/>
      <c r="X27" s="1"/>
      <c r="Y27" s="1"/>
      <c r="Z27" s="1"/>
      <c r="AA27" s="1"/>
      <c r="AB27" s="1"/>
    </row>
    <row r="28" spans="1:28" x14ac:dyDescent="0.55000000000000004">
      <c r="A28" s="1"/>
      <c r="B28" s="7" t="s">
        <v>26</v>
      </c>
      <c r="C28" s="22">
        <v>474.7</v>
      </c>
      <c r="D28" s="47">
        <v>0.22</v>
      </c>
      <c r="E28" s="22">
        <f t="shared" ref="E28:E29" si="3">C28*D28</f>
        <v>104.434</v>
      </c>
      <c r="F28" s="22">
        <f t="shared" ref="F28:F29" si="4">C28-E28</f>
        <v>370.26599999999996</v>
      </c>
      <c r="G28" s="1"/>
      <c r="H28" s="5"/>
      <c r="I28" s="5"/>
      <c r="J28" s="5"/>
      <c r="K28" s="5"/>
      <c r="L28" s="1"/>
      <c r="M28" s="1"/>
      <c r="N28" s="1"/>
      <c r="P28" s="1"/>
      <c r="Q28" s="1">
        <v>5000</v>
      </c>
      <c r="R28" s="5">
        <v>60</v>
      </c>
      <c r="S28" s="22">
        <v>3.92</v>
      </c>
      <c r="T28" s="22">
        <f t="shared" si="2"/>
        <v>235.2</v>
      </c>
      <c r="U28" s="1"/>
      <c r="V28" s="1"/>
      <c r="W28" s="1"/>
      <c r="X28" s="1"/>
      <c r="Y28" s="1"/>
      <c r="Z28" s="1"/>
      <c r="AA28" s="1"/>
      <c r="AB28" s="1"/>
    </row>
    <row r="29" spans="1:28" x14ac:dyDescent="0.55000000000000004">
      <c r="A29" s="1"/>
      <c r="B29" s="7" t="s">
        <v>22</v>
      </c>
      <c r="C29" s="22">
        <v>323.23</v>
      </c>
      <c r="D29" s="47">
        <v>0.22</v>
      </c>
      <c r="E29" s="22">
        <f t="shared" si="3"/>
        <v>71.110600000000005</v>
      </c>
      <c r="F29" s="22">
        <f t="shared" si="4"/>
        <v>252.11940000000001</v>
      </c>
      <c r="G29" s="5"/>
      <c r="H29" s="5"/>
      <c r="I29" s="5"/>
      <c r="J29" s="5"/>
      <c r="K29" s="5"/>
      <c r="L29" s="1"/>
      <c r="M29" s="35"/>
      <c r="N29" s="35"/>
      <c r="P29" s="1"/>
      <c r="Q29" s="1">
        <v>5000</v>
      </c>
      <c r="R29" s="5">
        <v>60</v>
      </c>
      <c r="S29" s="22">
        <v>2.73</v>
      </c>
      <c r="T29" s="22">
        <f t="shared" si="2"/>
        <v>163.80000000000001</v>
      </c>
      <c r="U29" s="1"/>
      <c r="V29" s="1"/>
      <c r="W29" s="1"/>
      <c r="X29" s="1"/>
      <c r="Y29" s="1"/>
      <c r="Z29" s="1"/>
      <c r="AA29" s="1"/>
      <c r="AB29" s="1"/>
    </row>
    <row r="30" spans="1:28" ht="16.2" x14ac:dyDescent="0.85">
      <c r="A30" s="1"/>
      <c r="B30" s="7" t="s">
        <v>68</v>
      </c>
      <c r="C30" s="22">
        <f>30.75+40.13+50.05</f>
        <v>120.92999999999999</v>
      </c>
      <c r="D30" s="47">
        <v>0</v>
      </c>
      <c r="E30" s="22">
        <f>C30*D30</f>
        <v>0</v>
      </c>
      <c r="F30" s="48">
        <f>C30-E30</f>
        <v>120.92999999999999</v>
      </c>
      <c r="G30" s="5"/>
      <c r="H30" s="5"/>
      <c r="I30" s="5"/>
      <c r="J30" s="5"/>
      <c r="K30" s="5"/>
      <c r="L30" s="29"/>
      <c r="M30" s="29"/>
      <c r="N30" s="29"/>
      <c r="O30" s="39"/>
      <c r="P30" s="1"/>
      <c r="Q30" s="1">
        <v>10000</v>
      </c>
      <c r="R30" s="5">
        <v>120</v>
      </c>
      <c r="S30" s="22">
        <v>2.5299999999999998</v>
      </c>
      <c r="T30" s="22">
        <f t="shared" si="2"/>
        <v>303.59999999999997</v>
      </c>
      <c r="U30" s="1"/>
      <c r="V30" s="1"/>
      <c r="W30" s="1"/>
      <c r="X30" s="1"/>
      <c r="Y30" s="1"/>
      <c r="Z30" s="1"/>
      <c r="AA30" s="1"/>
      <c r="AB30" s="1"/>
    </row>
    <row r="31" spans="1:28" x14ac:dyDescent="0.55000000000000004">
      <c r="A31" s="1"/>
      <c r="B31" s="7"/>
      <c r="C31" s="22"/>
      <c r="D31" s="1"/>
      <c r="E31" s="49" t="s">
        <v>69</v>
      </c>
      <c r="F31" s="22">
        <f>SUM(F26:F30)</f>
        <v>2283.5970000000002</v>
      </c>
      <c r="G31" s="1"/>
      <c r="H31" s="5"/>
      <c r="I31" s="1"/>
      <c r="J31" s="1"/>
      <c r="K31" s="1"/>
      <c r="L31" s="1"/>
      <c r="M31" s="1"/>
      <c r="N31" s="1"/>
      <c r="O31" s="1"/>
      <c r="P31" s="1"/>
      <c r="Q31" s="1">
        <v>25000</v>
      </c>
      <c r="R31" s="5">
        <v>300</v>
      </c>
      <c r="S31" s="22">
        <v>2.1</v>
      </c>
      <c r="T31" s="22">
        <f t="shared" si="2"/>
        <v>630</v>
      </c>
      <c r="U31" s="1"/>
      <c r="V31" s="1"/>
      <c r="W31" s="1"/>
      <c r="X31" s="1"/>
      <c r="Y31" s="1"/>
      <c r="Z31" s="1"/>
      <c r="AA31" s="1"/>
      <c r="AB31" s="1"/>
    </row>
    <row r="32" spans="1:28" ht="16.2" x14ac:dyDescent="0.85">
      <c r="A32" s="1"/>
      <c r="B32" s="7"/>
      <c r="C32" s="22"/>
      <c r="D32" s="1"/>
      <c r="E32" s="49" t="s">
        <v>70</v>
      </c>
      <c r="F32" s="22">
        <f>F31*12</f>
        <v>27403.164000000004</v>
      </c>
      <c r="G32" s="1"/>
      <c r="H32" s="5"/>
      <c r="I32" s="1"/>
      <c r="J32" s="1"/>
      <c r="K32" s="1"/>
      <c r="L32" s="1"/>
      <c r="M32" s="1"/>
      <c r="N32" s="1"/>
      <c r="O32" s="1"/>
      <c r="P32" s="1"/>
      <c r="Q32" s="1">
        <v>50000</v>
      </c>
      <c r="R32" s="43">
        <f>R21-(SUM(R26:R31))</f>
        <v>22083.4</v>
      </c>
      <c r="S32" s="22">
        <v>2.02</v>
      </c>
      <c r="T32" s="48">
        <f t="shared" si="2"/>
        <v>44608.468000000001</v>
      </c>
      <c r="U32" s="1"/>
      <c r="V32" s="1"/>
      <c r="W32" s="1"/>
      <c r="X32" s="1"/>
      <c r="Y32" s="1"/>
      <c r="Z32" s="1"/>
      <c r="AA32" s="1"/>
      <c r="AB32" s="1"/>
    </row>
    <row r="33" spans="1:28" ht="16.2" x14ac:dyDescent="0.85">
      <c r="A33" s="1"/>
      <c r="B33" s="7"/>
      <c r="C33" s="22"/>
      <c r="D33" s="1"/>
      <c r="E33" s="49" t="s">
        <v>71</v>
      </c>
      <c r="F33" s="48">
        <f>-[1]SAO!E24</f>
        <v>-23432</v>
      </c>
      <c r="G33" s="1"/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0">
        <f>SUM(T26:T32)</f>
        <v>46363.828000000001</v>
      </c>
      <c r="U33" s="1"/>
      <c r="V33" s="1"/>
      <c r="W33" s="1"/>
      <c r="X33" s="1"/>
      <c r="Y33" s="1"/>
      <c r="Z33" s="1"/>
      <c r="AA33" s="1"/>
      <c r="AB33" s="1"/>
    </row>
    <row r="34" spans="1:28" x14ac:dyDescent="0.55000000000000004">
      <c r="A34" s="1"/>
      <c r="B34" s="7"/>
      <c r="C34" s="22"/>
      <c r="D34" s="51"/>
      <c r="E34" s="52" t="s">
        <v>72</v>
      </c>
      <c r="F34" s="51">
        <f>F32+F33</f>
        <v>3971.1640000000043</v>
      </c>
      <c r="G34" s="1"/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55000000000000004">
      <c r="A35" s="1"/>
      <c r="B35" s="7"/>
      <c r="C35" s="22"/>
      <c r="D35" s="22"/>
      <c r="E35" s="22"/>
      <c r="F35" s="22"/>
      <c r="G35" s="1"/>
      <c r="H35" s="5"/>
      <c r="I35" s="1"/>
      <c r="J35" s="1"/>
      <c r="K35" s="1"/>
      <c r="L35" s="1"/>
      <c r="M35" s="1"/>
      <c r="N35" s="1"/>
      <c r="O35" s="1"/>
      <c r="P35" s="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55000000000000004">
      <c r="A36" s="1"/>
      <c r="B36" s="22"/>
      <c r="C36" s="1"/>
      <c r="D36" s="22"/>
      <c r="E36" s="22"/>
      <c r="F36" s="22"/>
      <c r="G36" s="1"/>
      <c r="H36" s="5"/>
      <c r="I36" s="1"/>
      <c r="J36" s="1"/>
      <c r="K36" s="1"/>
      <c r="L36" s="1"/>
      <c r="M36" s="1"/>
      <c r="N36" s="1"/>
      <c r="O36" s="1"/>
      <c r="P36" s="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55000000000000004">
      <c r="A37" s="1"/>
      <c r="B37" s="7"/>
      <c r="C37" s="22"/>
      <c r="D37" s="22"/>
      <c r="E37" s="22"/>
      <c r="F37" s="22"/>
      <c r="G37" s="1"/>
      <c r="H37" s="5"/>
      <c r="I37" s="1"/>
      <c r="J37" s="1"/>
      <c r="K37" s="1"/>
      <c r="L37" s="1"/>
      <c r="M37" s="1"/>
      <c r="N37" s="1"/>
      <c r="O37" s="1"/>
      <c r="P37" s="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55000000000000004">
      <c r="A38" s="1"/>
      <c r="B38" s="7"/>
      <c r="C38" s="22"/>
      <c r="D38" s="22"/>
      <c r="E38" s="22"/>
      <c r="F38" s="22"/>
      <c r="G38" s="1"/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55000000000000004">
      <c r="A39" s="1"/>
      <c r="B39" s="1"/>
      <c r="C39" s="1"/>
      <c r="D39" s="1"/>
      <c r="E39" s="22"/>
      <c r="F39" s="2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55000000000000004">
      <c r="A40" s="1"/>
      <c r="B40" s="1"/>
      <c r="C40" s="1"/>
      <c r="D40" s="1"/>
      <c r="E40" s="1"/>
      <c r="F40" s="22"/>
      <c r="G40" s="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55000000000000004">
      <c r="A41" s="1"/>
      <c r="B41" s="1"/>
      <c r="C41" s="1"/>
      <c r="D41" s="1"/>
      <c r="E41" s="1"/>
      <c r="F41" s="1"/>
      <c r="G41" s="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55000000000000004">
      <c r="A42" s="1"/>
      <c r="B42" s="1"/>
      <c r="C42" s="1"/>
      <c r="D42" s="1"/>
      <c r="E42" s="1"/>
      <c r="F42" s="1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6.2" x14ac:dyDescent="0.85">
      <c r="A43" s="1"/>
      <c r="B43" s="1"/>
      <c r="C43" s="1"/>
      <c r="D43" s="22"/>
      <c r="E43" s="1"/>
      <c r="F43" s="53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55000000000000004">
      <c r="A44" s="1"/>
      <c r="B44" s="1"/>
      <c r="C44" s="1"/>
      <c r="D44" s="22"/>
      <c r="E44" s="14"/>
      <c r="F44" s="1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55000000000000004">
      <c r="A45" s="1"/>
      <c r="B45" s="21"/>
      <c r="C45" s="21"/>
      <c r="D45" s="22"/>
      <c r="E45" s="1"/>
      <c r="F45" s="1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55000000000000004">
      <c r="A46" s="1"/>
      <c r="B46" s="21"/>
      <c r="C46" s="1"/>
      <c r="D46" s="22"/>
      <c r="E46" s="43"/>
      <c r="F46" s="5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6.2" x14ac:dyDescent="0.85">
      <c r="A47" s="1"/>
      <c r="B47" s="21"/>
      <c r="C47" s="1"/>
      <c r="D47" s="22"/>
      <c r="E47" s="1"/>
      <c r="F47" s="55"/>
      <c r="G47" s="1"/>
      <c r="H47" s="1"/>
      <c r="I47" s="1"/>
      <c r="J47" s="1"/>
      <c r="K47" s="1"/>
      <c r="L47" s="1"/>
      <c r="M47" s="1"/>
      <c r="N47" s="5"/>
      <c r="O47" s="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55000000000000004">
      <c r="A48" s="1"/>
      <c r="B48" s="21"/>
      <c r="C48" s="1"/>
      <c r="D48" s="22"/>
      <c r="E48" s="1"/>
      <c r="F48" s="54"/>
      <c r="G48" s="1"/>
      <c r="H48" s="1"/>
      <c r="I48" s="1"/>
      <c r="J48" s="1"/>
      <c r="K48" s="1"/>
      <c r="L48" s="1"/>
      <c r="M48" s="1"/>
      <c r="N48" s="5"/>
      <c r="O48" s="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55000000000000004">
      <c r="A49" s="1"/>
      <c r="B49" s="1"/>
      <c r="C49" s="1"/>
      <c r="D49" s="22"/>
      <c r="E49" s="1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55000000000000004">
      <c r="A50" s="1"/>
      <c r="B50" s="1"/>
      <c r="C50" s="1"/>
      <c r="D50" s="22"/>
      <c r="E50" s="1"/>
      <c r="F50" s="54"/>
      <c r="G50" s="1"/>
      <c r="H50" s="1"/>
      <c r="I50" s="5"/>
      <c r="J50" s="5"/>
      <c r="K50" s="5"/>
      <c r="L50" s="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55000000000000004">
      <c r="A51" s="1"/>
      <c r="B51" s="1"/>
      <c r="C51" s="1"/>
      <c r="D51" s="22"/>
      <c r="E51" s="1"/>
      <c r="F51" s="1"/>
      <c r="G51" s="1"/>
      <c r="H51" s="1"/>
      <c r="I51" s="5"/>
      <c r="J51" s="5"/>
      <c r="K51" s="5"/>
      <c r="L51" s="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55000000000000004">
      <c r="A52" s="1"/>
      <c r="B52" s="1"/>
      <c r="C52" s="1"/>
      <c r="D52" s="22"/>
      <c r="E52" s="1"/>
      <c r="F52" s="1"/>
      <c r="G52" s="1"/>
      <c r="H52" s="1"/>
      <c r="I52" s="5"/>
      <c r="J52" s="5"/>
      <c r="K52" s="5"/>
      <c r="L52" s="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55000000000000004">
      <c r="A53" s="1"/>
      <c r="B53" s="1"/>
      <c r="C53" s="1"/>
      <c r="D53" s="2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AlanV</dc:creator>
  <cp:lastModifiedBy>AlanV</cp:lastModifiedBy>
  <dcterms:created xsi:type="dcterms:W3CDTF">2023-01-24T17:55:54Z</dcterms:created>
  <dcterms:modified xsi:type="dcterms:W3CDTF">2023-01-24T18:02:25Z</dcterms:modified>
</cp:coreProperties>
</file>