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10" yWindow="380" windowWidth="8240" windowHeight="6980" tabRatio="963" activeTab="0"/>
  </bookViews>
  <sheets>
    <sheet name="Table of Contents" sheetId="1" r:id="rId1"/>
    <sheet name="1.0 SMRP Rider Calc " sheetId="2" r:id="rId2"/>
    <sheet name="1.1 Projected Volumes" sheetId="3" r:id="rId3"/>
    <sheet name="2.0 Revenue Req." sheetId="4" r:id="rId4"/>
    <sheet name="2.1 ROR " sheetId="5" r:id="rId5"/>
    <sheet name="2.2 Conversion Factor " sheetId="6" r:id="rId6"/>
    <sheet name="3.0 Plant in Service" sheetId="7" r:id="rId7"/>
    <sheet name="4.0 Accumulated Depr" sheetId="8" r:id="rId8"/>
    <sheet name="5.0 Depr Expense" sheetId="9" r:id="rId9"/>
    <sheet name="6.0 ADIT Normalized " sheetId="10" r:id="rId10"/>
    <sheet name="6.1 ADIT Calculated p.1" sheetId="11" r:id="rId11"/>
    <sheet name="6.1 ADIT Calcluated p.2" sheetId="12" r:id="rId12"/>
    <sheet name="6.1 ADIT Calcluated p.3" sheetId="13" r:id="rId13"/>
    <sheet name="7.0 Property Tax" sheetId="14" r:id="rId14"/>
    <sheet name="8.0 O&amp;M Savings " sheetId="15" r:id="rId15"/>
    <sheet name="9.0 Base Rates Plant in Svc" sheetId="16" r:id="rId16"/>
    <sheet name="9.1 Base Rates Acc Depr " sheetId="17" r:id="rId17"/>
    <sheet name="9.2 Base Rates Depr Exp" sheetId="18" r:id="rId18"/>
    <sheet name="9.3 Base Rates ADIT Normalized" sheetId="19" r:id="rId19"/>
    <sheet name="9.4 Base Rates ADIT Calc.1 " sheetId="20" r:id="rId20"/>
    <sheet name="9.4 Base Rates ADIT Calc p.2 " sheetId="21" r:id="rId21"/>
    <sheet name="9.4 Base Rates ADIT Calc p.3 " sheetId="22" r:id="rId22"/>
  </sheets>
  <externalReferences>
    <externalReference r:id="rId25"/>
  </externalReferences>
  <definedNames>
    <definedName name="_xlfn.ANCHORARRAY" hidden="1">#NAME?</definedName>
    <definedName name="_xlfn.SINGLE" hidden="1">#NAME?</definedName>
    <definedName name="case">'[1]Sch 14a pg 1 Rev Req'!#REF!</definedName>
    <definedName name="co">'[1]Sch 14b Acct 376 Rate Base'!#REF!</definedName>
    <definedName name="f">'[1]Sch 14a pg 1 Rev Req'!#REF!</definedName>
    <definedName name="_xlnm.Print_Area" localSheetId="1">'1.0 SMRP Rider Calc '!$A$1:$H$30</definedName>
    <definedName name="_xlnm.Print_Area" localSheetId="2">'1.1 Projected Volumes'!$B$1:$C$24</definedName>
    <definedName name="_xlnm.Print_Area" localSheetId="3">'2.0 Revenue Req.'!$A$1:$O$35</definedName>
    <definedName name="_xlnm.Print_Area" localSheetId="6">'3.0 Plant in Service'!$A$1:$Q$87</definedName>
    <definedName name="_xlnm.Print_Area" localSheetId="7">'4.0 Accumulated Depr'!$A$1:$Q$108</definedName>
    <definedName name="_xlnm.Print_Area" localSheetId="8">'5.0 Depr Expense'!$A$1:$Q$140</definedName>
    <definedName name="_xlnm.Print_Area" localSheetId="9">'6.0 ADIT Normalized '!$A$1:$Q$29</definedName>
    <definedName name="_xlnm.Print_Area" localSheetId="11">'6.1 ADIT Calcluated p.2'!$A$1:$AK$50</definedName>
    <definedName name="_xlnm.Print_Area" localSheetId="12">'6.1 ADIT Calcluated p.3'!$A$1:$AK$50</definedName>
    <definedName name="_xlnm.Print_Area" localSheetId="10">'6.1 ADIT Calculated p.1'!$A$1:$AK$48</definedName>
    <definedName name="_xlnm.Print_Area" localSheetId="14">'8.0 O&amp;M Savings '!$A$1:$G$18</definedName>
    <definedName name="_xlnm.Print_Area" localSheetId="18">'9.3 Base Rates ADIT Normalized'!$A$1:$Q$20</definedName>
    <definedName name="_xlnm.Print_Area" localSheetId="20">'9.4 Base Rates ADIT Calc p.2 '!$A$1:$AK$50</definedName>
    <definedName name="_xlnm.Print_Area" localSheetId="21">'9.4 Base Rates ADIT Calc p.3 '!$A$1:$AK$50</definedName>
    <definedName name="_xlnm.Print_Area" localSheetId="19">'9.4 Base Rates ADIT Calc.1 '!$A$1:$AK$49</definedName>
    <definedName name="_xlnm.Print_Area" localSheetId="0">'Table of Contents'!$A$1:$F$31</definedName>
    <definedName name="_xlnm.Print_Titles" localSheetId="11">'6.1 ADIT Calcluated p.2'!$A:$B</definedName>
    <definedName name="_xlnm.Print_Titles" localSheetId="12">'6.1 ADIT Calcluated p.3'!$A:$B</definedName>
    <definedName name="_xlnm.Print_Titles" localSheetId="10">'6.1 ADIT Calculated p.1'!$A:$B</definedName>
    <definedName name="_xlnm.Print_Titles" localSheetId="20">'9.4 Base Rates ADIT Calc p.2 '!$A:$B</definedName>
    <definedName name="_xlnm.Print_Titles" localSheetId="21">'9.4 Base Rates ADIT Calc p.3 '!$A:$B</definedName>
    <definedName name="_xlnm.Print_Titles" localSheetId="19">'9.4 Base Rates ADIT Calc.1 '!$A:$B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<sst xmlns="http://schemas.openxmlformats.org/spreadsheetml/2006/main" count="1561" uniqueCount="317">
  <si>
    <t>Year</t>
  </si>
  <si>
    <t>Ln.</t>
  </si>
  <si>
    <t>No.</t>
  </si>
  <si>
    <t>Capital Structure</t>
  </si>
  <si>
    <t>Equity</t>
  </si>
  <si>
    <t>Long term Debt</t>
  </si>
  <si>
    <t>Short term Debt</t>
  </si>
  <si>
    <t>Ratio</t>
  </si>
  <si>
    <t>Cost</t>
  </si>
  <si>
    <t>Total</t>
  </si>
  <si>
    <t xml:space="preserve">Weighted </t>
  </si>
  <si>
    <t>Pre-Tax @</t>
  </si>
  <si>
    <t>Columbia Gas of Kentucky, Inc.</t>
  </si>
  <si>
    <t>($)</t>
  </si>
  <si>
    <t xml:space="preserve">Annual </t>
  </si>
  <si>
    <t xml:space="preserve">Book </t>
  </si>
  <si>
    <t>Accumulated</t>
  </si>
  <si>
    <t>Year 9</t>
  </si>
  <si>
    <t>Year 10</t>
  </si>
  <si>
    <t>Tax</t>
  </si>
  <si>
    <t>Tax @</t>
  </si>
  <si>
    <t xml:space="preserve">Deferred </t>
  </si>
  <si>
    <t>Additions</t>
  </si>
  <si>
    <t>Depreciation</t>
  </si>
  <si>
    <t>Difference</t>
  </si>
  <si>
    <t>Inc. Taxes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</si>
  <si>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</si>
  <si>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</si>
  <si>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</si>
  <si>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</si>
  <si>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</si>
  <si>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</si>
  <si>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</si>
  <si>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</si>
  <si>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</si>
  <si>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</si>
  <si>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Effect tax of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</si>
  <si>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</si>
  <si>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</si>
  <si>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</si>
  <si>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</si>
  <si>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</si>
  <si>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</si>
  <si>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</si>
  <si>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</si>
  <si>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</si>
  <si>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</si>
  <si>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Deferred</t>
  </si>
  <si>
    <t>Description</t>
  </si>
  <si>
    <t>Line</t>
  </si>
  <si>
    <t xml:space="preserve">No. </t>
  </si>
  <si>
    <t>Reference</t>
  </si>
  <si>
    <t>Cost of Removal</t>
  </si>
  <si>
    <t>Rate Schedule</t>
  </si>
  <si>
    <t>Allocation</t>
  </si>
  <si>
    <t>Revenue</t>
  </si>
  <si>
    <t>Requirement</t>
  </si>
  <si>
    <t>Billing</t>
  </si>
  <si>
    <t>Determinant</t>
  </si>
  <si>
    <t>Rider</t>
  </si>
  <si>
    <t>Monthly</t>
  </si>
  <si>
    <t>TOTAL</t>
  </si>
  <si>
    <t>Retirements</t>
  </si>
  <si>
    <t>Rate GSR, Rate SVGTS - Residential Service</t>
  </si>
  <si>
    <t>Rate GSO, Rate GDS, Rate SVGTS - Com. or Ind. Service</t>
  </si>
  <si>
    <t>Rate IUS, Rate IUDS</t>
  </si>
  <si>
    <t>Columbia Gas of Kentucky</t>
  </si>
  <si>
    <t>IUS, IUDS</t>
  </si>
  <si>
    <t>IS, DS</t>
  </si>
  <si>
    <t>Cost of</t>
  </si>
  <si>
    <t>Removal</t>
  </si>
  <si>
    <t>Notes:</t>
  </si>
  <si>
    <t>Tax Depr Rates</t>
  </si>
  <si>
    <t>MACRS 20 Year</t>
  </si>
  <si>
    <t>Repairs %</t>
  </si>
  <si>
    <t>263a %</t>
  </si>
  <si>
    <t>Calculation of Accumulated Deferred Income Tax</t>
  </si>
  <si>
    <t>Projected O&amp;M Savings</t>
  </si>
  <si>
    <t>Calculation of O&amp;M Savings</t>
  </si>
  <si>
    <t>FERC Account 887</t>
  </si>
  <si>
    <t>Line No.</t>
  </si>
  <si>
    <t>May</t>
  </si>
  <si>
    <t>Table of Contents</t>
  </si>
  <si>
    <t>1.0</t>
  </si>
  <si>
    <t>1.1</t>
  </si>
  <si>
    <t>Form Number</t>
  </si>
  <si>
    <t>Cost of Capital</t>
  </si>
  <si>
    <t>2.0</t>
  </si>
  <si>
    <t>Revenue Requirement</t>
  </si>
  <si>
    <t>3.0</t>
  </si>
  <si>
    <t>O&amp;M Savings</t>
  </si>
  <si>
    <t>4.0</t>
  </si>
  <si>
    <t>Cumulative</t>
  </si>
  <si>
    <t>[1] Plant additions eligible for repairs tax deduction.</t>
  </si>
  <si>
    <t>Adjustment</t>
  </si>
  <si>
    <t>Total Plant Additions</t>
  </si>
  <si>
    <t>Plant Additions [1]</t>
  </si>
  <si>
    <t>Composite Tax Rate [2]</t>
  </si>
  <si>
    <t>[1] Plant additions not eligible for repairs tax deduction.</t>
  </si>
  <si>
    <t>Bonus Tax</t>
  </si>
  <si>
    <t>Tax @ [1] [2]</t>
  </si>
  <si>
    <t>[2] Deferred Taxes calculated beginning 1/1/2018 using 21% Corporate Tax Rate and 5% State Tax Rate.</t>
  </si>
  <si>
    <t>24.95% [3]</t>
  </si>
  <si>
    <t>Balancing</t>
  </si>
  <si>
    <r>
      <t xml:space="preserve">Percent </t>
    </r>
    <r>
      <rPr>
        <b/>
        <u val="single"/>
        <vertAlign val="superscript"/>
        <sz val="12"/>
        <rFont val="Arial"/>
        <family val="2"/>
      </rPr>
      <t>(1)</t>
    </r>
  </si>
  <si>
    <r>
      <t xml:space="preserve">Rate IS, Rate DS </t>
    </r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>, Rate SAS</t>
    </r>
  </si>
  <si>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 xml:space="preserve"> Excluding customers subject to the Flex Provisions of Rate Schedule DS.</t>
    </r>
  </si>
  <si>
    <t>SMRP Rates by Rate Schedule</t>
  </si>
  <si>
    <t>SMRP</t>
  </si>
  <si>
    <t>SMRP Rider by Rate Schedule</t>
  </si>
  <si>
    <t>SMRP Rider</t>
  </si>
  <si>
    <t>SMRP Form 1.0</t>
  </si>
  <si>
    <t>Annual Adjustment to the Safety Modification and Replacement Program ("SMRP")</t>
  </si>
  <si>
    <t>Required Return on SMRP Related Investment</t>
  </si>
  <si>
    <t>SMRP Investment</t>
  </si>
  <si>
    <t>Annual Adjustment to the Safety Modification and Replacement Program</t>
  </si>
  <si>
    <t>SMRP Form 2.1</t>
  </si>
  <si>
    <t>[1] Includes adjustment for state disallowance on 2017 bonus tax depreciation as calculated on Form 2.1 pages 4 through 8.</t>
  </si>
  <si>
    <t>Forecasted Period Ending December 31, 2023</t>
  </si>
  <si>
    <t>Accumulated Deferred Income Tax</t>
  </si>
  <si>
    <t>Net Rate Base (Line 1 + Line 2 + Line 3)</t>
  </si>
  <si>
    <t>Rate of Return</t>
  </si>
  <si>
    <t>Included in Base Rates</t>
  </si>
  <si>
    <t>2023 SMRP</t>
  </si>
  <si>
    <t>Calculation</t>
  </si>
  <si>
    <t>Depreciation Expense</t>
  </si>
  <si>
    <t>Return on Rate Base</t>
  </si>
  <si>
    <t>Property Tax</t>
  </si>
  <si>
    <t>PERCENTAGE OF</t>
  </si>
  <si>
    <t>INCREMENTAL</t>
  </si>
  <si>
    <t>DESCRIPTION</t>
  </si>
  <si>
    <t>GROSS REVENUE</t>
  </si>
  <si>
    <t>OPERATING REVENUE</t>
  </si>
  <si>
    <t>LESS: PSC FEES</t>
  </si>
  <si>
    <t>NET REVENUES</t>
  </si>
  <si>
    <t>GROSS REVENUE CONVERSION FACTOR</t>
  </si>
  <si>
    <t>PSC Assessment &amp; Uncollectible Conversion Factor</t>
  </si>
  <si>
    <t>w/o Base Rates</t>
  </si>
  <si>
    <t>Line 4 * Line 5</t>
  </si>
  <si>
    <t>Line 1 + Line 2 + Line 3</t>
  </si>
  <si>
    <t>Revenue Requirement Before PSC  Assessment/Uncollectible</t>
  </si>
  <si>
    <t>376 Mains</t>
  </si>
  <si>
    <t>378 Plant Regulators</t>
  </si>
  <si>
    <t>380 Service Lines</t>
  </si>
  <si>
    <t>382 Meter Installations</t>
  </si>
  <si>
    <t>383 House Regulators</t>
  </si>
  <si>
    <t>Plant In Service</t>
  </si>
  <si>
    <t>Total Plant In Service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</si>
  <si>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</si>
  <si>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</si>
  <si>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</si>
  <si>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</si>
  <si>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</si>
  <si>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</si>
  <si>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</si>
  <si>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</si>
  <si>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</si>
  <si>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</si>
  <si>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</si>
  <si>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Cumulative Total</t>
  </si>
  <si>
    <t>13 Month Average</t>
  </si>
  <si>
    <t xml:space="preserve">   Total Monthly Additions</t>
  </si>
  <si>
    <t xml:space="preserve">   Total Cumulative Additions</t>
  </si>
  <si>
    <t xml:space="preserve">   Total Monthly Retirements</t>
  </si>
  <si>
    <t xml:space="preserve">   Total Cumulative Retirements</t>
  </si>
  <si>
    <t xml:space="preserve">   Total Plant In Service Monthly Activity</t>
  </si>
  <si>
    <t xml:space="preserve">   Total Depreciation Monthly</t>
  </si>
  <si>
    <t xml:space="preserve">   Total Cumulative Depreciation</t>
  </si>
  <si>
    <t xml:space="preserve">   Total Monthly Cost of Removal</t>
  </si>
  <si>
    <t xml:space="preserve">   Total Cumulative Cost of Removal</t>
  </si>
  <si>
    <t>Rate by GPA</t>
  </si>
  <si>
    <t xml:space="preserve">    Cumulative Balance</t>
  </si>
  <si>
    <t>Depreciation on Prior Month Balance</t>
  </si>
  <si>
    <t>1/2 Month Depreciation on Current Month Activity</t>
  </si>
  <si>
    <t xml:space="preserve">  Additions</t>
  </si>
  <si>
    <t xml:space="preserve">  Retirements</t>
  </si>
  <si>
    <t xml:space="preserve">    Total Depreciation</t>
  </si>
  <si>
    <t>Total Depreciation - Monthly</t>
  </si>
  <si>
    <t>Total Cumulative Depreciation</t>
  </si>
  <si>
    <t>Total Accumulated Depreciation</t>
  </si>
  <si>
    <t xml:space="preserve">   Total Accumulated Depreciation Activity</t>
  </si>
  <si>
    <t xml:space="preserve">   Total Accumulated Depreciation Cumulative</t>
  </si>
  <si>
    <t>Accumulated Depreciation</t>
  </si>
  <si>
    <t>Mains &amp; Services</t>
  </si>
  <si>
    <t>[2] Composite rate including mixed services 263A (4.01%)</t>
  </si>
  <si>
    <t>[3] Deferred Taxes calculated using 21% Corporate Tax Rate and 5% State Tax Rate.</t>
  </si>
  <si>
    <t>[2] Composite rate including repairs (33.22%) and mixed services 263A (4.01%)</t>
  </si>
  <si>
    <t>Activity</t>
  </si>
  <si>
    <t>13 Month Ave.</t>
  </si>
  <si>
    <t>SMRP Form 2.0</t>
  </si>
  <si>
    <t>SMRP Form 2.2</t>
  </si>
  <si>
    <t>5.0</t>
  </si>
  <si>
    <t>6.0</t>
  </si>
  <si>
    <t>6.1</t>
  </si>
  <si>
    <t>ADIT - Normalized</t>
  </si>
  <si>
    <t>ADIT - Calculation</t>
  </si>
  <si>
    <t>7.0</t>
  </si>
  <si>
    <t>Property Tax Expense</t>
  </si>
  <si>
    <t>8.0</t>
  </si>
  <si>
    <t>SMRP Form 8.0</t>
  </si>
  <si>
    <t>Form 1.1</t>
  </si>
  <si>
    <t>Base Rates - Plant in Service</t>
  </si>
  <si>
    <t>Base Rates - Accumulated Depreciation</t>
  </si>
  <si>
    <t>Base Rates - Depreciation Expense</t>
  </si>
  <si>
    <t>Base Rates - ADIT Normalized</t>
  </si>
  <si>
    <t>Base Rates - ADIT Calculation</t>
  </si>
  <si>
    <t>9.0</t>
  </si>
  <si>
    <t>9.1</t>
  </si>
  <si>
    <t>9.2</t>
  </si>
  <si>
    <t>9.3</t>
  </si>
  <si>
    <t>9.4</t>
  </si>
  <si>
    <t>Projected Bills</t>
  </si>
  <si>
    <t>Subtotal Depreciation, Property Tax and O&amp;M Savings</t>
  </si>
  <si>
    <t>SMRP Rider Billing Determinants by Rate Schedule - Estimated Billing Volumes</t>
  </si>
  <si>
    <t>Form 3.0, Form 9.0</t>
  </si>
  <si>
    <t>Form 4.0, Form 9.1</t>
  </si>
  <si>
    <t>From 6.0, Form 9.3</t>
  </si>
  <si>
    <t>Form 2.1</t>
  </si>
  <si>
    <t>Form 2.2</t>
  </si>
  <si>
    <r>
      <t xml:space="preserve">Volumes </t>
    </r>
    <r>
      <rPr>
        <b/>
        <u val="single"/>
        <vertAlign val="superscript"/>
        <sz val="12"/>
        <rFont val="Arial"/>
        <family val="2"/>
      </rPr>
      <t>(2)</t>
    </r>
  </si>
  <si>
    <t>For the Twelve Months Ending December 31, 2023</t>
  </si>
  <si>
    <t>SMRP Form 3.0</t>
  </si>
  <si>
    <t>SMRP Form 7.0</t>
  </si>
  <si>
    <t>Property Tax Calculation</t>
  </si>
  <si>
    <t>Return on Investment</t>
  </si>
  <si>
    <t>Rate Base</t>
  </si>
  <si>
    <t>Operating Expenses</t>
  </si>
  <si>
    <r>
      <t xml:space="preserve">Property Tax </t>
    </r>
    <r>
      <rPr>
        <vertAlign val="superscript"/>
        <sz val="12"/>
        <rFont val="Arial"/>
        <family val="2"/>
      </rPr>
      <t>(1)</t>
    </r>
  </si>
  <si>
    <t>Net SMRP Investment-Property, Plant and Equipment</t>
  </si>
  <si>
    <t>Estimate</t>
  </si>
  <si>
    <t>SMRP Form 4.0</t>
  </si>
  <si>
    <t>2022 Accumulated Depreciation</t>
  </si>
  <si>
    <t>Page 1 of 2</t>
  </si>
  <si>
    <t>Page 2 of 2</t>
  </si>
  <si>
    <t xml:space="preserve">2022 Plant In Service </t>
  </si>
  <si>
    <t>2023 Plant In Service</t>
  </si>
  <si>
    <t>2023 Accumulated Depreciation</t>
  </si>
  <si>
    <t>2022 Depreciation Expense</t>
  </si>
  <si>
    <t>SMRP Form 5.0</t>
  </si>
  <si>
    <t>2023 Depreciation Expense</t>
  </si>
  <si>
    <t>Calculation of Accumulated Deferred Income Tax (Normalized)</t>
  </si>
  <si>
    <t>SMRP Form 6.0</t>
  </si>
  <si>
    <t>ADIT Balance - Form 6.1</t>
  </si>
  <si>
    <t>2022 Normalized ADIT</t>
  </si>
  <si>
    <t>2023 Normalized ADIT</t>
  </si>
  <si>
    <t>Monthly Activity</t>
  </si>
  <si>
    <t>Line 1 * 1.418%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</si>
  <si>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Property taxes rate is filed for rate in 2021-00183 that was unchanged by Settlement</t>
    </r>
  </si>
  <si>
    <t>2022 O&amp;M Account 887 per Case No. 2021-00183</t>
  </si>
  <si>
    <t>ADIT Balance - Form 9.4</t>
  </si>
  <si>
    <t>SMRP Form 9.0</t>
  </si>
  <si>
    <t xml:space="preserve">2022  Base Rates Plant In Service </t>
  </si>
  <si>
    <t>2022 Base Rates Accumulated Depreciation</t>
  </si>
  <si>
    <t>SMRP Form 9.1</t>
  </si>
  <si>
    <t>SMRP Form 9.2</t>
  </si>
  <si>
    <t>2022 Base Rates Depreciation Expense</t>
  </si>
  <si>
    <t>SMRP Form 9.3</t>
  </si>
  <si>
    <t>Base Rates Accumulated Deferred Income Tax (Normalized)</t>
  </si>
  <si>
    <t>SMRP Form 6.1</t>
  </si>
  <si>
    <t>SMRP Form 9.4</t>
  </si>
  <si>
    <t>Calculation of Base Rates Accumulated Deferred Income Tax</t>
  </si>
  <si>
    <t>Page 3 of 3</t>
  </si>
  <si>
    <t>Page 2 of 3</t>
  </si>
  <si>
    <t>Page 1 of 3</t>
  </si>
  <si>
    <t>Forecasted SMRP Revenue Requirement For the Thirteen Months Ending December 31, 2023</t>
  </si>
  <si>
    <t xml:space="preserve">    Monthly Activity</t>
  </si>
  <si>
    <t xml:space="preserve">   Total Cumulative Plant In Service</t>
  </si>
  <si>
    <t>Line 6 + Line 10</t>
  </si>
  <si>
    <t>Line 11 * Line 12</t>
  </si>
  <si>
    <t xml:space="preserve">Tax @ [1] </t>
  </si>
  <si>
    <t>[1] Deferred Taxes calculated beginning 1/1/2018 using 21% Corporate Tax Rate and 5% State Tax Rate.</t>
  </si>
  <si>
    <t>Annual Adjustment to the Safety Modification and Replacement Program [1]</t>
  </si>
  <si>
    <r>
      <t xml:space="preserve">Annual Adjustment to the Safety Modification and Replacement Program </t>
    </r>
    <r>
      <rPr>
        <b/>
        <vertAlign val="superscript"/>
        <sz val="9"/>
        <rFont val="Arial"/>
        <family val="2"/>
      </rPr>
      <t>[1]</t>
    </r>
  </si>
  <si>
    <t>Summary of Form 9.4, Pages 2 and 3</t>
  </si>
  <si>
    <t>Summary of Form 6.1,  Pages 2 and 3</t>
  </si>
  <si>
    <r>
      <t xml:space="preserve">2022 O&amp;M Account 887 Costs </t>
    </r>
    <r>
      <rPr>
        <vertAlign val="superscript"/>
        <sz val="10"/>
        <rFont val="Arial"/>
        <family val="2"/>
      </rPr>
      <t>[1]</t>
    </r>
  </si>
  <si>
    <r>
      <rPr>
        <vertAlign val="superscript"/>
        <sz val="9"/>
        <rFont val="Arial"/>
        <family val="2"/>
      </rPr>
      <t>[1]</t>
    </r>
    <r>
      <rPr>
        <sz val="9"/>
        <rFont val="Arial"/>
        <family val="2"/>
      </rPr>
      <t xml:space="preserve"> 2022 O&amp;M reflects the base rate costs per case.  This will be updated to actual O&amp;M costs in next SMRP filing (filed Oct 2023)</t>
    </r>
  </si>
  <si>
    <r>
      <t xml:space="preserve">SMRP Rider </t>
    </r>
    <r>
      <rPr>
        <b/>
        <u val="single"/>
        <vertAlign val="superscript"/>
        <sz val="10"/>
        <rFont val="Arial"/>
        <family val="2"/>
      </rPr>
      <t>[4]</t>
    </r>
  </si>
  <si>
    <r>
      <rPr>
        <vertAlign val="superscript"/>
        <sz val="12"/>
        <rFont val="Arial"/>
        <family val="2"/>
      </rPr>
      <t>(4)</t>
    </r>
    <r>
      <rPr>
        <sz val="10"/>
        <rFont val="Arial"/>
        <family val="2"/>
      </rPr>
      <t xml:space="preserve"> Balancing Adjustment will have no rate until BA filing in 2024.</t>
    </r>
  </si>
  <si>
    <t xml:space="preserve">380 Service Lines 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</si>
  <si>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</si>
  <si>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</si>
  <si>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</si>
  <si>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</si>
  <si>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</si>
  <si>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</si>
  <si>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</si>
  <si>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</si>
  <si>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</si>
  <si>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</si>
  <si>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</si>
  <si>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</si>
  <si>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</si>
  <si>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</si>
  <si>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(C=A-B)</t>
  </si>
  <si>
    <t>( B)</t>
  </si>
  <si>
    <t xml:space="preserve">( C ) </t>
  </si>
  <si>
    <t xml:space="preserve">( L ) </t>
  </si>
  <si>
    <t>(N= M-A)</t>
  </si>
  <si>
    <t>( O )</t>
  </si>
  <si>
    <t>(O=N/12)</t>
  </si>
  <si>
    <t>( P )</t>
  </si>
  <si>
    <t>[2] Composite rate including repairs (20.73%) and mixed services 263A (4.01%)</t>
  </si>
  <si>
    <t>Form 3.0 and 4.0</t>
  </si>
  <si>
    <t>Attachment JTG-1</t>
  </si>
  <si>
    <t xml:space="preserve">376 Mains </t>
  </si>
  <si>
    <t xml:space="preserve">378 Plant Regulators 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</si>
  <si>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Allocation percent is based on the overall base revenue distribution approved in PSC Case No. 2021-00183 </t>
    </r>
  </si>
  <si>
    <t>Volumetric</t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</si>
  <si>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Billing Determinants based on volumes in PSC Case No. 2021-00183</t>
    </r>
  </si>
  <si>
    <t>GSR /GTR - Residential</t>
  </si>
  <si>
    <t>GSO/GTO/GDS - Commercial or Industrial</t>
  </si>
  <si>
    <t>Total Mcf</t>
  </si>
  <si>
    <t xml:space="preserve">     Total</t>
  </si>
  <si>
    <t>PSC Assessment Conversion Factor</t>
  </si>
  <si>
    <t>Conversion Factor - PSC fees</t>
  </si>
  <si>
    <t xml:space="preserve"> PSC Set 1 No. 1 2022-00342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</si>
</sst>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0.000%"/>
    <numFmt numFmtId="168" formatCode="_(&quot;$&quot;* #,##0_);_(&quot;$&quot;* \(#,##0\);_(&quot;$&quot;* &quot;-&quot;??_);_(@_)"/>
    <numFmt numFmtId="169" formatCode="_(* #,##0.00000_);_(* \(#,##0.00000\);_(* &quot;-&quot;??_);_(@_)"/>
    <numFmt numFmtId="170" formatCode="[$-409]mmmm\ d\,\ yyyy;@"/>
    <numFmt numFmtId="171" formatCode="[$-409]m/d/yy\ h:mm\ AM/PM;@"/>
    <numFmt numFmtId="172" formatCode="&quot;$&quot;#,##0.00"/>
    <numFmt numFmtId="173" formatCode="0.000000%"/>
    <numFmt numFmtId="174" formatCode="0.0000%"/>
    <numFmt numFmtId="175" formatCode="0.000000_)"/>
    <numFmt numFmtId="176" formatCode="[$-409]mmmm;@"/>
    <numFmt numFmtId="177" formatCode="[$-409]mmm;@"/>
    <numFmt numFmtId="178" formatCode="0.00000"/>
    <numFmt numFmtId="179" formatCode="#,##0.00000_);[Red]\(#,##0.00000\)"/>
    <numFmt numFmtId="180" formatCode="#,##0.0000_);[Red]\(#,##0.0000\)"/>
    <numFmt numFmtId="181" formatCode="#,##0.0_);\(#,##0.0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_);_(* \(#,##0.0\);_(* &quot;-&quot;??_);_(@_)"/>
    <numFmt numFmtId="189" formatCode="0.0000"/>
  </numFmts>
  <fonts count="6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doubleAccounting"/>
      <sz val="9"/>
      <name val="Arial"/>
      <family val="2"/>
    </font>
    <font>
      <b/>
      <u val="singleAccounting"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Arial"/>
      <family val="2"/>
    </font>
    <font>
      <u val="single"/>
      <sz val="9"/>
      <name val="Arial"/>
      <family val="2"/>
    </font>
    <font>
      <b/>
      <u val="single"/>
      <vertAlign val="superscript"/>
      <sz val="12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u val="doubleAccounting"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u val="double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u val="single"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u val="single"/>
      <sz val="10"/>
      <color rgb="FF0000FF"/>
      <name val="Arial"/>
      <family val="2"/>
    </font>
    <font>
      <u val="singleAccounting"/>
      <sz val="10"/>
      <color rgb="FF0000FF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9" fillId="0" borderId="0" applyFill="0" applyBorder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7" fillId="0" borderId="0" xfId="45" applyNumberFormat="1" applyFont="1" applyFill="1" applyBorder="1" applyAlignment="1" quotePrefix="1">
      <alignment horizontal="center"/>
    </xf>
    <xf numFmtId="164" fontId="6" fillId="0" borderId="0" xfId="42" applyNumberFormat="1" applyFont="1" applyFill="1" applyAlignment="1">
      <alignment/>
    </xf>
    <xf numFmtId="0" fontId="6" fillId="0" borderId="0" xfId="0" applyFont="1" applyFill="1" applyAlignment="1">
      <alignment/>
    </xf>
    <xf numFmtId="164" fontId="9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67" fontId="7" fillId="0" borderId="0" xfId="63" applyNumberFormat="1" applyFont="1" applyFill="1" applyAlignment="1">
      <alignment/>
    </xf>
    <xf numFmtId="10" fontId="12" fillId="0" borderId="10" xfId="6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7" fontId="0" fillId="0" borderId="0" xfId="63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167" fontId="0" fillId="0" borderId="11" xfId="63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4" fontId="18" fillId="0" borderId="0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10" xfId="0" applyFont="1" applyFill="1" applyBorder="1" applyAlignment="1">
      <alignment/>
    </xf>
    <xf numFmtId="10" fontId="7" fillId="0" borderId="10" xfId="63" applyNumberFormat="1" applyFont="1" applyFill="1" applyBorder="1" applyAlignment="1">
      <alignment/>
    </xf>
    <xf numFmtId="10" fontId="7" fillId="0" borderId="0" xfId="63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5" fontId="0" fillId="0" borderId="0" xfId="42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 horizontal="center"/>
    </xf>
    <xf numFmtId="5" fontId="0" fillId="0" borderId="11" xfId="42" applyNumberFormat="1" applyFont="1" applyFill="1" applyBorder="1" applyAlignment="1">
      <alignment/>
    </xf>
    <xf numFmtId="5" fontId="0" fillId="0" borderId="0" xfId="42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 horizontal="center"/>
    </xf>
    <xf numFmtId="5" fontId="0" fillId="0" borderId="12" xfId="42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0" fontId="0" fillId="0" borderId="0" xfId="63" applyNumberFormat="1" applyFont="1" applyFill="1" applyAlignment="1">
      <alignment/>
    </xf>
    <xf numFmtId="170" fontId="2" fillId="0" borderId="0" xfId="0" applyNumberFormat="1" applyFont="1" applyFill="1" applyBorder="1" applyAlignment="1" quotePrefix="1">
      <alignment horizontal="center"/>
    </xf>
    <xf numFmtId="170" fontId="2" fillId="0" borderId="0" xfId="0" applyNumberFormat="1" applyFont="1" applyFill="1" applyAlignment="1" quotePrefix="1">
      <alignment horizontal="center"/>
    </xf>
    <xf numFmtId="10" fontId="17" fillId="0" borderId="0" xfId="54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10" fontId="2" fillId="0" borderId="0" xfId="0" applyNumberFormat="1" applyFont="1" applyFill="1" applyAlignment="1">
      <alignment horizontal="center"/>
    </xf>
    <xf numFmtId="10" fontId="17" fillId="0" borderId="0" xfId="63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167" fontId="17" fillId="0" borderId="0" xfId="63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8" fontId="10" fillId="0" borderId="0" xfId="45" applyNumberFormat="1" applyFont="1" applyFill="1" applyBorder="1" applyAlignment="1">
      <alignment horizontal="center"/>
    </xf>
    <xf numFmtId="168" fontId="6" fillId="0" borderId="0" xfId="45" applyNumberFormat="1" applyFont="1" applyFill="1" applyBorder="1" applyAlignment="1">
      <alignment horizontal="center"/>
    </xf>
    <xf numFmtId="168" fontId="7" fillId="0" borderId="0" xfId="45" applyNumberFormat="1" applyFont="1" applyFill="1" applyBorder="1" applyAlignment="1">
      <alignment horizontal="center"/>
    </xf>
    <xf numFmtId="168" fontId="6" fillId="0" borderId="0" xfId="45" applyNumberFormat="1" applyFont="1" applyFill="1" applyBorder="1" applyAlignment="1">
      <alignment/>
    </xf>
    <xf numFmtId="168" fontId="6" fillId="0" borderId="0" xfId="45" applyNumberFormat="1" applyFont="1" applyFill="1" applyBorder="1" applyAlignment="1">
      <alignment horizontal="left"/>
    </xf>
    <xf numFmtId="166" fontId="6" fillId="0" borderId="0" xfId="42" applyNumberFormat="1" applyFont="1" applyFill="1" applyAlignment="1">
      <alignment/>
    </xf>
    <xf numFmtId="10" fontId="7" fillId="0" borderId="0" xfId="63" applyNumberFormat="1" applyFont="1" applyFill="1" applyAlignment="1">
      <alignment/>
    </xf>
    <xf numFmtId="10" fontId="8" fillId="0" borderId="0" xfId="63" applyNumberFormat="1" applyFont="1" applyFill="1" applyAlignment="1">
      <alignment horizontal="center"/>
    </xf>
    <xf numFmtId="169" fontId="6" fillId="0" borderId="0" xfId="42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165" fontId="8" fillId="0" borderId="0" xfId="63" applyNumberFormat="1" applyFont="1" applyFill="1" applyAlignment="1" quotePrefix="1">
      <alignment horizontal="center"/>
    </xf>
    <xf numFmtId="10" fontId="7" fillId="0" borderId="10" xfId="63" applyNumberFormat="1" applyFont="1" applyFill="1" applyBorder="1" applyAlignment="1" quotePrefix="1">
      <alignment horizontal="center"/>
    </xf>
    <xf numFmtId="0" fontId="11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10" fontId="12" fillId="0" borderId="0" xfId="63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7" fontId="0" fillId="0" borderId="0" xfId="0" applyNumberFormat="1" applyFont="1" applyFill="1" applyAlignment="1">
      <alignment horizontal="left"/>
    </xf>
    <xf numFmtId="37" fontId="64" fillId="0" borderId="0" xfId="0" applyNumberFormat="1" applyFont="1" applyFill="1" applyBorder="1" applyAlignment="1">
      <alignment/>
    </xf>
    <xf numFmtId="164" fontId="64" fillId="0" borderId="0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60" applyNumberFormat="1" applyFont="1" applyFill="1">
      <alignment/>
      <protection/>
    </xf>
    <xf numFmtId="10" fontId="0" fillId="0" borderId="11" xfId="0" applyNumberFormat="1" applyFont="1" applyBorder="1" applyAlignment="1">
      <alignment/>
    </xf>
    <xf numFmtId="10" fontId="0" fillId="0" borderId="11" xfId="63" applyNumberFormat="1" applyFont="1" applyFill="1" applyBorder="1" applyAlignment="1">
      <alignment/>
    </xf>
    <xf numFmtId="164" fontId="0" fillId="0" borderId="14" xfId="42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 horizontal="right"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173" fontId="0" fillId="0" borderId="0" xfId="59" applyNumberFormat="1" applyFont="1">
      <alignment/>
      <protection/>
    </xf>
    <xf numFmtId="173" fontId="0" fillId="0" borderId="15" xfId="59" applyNumberFormat="1" applyFont="1" applyBorder="1">
      <alignment/>
      <protection/>
    </xf>
    <xf numFmtId="175" fontId="21" fillId="0" borderId="0" xfId="59" applyNumberFormat="1" applyFont="1">
      <alignment/>
      <protection/>
    </xf>
    <xf numFmtId="168" fontId="1" fillId="0" borderId="16" xfId="45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0" fontId="65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164" fontId="66" fillId="0" borderId="0" xfId="42" applyNumberFormat="1" applyFont="1" applyFill="1" applyAlignment="1">
      <alignment/>
    </xf>
    <xf numFmtId="43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37" fontId="1" fillId="0" borderId="0" xfId="42" applyNumberFormat="1" applyFont="1" applyFill="1" applyBorder="1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82" fontId="0" fillId="0" borderId="0" xfId="42" applyNumberFormat="1" applyFont="1" applyAlignment="1">
      <alignment horizontal="center"/>
    </xf>
    <xf numFmtId="43" fontId="0" fillId="0" borderId="0" xfId="42" applyFont="1" applyFill="1" applyAlignment="1">
      <alignment/>
    </xf>
    <xf numFmtId="164" fontId="16" fillId="0" borderId="0" xfId="0" applyNumberFormat="1" applyFont="1" applyFill="1" applyAlignment="1">
      <alignment/>
    </xf>
    <xf numFmtId="174" fontId="0" fillId="0" borderId="0" xfId="63" applyNumberFormat="1" applyFont="1" applyFill="1" applyAlignment="1">
      <alignment/>
    </xf>
    <xf numFmtId="188" fontId="0" fillId="0" borderId="0" xfId="42" applyNumberFormat="1" applyFont="1" applyFill="1" applyAlignment="1">
      <alignment/>
    </xf>
    <xf numFmtId="188" fontId="0" fillId="0" borderId="16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67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14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47" fillId="0" borderId="0" xfId="42" applyNumberFormat="1" applyFont="1" applyFill="1" applyAlignment="1">
      <alignment/>
    </xf>
    <xf numFmtId="168" fontId="1" fillId="0" borderId="0" xfId="45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right" indent="1"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0" fontId="6" fillId="0" borderId="0" xfId="59" applyFont="1" applyBorder="1">
      <alignment/>
      <protection/>
    </xf>
    <xf numFmtId="0" fontId="1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170" fontId="2" fillId="0" borderId="0" xfId="0" applyNumberFormat="1" applyFont="1" applyAlignment="1" quotePrefix="1">
      <alignment horizontal="center"/>
    </xf>
    <xf numFmtId="189" fontId="0" fillId="0" borderId="0" xfId="0" applyNumberFormat="1" applyFont="1" applyFill="1" applyAlignment="1">
      <alignment/>
    </xf>
    <xf numFmtId="188" fontId="0" fillId="0" borderId="11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188" fontId="0" fillId="0" borderId="12" xfId="42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H-1 GR Conversion Factor" xfId="59"/>
    <cellStyle name="Normal_Schedule J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122934\AppData\Local\Temp\notesC9812B\2015%20SAVE%20IRRA%20-%20Schedule%2014a%20-%20k%20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lant Data"/>
      <sheetName val="Sch 14a pg 1 Rev Req"/>
      <sheetName val="Sch 14b Acct 376 Rate Base"/>
      <sheetName val="Sch 14c Acct 378 Rate Base"/>
      <sheetName val="Sch 14d Acct 379 Rate Base"/>
      <sheetName val="Sch 14e Acct 380 Rate Base"/>
      <sheetName val="Sch 14f Rate Case Plant"/>
      <sheetName val="Sch 14g CCOS "/>
      <sheetName val="Sch 14h Billing Det and Rate"/>
      <sheetName val="Sch 14i ADIT (total)"/>
      <sheetName val="Sch 14i-2 (repairs eligible)"/>
      <sheetName val="Sch 14i-3(non eligible repairs)"/>
      <sheetName val="Sch 14j ADIT Allocation"/>
      <sheetName val="Sch 14k Property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96" zoomScalePageLayoutView="0" workbookViewId="0" topLeftCell="A1">
      <selection activeCell="F32" sqref="F32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32.8515625" style="0" customWidth="1"/>
    <col min="4" max="4" width="15.57421875" style="0" bestFit="1" customWidth="1"/>
    <col min="5" max="8" width="14.140625" style="0" customWidth="1"/>
  </cols>
  <sheetData>
    <row r="1" ht="12.75">
      <c r="F1" s="120" t="s">
        <v>316</v>
      </c>
    </row>
    <row r="2" ht="12.75">
      <c r="F2" s="120" t="s">
        <v>304</v>
      </c>
    </row>
    <row r="3" ht="12.75">
      <c r="F3" s="120"/>
    </row>
    <row r="4" ht="12.75">
      <c r="F4" s="120"/>
    </row>
    <row r="6" spans="1:8" ht="12.75">
      <c r="A6" s="165" t="s">
        <v>12</v>
      </c>
      <c r="B6" s="165"/>
      <c r="C6" s="165"/>
      <c r="D6" s="165"/>
      <c r="E6" s="165"/>
      <c r="F6" s="165"/>
      <c r="G6" s="1"/>
      <c r="H6" s="1"/>
    </row>
    <row r="7" spans="1:8" ht="12.75">
      <c r="A7" s="166" t="s">
        <v>112</v>
      </c>
      <c r="B7" s="166"/>
      <c r="C7" s="166"/>
      <c r="D7" s="166"/>
      <c r="E7" s="166"/>
      <c r="F7" s="166"/>
      <c r="G7" s="1"/>
      <c r="H7" s="1"/>
    </row>
    <row r="8" spans="1:8" ht="12.75">
      <c r="A8" s="165" t="s">
        <v>118</v>
      </c>
      <c r="B8" s="165"/>
      <c r="C8" s="165"/>
      <c r="D8" s="165"/>
      <c r="E8" s="165"/>
      <c r="F8" s="165"/>
      <c r="G8" s="1"/>
      <c r="H8" s="1"/>
    </row>
    <row r="9" spans="1:8" ht="12.75">
      <c r="A9" s="165" t="s">
        <v>82</v>
      </c>
      <c r="B9" s="165"/>
      <c r="C9" s="165"/>
      <c r="D9" s="165"/>
      <c r="E9" s="165"/>
      <c r="F9" s="165"/>
      <c r="G9" s="1"/>
      <c r="H9" s="1"/>
    </row>
    <row r="10" spans="1:8" ht="12.75">
      <c r="A10" s="118"/>
      <c r="B10" s="118"/>
      <c r="C10" s="118"/>
      <c r="D10" s="118"/>
      <c r="E10" s="1"/>
      <c r="F10" s="1"/>
      <c r="G10" s="1"/>
      <c r="H10" s="1"/>
    </row>
    <row r="14" spans="1:3" ht="12.75">
      <c r="A14" s="12" t="s">
        <v>85</v>
      </c>
      <c r="C14" s="2" t="s">
        <v>48</v>
      </c>
    </row>
    <row r="15" spans="1:3" ht="12">
      <c r="A15" s="13" t="s">
        <v>83</v>
      </c>
      <c r="C15" s="11" t="s">
        <v>107</v>
      </c>
    </row>
    <row r="16" spans="1:3" ht="12">
      <c r="A16" s="13" t="s">
        <v>84</v>
      </c>
      <c r="C16" s="11" t="s">
        <v>211</v>
      </c>
    </row>
    <row r="17" spans="1:3" ht="12">
      <c r="A17" s="13" t="s">
        <v>87</v>
      </c>
      <c r="C17" s="11" t="s">
        <v>88</v>
      </c>
    </row>
    <row r="18" spans="1:3" ht="12">
      <c r="A18" s="13">
        <v>2.1</v>
      </c>
      <c r="C18" s="11" t="s">
        <v>86</v>
      </c>
    </row>
    <row r="19" spans="1:3" ht="12">
      <c r="A19" s="13">
        <v>2.2</v>
      </c>
      <c r="C19" s="11" t="s">
        <v>314</v>
      </c>
    </row>
    <row r="20" spans="1:3" ht="12">
      <c r="A20" s="117" t="s">
        <v>89</v>
      </c>
      <c r="C20" s="11" t="s">
        <v>146</v>
      </c>
    </row>
    <row r="21" spans="1:3" ht="12">
      <c r="A21" s="117" t="s">
        <v>91</v>
      </c>
      <c r="C21" s="11" t="s">
        <v>182</v>
      </c>
    </row>
    <row r="22" spans="1:3" ht="12">
      <c r="A22" s="117" t="s">
        <v>191</v>
      </c>
      <c r="C22" s="11" t="s">
        <v>125</v>
      </c>
    </row>
    <row r="23" spans="1:3" ht="12">
      <c r="A23" s="117" t="s">
        <v>192</v>
      </c>
      <c r="C23" s="11" t="s">
        <v>194</v>
      </c>
    </row>
    <row r="24" spans="1:3" ht="12">
      <c r="A24" s="117" t="s">
        <v>193</v>
      </c>
      <c r="C24" s="11" t="s">
        <v>195</v>
      </c>
    </row>
    <row r="25" spans="1:3" ht="12">
      <c r="A25" s="117" t="s">
        <v>196</v>
      </c>
      <c r="C25" s="11" t="s">
        <v>197</v>
      </c>
    </row>
    <row r="26" spans="1:3" ht="12">
      <c r="A26" s="117" t="s">
        <v>198</v>
      </c>
      <c r="C26" s="11" t="s">
        <v>90</v>
      </c>
    </row>
    <row r="27" spans="1:3" ht="12">
      <c r="A27" s="117" t="s">
        <v>206</v>
      </c>
      <c r="C27" s="10" t="s">
        <v>201</v>
      </c>
    </row>
    <row r="28" spans="1:3" ht="12">
      <c r="A28" s="117" t="s">
        <v>207</v>
      </c>
      <c r="C28" s="11" t="s">
        <v>202</v>
      </c>
    </row>
    <row r="29" spans="1:3" ht="12">
      <c r="A29" s="117" t="s">
        <v>208</v>
      </c>
      <c r="C29" s="11" t="s">
        <v>203</v>
      </c>
    </row>
    <row r="30" spans="1:3" ht="12">
      <c r="A30" s="117" t="s">
        <v>209</v>
      </c>
      <c r="C30" s="11" t="s">
        <v>204</v>
      </c>
    </row>
    <row r="31" spans="1:3" ht="12">
      <c r="A31" s="117" t="s">
        <v>210</v>
      </c>
      <c r="C31" s="11" t="s">
        <v>205</v>
      </c>
    </row>
    <row r="32" spans="1:3" ht="12">
      <c r="A32" s="13"/>
      <c r="C32" s="11"/>
    </row>
    <row r="33" spans="1:3" ht="12">
      <c r="A33" s="13"/>
      <c r="C33" s="11"/>
    </row>
    <row r="34" spans="1:3" ht="12">
      <c r="A34" s="13"/>
      <c r="C34" s="11"/>
    </row>
    <row r="35" spans="1:3" ht="12">
      <c r="A35" s="13"/>
      <c r="C35" s="11"/>
    </row>
    <row r="36" spans="1:3" ht="12">
      <c r="A36" s="13"/>
      <c r="C36" s="11"/>
    </row>
    <row r="37" spans="1:3" ht="12">
      <c r="A37" s="13"/>
      <c r="C37" s="11"/>
    </row>
  </sheetData>
  <sheetProtection/>
  <mergeCells count="4">
    <mergeCell ref="A6:F6"/>
    <mergeCell ref="A7:F7"/>
    <mergeCell ref="A8:F8"/>
    <mergeCell ref="A9:F9"/>
  </mergeCells>
  <printOptions horizontalCentered="1"/>
  <pageMargins left="1" right="1" top="1" bottom="1" header="0.3" footer="0.3"/>
  <pageSetup fitToHeight="1" fitToWidth="1" horizontalDpi="600" verticalDpi="600" orientation="landscape" r:id="rId1"/>
  <ignoredErrors>
    <ignoredError sqref="A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1.140625" style="0" bestFit="1" customWidth="1"/>
    <col min="2" max="2" width="10.8515625" style="0" bestFit="1" customWidth="1"/>
    <col min="3" max="3" width="11.8515625" style="0" bestFit="1" customWidth="1"/>
    <col min="4" max="6" width="10.8515625" style="0" bestFit="1" customWidth="1"/>
    <col min="7" max="13" width="11.8515625" style="0" bestFit="1" customWidth="1"/>
    <col min="14" max="14" width="11.8515625" style="0" customWidth="1"/>
    <col min="15" max="15" width="13.421875" style="0" bestFit="1" customWidth="1"/>
    <col min="16" max="16" width="13.28125" style="0" bestFit="1" customWidth="1"/>
    <col min="17" max="17" width="13.7109375" style="0" customWidth="1"/>
  </cols>
  <sheetData>
    <row r="1" ht="12.75">
      <c r="Q1" s="120" t="str">
        <f>+'5.0 Depr Expense'!Q1</f>
        <v> PSC Set 1 No. 1 2022-00342</v>
      </c>
    </row>
    <row r="2" ht="12.75">
      <c r="Q2" s="120" t="str">
        <f>+'5.0 Depr Expense'!Q2</f>
        <v>Attachment JTG-1</v>
      </c>
    </row>
    <row r="3" ht="12.75">
      <c r="Q3" s="120" t="s">
        <v>241</v>
      </c>
    </row>
    <row r="4" spans="1:17" ht="12.75">
      <c r="A4" s="165" t="s">
        <v>12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2.75">
      <c r="A5" s="165" t="s">
        <v>240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2.75">
      <c r="A6" s="165" t="s">
        <v>115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8" spans="2:16" ht="12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10" spans="2:17" ht="12">
      <c r="B10" s="110">
        <v>2021</v>
      </c>
      <c r="C10" s="110">
        <f>+B10+1</f>
        <v>2022</v>
      </c>
      <c r="D10" s="110">
        <f>+C10</f>
        <v>2022</v>
      </c>
      <c r="E10" s="110">
        <f aca="true" t="shared" si="0" ref="E10:M10">+D10</f>
        <v>2022</v>
      </c>
      <c r="F10" s="110">
        <f t="shared" si="0"/>
        <v>2022</v>
      </c>
      <c r="G10" s="110">
        <f t="shared" si="0"/>
        <v>2022</v>
      </c>
      <c r="H10" s="110">
        <f t="shared" si="0"/>
        <v>2022</v>
      </c>
      <c r="I10" s="110">
        <f t="shared" si="0"/>
        <v>2022</v>
      </c>
      <c r="J10" s="110">
        <f t="shared" si="0"/>
        <v>2022</v>
      </c>
      <c r="K10" s="110">
        <f t="shared" si="0"/>
        <v>2022</v>
      </c>
      <c r="L10" s="110">
        <f t="shared" si="0"/>
        <v>2022</v>
      </c>
      <c r="M10" s="110">
        <f t="shared" si="0"/>
        <v>2022</v>
      </c>
      <c r="N10" s="110">
        <f>+M10</f>
        <v>2022</v>
      </c>
      <c r="O10" s="110">
        <v>2022</v>
      </c>
      <c r="P10" s="110">
        <v>2022</v>
      </c>
      <c r="Q10" s="110">
        <f>+P10</f>
        <v>2022</v>
      </c>
    </row>
    <row r="11" spans="2:17" ht="12">
      <c r="B11" s="111" t="s">
        <v>148</v>
      </c>
      <c r="C11" s="111" t="s">
        <v>149</v>
      </c>
      <c r="D11" s="111" t="s">
        <v>150</v>
      </c>
      <c r="E11" s="111" t="s">
        <v>151</v>
      </c>
      <c r="F11" s="111" t="s">
        <v>152</v>
      </c>
      <c r="G11" s="111" t="s">
        <v>81</v>
      </c>
      <c r="H11" s="111" t="s">
        <v>153</v>
      </c>
      <c r="I11" s="111" t="s">
        <v>154</v>
      </c>
      <c r="J11" s="111" t="s">
        <v>155</v>
      </c>
      <c r="K11" s="111" t="s">
        <v>156</v>
      </c>
      <c r="L11" s="111" t="s">
        <v>157</v>
      </c>
      <c r="M11" s="111" t="s">
        <v>158</v>
      </c>
      <c r="N11" s="111" t="s">
        <v>148</v>
      </c>
      <c r="O11" s="111" t="s">
        <v>187</v>
      </c>
      <c r="P11" s="111" t="s">
        <v>245</v>
      </c>
      <c r="Q11" s="111" t="s">
        <v>188</v>
      </c>
    </row>
    <row r="12" spans="2:17" ht="12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2:17" ht="12">
      <c r="B13" s="135" t="s">
        <v>280</v>
      </c>
      <c r="C13" s="135" t="s">
        <v>295</v>
      </c>
      <c r="D13" s="135" t="s">
        <v>296</v>
      </c>
      <c r="E13" s="135" t="s">
        <v>283</v>
      </c>
      <c r="F13" s="135" t="s">
        <v>284</v>
      </c>
      <c r="G13" s="135" t="s">
        <v>285</v>
      </c>
      <c r="H13" s="135" t="s">
        <v>286</v>
      </c>
      <c r="I13" s="135" t="s">
        <v>287</v>
      </c>
      <c r="J13" s="135" t="s">
        <v>288</v>
      </c>
      <c r="K13" s="135" t="s">
        <v>289</v>
      </c>
      <c r="L13" s="135" t="s">
        <v>290</v>
      </c>
      <c r="M13" s="135" t="s">
        <v>297</v>
      </c>
      <c r="N13" s="135" t="s">
        <v>292</v>
      </c>
      <c r="O13" s="135" t="s">
        <v>293</v>
      </c>
      <c r="P13" s="135" t="s">
        <v>299</v>
      </c>
      <c r="Q13" s="110" t="s">
        <v>301</v>
      </c>
    </row>
    <row r="14" spans="2:16" ht="12">
      <c r="B14" s="11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2" t="s">
        <v>298</v>
      </c>
      <c r="P14" s="134" t="s">
        <v>300</v>
      </c>
    </row>
    <row r="16" spans="1:16" ht="12">
      <c r="A16" s="11" t="s">
        <v>242</v>
      </c>
      <c r="B16" s="109">
        <v>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>
        <f>-'6.1 ADIT Calculated p.1'!AK20</f>
        <v>0</v>
      </c>
      <c r="O16" s="109">
        <f>+N16-B16</f>
        <v>0</v>
      </c>
      <c r="P16" s="109">
        <f>ROUND(O16/12,0)</f>
        <v>0</v>
      </c>
    </row>
    <row r="17" spans="2:16" ht="12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7" ht="12">
      <c r="A18" s="11" t="s">
        <v>243</v>
      </c>
      <c r="B18" s="109">
        <f>+B16</f>
        <v>0</v>
      </c>
      <c r="C18" s="109">
        <f aca="true" t="shared" si="1" ref="C18:M18">+B18+$P$16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  <c r="H18" s="109">
        <f t="shared" si="1"/>
        <v>0</v>
      </c>
      <c r="I18" s="109">
        <f t="shared" si="1"/>
        <v>0</v>
      </c>
      <c r="J18" s="109">
        <f t="shared" si="1"/>
        <v>0</v>
      </c>
      <c r="K18" s="109">
        <f t="shared" si="1"/>
        <v>0</v>
      </c>
      <c r="L18" s="109">
        <f t="shared" si="1"/>
        <v>0</v>
      </c>
      <c r="M18" s="109">
        <f t="shared" si="1"/>
        <v>0</v>
      </c>
      <c r="N18" s="109">
        <f>+N16</f>
        <v>0</v>
      </c>
      <c r="O18" s="109"/>
      <c r="P18" s="109"/>
      <c r="Q18" s="112">
        <f>AVERAGE(B18:N18)</f>
        <v>0</v>
      </c>
    </row>
    <row r="19" spans="2:16" ht="12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2:16" ht="12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2:17" ht="12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10"/>
    </row>
    <row r="22" spans="2:17" ht="12">
      <c r="B22" s="110">
        <f>+N10</f>
        <v>2022</v>
      </c>
      <c r="C22" s="110">
        <f>+B22+1</f>
        <v>2023</v>
      </c>
      <c r="D22" s="110">
        <f>+C22</f>
        <v>2023</v>
      </c>
      <c r="E22" s="110">
        <f aca="true" t="shared" si="2" ref="E22:N22">+D22</f>
        <v>2023</v>
      </c>
      <c r="F22" s="110">
        <f t="shared" si="2"/>
        <v>2023</v>
      </c>
      <c r="G22" s="110">
        <f t="shared" si="2"/>
        <v>2023</v>
      </c>
      <c r="H22" s="110">
        <f t="shared" si="2"/>
        <v>2023</v>
      </c>
      <c r="I22" s="110">
        <f t="shared" si="2"/>
        <v>2023</v>
      </c>
      <c r="J22" s="110">
        <f t="shared" si="2"/>
        <v>2023</v>
      </c>
      <c r="K22" s="110">
        <f t="shared" si="2"/>
        <v>2023</v>
      </c>
      <c r="L22" s="110">
        <f t="shared" si="2"/>
        <v>2023</v>
      </c>
      <c r="M22" s="110">
        <f t="shared" si="2"/>
        <v>2023</v>
      </c>
      <c r="N22" s="110">
        <f t="shared" si="2"/>
        <v>2023</v>
      </c>
      <c r="O22" s="110">
        <f>+N22</f>
        <v>2023</v>
      </c>
      <c r="P22" s="110">
        <f>+O22</f>
        <v>2023</v>
      </c>
      <c r="Q22" s="110">
        <f>+P22</f>
        <v>2023</v>
      </c>
    </row>
    <row r="23" spans="2:17" ht="12">
      <c r="B23" s="111" t="s">
        <v>148</v>
      </c>
      <c r="C23" s="111" t="s">
        <v>149</v>
      </c>
      <c r="D23" s="111" t="s">
        <v>150</v>
      </c>
      <c r="E23" s="111" t="s">
        <v>151</v>
      </c>
      <c r="F23" s="111" t="s">
        <v>152</v>
      </c>
      <c r="G23" s="111" t="s">
        <v>81</v>
      </c>
      <c r="H23" s="111" t="s">
        <v>153</v>
      </c>
      <c r="I23" s="111" t="s">
        <v>154</v>
      </c>
      <c r="J23" s="111" t="s">
        <v>155</v>
      </c>
      <c r="K23" s="111" t="s">
        <v>156</v>
      </c>
      <c r="L23" s="111" t="s">
        <v>157</v>
      </c>
      <c r="M23" s="111" t="s">
        <v>158</v>
      </c>
      <c r="N23" s="111" t="s">
        <v>148</v>
      </c>
      <c r="O23" s="111" t="s">
        <v>187</v>
      </c>
      <c r="P23" s="111" t="s">
        <v>245</v>
      </c>
      <c r="Q23" s="111" t="s">
        <v>188</v>
      </c>
    </row>
    <row r="25" spans="1:16" ht="12">
      <c r="A25" s="11" t="s">
        <v>242</v>
      </c>
      <c r="B25" s="109">
        <f>+N18</f>
        <v>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>
        <f>+'6.1 ADIT Calculated p.1'!AK21*-1</f>
        <v>-3170434</v>
      </c>
      <c r="O25" s="109">
        <f>+N25-B25</f>
        <v>-3170434</v>
      </c>
      <c r="P25" s="109">
        <f>ROUND(O25/12,0)</f>
        <v>-264203</v>
      </c>
    </row>
    <row r="26" spans="2:16" ht="1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7" ht="12">
      <c r="A27" s="11" t="s">
        <v>244</v>
      </c>
      <c r="B27" s="109">
        <f>+B25</f>
        <v>0</v>
      </c>
      <c r="C27" s="109">
        <f>+B27+$P$25</f>
        <v>-264203</v>
      </c>
      <c r="D27" s="109">
        <f aca="true" t="shared" si="3" ref="D27:N27">+C27+$P$25</f>
        <v>-528406</v>
      </c>
      <c r="E27" s="109">
        <f t="shared" si="3"/>
        <v>-792609</v>
      </c>
      <c r="F27" s="109">
        <f t="shared" si="3"/>
        <v>-1056812</v>
      </c>
      <c r="G27" s="109">
        <f t="shared" si="3"/>
        <v>-1321015</v>
      </c>
      <c r="H27" s="109">
        <f t="shared" si="3"/>
        <v>-1585218</v>
      </c>
      <c r="I27" s="109">
        <f t="shared" si="3"/>
        <v>-1849421</v>
      </c>
      <c r="J27" s="109">
        <f t="shared" si="3"/>
        <v>-2113624</v>
      </c>
      <c r="K27" s="109">
        <f t="shared" si="3"/>
        <v>-2377827</v>
      </c>
      <c r="L27" s="109">
        <f t="shared" si="3"/>
        <v>-2642030</v>
      </c>
      <c r="M27" s="109">
        <f t="shared" si="3"/>
        <v>-2906233</v>
      </c>
      <c r="N27" s="109">
        <f t="shared" si="3"/>
        <v>-3170436</v>
      </c>
      <c r="O27" s="109"/>
      <c r="P27" s="109"/>
      <c r="Q27" s="112">
        <f>AVERAGE(B27:N27)</f>
        <v>-1585218</v>
      </c>
    </row>
    <row r="28" spans="2:16" ht="1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73"/>
  <sheetViews>
    <sheetView zoomScale="90" zoomScaleNormal="90" zoomScaleSheetLayoutView="96" zoomScalePageLayoutView="0" workbookViewId="0" topLeftCell="A9">
      <selection activeCell="D40" sqref="D40"/>
    </sheetView>
  </sheetViews>
  <sheetFormatPr defaultColWidth="9.140625" defaultRowHeight="12.75"/>
  <cols>
    <col min="1" max="1" width="3.8515625" style="69" customWidth="1"/>
    <col min="2" max="2" width="13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1.8515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0" width="12.8515625" style="5" hidden="1" customWidth="1"/>
    <col min="31" max="31" width="9.57421875" style="5" hidden="1" customWidth="1"/>
    <col min="32" max="32" width="12.00390625" style="5" bestFit="1" customWidth="1"/>
    <col min="33" max="33" width="10.00390625" style="5" bestFit="1" customWidth="1"/>
    <col min="34" max="34" width="11.28125" style="5" bestFit="1" customWidth="1"/>
    <col min="35" max="35" width="11.00390625" style="5" bestFit="1" customWidth="1"/>
    <col min="36" max="37" width="11.7109375" style="5" bestFit="1" customWidth="1"/>
    <col min="38" max="16384" width="9.140625" style="5" customWidth="1"/>
  </cols>
  <sheetData>
    <row r="1" spans="2:37" ht="11.25">
      <c r="B1" s="70"/>
      <c r="S1" s="15"/>
      <c r="AK1" s="15" t="str">
        <f>+'6.0 ADIT Normalized '!Q1</f>
        <v> PSC Set 1 No. 1 2022-00342</v>
      </c>
    </row>
    <row r="2" spans="2:37" ht="11.25">
      <c r="B2" s="70"/>
      <c r="S2" s="15"/>
      <c r="AK2" s="15" t="str">
        <f>+'6.0 ADIT Normalized '!Q2</f>
        <v>Attachment JTG-1</v>
      </c>
    </row>
    <row r="3" spans="2:37" ht="12.75">
      <c r="B3" s="70"/>
      <c r="S3" s="15"/>
      <c r="AK3" s="120" t="s">
        <v>258</v>
      </c>
    </row>
    <row r="4" spans="8:37" ht="11.25">
      <c r="H4" s="15"/>
      <c r="R4" s="38"/>
      <c r="S4" s="38"/>
      <c r="AK4" s="15" t="s">
        <v>263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1.25">
      <c r="A7" s="167" t="s">
        <v>115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spans="2:8" ht="11.25">
      <c r="B8" s="14"/>
      <c r="H8" s="18" t="s">
        <v>274</v>
      </c>
    </row>
    <row r="9" spans="2:37" ht="12.75" customHeight="1">
      <c r="B9" s="7"/>
      <c r="AJ9" s="18"/>
      <c r="AK9" s="18"/>
    </row>
    <row r="10" spans="9:37" ht="11.25">
      <c r="I10" s="18"/>
      <c r="J10" s="18">
        <v>2022</v>
      </c>
      <c r="K10" s="18">
        <f aca="true" t="shared" si="0" ref="K10:AE10">+J10+1</f>
        <v>2023</v>
      </c>
      <c r="L10" s="18">
        <f t="shared" si="0"/>
        <v>2024</v>
      </c>
      <c r="M10" s="18">
        <f t="shared" si="0"/>
        <v>2025</v>
      </c>
      <c r="N10" s="18">
        <f t="shared" si="0"/>
        <v>2026</v>
      </c>
      <c r="O10" s="18">
        <f t="shared" si="0"/>
        <v>2027</v>
      </c>
      <c r="P10" s="18">
        <f t="shared" si="0"/>
        <v>2028</v>
      </c>
      <c r="Q10" s="18">
        <f t="shared" si="0"/>
        <v>2029</v>
      </c>
      <c r="R10" s="18">
        <f>+Q10+1</f>
        <v>2030</v>
      </c>
      <c r="S10" s="18">
        <f t="shared" si="0"/>
        <v>2031</v>
      </c>
      <c r="T10" s="18">
        <f t="shared" si="0"/>
        <v>2032</v>
      </c>
      <c r="U10" s="18">
        <f t="shared" si="0"/>
        <v>2033</v>
      </c>
      <c r="V10" s="18">
        <f t="shared" si="0"/>
        <v>2034</v>
      </c>
      <c r="W10" s="18">
        <f t="shared" si="0"/>
        <v>2035</v>
      </c>
      <c r="X10" s="18">
        <f t="shared" si="0"/>
        <v>2036</v>
      </c>
      <c r="Y10" s="18">
        <f t="shared" si="0"/>
        <v>2037</v>
      </c>
      <c r="Z10" s="18">
        <f t="shared" si="0"/>
        <v>2038</v>
      </c>
      <c r="AA10" s="18">
        <f t="shared" si="0"/>
        <v>2039</v>
      </c>
      <c r="AB10" s="18">
        <f t="shared" si="0"/>
        <v>2040</v>
      </c>
      <c r="AC10" s="18">
        <f t="shared" si="0"/>
        <v>2041</v>
      </c>
      <c r="AD10" s="18">
        <f t="shared" si="0"/>
        <v>2042</v>
      </c>
      <c r="AE10" s="18">
        <f t="shared" si="0"/>
        <v>2043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v>2022</v>
      </c>
      <c r="E11" s="18">
        <f>+D11+1</f>
        <v>2023</v>
      </c>
      <c r="F11" s="18">
        <f>+E11+1</f>
        <v>2024</v>
      </c>
      <c r="G11" s="18">
        <f>+F11+1</f>
        <v>2025</v>
      </c>
      <c r="H11" s="18">
        <f>+G11+1</f>
        <v>2026</v>
      </c>
      <c r="I11" s="18">
        <f>+H11+1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269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78">
        <f>0.2495</f>
        <v>0.2495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75" t="s">
        <v>95</v>
      </c>
      <c r="C16" s="74"/>
      <c r="D16" s="6">
        <f>'6.1 ADIT Calcluated p.2'!D16+'6.1 ADIT Calcluated p.3'!D16</f>
        <v>0</v>
      </c>
      <c r="E16" s="6">
        <f>'6.1 ADIT Calcluated p.2'!E16+'6.1 ADIT Calcluated p.3'!E16</f>
        <v>41642524.00000001</v>
      </c>
      <c r="F16" s="6">
        <f>'6.1 ADIT Calcluated p.2'!F16+'6.1 ADIT Calcluated p.3'!F16</f>
        <v>0</v>
      </c>
      <c r="G16" s="6">
        <f>'6.1 ADIT Calcluated p.2'!G16+'6.1 ADIT Calcluated p.3'!G16</f>
        <v>0</v>
      </c>
      <c r="H16" s="6">
        <f>'6.1 ADIT Calcluated p.2'!H16+'6.1 ADIT Calcluated p.3'!H16</f>
        <v>0</v>
      </c>
      <c r="I16" s="6">
        <f>'6.1 ADIT Calcluated p.2'!I16+'6.1 ADIT Calcluated p.3'!I16</f>
        <v>0</v>
      </c>
      <c r="J16" s="6" t="e">
        <f>'6.1 ADIT Calcluated p.2'!J16+'6.1 ADIT Calcluated p.3'!J16</f>
        <v>#REF!</v>
      </c>
      <c r="K16" s="6" t="e">
        <f>'6.1 ADIT Calcluated p.2'!K16+'6.1 ADIT Calcluated p.3'!K16</f>
        <v>#REF!</v>
      </c>
      <c r="L16" s="6" t="e">
        <f>'6.1 ADIT Calcluated p.2'!L16+'6.1 ADIT Calcluated p.3'!L16</f>
        <v>#REF!</v>
      </c>
      <c r="M16" s="6" t="e">
        <f>'6.1 ADIT Calcluated p.2'!M16+'6.1 ADIT Calcluated p.3'!M16</f>
        <v>#REF!</v>
      </c>
      <c r="N16" s="6" t="e">
        <f>'6.1 ADIT Calcluated p.2'!N16+'6.1 ADIT Calcluated p.3'!N16</f>
        <v>#REF!</v>
      </c>
      <c r="O16" s="6" t="e">
        <f>'6.1 ADIT Calcluated p.2'!O16+'6.1 ADIT Calcluated p.3'!O16</f>
        <v>#REF!</v>
      </c>
      <c r="P16" s="6" t="e">
        <f>'6.1 ADIT Calcluated p.2'!P16+'6.1 ADIT Calcluated p.3'!P16</f>
        <v>#REF!</v>
      </c>
      <c r="Q16" s="6" t="e">
        <f>'6.1 ADIT Calcluated p.2'!Q16+'6.1 ADIT Calcluated p.3'!Q16</f>
        <v>#REF!</v>
      </c>
      <c r="R16" s="6" t="e">
        <f>'6.1 ADIT Calcluated p.2'!R16+'6.1 ADIT Calcluated p.3'!R16</f>
        <v>#REF!</v>
      </c>
      <c r="S16" s="6" t="e">
        <f>'6.1 ADIT Calcluated p.2'!S16+'6.1 ADIT Calcluated p.3'!S16</f>
        <v>#REF!</v>
      </c>
      <c r="T16" s="6" t="e">
        <f>'6.1 ADIT Calcluated p.2'!T16+'6.1 ADIT Calcluated p.3'!T16</f>
        <v>#REF!</v>
      </c>
      <c r="U16" s="6" t="e">
        <f>'6.1 ADIT Calcluated p.2'!U16+'6.1 ADIT Calcluated p.3'!U16</f>
        <v>#REF!</v>
      </c>
      <c r="V16" s="6" t="e">
        <f>'6.1 ADIT Calcluated p.2'!V16+'6.1 ADIT Calcluated p.3'!V16</f>
        <v>#REF!</v>
      </c>
      <c r="W16" s="6" t="e">
        <f>'6.1 ADIT Calcluated p.2'!W16+'6.1 ADIT Calcluated p.3'!W16</f>
        <v>#REF!</v>
      </c>
      <c r="X16" s="6" t="e">
        <f>'6.1 ADIT Calcluated p.2'!X16+'6.1 ADIT Calcluated p.3'!X16</f>
        <v>#REF!</v>
      </c>
      <c r="Y16" s="6" t="e">
        <f>'6.1 ADIT Calcluated p.2'!Y16+'6.1 ADIT Calcluated p.3'!Y16</f>
        <v>#REF!</v>
      </c>
      <c r="Z16" s="6" t="e">
        <f>'6.1 ADIT Calcluated p.2'!Z16+'6.1 ADIT Calcluated p.3'!Z16</f>
        <v>#REF!</v>
      </c>
      <c r="AA16" s="6" t="e">
        <f>'6.1 ADIT Calcluated p.2'!AA16+'6.1 ADIT Calcluated p.3'!AA16</f>
        <v>#REF!</v>
      </c>
      <c r="AB16" s="6" t="e">
        <f>'6.1 ADIT Calcluated p.2'!AB16+'6.1 ADIT Calcluated p.3'!AB16</f>
        <v>#REF!</v>
      </c>
      <c r="AC16" s="6" t="e">
        <f>'6.1 ADIT Calcluated p.2'!AC16+'6.1 ADIT Calcluated p.3'!AC16</f>
        <v>#REF!</v>
      </c>
      <c r="AD16" s="6" t="e">
        <f>'6.1 ADIT Calcluated p.2'!AD16+'6.1 ADIT Calcluated p.3'!AD16</f>
        <v>#REF!</v>
      </c>
      <c r="AE16" s="6" t="e">
        <f>'6.1 ADIT Calcluated p.2'!AE16+'6.1 ADIT Calcluated p.3'!AE16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5" ht="13.5" customHeight="1">
      <c r="A18" s="69">
        <f>A16+1</f>
        <v>2</v>
      </c>
      <c r="B18" s="75"/>
      <c r="C18" s="74"/>
      <c r="D18" s="8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1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'6.1 ADIT Calcluated p.2'!D20+'6.1 ADIT Calcluated p.3'!D20</f>
        <v>0</v>
      </c>
      <c r="E20" s="4"/>
      <c r="AF20" s="4">
        <f>'6.1 ADIT Calcluated p.2'!AF20+'6.1 ADIT Calcluated p.3'!AF20</f>
        <v>0</v>
      </c>
      <c r="AG20" s="4">
        <f>'6.1 ADIT Calcluated p.2'!AG20+'6.1 ADIT Calcluated p.3'!AG20</f>
        <v>0</v>
      </c>
      <c r="AH20" s="4">
        <f>'6.1 ADIT Calcluated p.2'!AH20+'6.1 ADIT Calcluated p.3'!AH20</f>
        <v>0</v>
      </c>
      <c r="AI20" s="4">
        <f>'6.1 ADIT Calcluated p.2'!AI20+'6.1 ADIT Calcluated p.3'!AI20</f>
        <v>0</v>
      </c>
      <c r="AJ20" s="4">
        <f>+'6.1 ADIT Calcluated p.2'!AJ20+'6.1 ADIT Calcluated p.3'!AJ20</f>
        <v>0</v>
      </c>
      <c r="AK20" s="4">
        <f>+'6.1 ADIT Calcluated p.2'!AK20+'6.1 ADIT Calcluated p.3'!AK20</f>
        <v>0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>'6.1 ADIT Calcluated p.2'!D21+'6.1 ADIT Calcluated p.3'!D21</f>
        <v>0</v>
      </c>
      <c r="E21" s="4">
        <f>'6.1 ADIT Calcluated p.2'!E21+'6.1 ADIT Calcluated p.3'!E21</f>
        <v>10858136</v>
      </c>
      <c r="F21" s="4">
        <f>'6.1 ADIT Calcluated p.2'!F21+'6.1 ADIT Calcluated p.3'!F22</f>
        <v>0</v>
      </c>
      <c r="AF21" s="4">
        <f>'6.1 ADIT Calcluated p.2'!AF21+'6.1 ADIT Calcluated p.3'!AF21</f>
        <v>10858136</v>
      </c>
      <c r="AG21" s="4">
        <f>'6.1 ADIT Calcluated p.2'!AG21+'6.1 ADIT Calcluated p.3'!AG21</f>
        <v>2144338.0000000005</v>
      </c>
      <c r="AH21" s="4">
        <f>'6.1 ADIT Calcluated p.2'!AH21+'6.1 ADIT Calcluated p.3'!AH21</f>
        <v>295323.47500000003</v>
      </c>
      <c r="AI21" s="4">
        <f>'6.1 ADIT Calcluated p.2'!AI21+'6.1 ADIT Calcluated p.3'!AI21</f>
        <v>12707150.525</v>
      </c>
      <c r="AJ21" s="4">
        <f>+'6.1 ADIT Calcluated p.2'!AJ21+'6.1 ADIT Calcluated p.3'!AJ21</f>
        <v>3170434</v>
      </c>
      <c r="AK21" s="4">
        <f>+'6.1 ADIT Calcluated p.2'!AK21+'6.1 ADIT Calcluated p.3'!AK21</f>
        <v>3170434</v>
      </c>
    </row>
    <row r="22" spans="1:37" ht="11.25">
      <c r="A22" s="69">
        <f aca="true" t="shared" si="2" ref="A22:A45">A21+1</f>
        <v>5</v>
      </c>
      <c r="B22" s="79">
        <v>0.06677</v>
      </c>
      <c r="C22" s="69">
        <f aca="true" t="shared" si="3" ref="C22:C43">+C21+1</f>
        <v>3</v>
      </c>
      <c r="D22" s="4">
        <f>'6.1 ADIT Calcluated p.2'!D22+'6.1 ADIT Calcluated p.3'!D22</f>
        <v>0</v>
      </c>
      <c r="E22" s="4">
        <f>'6.1 ADIT Calcluated p.2'!E22+'6.1 ADIT Calcluated p.3'!E22</f>
        <v>2308909</v>
      </c>
      <c r="F22" s="4">
        <f>'6.1 ADIT Calcluated p.2'!F22+'6.1 ADIT Calcluated p.3'!F23</f>
        <v>0</v>
      </c>
      <c r="G22" s="4">
        <f>'6.1 ADIT Calcluated p.2'!G22+'6.1 ADIT Calcluated p.3'!G22</f>
        <v>0</v>
      </c>
      <c r="AF22" s="4">
        <f>'6.1 ADIT Calcluated p.2'!AF22+'6.1 ADIT Calcluated p.3'!AF22</f>
        <v>2308909</v>
      </c>
      <c r="AG22" s="4">
        <f>'6.1 ADIT Calcluated p.2'!AG22+'6.1 ADIT Calcluated p.3'!AG22</f>
        <v>0</v>
      </c>
      <c r="AH22" s="4">
        <f>'6.1 ADIT Calcluated p.2'!AH22+'6.1 ADIT Calcluated p.3'!AH22</f>
        <v>0</v>
      </c>
      <c r="AI22" s="4">
        <f>'6.1 ADIT Calcluated p.2'!AI22+'6.1 ADIT Calcluated p.3'!AI22</f>
        <v>0</v>
      </c>
      <c r="AJ22" s="4">
        <f>+'6.1 ADIT Calcluated p.2'!AJ22+'6.1 ADIT Calcluated p.3'!AJ22</f>
        <v>0</v>
      </c>
      <c r="AK22" s="4">
        <f>+'6.1 ADIT Calcluated p.2'!AK22+'6.1 ADIT Calcluated p.3'!AK22</f>
        <v>0</v>
      </c>
    </row>
    <row r="23" spans="1:37" ht="11.25">
      <c r="A23" s="69">
        <f t="shared" si="2"/>
        <v>6</v>
      </c>
      <c r="B23" s="79">
        <v>0.06177</v>
      </c>
      <c r="C23" s="69">
        <f t="shared" si="3"/>
        <v>4</v>
      </c>
      <c r="D23" s="4">
        <f>'6.1 ADIT Calcluated p.2'!D23+'6.1 ADIT Calcluated p.3'!D23</f>
        <v>0</v>
      </c>
      <c r="E23" s="4">
        <f>'6.1 ADIT Calcluated p.2'!E23+'6.1 ADIT Calcluated p.3'!E23</f>
        <v>2135557</v>
      </c>
      <c r="F23" s="4">
        <f>'6.1 ADIT Calcluated p.2'!F23+'6.1 ADIT Calcluated p.3'!F24</f>
        <v>0</v>
      </c>
      <c r="G23" s="4">
        <f>'6.1 ADIT Calcluated p.2'!G23+'6.1 ADIT Calcluated p.3'!G23</f>
        <v>0</v>
      </c>
      <c r="H23" s="4">
        <f>'6.1 ADIT Calcluated p.2'!H23+'6.1 ADIT Calcluated p.3'!H23</f>
        <v>0</v>
      </c>
      <c r="AF23" s="4">
        <f>'6.1 ADIT Calcluated p.2'!AF23+'6.1 ADIT Calcluated p.3'!AF23</f>
        <v>2135557</v>
      </c>
      <c r="AG23" s="4">
        <f>'6.1 ADIT Calcluated p.2'!AG23+'6.1 ADIT Calcluated p.3'!AG23</f>
        <v>0</v>
      </c>
      <c r="AH23" s="4">
        <f>'6.1 ADIT Calcluated p.2'!AH23+'6.1 ADIT Calcluated p.3'!AH23</f>
        <v>0</v>
      </c>
      <c r="AI23" s="4">
        <f>'6.1 ADIT Calcluated p.2'!AI23+'6.1 ADIT Calcluated p.3'!AI23</f>
        <v>0</v>
      </c>
      <c r="AJ23" s="4">
        <f>+'6.1 ADIT Calcluated p.2'!AJ23+'6.1 ADIT Calcluated p.3'!AJ23</f>
        <v>0</v>
      </c>
      <c r="AK23" s="4">
        <f>+'6.1 ADIT Calcluated p.2'!AK23+'6.1 ADIT Calcluated p.3'!AK23</f>
        <v>0</v>
      </c>
    </row>
    <row r="24" spans="1:37" ht="11.25">
      <c r="A24" s="69">
        <f t="shared" si="2"/>
        <v>7</v>
      </c>
      <c r="B24" s="79">
        <v>0.05713</v>
      </c>
      <c r="C24" s="69">
        <f t="shared" si="3"/>
        <v>5</v>
      </c>
      <c r="D24" s="4">
        <f>'6.1 ADIT Calcluated p.2'!D24+'6.1 ADIT Calcluated p.3'!D24</f>
        <v>0</v>
      </c>
      <c r="E24" s="4">
        <f>'6.1 ADIT Calcluated p.2'!E24+'6.1 ADIT Calcluated p.3'!E24</f>
        <v>1975638</v>
      </c>
      <c r="F24" s="4">
        <f>'6.1 ADIT Calcluated p.2'!F24+'6.1 ADIT Calcluated p.3'!F25</f>
        <v>0</v>
      </c>
      <c r="G24" s="4">
        <f>'6.1 ADIT Calcluated p.2'!G24+'6.1 ADIT Calcluated p.3'!G24</f>
        <v>0</v>
      </c>
      <c r="H24" s="4">
        <f>'6.1 ADIT Calcluated p.2'!H24+'6.1 ADIT Calcluated p.3'!H24</f>
        <v>0</v>
      </c>
      <c r="I24" s="4">
        <f>'6.1 ADIT Calcluated p.2'!I24+'6.1 ADIT Calcluated p.3'!I24</f>
        <v>0</v>
      </c>
      <c r="AF24" s="4">
        <f>'6.1 ADIT Calcluated p.2'!AF24+'6.1 ADIT Calcluated p.3'!AF24</f>
        <v>1975638</v>
      </c>
      <c r="AG24" s="4">
        <f>'6.1 ADIT Calcluated p.2'!AG24+'6.1 ADIT Calcluated p.3'!AG24</f>
        <v>0</v>
      </c>
      <c r="AH24" s="4">
        <f>'6.1 ADIT Calcluated p.2'!AH24+'6.1 ADIT Calcluated p.3'!AH24</f>
        <v>0</v>
      </c>
      <c r="AI24" s="4">
        <f>'6.1 ADIT Calcluated p.2'!AI24+'6.1 ADIT Calcluated p.3'!AI24</f>
        <v>0</v>
      </c>
      <c r="AJ24" s="4">
        <f>+'6.1 ADIT Calcluated p.2'!AJ24+'6.1 ADIT Calcluated p.3'!AJ24</f>
        <v>0</v>
      </c>
      <c r="AK24" s="4">
        <f>+'6.1 ADIT Calcluated p.2'!AK24+'6.1 ADIT Calcluated p.3'!AK24</f>
        <v>0</v>
      </c>
    </row>
    <row r="25" spans="1:37" ht="11.25">
      <c r="A25" s="69">
        <f t="shared" si="2"/>
        <v>8</v>
      </c>
      <c r="B25" s="79">
        <v>0.05285</v>
      </c>
      <c r="C25" s="69">
        <f t="shared" si="3"/>
        <v>6</v>
      </c>
      <c r="D25" s="4">
        <f>'6.1 ADIT Calcluated p.2'!D25+'6.1 ADIT Calcluated p.3'!D25</f>
        <v>0</v>
      </c>
      <c r="E25" s="4">
        <f>'6.1 ADIT Calcluated p.2'!E25+'6.1 ADIT Calcluated p.3'!E25</f>
        <v>1827233</v>
      </c>
      <c r="F25" s="4">
        <f>'6.1 ADIT Calcluated p.2'!F25+'6.1 ADIT Calcluated p.3'!F26</f>
        <v>0</v>
      </c>
      <c r="G25" s="4">
        <f>'6.1 ADIT Calcluated p.2'!G25+'6.1 ADIT Calcluated p.3'!G25</f>
        <v>0</v>
      </c>
      <c r="H25" s="4">
        <f>'6.1 ADIT Calcluated p.2'!H25+'6.1 ADIT Calcluated p.3'!H25</f>
        <v>0</v>
      </c>
      <c r="I25" s="4">
        <f>'6.1 ADIT Calcluated p.2'!I25+'6.1 ADIT Calcluated p.3'!I25</f>
        <v>0</v>
      </c>
      <c r="AF25" s="4">
        <f>'6.1 ADIT Calcluated p.2'!AF25+'6.1 ADIT Calcluated p.3'!AF25</f>
        <v>1827233</v>
      </c>
      <c r="AG25" s="4"/>
      <c r="AH25" s="4">
        <v>0</v>
      </c>
      <c r="AI25" s="4">
        <f>'6.1 ADIT Calcluated p.2'!AI25+'6.1 ADIT Calcluated p.3'!AI25</f>
        <v>0</v>
      </c>
      <c r="AJ25" s="4">
        <f>+'6.1 ADIT Calcluated p.2'!AJ25+'6.1 ADIT Calcluated p.3'!AJ25</f>
        <v>0</v>
      </c>
      <c r="AK25" s="4">
        <f>+'6.1 ADIT Calcluated p.2'!AK25+'6.1 ADIT Calcluated p.3'!AK25</f>
        <v>0</v>
      </c>
    </row>
    <row r="26" spans="1:37" ht="11.25">
      <c r="A26" s="69">
        <f t="shared" si="2"/>
        <v>9</v>
      </c>
      <c r="B26" s="79">
        <v>0.04888</v>
      </c>
      <c r="C26" s="69">
        <f t="shared" si="3"/>
        <v>7</v>
      </c>
      <c r="D26" s="4">
        <f>'6.1 ADIT Calcluated p.2'!D26+'6.1 ADIT Calcluated p.3'!D26</f>
        <v>0</v>
      </c>
      <c r="E26" s="4">
        <f>'6.1 ADIT Calcluated p.2'!E26+'6.1 ADIT Calcluated p.3'!E26</f>
        <v>1690343</v>
      </c>
      <c r="F26" s="4">
        <f>'6.1 ADIT Calcluated p.2'!F26+'6.1 ADIT Calcluated p.3'!F27</f>
        <v>0</v>
      </c>
      <c r="G26" s="4">
        <f>'6.1 ADIT Calcluated p.2'!G26+'6.1 ADIT Calcluated p.3'!G26</f>
        <v>0</v>
      </c>
      <c r="H26" s="4">
        <f>'6.1 ADIT Calcluated p.2'!H26+'6.1 ADIT Calcluated p.3'!H26</f>
        <v>0</v>
      </c>
      <c r="I26" s="4">
        <f>'6.1 ADIT Calcluated p.2'!I26+'6.1 ADIT Calcluated p.3'!I26</f>
        <v>0</v>
      </c>
      <c r="AF26" s="4">
        <f>'6.1 ADIT Calcluated p.2'!AF26+'6.1 ADIT Calcluated p.3'!AF26</f>
        <v>1690343</v>
      </c>
      <c r="AG26" s="4"/>
      <c r="AH26" s="4">
        <v>0</v>
      </c>
      <c r="AI26" s="4">
        <f>'6.1 ADIT Calcluated p.2'!AI26+'6.1 ADIT Calcluated p.3'!AI26</f>
        <v>0</v>
      </c>
      <c r="AJ26" s="4">
        <f>+'6.1 ADIT Calcluated p.2'!AJ26+'6.1 ADIT Calcluated p.3'!AJ26</f>
        <v>0</v>
      </c>
      <c r="AK26" s="4">
        <f>+'6.1 ADIT Calcluated p.2'!AK26+'6.1 ADIT Calcluated p.3'!AK26</f>
        <v>0</v>
      </c>
    </row>
    <row r="27" spans="1:37" ht="11.25">
      <c r="A27" s="69">
        <f t="shared" si="2"/>
        <v>10</v>
      </c>
      <c r="B27" s="79">
        <v>0.04522</v>
      </c>
      <c r="C27" s="69">
        <f t="shared" si="3"/>
        <v>8</v>
      </c>
      <c r="D27" s="4">
        <f>'6.1 ADIT Calcluated p.2'!D27+'6.1 ADIT Calcluated p.3'!D27</f>
        <v>0</v>
      </c>
      <c r="E27" s="4">
        <f>'6.1 ADIT Calcluated p.2'!E27+'6.1 ADIT Calcluated p.3'!E27</f>
        <v>1563368</v>
      </c>
      <c r="F27" s="4">
        <f>'6.1 ADIT Calcluated p.2'!F27+'6.1 ADIT Calcluated p.3'!F28</f>
        <v>0</v>
      </c>
      <c r="G27" s="4">
        <f>'6.1 ADIT Calcluated p.2'!G27+'6.1 ADIT Calcluated p.3'!G27</f>
        <v>0</v>
      </c>
      <c r="H27" s="4">
        <f>'6.1 ADIT Calcluated p.2'!H27+'6.1 ADIT Calcluated p.3'!H27</f>
        <v>0</v>
      </c>
      <c r="I27" s="4">
        <f>'6.1 ADIT Calcluated p.2'!I27+'6.1 ADIT Calcluated p.3'!I27</f>
        <v>0</v>
      </c>
      <c r="AF27" s="4">
        <f>'6.1 ADIT Calcluated p.2'!AF27+'6.1 ADIT Calcluated p.3'!AF27</f>
        <v>1563368</v>
      </c>
      <c r="AG27" s="4"/>
      <c r="AH27" s="4">
        <v>0</v>
      </c>
      <c r="AI27" s="4">
        <f>'6.1 ADIT Calcluated p.2'!AI27+'6.1 ADIT Calcluated p.3'!AI27</f>
        <v>0</v>
      </c>
      <c r="AJ27" s="4">
        <f>+'6.1 ADIT Calcluated p.2'!AJ27+'6.1 ADIT Calcluated p.3'!AJ27</f>
        <v>0</v>
      </c>
      <c r="AK27" s="4">
        <f>+'6.1 ADIT Calcluated p.2'!AK27+'6.1 ADIT Calcluated p.3'!AK27</f>
        <v>0</v>
      </c>
    </row>
    <row r="28" spans="1:37" ht="11.25">
      <c r="A28" s="69">
        <f t="shared" si="2"/>
        <v>11</v>
      </c>
      <c r="B28" s="79">
        <v>0.04462</v>
      </c>
      <c r="C28" s="69">
        <f t="shared" si="3"/>
        <v>9</v>
      </c>
      <c r="D28" s="4">
        <f>'6.1 ADIT Calcluated p.2'!D28+'6.1 ADIT Calcluated p.3'!D28</f>
        <v>0</v>
      </c>
      <c r="E28" s="4">
        <f>'6.1 ADIT Calcluated p.2'!E28+'6.1 ADIT Calcluated p.3'!E28</f>
        <v>1446307</v>
      </c>
      <c r="F28" s="4">
        <f>'6.1 ADIT Calcluated p.2'!F28+'6.1 ADIT Calcluated p.3'!F29</f>
        <v>0</v>
      </c>
      <c r="G28" s="4">
        <f>'6.1 ADIT Calcluated p.2'!G28+'6.1 ADIT Calcluated p.3'!G28</f>
        <v>0</v>
      </c>
      <c r="H28" s="4">
        <f>'6.1 ADIT Calcluated p.2'!H28+'6.1 ADIT Calcluated p.3'!H28</f>
        <v>0</v>
      </c>
      <c r="I28" s="4">
        <f>'6.1 ADIT Calcluated p.2'!I28+'6.1 ADIT Calcluated p.3'!I28</f>
        <v>0</v>
      </c>
      <c r="J28" s="4"/>
      <c r="AF28" s="4">
        <f>'6.1 ADIT Calcluated p.2'!AF28+'6.1 ADIT Calcluated p.3'!AF28</f>
        <v>1446307</v>
      </c>
      <c r="AG28" s="4"/>
      <c r="AH28" s="4">
        <v>0</v>
      </c>
      <c r="AI28" s="4">
        <f>'6.1 ADIT Calcluated p.2'!AI28+'6.1 ADIT Calcluated p.3'!AI28</f>
        <v>0</v>
      </c>
      <c r="AJ28" s="4">
        <f>+'6.1 ADIT Calcluated p.2'!AJ28+'6.1 ADIT Calcluated p.3'!AJ28</f>
        <v>0</v>
      </c>
      <c r="AK28" s="4">
        <f>+'6.1 ADIT Calcluated p.2'!AK28+'6.1 ADIT Calcluated p.3'!AK28</f>
        <v>0</v>
      </c>
    </row>
    <row r="29" spans="1:37" ht="11.25">
      <c r="A29" s="69">
        <f t="shared" si="2"/>
        <v>12</v>
      </c>
      <c r="B29" s="79">
        <v>0.04461</v>
      </c>
      <c r="C29" s="69">
        <f t="shared" si="3"/>
        <v>10</v>
      </c>
      <c r="D29" s="4">
        <f>'6.1 ADIT Calcluated p.2'!D29+'6.1 ADIT Calcluated p.3'!D29</f>
        <v>0</v>
      </c>
      <c r="E29" s="4">
        <f>'6.1 ADIT Calcluated p.2'!E29+'6.1 ADIT Calcluated p.3'!E29</f>
        <v>1427116</v>
      </c>
      <c r="F29" s="4">
        <f>'6.1 ADIT Calcluated p.2'!F29+'6.1 ADIT Calcluated p.3'!F30</f>
        <v>0</v>
      </c>
      <c r="G29" s="4">
        <f>'6.1 ADIT Calcluated p.2'!G29+'6.1 ADIT Calcluated p.3'!G29</f>
        <v>0</v>
      </c>
      <c r="H29" s="4">
        <f>'6.1 ADIT Calcluated p.2'!H29+'6.1 ADIT Calcluated p.3'!H29</f>
        <v>0</v>
      </c>
      <c r="I29" s="4">
        <f>'6.1 ADIT Calcluated p.2'!I29+'6.1 ADIT Calcluated p.3'!I29</f>
        <v>0</v>
      </c>
      <c r="J29" s="4"/>
      <c r="K29" s="4"/>
      <c r="AF29" s="4">
        <f>'6.1 ADIT Calcluated p.2'!AF29+'6.1 ADIT Calcluated p.3'!AF29</f>
        <v>1427116</v>
      </c>
      <c r="AG29" s="4"/>
      <c r="AH29" s="4">
        <v>0</v>
      </c>
      <c r="AI29" s="4">
        <f>'6.1 ADIT Calcluated p.2'!AI29+'6.1 ADIT Calcluated p.3'!AI29</f>
        <v>0</v>
      </c>
      <c r="AJ29" s="4">
        <f>+'6.1 ADIT Calcluated p.2'!AJ29+'6.1 ADIT Calcluated p.3'!AJ29</f>
        <v>0</v>
      </c>
      <c r="AK29" s="4">
        <f>+'6.1 ADIT Calcluated p.2'!AK29+'6.1 ADIT Calcluated p.3'!AK29</f>
        <v>0</v>
      </c>
    </row>
    <row r="30" spans="1:37" ht="11.25">
      <c r="A30" s="69">
        <f t="shared" si="2"/>
        <v>13</v>
      </c>
      <c r="B30" s="79">
        <v>0.04462</v>
      </c>
      <c r="C30" s="69">
        <f t="shared" si="3"/>
        <v>11</v>
      </c>
      <c r="D30" s="4">
        <f>'6.1 ADIT Calcluated p.2'!D30+'6.1 ADIT Calcluated p.3'!D30</f>
        <v>0</v>
      </c>
      <c r="E30" s="4">
        <f>'6.1 ADIT Calcluated p.2'!E30+'6.1 ADIT Calcluated p.3'!E30</f>
        <v>1426797</v>
      </c>
      <c r="F30" s="4">
        <f>'6.1 ADIT Calcluated p.2'!F30+'6.1 ADIT Calcluated p.3'!F31</f>
        <v>0</v>
      </c>
      <c r="G30" s="4">
        <f>'6.1 ADIT Calcluated p.2'!G30+'6.1 ADIT Calcluated p.3'!G30</f>
        <v>0</v>
      </c>
      <c r="H30" s="4">
        <f>'6.1 ADIT Calcluated p.2'!H30+'6.1 ADIT Calcluated p.3'!H30</f>
        <v>0</v>
      </c>
      <c r="I30" s="4">
        <f>'6.1 ADIT Calcluated p.2'!I30+'6.1 ADIT Calcluated p.3'!I30</f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>'6.1 ADIT Calcluated p.2'!AF30+'6.1 ADIT Calcluated p.3'!AF30</f>
        <v>1426797</v>
      </c>
      <c r="AG30" s="4"/>
      <c r="AH30" s="4">
        <v>0</v>
      </c>
      <c r="AI30" s="4">
        <f>'6.1 ADIT Calcluated p.2'!AI30+'6.1 ADIT Calcluated p.3'!AI30</f>
        <v>0</v>
      </c>
      <c r="AJ30" s="4">
        <f>+'6.1 ADIT Calcluated p.2'!AJ30+'6.1 ADIT Calcluated p.3'!AJ30</f>
        <v>0</v>
      </c>
      <c r="AK30" s="4">
        <f>+'6.1 ADIT Calcluated p.2'!AK30+'6.1 ADIT Calcluated p.3'!AK30</f>
        <v>0</v>
      </c>
    </row>
    <row r="31" spans="1:37" ht="11.25">
      <c r="A31" s="69">
        <f t="shared" si="2"/>
        <v>14</v>
      </c>
      <c r="B31" s="79">
        <v>0.04461</v>
      </c>
      <c r="C31" s="69">
        <f t="shared" si="3"/>
        <v>12</v>
      </c>
      <c r="D31" s="4">
        <f>'6.1 ADIT Calcluated p.2'!D31+'6.1 ADIT Calcluated p.3'!D31</f>
        <v>0</v>
      </c>
      <c r="E31" s="4">
        <f>'6.1 ADIT Calcluated p.2'!E31+'6.1 ADIT Calcluated p.3'!E31</f>
        <v>1427116</v>
      </c>
      <c r="F31" s="4">
        <f>'6.1 ADIT Calcluated p.2'!F31+'6.1 ADIT Calcluated p.3'!F32</f>
        <v>0</v>
      </c>
      <c r="G31" s="4">
        <f>'6.1 ADIT Calcluated p.2'!G31+'6.1 ADIT Calcluated p.3'!G31</f>
        <v>0</v>
      </c>
      <c r="H31" s="4">
        <f>'6.1 ADIT Calcluated p.2'!H31+'6.1 ADIT Calcluated p.3'!H31</f>
        <v>0</v>
      </c>
      <c r="I31" s="4">
        <f>'6.1 ADIT Calcluated p.2'!I31+'6.1 ADIT Calcluated p.3'!I31</f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>'6.1 ADIT Calcluated p.2'!AF31+'6.1 ADIT Calcluated p.3'!AF31</f>
        <v>1427116</v>
      </c>
      <c r="AG31" s="4"/>
      <c r="AH31" s="4">
        <v>0</v>
      </c>
      <c r="AI31" s="4">
        <f>'6.1 ADIT Calcluated p.2'!AI31+'6.1 ADIT Calcluated p.3'!AI31</f>
        <v>0</v>
      </c>
      <c r="AJ31" s="4">
        <f>+'6.1 ADIT Calcluated p.2'!AJ31+'6.1 ADIT Calcluated p.3'!AJ31</f>
        <v>0</v>
      </c>
      <c r="AK31" s="4">
        <f>+'6.1 ADIT Calcluated p.2'!AK31+'6.1 ADIT Calcluated p.3'!AK31</f>
        <v>0</v>
      </c>
    </row>
    <row r="32" spans="1:37" ht="11.25">
      <c r="A32" s="69">
        <f t="shared" si="2"/>
        <v>15</v>
      </c>
      <c r="B32" s="79">
        <v>0.04462</v>
      </c>
      <c r="C32" s="69">
        <f t="shared" si="3"/>
        <v>13</v>
      </c>
      <c r="D32" s="4">
        <f>'6.1 ADIT Calcluated p.2'!D32+'6.1 ADIT Calcluated p.3'!D32</f>
        <v>0</v>
      </c>
      <c r="E32" s="4">
        <f>'6.1 ADIT Calcluated p.2'!E32+'6.1 ADIT Calcluated p.3'!E32</f>
        <v>1426797</v>
      </c>
      <c r="F32" s="4">
        <f>'6.1 ADIT Calcluated p.2'!F32+'6.1 ADIT Calcluated p.3'!F33</f>
        <v>0</v>
      </c>
      <c r="G32" s="4">
        <f>'6.1 ADIT Calcluated p.2'!G32+'6.1 ADIT Calcluated p.3'!G32</f>
        <v>0</v>
      </c>
      <c r="H32" s="4">
        <f>'6.1 ADIT Calcluated p.2'!H32+'6.1 ADIT Calcluated p.3'!H32</f>
        <v>0</v>
      </c>
      <c r="I32" s="4">
        <f>'6.1 ADIT Calcluated p.2'!I32+'6.1 ADIT Calcluated p.3'!I32</f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>'6.1 ADIT Calcluated p.2'!AF32+'6.1 ADIT Calcluated p.3'!AF32</f>
        <v>1426797</v>
      </c>
      <c r="AG32" s="4"/>
      <c r="AH32" s="4">
        <v>0</v>
      </c>
      <c r="AI32" s="4">
        <f>'6.1 ADIT Calcluated p.2'!AI32+'6.1 ADIT Calcluated p.3'!AI32</f>
        <v>0</v>
      </c>
      <c r="AJ32" s="4">
        <f>+'6.1 ADIT Calcluated p.2'!AJ32+'6.1 ADIT Calcluated p.3'!AJ32</f>
        <v>0</v>
      </c>
      <c r="AK32" s="4">
        <f>+'6.1 ADIT Calcluated p.2'!AK32+'6.1 ADIT Calcluated p.3'!AK32</f>
        <v>0</v>
      </c>
    </row>
    <row r="33" spans="1:37" ht="11.25">
      <c r="A33" s="69">
        <f t="shared" si="2"/>
        <v>16</v>
      </c>
      <c r="B33" s="79">
        <v>0.04461</v>
      </c>
      <c r="C33" s="69">
        <f t="shared" si="3"/>
        <v>14</v>
      </c>
      <c r="D33" s="4">
        <f>'6.1 ADIT Calcluated p.2'!D33+'6.1 ADIT Calcluated p.3'!D33</f>
        <v>0</v>
      </c>
      <c r="E33" s="4">
        <f>'6.1 ADIT Calcluated p.2'!E33+'6.1 ADIT Calcluated p.3'!E33</f>
        <v>1427116</v>
      </c>
      <c r="F33" s="4">
        <f>'6.1 ADIT Calcluated p.2'!F33+'6.1 ADIT Calcluated p.3'!F34</f>
        <v>0</v>
      </c>
      <c r="G33" s="4">
        <f>'6.1 ADIT Calcluated p.2'!G33+'6.1 ADIT Calcluated p.3'!G33</f>
        <v>0</v>
      </c>
      <c r="H33" s="4">
        <f>'6.1 ADIT Calcluated p.2'!H33+'6.1 ADIT Calcluated p.3'!H33</f>
        <v>0</v>
      </c>
      <c r="I33" s="4">
        <f>'6.1 ADIT Calcluated p.2'!I33+'6.1 ADIT Calcluated p.3'!I33</f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>'6.1 ADIT Calcluated p.2'!AF33+'6.1 ADIT Calcluated p.3'!AF33</f>
        <v>1427116</v>
      </c>
      <c r="AG33" s="4"/>
      <c r="AH33" s="4">
        <v>0</v>
      </c>
      <c r="AI33" s="4">
        <f>'6.1 ADIT Calcluated p.2'!AI33+'6.1 ADIT Calcluated p.3'!AI33</f>
        <v>0</v>
      </c>
      <c r="AJ33" s="4">
        <f>+'6.1 ADIT Calcluated p.2'!AJ33+'6.1 ADIT Calcluated p.3'!AJ33</f>
        <v>0</v>
      </c>
      <c r="AK33" s="4">
        <f>+'6.1 ADIT Calcluated p.2'!AK33+'6.1 ADIT Calcluated p.3'!AK33</f>
        <v>0</v>
      </c>
    </row>
    <row r="34" spans="1:37" ht="11.25">
      <c r="A34" s="69">
        <f t="shared" si="2"/>
        <v>17</v>
      </c>
      <c r="B34" s="79">
        <v>0.04462</v>
      </c>
      <c r="C34" s="69">
        <f t="shared" si="3"/>
        <v>15</v>
      </c>
      <c r="D34" s="4">
        <f>'6.1 ADIT Calcluated p.2'!D34+'6.1 ADIT Calcluated p.3'!D34</f>
        <v>0</v>
      </c>
      <c r="E34" s="4">
        <f>'6.1 ADIT Calcluated p.2'!E34+'6.1 ADIT Calcluated p.3'!E34</f>
        <v>1426797</v>
      </c>
      <c r="F34" s="4">
        <f>'6.1 ADIT Calcluated p.2'!F34+'6.1 ADIT Calcluated p.3'!F35</f>
        <v>0</v>
      </c>
      <c r="G34" s="4">
        <f>'6.1 ADIT Calcluated p.2'!G34+'6.1 ADIT Calcluated p.3'!G34</f>
        <v>0</v>
      </c>
      <c r="H34" s="4">
        <f>'6.1 ADIT Calcluated p.2'!H34+'6.1 ADIT Calcluated p.3'!H34</f>
        <v>0</v>
      </c>
      <c r="I34" s="4">
        <f>'6.1 ADIT Calcluated p.2'!I34+'6.1 ADIT Calcluated p.3'!I34</f>
        <v>0</v>
      </c>
      <c r="J34" s="4"/>
      <c r="K34" s="4"/>
      <c r="L34" s="4"/>
      <c r="M34" s="4"/>
      <c r="N34" s="4"/>
      <c r="O34" s="4"/>
      <c r="P34" s="4"/>
      <c r="AF34" s="4">
        <f>'6.1 ADIT Calcluated p.2'!AF34+'6.1 ADIT Calcluated p.3'!AF34</f>
        <v>1426797</v>
      </c>
      <c r="AG34" s="4"/>
      <c r="AH34" s="4">
        <v>0</v>
      </c>
      <c r="AI34" s="4">
        <f>'6.1 ADIT Calcluated p.2'!AI34+'6.1 ADIT Calcluated p.3'!AI34</f>
        <v>0</v>
      </c>
      <c r="AJ34" s="4">
        <f>+'6.1 ADIT Calcluated p.2'!AJ34+'6.1 ADIT Calcluated p.3'!AJ34</f>
        <v>0</v>
      </c>
      <c r="AK34" s="4">
        <f>+'6.1 ADIT Calcluated p.2'!AK34+'6.1 ADIT Calcluated p.3'!AK34</f>
        <v>0</v>
      </c>
    </row>
    <row r="35" spans="1:37" ht="11.25">
      <c r="A35" s="69">
        <f t="shared" si="2"/>
        <v>18</v>
      </c>
      <c r="B35" s="79">
        <v>0.04461</v>
      </c>
      <c r="C35" s="69">
        <f t="shared" si="3"/>
        <v>16</v>
      </c>
      <c r="D35" s="4">
        <f>'6.1 ADIT Calcluated p.2'!D35+'6.1 ADIT Calcluated p.3'!D35</f>
        <v>0</v>
      </c>
      <c r="E35" s="4">
        <f>'6.1 ADIT Calcluated p.2'!E35+'6.1 ADIT Calcluated p.3'!E35</f>
        <v>1427116</v>
      </c>
      <c r="F35" s="4">
        <f>'6.1 ADIT Calcluated p.2'!F35+'6.1 ADIT Calcluated p.3'!F36</f>
        <v>0</v>
      </c>
      <c r="G35" s="4">
        <f>'6.1 ADIT Calcluated p.2'!G35+'6.1 ADIT Calcluated p.3'!G35</f>
        <v>0</v>
      </c>
      <c r="H35" s="4">
        <f>'6.1 ADIT Calcluated p.2'!H35+'6.1 ADIT Calcluated p.3'!H35</f>
        <v>0</v>
      </c>
      <c r="I35" s="4">
        <f>'6.1 ADIT Calcluated p.2'!I35+'6.1 ADIT Calcluated p.3'!I35</f>
        <v>0</v>
      </c>
      <c r="J35" s="4"/>
      <c r="K35" s="4"/>
      <c r="L35" s="4"/>
      <c r="M35" s="4"/>
      <c r="N35" s="4"/>
      <c r="O35" s="4"/>
      <c r="P35" s="4"/>
      <c r="Q35" s="4"/>
      <c r="AF35" s="4">
        <f>'6.1 ADIT Calcluated p.2'!AF35+'6.1 ADIT Calcluated p.3'!AF35</f>
        <v>1427116</v>
      </c>
      <c r="AG35" s="4"/>
      <c r="AH35" s="4">
        <v>0</v>
      </c>
      <c r="AI35" s="4">
        <f>'6.1 ADIT Calcluated p.2'!AI35+'6.1 ADIT Calcluated p.3'!AI35</f>
        <v>0</v>
      </c>
      <c r="AJ35" s="4">
        <f>+'6.1 ADIT Calcluated p.2'!AJ35+'6.1 ADIT Calcluated p.3'!AJ35</f>
        <v>0</v>
      </c>
      <c r="AK35" s="4">
        <f>+'6.1 ADIT Calcluated p.2'!AK35+'6.1 ADIT Calcluated p.3'!AK35</f>
        <v>0</v>
      </c>
    </row>
    <row r="36" spans="1:37" ht="11.25">
      <c r="A36" s="69">
        <f t="shared" si="2"/>
        <v>19</v>
      </c>
      <c r="B36" s="79">
        <v>0.04462</v>
      </c>
      <c r="C36" s="69">
        <f t="shared" si="3"/>
        <v>17</v>
      </c>
      <c r="D36" s="4">
        <f>'6.1 ADIT Calcluated p.2'!D36+'6.1 ADIT Calcluated p.3'!D36</f>
        <v>0</v>
      </c>
      <c r="E36" s="4">
        <f>'6.1 ADIT Calcluated p.2'!E36+'6.1 ADIT Calcluated p.3'!E36</f>
        <v>1426797</v>
      </c>
      <c r="F36" s="4">
        <f>'6.1 ADIT Calcluated p.2'!F36+'6.1 ADIT Calcluated p.3'!F37</f>
        <v>0</v>
      </c>
      <c r="G36" s="4">
        <f>'6.1 ADIT Calcluated p.2'!G36+'6.1 ADIT Calcluated p.3'!G36</f>
        <v>0</v>
      </c>
      <c r="H36" s="4">
        <f>'6.1 ADIT Calcluated p.2'!H36+'6.1 ADIT Calcluated p.3'!H36</f>
        <v>0</v>
      </c>
      <c r="I36" s="4">
        <f>'6.1 ADIT Calcluated p.2'!I36+'6.1 ADIT Calcluated p.3'!I36</f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>'6.1 ADIT Calcluated p.2'!AF36+'6.1 ADIT Calcluated p.3'!AF36</f>
        <v>1426797</v>
      </c>
      <c r="AG36" s="4"/>
      <c r="AH36" s="4">
        <v>0</v>
      </c>
      <c r="AI36" s="4">
        <f>'6.1 ADIT Calcluated p.2'!AI36+'6.1 ADIT Calcluated p.3'!AI36</f>
        <v>0</v>
      </c>
      <c r="AJ36" s="4">
        <f>+'6.1 ADIT Calcluated p.2'!AJ36+'6.1 ADIT Calcluated p.3'!AJ36</f>
        <v>0</v>
      </c>
      <c r="AK36" s="4">
        <f>+'6.1 ADIT Calcluated p.2'!AK36+'6.1 ADIT Calcluated p.3'!AK36</f>
        <v>0</v>
      </c>
    </row>
    <row r="37" spans="1:37" ht="11.25">
      <c r="A37" s="69">
        <f t="shared" si="2"/>
        <v>20</v>
      </c>
      <c r="B37" s="79">
        <v>0.04461</v>
      </c>
      <c r="C37" s="69">
        <f t="shared" si="3"/>
        <v>18</v>
      </c>
      <c r="D37" s="4">
        <f>'6.1 ADIT Calcluated p.2'!D37+'6.1 ADIT Calcluated p.3'!D37</f>
        <v>0</v>
      </c>
      <c r="E37" s="4">
        <f>'6.1 ADIT Calcluated p.2'!E37+'6.1 ADIT Calcluated p.3'!E37</f>
        <v>1427116</v>
      </c>
      <c r="F37" s="4">
        <f>'6.1 ADIT Calcluated p.2'!F37+'6.1 ADIT Calcluated p.3'!F38</f>
        <v>0</v>
      </c>
      <c r="G37" s="4">
        <f>'6.1 ADIT Calcluated p.2'!G37+'6.1 ADIT Calcluated p.3'!G37</f>
        <v>0</v>
      </c>
      <c r="H37" s="4">
        <f>'6.1 ADIT Calcluated p.2'!H37+'6.1 ADIT Calcluated p.3'!H37</f>
        <v>0</v>
      </c>
      <c r="I37" s="4">
        <f>'6.1 ADIT Calcluated p.2'!I37+'6.1 ADIT Calcluated p.3'!I37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>'6.1 ADIT Calcluated p.2'!AF37+'6.1 ADIT Calcluated p.3'!AF37</f>
        <v>1427116</v>
      </c>
      <c r="AG37" s="4"/>
      <c r="AH37" s="4">
        <v>0</v>
      </c>
      <c r="AI37" s="4">
        <f>'6.1 ADIT Calcluated p.2'!AI37+'6.1 ADIT Calcluated p.3'!AI37</f>
        <v>0</v>
      </c>
      <c r="AJ37" s="4">
        <f>+'6.1 ADIT Calcluated p.2'!AJ37+'6.1 ADIT Calcluated p.3'!AJ37</f>
        <v>0</v>
      </c>
      <c r="AK37" s="4">
        <f>+'6.1 ADIT Calcluated p.2'!AK37+'6.1 ADIT Calcluated p.3'!AK37</f>
        <v>0</v>
      </c>
    </row>
    <row r="38" spans="1:37" ht="11.25">
      <c r="A38" s="69">
        <f t="shared" si="2"/>
        <v>21</v>
      </c>
      <c r="B38" s="79">
        <v>0.04462</v>
      </c>
      <c r="C38" s="69">
        <f t="shared" si="3"/>
        <v>19</v>
      </c>
      <c r="D38" s="4">
        <f>'6.1 ADIT Calcluated p.2'!D38+'6.1 ADIT Calcluated p.3'!D38</f>
        <v>0</v>
      </c>
      <c r="E38" s="4">
        <f>'6.1 ADIT Calcluated p.2'!E38+'6.1 ADIT Calcluated p.3'!E38</f>
        <v>1426797</v>
      </c>
      <c r="F38" s="4">
        <f>'6.1 ADIT Calcluated p.2'!F38+'6.1 ADIT Calcluated p.3'!F39</f>
        <v>0</v>
      </c>
      <c r="G38" s="4">
        <f>'6.1 ADIT Calcluated p.2'!G38+'6.1 ADIT Calcluated p.3'!G38</f>
        <v>0</v>
      </c>
      <c r="H38" s="4">
        <f>'6.1 ADIT Calcluated p.2'!H38+'6.1 ADIT Calcluated p.3'!H38</f>
        <v>0</v>
      </c>
      <c r="I38" s="4">
        <f>'6.1 ADIT Calcluated p.2'!I38+'6.1 ADIT Calcluated p.3'!I38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>'6.1 ADIT Calcluated p.2'!AF38+'6.1 ADIT Calcluated p.3'!AF38</f>
        <v>1426797</v>
      </c>
      <c r="AG38" s="4"/>
      <c r="AH38" s="4">
        <v>0</v>
      </c>
      <c r="AI38" s="4">
        <f>'6.1 ADIT Calcluated p.2'!AI38+'6.1 ADIT Calcluated p.3'!AI38</f>
        <v>0</v>
      </c>
      <c r="AJ38" s="4">
        <f>+'6.1 ADIT Calcluated p.2'!AJ38+'6.1 ADIT Calcluated p.3'!AJ38</f>
        <v>0</v>
      </c>
      <c r="AK38" s="4">
        <f>+'6.1 ADIT Calcluated p.2'!AK38+'6.1 ADIT Calcluated p.3'!AK38</f>
        <v>0</v>
      </c>
    </row>
    <row r="39" spans="1:37" ht="11.25">
      <c r="A39" s="69">
        <f t="shared" si="2"/>
        <v>22</v>
      </c>
      <c r="B39" s="79">
        <v>0.04461</v>
      </c>
      <c r="C39" s="69">
        <f t="shared" si="3"/>
        <v>20</v>
      </c>
      <c r="D39" s="4">
        <f>'6.1 ADIT Calcluated p.2'!D39+'6.1 ADIT Calcluated p.3'!D39</f>
        <v>0</v>
      </c>
      <c r="E39" s="4">
        <f>'6.1 ADIT Calcluated p.2'!E39+'6.1 ADIT Calcluated p.3'!E39</f>
        <v>1427116</v>
      </c>
      <c r="F39" s="4">
        <f>'6.1 ADIT Calcluated p.2'!F39+'6.1 ADIT Calcluated p.3'!F40</f>
        <v>0</v>
      </c>
      <c r="G39" s="4">
        <f>'6.1 ADIT Calcluated p.2'!G39+'6.1 ADIT Calcluated p.3'!G39</f>
        <v>0</v>
      </c>
      <c r="H39" s="4">
        <f>'6.1 ADIT Calcluated p.2'!H39+'6.1 ADIT Calcluated p.3'!H39</f>
        <v>0</v>
      </c>
      <c r="I39" s="4">
        <f>'6.1 ADIT Calcluated p.2'!I39+'6.1 ADIT Calcluated p.3'!I39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>'6.1 ADIT Calcluated p.2'!AF39+'6.1 ADIT Calcluated p.3'!AF39</f>
        <v>1427116</v>
      </c>
      <c r="AG39" s="4"/>
      <c r="AH39" s="4">
        <v>0</v>
      </c>
      <c r="AI39" s="4">
        <f>'6.1 ADIT Calcluated p.2'!AI39+'6.1 ADIT Calcluated p.3'!AI39</f>
        <v>0</v>
      </c>
      <c r="AJ39" s="4">
        <f>+'6.1 ADIT Calcluated p.2'!AJ39+'6.1 ADIT Calcluated p.3'!AJ39</f>
        <v>0</v>
      </c>
      <c r="AK39" s="4">
        <f>+'6.1 ADIT Calcluated p.2'!AK39+'6.1 ADIT Calcluated p.3'!AK39</f>
        <v>0</v>
      </c>
    </row>
    <row r="40" spans="1:37" ht="11.25">
      <c r="A40" s="69">
        <f t="shared" si="2"/>
        <v>23</v>
      </c>
      <c r="B40" s="79">
        <v>0.02231</v>
      </c>
      <c r="C40" s="69">
        <f t="shared" si="3"/>
        <v>21</v>
      </c>
      <c r="D40" s="4">
        <f>'6.1 ADIT Calcluated p.2'!D40+'6.1 ADIT Calcluated p.3'!D40</f>
        <v>0</v>
      </c>
      <c r="E40" s="4">
        <f>'6.1 ADIT Calcluated p.2'!E40+'6.1 ADIT Calcluated p.3'!E40</f>
        <v>1426797</v>
      </c>
      <c r="F40" s="4">
        <f>'6.1 ADIT Calcluated p.2'!F40+'6.1 ADIT Calcluated p.3'!F41</f>
        <v>0</v>
      </c>
      <c r="G40" s="4">
        <f>'6.1 ADIT Calcluated p.2'!G40+'6.1 ADIT Calcluated p.3'!G40</f>
        <v>0</v>
      </c>
      <c r="H40" s="4">
        <f>'6.1 ADIT Calcluated p.2'!H40+'6.1 ADIT Calcluated p.3'!H40</f>
        <v>0</v>
      </c>
      <c r="I40" s="4">
        <f>'6.1 ADIT Calcluated p.2'!I40+'6.1 ADIT Calcluated p.3'!I40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>'6.1 ADIT Calcluated p.2'!AF40+'6.1 ADIT Calcluated p.3'!AF40</f>
        <v>1426797</v>
      </c>
      <c r="AG40" s="4"/>
      <c r="AH40" s="4">
        <v>0</v>
      </c>
      <c r="AI40" s="4">
        <f>'6.1 ADIT Calcluated p.2'!AI40+'6.1 ADIT Calcluated p.3'!AI40</f>
        <v>0</v>
      </c>
      <c r="AJ40" s="4">
        <f>+'6.1 ADIT Calcluated p.2'!AJ40+'6.1 ADIT Calcluated p.3'!AJ40</f>
        <v>0</v>
      </c>
      <c r="AK40" s="4">
        <f>+'6.1 ADIT Calcluated p.2'!AK40+'6.1 ADIT Calcluated p.3'!AK40</f>
        <v>0</v>
      </c>
    </row>
    <row r="41" spans="1:37" ht="11.25">
      <c r="A41" s="69">
        <f t="shared" si="2"/>
        <v>24</v>
      </c>
      <c r="B41" s="79"/>
      <c r="C41" s="69">
        <f t="shared" si="3"/>
        <v>22</v>
      </c>
      <c r="D41" s="4"/>
      <c r="E41" s="4">
        <f>'6.1 ADIT Calcluated p.2'!E41+'6.1 ADIT Calcluated p.3'!E41</f>
        <v>713562</v>
      </c>
      <c r="F41" s="4">
        <f>'6.1 ADIT Calcluated p.2'!F41+'6.1 ADIT Calcluated p.3'!F42</f>
        <v>0</v>
      </c>
      <c r="G41" s="4">
        <f>'6.1 ADIT Calcluated p.2'!G41+'6.1 ADIT Calcluated p.3'!G41</f>
        <v>0</v>
      </c>
      <c r="H41" s="4">
        <f>'6.1 ADIT Calcluated p.2'!H41+'6.1 ADIT Calcluated p.3'!H41</f>
        <v>0</v>
      </c>
      <c r="I41" s="4">
        <f>'6.1 ADIT Calcluated p.2'!I41+'6.1 ADIT Calcluated p.3'!I41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>'6.1 ADIT Calcluated p.2'!AF41+'6.1 ADIT Calcluated p.3'!AF41</f>
        <v>713562</v>
      </c>
      <c r="AH41" s="4">
        <v>0</v>
      </c>
      <c r="AI41" s="4">
        <f>'6.1 ADIT Calcluated p.2'!AI41+'6.1 ADIT Calcluated p.3'!AI41</f>
        <v>0</v>
      </c>
      <c r="AJ41" s="4">
        <f>+'6.1 ADIT Calcluated p.2'!AJ41+'6.1 ADIT Calcluated p.3'!AJ41</f>
        <v>0</v>
      </c>
      <c r="AK41" s="4">
        <f>+'6.1 ADIT Calcluated p.2'!AK41+'6.1 ADIT Calcluated p.3'!AK41</f>
        <v>0</v>
      </c>
    </row>
    <row r="42" spans="1:37" ht="11.25">
      <c r="A42" s="69">
        <f t="shared" si="2"/>
        <v>25</v>
      </c>
      <c r="B42" s="79"/>
      <c r="C42" s="69">
        <f t="shared" si="3"/>
        <v>23</v>
      </c>
      <c r="E42" s="4">
        <f>'6.1 ADIT Calcluated p.2'!E42+'6.1 ADIT Calcluated p.3'!E43</f>
        <v>0</v>
      </c>
      <c r="F42" s="4"/>
      <c r="G42" s="4">
        <f>'6.1 ADIT Calcluated p.2'!G42+'6.1 ADIT Calcluated p.3'!G42</f>
        <v>0</v>
      </c>
      <c r="H42" s="4">
        <f>'6.1 ADIT Calcluated p.2'!H42+'6.1 ADIT Calcluated p.3'!H42</f>
        <v>0</v>
      </c>
      <c r="I42" s="4">
        <f>'6.1 ADIT Calcluated p.2'!I42+'6.1 ADIT Calcluated p.3'!I42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>'6.1 ADIT Calcluated p.2'!AF42+'6.1 ADIT Calcluated p.3'!AF42</f>
        <v>0</v>
      </c>
      <c r="AH42" s="4">
        <v>0</v>
      </c>
      <c r="AI42" s="4">
        <f>'6.1 ADIT Calcluated p.2'!AI42+'6.1 ADIT Calcluated p.3'!AI42</f>
        <v>0</v>
      </c>
      <c r="AJ42" s="4">
        <f>+'6.1 ADIT Calcluated p.2'!AJ42+'6.1 ADIT Calcluated p.3'!AJ42</f>
        <v>0</v>
      </c>
      <c r="AK42" s="4">
        <f>+'6.1 ADIT Calcluated p.2'!AK42+'6.1 ADIT Calcluated p.3'!AK42</f>
        <v>0</v>
      </c>
    </row>
    <row r="43" spans="1:37" ht="11.25">
      <c r="A43" s="69">
        <f t="shared" si="2"/>
        <v>26</v>
      </c>
      <c r="B43" s="79"/>
      <c r="C43" s="69">
        <f t="shared" si="3"/>
        <v>24</v>
      </c>
      <c r="E43" s="4">
        <f>'6.1 ADIT Calcluated p.2'!E43+'6.1 ADIT Calcluated p.3'!E44</f>
        <v>0</v>
      </c>
      <c r="F43" s="4"/>
      <c r="G43" s="4"/>
      <c r="H43" s="4">
        <f>'6.1 ADIT Calcluated p.2'!H43+'6.1 ADIT Calcluated p.3'!H43</f>
        <v>0</v>
      </c>
      <c r="I43" s="4">
        <f>'6.1 ADIT Calcluated p.2'!I43+'6.1 ADIT Calcluated p.3'!I43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>'6.1 ADIT Calcluated p.2'!AF43+'6.1 ADIT Calcluated p.3'!AF43</f>
        <v>0</v>
      </c>
      <c r="AH43" s="4">
        <v>0</v>
      </c>
      <c r="AI43" s="4">
        <f>'6.1 ADIT Calcluated p.2'!AI45+'6.1 ADIT Calcluated p.3'!AI45</f>
        <v>0</v>
      </c>
      <c r="AJ43" s="4">
        <f>+'6.1 ADIT Calcluated p.2'!AJ43+'6.1 ADIT Calcluated p.3'!AJ43</f>
        <v>0</v>
      </c>
      <c r="AK43" s="4">
        <f>+'6.1 ADIT Calcluated p.2'!AJ43+'6.1 ADIT Calcluated p.3'!AJ43</f>
        <v>0</v>
      </c>
    </row>
    <row r="44" spans="1:37" ht="11.25">
      <c r="A44" s="69">
        <f t="shared" si="2"/>
        <v>27</v>
      </c>
      <c r="B44" s="79"/>
      <c r="C44" s="69"/>
      <c r="G44" s="4"/>
      <c r="H44" s="4"/>
      <c r="I44" s="4">
        <f>'6.1 ADIT Calcluated p.2'!I44+'6.1 ADIT Calcluated p.3'!I44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>'6.1 ADIT Calcluated p.2'!AF44+'6.1 ADIT Calcluated p.3'!AF44</f>
        <v>0</v>
      </c>
      <c r="AH44" s="4"/>
      <c r="AI44" s="4"/>
      <c r="AJ44" s="4"/>
      <c r="AK44" s="4"/>
    </row>
    <row r="45" spans="1:37" ht="11.25">
      <c r="A45" s="69">
        <f t="shared" si="2"/>
        <v>28</v>
      </c>
      <c r="D45" s="17">
        <f>SUM(D20:D42)</f>
        <v>0</v>
      </c>
      <c r="E45" s="17">
        <f>SUM(E20:E42)</f>
        <v>41642531</v>
      </c>
      <c r="F45" s="17">
        <f>SUM(F20:F42)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4" ref="J45:AF45">SUM(J20:J44)</f>
        <v>0</v>
      </c>
      <c r="K45" s="17">
        <f t="shared" si="4"/>
        <v>0</v>
      </c>
      <c r="L45" s="17">
        <f t="shared" si="4"/>
        <v>0</v>
      </c>
      <c r="M45" s="17">
        <f t="shared" si="4"/>
        <v>0</v>
      </c>
      <c r="N45" s="17">
        <f t="shared" si="4"/>
        <v>0</v>
      </c>
      <c r="O45" s="17">
        <f t="shared" si="4"/>
        <v>0</v>
      </c>
      <c r="P45" s="17">
        <f t="shared" si="4"/>
        <v>0</v>
      </c>
      <c r="Q45" s="17">
        <f t="shared" si="4"/>
        <v>0</v>
      </c>
      <c r="R45" s="17">
        <f t="shared" si="4"/>
        <v>0</v>
      </c>
      <c r="S45" s="17">
        <f t="shared" si="4"/>
        <v>0</v>
      </c>
      <c r="T45" s="17">
        <f t="shared" si="4"/>
        <v>0</v>
      </c>
      <c r="U45" s="17">
        <f t="shared" si="4"/>
        <v>0</v>
      </c>
      <c r="V45" s="17">
        <f t="shared" si="4"/>
        <v>0</v>
      </c>
      <c r="W45" s="17">
        <f t="shared" si="4"/>
        <v>0</v>
      </c>
      <c r="X45" s="17">
        <f t="shared" si="4"/>
        <v>0</v>
      </c>
      <c r="Y45" s="17">
        <f t="shared" si="4"/>
        <v>0</v>
      </c>
      <c r="Z45" s="17">
        <f t="shared" si="4"/>
        <v>0</v>
      </c>
      <c r="AA45" s="17">
        <f t="shared" si="4"/>
        <v>0</v>
      </c>
      <c r="AB45" s="17">
        <f t="shared" si="4"/>
        <v>0</v>
      </c>
      <c r="AC45" s="17">
        <f t="shared" si="4"/>
        <v>0</v>
      </c>
      <c r="AD45" s="17">
        <f t="shared" si="4"/>
        <v>0</v>
      </c>
      <c r="AE45" s="17">
        <f t="shared" si="4"/>
        <v>0</v>
      </c>
      <c r="AF45" s="17">
        <f t="shared" si="4"/>
        <v>41642531</v>
      </c>
      <c r="AG45" s="17">
        <f>SUM(AG20:AG43)</f>
        <v>2144338.0000000005</v>
      </c>
      <c r="AH45" s="17">
        <f>SUM(AH20:AH43)</f>
        <v>295323.47500000003</v>
      </c>
      <c r="AI45" s="4"/>
      <c r="AJ45" s="4"/>
      <c r="AK45" s="4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4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76"/>
    </row>
    <row r="48" spans="1:37" ht="11.25">
      <c r="A48" s="16" t="s">
        <v>270</v>
      </c>
      <c r="AH48" s="17"/>
      <c r="AI48" s="4"/>
      <c r="AJ48" s="4"/>
      <c r="AK48" s="4"/>
    </row>
    <row r="49" spans="4:6" ht="11.25">
      <c r="D49" s="77"/>
      <c r="E49" s="77"/>
      <c r="F49" s="77"/>
    </row>
    <row r="50" spans="4:6" ht="11.25">
      <c r="D50" s="77"/>
      <c r="E50" s="77"/>
      <c r="F50" s="77"/>
    </row>
    <row r="55" ht="11.25">
      <c r="AF55" s="17"/>
    </row>
    <row r="56" ht="11.25">
      <c r="AF56" s="17"/>
    </row>
    <row r="57" ht="11.25">
      <c r="AF57" s="17"/>
    </row>
    <row r="58" ht="11.25">
      <c r="AF58" s="17"/>
    </row>
    <row r="59" spans="7:32" ht="11.25">
      <c r="G59" s="4"/>
      <c r="AF59" s="17"/>
    </row>
    <row r="60" spans="7:32" ht="11.25">
      <c r="G60" s="4"/>
      <c r="H60" s="4"/>
      <c r="AF60" s="17"/>
    </row>
    <row r="61" spans="7:32" ht="11.25">
      <c r="G61" s="4"/>
      <c r="H61" s="4"/>
      <c r="I61" s="4"/>
      <c r="AF61" s="17"/>
    </row>
    <row r="62" spans="7:32" ht="11.25">
      <c r="G62" s="4"/>
      <c r="H62" s="4"/>
      <c r="I62" s="4"/>
      <c r="J62" s="4"/>
      <c r="AF62" s="17"/>
    </row>
    <row r="63" spans="7:32" ht="11.25">
      <c r="G63" s="4"/>
      <c r="H63" s="4"/>
      <c r="I63" s="4"/>
      <c r="J63" s="4"/>
      <c r="K63" s="4"/>
      <c r="AF63" s="17"/>
    </row>
    <row r="64" spans="7:32" ht="11.2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7"/>
    </row>
    <row r="65" spans="7:33" ht="11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7"/>
      <c r="AG65" s="17"/>
    </row>
    <row r="66" spans="7:33" ht="11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7"/>
      <c r="AG66" s="17"/>
    </row>
    <row r="67" spans="7:33" ht="11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7"/>
      <c r="AG67" s="17"/>
    </row>
    <row r="68" spans="7:31" ht="11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8:31" ht="11.2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9:31" ht="11.25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0:31" ht="11.25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1:31" ht="11.25"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2:31" ht="11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</sheetData>
  <sheetProtection/>
  <mergeCells count="4">
    <mergeCell ref="A5:AK5"/>
    <mergeCell ref="A7:AK7"/>
    <mergeCell ref="D17:AG17"/>
    <mergeCell ref="A6:AK6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06"/>
  <sheetViews>
    <sheetView zoomScale="90" zoomScaleNormal="90" zoomScaleSheetLayoutView="100" zoomScalePageLayoutView="0" workbookViewId="0" topLeftCell="A3">
      <selection activeCell="F46" sqref="F46"/>
    </sheetView>
  </sheetViews>
  <sheetFormatPr defaultColWidth="9.140625" defaultRowHeight="12.75"/>
  <cols>
    <col min="1" max="1" width="3.8515625" style="69" customWidth="1"/>
    <col min="2" max="2" width="14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2.00390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1" width="12.8515625" style="5" hidden="1" customWidth="1"/>
    <col min="32" max="32" width="12.00390625" style="5" bestFit="1" customWidth="1"/>
    <col min="33" max="33" width="10.00390625" style="5" bestFit="1" customWidth="1"/>
    <col min="34" max="34" width="12.57421875" style="5" bestFit="1" customWidth="1"/>
    <col min="35" max="35" width="11.00390625" style="5" bestFit="1" customWidth="1"/>
    <col min="36" max="37" width="12.28125" style="5" bestFit="1" customWidth="1"/>
    <col min="38" max="16384" width="9.140625" style="5" customWidth="1"/>
  </cols>
  <sheetData>
    <row r="1" spans="2:37" ht="11.25">
      <c r="B1" s="70"/>
      <c r="S1" s="15"/>
      <c r="AK1" s="15" t="str">
        <f>+'6.1 ADIT Calculated p.1'!AK1</f>
        <v> PSC Set 1 No. 1 2022-00342</v>
      </c>
    </row>
    <row r="2" spans="2:37" ht="11.25">
      <c r="B2" s="70"/>
      <c r="S2" s="15"/>
      <c r="AK2" s="15" t="str">
        <f>+'6.1 ADIT Calculated p.1'!AK2</f>
        <v>Attachment JTG-1</v>
      </c>
    </row>
    <row r="3" spans="2:37" ht="11.25">
      <c r="B3" s="70"/>
      <c r="S3" s="15"/>
      <c r="AK3" s="15" t="str">
        <f>+'6.1 ADIT Calculated p.1'!AK3</f>
        <v>SMRP Form 6.1</v>
      </c>
    </row>
    <row r="4" spans="8:37" ht="11.25">
      <c r="H4" s="15"/>
      <c r="R4" s="38"/>
      <c r="S4" s="38"/>
      <c r="AK4" s="15" t="s">
        <v>262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3.5">
      <c r="A7" s="167" t="s">
        <v>272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ht="11.25">
      <c r="B8" s="14"/>
    </row>
    <row r="9" spans="2:36" ht="12.75" customHeight="1">
      <c r="B9" s="7"/>
      <c r="AJ9" s="18"/>
    </row>
    <row r="10" spans="9:37" ht="11.25">
      <c r="I10" s="18"/>
      <c r="J10" s="18">
        <f aca="true" t="shared" si="0" ref="J10:AE10">+I10+1</f>
        <v>1</v>
      </c>
      <c r="K10" s="18">
        <f t="shared" si="0"/>
        <v>2</v>
      </c>
      <c r="L10" s="18">
        <f t="shared" si="0"/>
        <v>3</v>
      </c>
      <c r="M10" s="18">
        <f t="shared" si="0"/>
        <v>4</v>
      </c>
      <c r="N10" s="18">
        <f t="shared" si="0"/>
        <v>5</v>
      </c>
      <c r="O10" s="18">
        <f t="shared" si="0"/>
        <v>6</v>
      </c>
      <c r="P10" s="18">
        <f t="shared" si="0"/>
        <v>7</v>
      </c>
      <c r="Q10" s="18">
        <f t="shared" si="0"/>
        <v>8</v>
      </c>
      <c r="R10" s="18">
        <f>+Q10+1</f>
        <v>9</v>
      </c>
      <c r="S10" s="18">
        <f t="shared" si="0"/>
        <v>10</v>
      </c>
      <c r="T10" s="18">
        <f t="shared" si="0"/>
        <v>11</v>
      </c>
      <c r="U10" s="18">
        <f t="shared" si="0"/>
        <v>12</v>
      </c>
      <c r="V10" s="18">
        <f t="shared" si="0"/>
        <v>13</v>
      </c>
      <c r="W10" s="18">
        <f t="shared" si="0"/>
        <v>14</v>
      </c>
      <c r="X10" s="18">
        <f t="shared" si="0"/>
        <v>15</v>
      </c>
      <c r="Y10" s="18">
        <f t="shared" si="0"/>
        <v>16</v>
      </c>
      <c r="Z10" s="18">
        <f t="shared" si="0"/>
        <v>17</v>
      </c>
      <c r="AA10" s="18">
        <f t="shared" si="0"/>
        <v>18</v>
      </c>
      <c r="AB10" s="18">
        <f t="shared" si="0"/>
        <v>19</v>
      </c>
      <c r="AC10" s="18">
        <f t="shared" si="0"/>
        <v>20</v>
      </c>
      <c r="AD10" s="18">
        <f t="shared" si="0"/>
        <v>21</v>
      </c>
      <c r="AE10" s="18">
        <f t="shared" si="0"/>
        <v>22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f>+'6.1 ADIT Calculated p.1'!D11</f>
        <v>2022</v>
      </c>
      <c r="E11" s="18">
        <f>+'6.1 ADIT Calculated p.1'!E11</f>
        <v>2023</v>
      </c>
      <c r="F11" s="18">
        <f>+'6.1 ADIT Calculated p.1'!F11</f>
        <v>2024</v>
      </c>
      <c r="G11" s="18">
        <f>+'6.1 ADIT Calculated p.1'!G11</f>
        <v>2025</v>
      </c>
      <c r="H11" s="18">
        <f>+'6.1 ADIT Calculated p.1'!H11</f>
        <v>2026</v>
      </c>
      <c r="I11" s="18">
        <f>+'6.1 ADIT Calculated p.1'!I11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83" t="s">
        <v>102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5" t="s">
        <v>183</v>
      </c>
      <c r="C16" s="74"/>
      <c r="D16" s="6">
        <f>+'5.0 Depr Expense'!Q14+'5.0 Depr Expense'!Q34</f>
        <v>0</v>
      </c>
      <c r="E16" s="6">
        <f>+'5.0 Depr Expense'!Q89+'5.0 Depr Expense'!Q109</f>
        <v>40147687.00000001</v>
      </c>
      <c r="F16" s="6">
        <v>0</v>
      </c>
      <c r="G16" s="6">
        <v>0</v>
      </c>
      <c r="H16" s="6">
        <v>0</v>
      </c>
      <c r="I16" s="6">
        <v>0</v>
      </c>
      <c r="J16" s="6" t="e">
        <f>#REF!+#REF!</f>
        <v>#REF!</v>
      </c>
      <c r="K16" s="6" t="e">
        <f>#REF!+#REF!</f>
        <v>#REF!</v>
      </c>
      <c r="L16" s="6" t="e">
        <f>#REF!+#REF!</f>
        <v>#REF!</v>
      </c>
      <c r="M16" s="6" t="e">
        <f>#REF!+#REF!</f>
        <v>#REF!</v>
      </c>
      <c r="N16" s="6" t="e">
        <f>#REF!+#REF!</f>
        <v>#REF!</v>
      </c>
      <c r="O16" s="6" t="e">
        <f>#REF!+#REF!</f>
        <v>#REF!</v>
      </c>
      <c r="P16" s="6" t="e">
        <f>#REF!+#REF!</f>
        <v>#REF!</v>
      </c>
      <c r="Q16" s="6" t="e">
        <f>#REF!+#REF!</f>
        <v>#REF!</v>
      </c>
      <c r="R16" s="6" t="e">
        <f>#REF!+#REF!</f>
        <v>#REF!</v>
      </c>
      <c r="S16" s="6" t="e">
        <f>#REF!+#REF!</f>
        <v>#REF!</v>
      </c>
      <c r="T16" s="6" t="e">
        <f>#REF!+#REF!</f>
        <v>#REF!</v>
      </c>
      <c r="U16" s="6" t="e">
        <f>#REF!+#REF!</f>
        <v>#REF!</v>
      </c>
      <c r="V16" s="6" t="e">
        <f>#REF!+#REF!</f>
        <v>#REF!</v>
      </c>
      <c r="W16" s="6" t="e">
        <f>#REF!+#REF!</f>
        <v>#REF!</v>
      </c>
      <c r="X16" s="6" t="e">
        <f>#REF!+#REF!</f>
        <v>#REF!</v>
      </c>
      <c r="Y16" s="6" t="e">
        <f>#REF!+#REF!</f>
        <v>#REF!</v>
      </c>
      <c r="Z16" s="6" t="e">
        <f>#REF!+#REF!</f>
        <v>#REF!</v>
      </c>
      <c r="AA16" s="6" t="e">
        <f>#REF!+#REF!</f>
        <v>#REF!</v>
      </c>
      <c r="AB16" s="6" t="e">
        <f>#REF!+#REF!</f>
        <v>#REF!</v>
      </c>
      <c r="AC16" s="6" t="e">
        <f>#REF!+#REF!</f>
        <v>#REF!</v>
      </c>
      <c r="AD16" s="6" t="e">
        <f>#REF!+#REF!</f>
        <v>#REF!</v>
      </c>
      <c r="AE16" s="6" t="e">
        <f>#REF!+#REF!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13.5" customHeight="1">
      <c r="A18" s="69">
        <f>A16+1</f>
        <v>2</v>
      </c>
      <c r="B18" s="75" t="s">
        <v>97</v>
      </c>
      <c r="C18" s="74"/>
      <c r="D18" s="8">
        <f aca="true" t="shared" si="2" ref="D18:I18">D56+D55</f>
        <v>0.23908727000000002</v>
      </c>
      <c r="E18" s="8">
        <f t="shared" si="2"/>
        <v>0.23908727000000002</v>
      </c>
      <c r="F18" s="8">
        <f t="shared" si="2"/>
        <v>0.23908727000000002</v>
      </c>
      <c r="G18" s="8">
        <f t="shared" si="2"/>
        <v>0.23908727000000002</v>
      </c>
      <c r="H18" s="8">
        <f t="shared" si="2"/>
        <v>0.23908727000000002</v>
      </c>
      <c r="I18" s="8">
        <f t="shared" si="2"/>
        <v>0.23908727000000002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ROUND((D$16)*$D$18,0)+ROUND(($D$16-($D$16*$D$18))*B20,0)</f>
        <v>0</v>
      </c>
      <c r="E20" s="4"/>
      <c r="AF20" s="4">
        <f>SUM(D20:G20)</f>
        <v>0</v>
      </c>
      <c r="AG20" s="4">
        <f>SUM('4.0 Accumulated Depr'!D35:O35)+SUM('4.0 Accumulated Depr'!D37:O37)</f>
        <v>0</v>
      </c>
      <c r="AH20" s="4">
        <f>+'5.0 Depr Expense'!Q21+'5.0 Depr Expense'!Q41</f>
        <v>0</v>
      </c>
      <c r="AI20" s="17">
        <f>AF20+AG20-AH20</f>
        <v>0</v>
      </c>
      <c r="AJ20" s="4">
        <f>ROUND(0.2495*AI20,0)</f>
        <v>0</v>
      </c>
      <c r="AK20" s="4">
        <f>+AJ20</f>
        <v>0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 aca="true" t="shared" si="3" ref="D21:D39">ROUND(($D$16-($D$16*$D$18))*B21,0)</f>
        <v>0</v>
      </c>
      <c r="E21" s="4">
        <f>ROUND((E$16)*E$18,0)+ROUND((E$16-(E$16*E$18))*$B20,0)</f>
        <v>10744384</v>
      </c>
      <c r="F21" s="4"/>
      <c r="AF21" s="4">
        <f>SUM(D21:G21)</f>
        <v>10744384</v>
      </c>
      <c r="AG21" s="4">
        <f>SUM('4.0 Accumulated Depr'!D91:O91)+SUM('4.0 Accumulated Depr'!D93:O93)</f>
        <v>2119991.0000000005</v>
      </c>
      <c r="AH21" s="4">
        <f>+'5.0 Depr Expense'!Q96+'5.0 Depr Expense'!Q116</f>
        <v>283680.552</v>
      </c>
      <c r="AI21" s="17">
        <f>AF21+AG21-AH21</f>
        <v>12580694.448</v>
      </c>
      <c r="AJ21" s="4">
        <f>ROUND(0.2495*AI21,0)</f>
        <v>3138883</v>
      </c>
      <c r="AK21" s="4">
        <f>+AK20+AJ21</f>
        <v>3138883</v>
      </c>
    </row>
    <row r="22" spans="1:37" ht="11.25">
      <c r="A22" s="69">
        <f aca="true" t="shared" si="4" ref="A22:A45">A21+1</f>
        <v>5</v>
      </c>
      <c r="B22" s="79">
        <v>0.06677</v>
      </c>
      <c r="C22" s="69">
        <f aca="true" t="shared" si="5" ref="C22:C43">+C21+1</f>
        <v>3</v>
      </c>
      <c r="D22" s="4">
        <f t="shared" si="3"/>
        <v>0</v>
      </c>
      <c r="E22" s="4">
        <f>ROUND((E$16-(E$16*E$18))*$B21,0)</f>
        <v>2205324</v>
      </c>
      <c r="F22" s="4">
        <f>ROUND((F$16)*F$18,0)+ROUND((F$16-(F$16*F$18))*$B20,0)</f>
        <v>0</v>
      </c>
      <c r="G22" s="4">
        <f>ROUND((G$16)*G$18,0)+ROUND((G$16-(G$16*G$18))*$B20,0)</f>
        <v>0</v>
      </c>
      <c r="AF22" s="4">
        <f>SUM(D22:G22)</f>
        <v>2205324</v>
      </c>
      <c r="AG22" s="4"/>
      <c r="AH22" s="4"/>
      <c r="AI22" s="17"/>
      <c r="AJ22" s="4"/>
      <c r="AK22" s="4"/>
    </row>
    <row r="23" spans="1:37" ht="11.25">
      <c r="A23" s="69">
        <f t="shared" si="4"/>
        <v>6</v>
      </c>
      <c r="B23" s="79">
        <v>0.06177</v>
      </c>
      <c r="C23" s="69">
        <f t="shared" si="5"/>
        <v>4</v>
      </c>
      <c r="D23" s="4">
        <f t="shared" si="3"/>
        <v>0</v>
      </c>
      <c r="E23" s="4">
        <f aca="true" t="shared" si="6" ref="E23:E40">ROUND(($E$16-($E$16*$E$18))*B22,0)</f>
        <v>2039749</v>
      </c>
      <c r="F23" s="4">
        <f>ROUND((F$16-(F$16*F$18))*$B21,0)</f>
        <v>0</v>
      </c>
      <c r="G23" s="4">
        <f>ROUND((G$16-(G$16*G$18))*$B21,0)</f>
        <v>0</v>
      </c>
      <c r="H23" s="4">
        <f>ROUND((H$16)*H$18,0)+ROUND((H$16-(H$16*H$18))*$B20,0)</f>
        <v>0</v>
      </c>
      <c r="AF23" s="4">
        <f>SUM(D23:H23)</f>
        <v>2039749</v>
      </c>
      <c r="AG23" s="4">
        <v>0</v>
      </c>
      <c r="AH23" s="4"/>
      <c r="AI23" s="17"/>
      <c r="AJ23" s="4"/>
      <c r="AK23" s="4"/>
    </row>
    <row r="24" spans="1:37" ht="11.25">
      <c r="A24" s="69">
        <f t="shared" si="4"/>
        <v>7</v>
      </c>
      <c r="B24" s="79">
        <v>0.05713</v>
      </c>
      <c r="C24" s="69">
        <f t="shared" si="5"/>
        <v>5</v>
      </c>
      <c r="D24" s="4">
        <f t="shared" si="3"/>
        <v>0</v>
      </c>
      <c r="E24" s="4">
        <f t="shared" si="6"/>
        <v>1887005</v>
      </c>
      <c r="F24" s="4">
        <f aca="true" t="shared" si="7" ref="F24:F41">ROUND((F$16-(F$16*F$18))*$B22,0)</f>
        <v>0</v>
      </c>
      <c r="G24" s="4">
        <f aca="true" t="shared" si="8" ref="G24:G42">ROUND((G$16-(G$16*G$18))*$B22,0)</f>
        <v>0</v>
      </c>
      <c r="H24" s="4">
        <f>ROUND((H$16-(H$16*H$18))*$B21,0)</f>
        <v>0</v>
      </c>
      <c r="I24" s="4">
        <f>ROUND((I$16)*I$18,0)+ROUND((I$16-(I$16*I$18))*$B20,0)</f>
        <v>0</v>
      </c>
      <c r="AF24" s="4">
        <f>SUM(D24:I24)</f>
        <v>1887005</v>
      </c>
      <c r="AG24" s="4">
        <v>0</v>
      </c>
      <c r="AH24" s="4"/>
      <c r="AI24" s="17"/>
      <c r="AJ24" s="4"/>
      <c r="AK24" s="4"/>
    </row>
    <row r="25" spans="1:37" ht="11.25">
      <c r="A25" s="69">
        <f t="shared" si="4"/>
        <v>8</v>
      </c>
      <c r="B25" s="79">
        <v>0.05285</v>
      </c>
      <c r="C25" s="69">
        <f t="shared" si="5"/>
        <v>6</v>
      </c>
      <c r="D25" s="4">
        <f t="shared" si="3"/>
        <v>0</v>
      </c>
      <c r="E25" s="4">
        <f t="shared" si="6"/>
        <v>1745258</v>
      </c>
      <c r="F25" s="4">
        <f t="shared" si="7"/>
        <v>0</v>
      </c>
      <c r="G25" s="4">
        <f t="shared" si="8"/>
        <v>0</v>
      </c>
      <c r="H25" s="4">
        <f aca="true" t="shared" si="9" ref="H25:H43">ROUND((H$16-(H$16*H$18))*$B22,0)</f>
        <v>0</v>
      </c>
      <c r="I25" s="4">
        <f>ROUND((I$16-(I$16*I$18))*$B21,0)</f>
        <v>0</v>
      </c>
      <c r="AF25" s="4">
        <f aca="true" t="shared" si="10" ref="AF25:AF44">SUM(D25:I25)</f>
        <v>1745258</v>
      </c>
      <c r="AG25" s="4"/>
      <c r="AH25" s="4"/>
      <c r="AI25" s="17"/>
      <c r="AJ25" s="4"/>
      <c r="AK25" s="4"/>
    </row>
    <row r="26" spans="1:37" ht="11.25">
      <c r="A26" s="69">
        <f t="shared" si="4"/>
        <v>9</v>
      </c>
      <c r="B26" s="79">
        <v>0.04888</v>
      </c>
      <c r="C26" s="69">
        <f t="shared" si="5"/>
        <v>7</v>
      </c>
      <c r="D26" s="4">
        <f t="shared" si="3"/>
        <v>0</v>
      </c>
      <c r="E26" s="4">
        <f t="shared" si="6"/>
        <v>1614509</v>
      </c>
      <c r="F26" s="4">
        <f t="shared" si="7"/>
        <v>0</v>
      </c>
      <c r="G26" s="4">
        <f t="shared" si="8"/>
        <v>0</v>
      </c>
      <c r="H26" s="4">
        <f t="shared" si="9"/>
        <v>0</v>
      </c>
      <c r="I26" s="4">
        <f aca="true" t="shared" si="11" ref="I26:I44">ROUND((I$16-(I$16*I$18))*$B22,0)</f>
        <v>0</v>
      </c>
      <c r="AF26" s="4">
        <f t="shared" si="10"/>
        <v>1614509</v>
      </c>
      <c r="AG26" s="4"/>
      <c r="AH26" s="4"/>
      <c r="AI26" s="17"/>
      <c r="AJ26" s="4"/>
      <c r="AK26" s="4"/>
    </row>
    <row r="27" spans="1:37" ht="11.25">
      <c r="A27" s="69">
        <f t="shared" si="4"/>
        <v>10</v>
      </c>
      <c r="B27" s="79">
        <v>0.04522</v>
      </c>
      <c r="C27" s="69">
        <f t="shared" si="5"/>
        <v>8</v>
      </c>
      <c r="D27" s="4">
        <f t="shared" si="3"/>
        <v>0</v>
      </c>
      <c r="E27" s="4">
        <f t="shared" si="6"/>
        <v>1493230</v>
      </c>
      <c r="F27" s="4">
        <f t="shared" si="7"/>
        <v>0</v>
      </c>
      <c r="G27" s="4">
        <f t="shared" si="8"/>
        <v>0</v>
      </c>
      <c r="H27" s="4">
        <f t="shared" si="9"/>
        <v>0</v>
      </c>
      <c r="I27" s="4">
        <f t="shared" si="11"/>
        <v>0</v>
      </c>
      <c r="AF27" s="4">
        <f t="shared" si="10"/>
        <v>1493230</v>
      </c>
      <c r="AG27" s="4"/>
      <c r="AH27" s="4"/>
      <c r="AI27" s="17"/>
      <c r="AJ27" s="4"/>
      <c r="AK27" s="4"/>
    </row>
    <row r="28" spans="1:37" ht="11.25">
      <c r="A28" s="69">
        <f t="shared" si="4"/>
        <v>11</v>
      </c>
      <c r="B28" s="79">
        <v>0.04462</v>
      </c>
      <c r="C28" s="69">
        <f t="shared" si="5"/>
        <v>9</v>
      </c>
      <c r="D28" s="4">
        <f t="shared" si="3"/>
        <v>0</v>
      </c>
      <c r="E28" s="4">
        <f t="shared" si="6"/>
        <v>1381421</v>
      </c>
      <c r="F28" s="4">
        <f t="shared" si="7"/>
        <v>0</v>
      </c>
      <c r="G28" s="4">
        <f t="shared" si="8"/>
        <v>0</v>
      </c>
      <c r="H28" s="4">
        <f t="shared" si="9"/>
        <v>0</v>
      </c>
      <c r="I28" s="4">
        <f t="shared" si="11"/>
        <v>0</v>
      </c>
      <c r="J28" s="4"/>
      <c r="AF28" s="4">
        <f t="shared" si="10"/>
        <v>1381421</v>
      </c>
      <c r="AG28" s="4"/>
      <c r="AH28" s="4"/>
      <c r="AI28" s="17"/>
      <c r="AJ28" s="4"/>
      <c r="AK28" s="4"/>
    </row>
    <row r="29" spans="1:37" ht="11.25">
      <c r="A29" s="69">
        <f t="shared" si="4"/>
        <v>12</v>
      </c>
      <c r="B29" s="79">
        <v>0.04461</v>
      </c>
      <c r="C29" s="69">
        <f t="shared" si="5"/>
        <v>10</v>
      </c>
      <c r="D29" s="4">
        <f t="shared" si="3"/>
        <v>0</v>
      </c>
      <c r="E29" s="4">
        <f t="shared" si="6"/>
        <v>1363091</v>
      </c>
      <c r="F29" s="4">
        <f t="shared" si="7"/>
        <v>0</v>
      </c>
      <c r="G29" s="4">
        <f t="shared" si="8"/>
        <v>0</v>
      </c>
      <c r="H29" s="4">
        <f t="shared" si="9"/>
        <v>0</v>
      </c>
      <c r="I29" s="4">
        <f t="shared" si="11"/>
        <v>0</v>
      </c>
      <c r="J29" s="4"/>
      <c r="K29" s="4"/>
      <c r="AF29" s="4">
        <f t="shared" si="10"/>
        <v>1363091</v>
      </c>
      <c r="AG29" s="4"/>
      <c r="AH29" s="4"/>
      <c r="AI29" s="17"/>
      <c r="AJ29" s="4"/>
      <c r="AK29" s="4"/>
    </row>
    <row r="30" spans="1:37" ht="11.25">
      <c r="A30" s="69">
        <f t="shared" si="4"/>
        <v>13</v>
      </c>
      <c r="B30" s="79">
        <v>0.04462</v>
      </c>
      <c r="C30" s="69">
        <f t="shared" si="5"/>
        <v>11</v>
      </c>
      <c r="D30" s="4">
        <f t="shared" si="3"/>
        <v>0</v>
      </c>
      <c r="E30" s="4">
        <f t="shared" si="6"/>
        <v>1362786</v>
      </c>
      <c r="F30" s="4">
        <f t="shared" si="7"/>
        <v>0</v>
      </c>
      <c r="G30" s="4">
        <f t="shared" si="8"/>
        <v>0</v>
      </c>
      <c r="H30" s="4">
        <f t="shared" si="9"/>
        <v>0</v>
      </c>
      <c r="I30" s="4">
        <f t="shared" si="11"/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10"/>
        <v>1362786</v>
      </c>
      <c r="AG30" s="4"/>
      <c r="AH30" s="4"/>
      <c r="AI30" s="17"/>
      <c r="AJ30" s="4"/>
      <c r="AK30" s="4"/>
    </row>
    <row r="31" spans="1:37" ht="11.25">
      <c r="A31" s="69">
        <f t="shared" si="4"/>
        <v>14</v>
      </c>
      <c r="B31" s="79">
        <v>0.04461</v>
      </c>
      <c r="C31" s="69">
        <f t="shared" si="5"/>
        <v>12</v>
      </c>
      <c r="D31" s="4">
        <f t="shared" si="3"/>
        <v>0</v>
      </c>
      <c r="E31" s="4">
        <f t="shared" si="6"/>
        <v>1363091</v>
      </c>
      <c r="F31" s="4">
        <f t="shared" si="7"/>
        <v>0</v>
      </c>
      <c r="G31" s="4">
        <f t="shared" si="8"/>
        <v>0</v>
      </c>
      <c r="H31" s="4">
        <f t="shared" si="9"/>
        <v>0</v>
      </c>
      <c r="I31" s="4">
        <f t="shared" si="11"/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t="shared" si="10"/>
        <v>1363091</v>
      </c>
      <c r="AG31" s="4"/>
      <c r="AH31" s="4"/>
      <c r="AI31" s="17"/>
      <c r="AJ31" s="4"/>
      <c r="AK31" s="4"/>
    </row>
    <row r="32" spans="1:37" ht="11.25">
      <c r="A32" s="69">
        <f t="shared" si="4"/>
        <v>15</v>
      </c>
      <c r="B32" s="79">
        <v>0.04462</v>
      </c>
      <c r="C32" s="69">
        <f t="shared" si="5"/>
        <v>13</v>
      </c>
      <c r="D32" s="4">
        <f t="shared" si="3"/>
        <v>0</v>
      </c>
      <c r="E32" s="4">
        <f t="shared" si="6"/>
        <v>1362786</v>
      </c>
      <c r="F32" s="4">
        <f t="shared" si="7"/>
        <v>0</v>
      </c>
      <c r="G32" s="4">
        <f t="shared" si="8"/>
        <v>0</v>
      </c>
      <c r="H32" s="4">
        <f t="shared" si="9"/>
        <v>0</v>
      </c>
      <c r="I32" s="4">
        <f t="shared" si="11"/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 t="shared" si="10"/>
        <v>1362786</v>
      </c>
      <c r="AG32" s="4"/>
      <c r="AH32" s="4"/>
      <c r="AI32" s="17"/>
      <c r="AJ32" s="4"/>
      <c r="AK32" s="4"/>
    </row>
    <row r="33" spans="1:37" ht="11.25">
      <c r="A33" s="69">
        <f t="shared" si="4"/>
        <v>16</v>
      </c>
      <c r="B33" s="79">
        <v>0.04461</v>
      </c>
      <c r="C33" s="69">
        <f t="shared" si="5"/>
        <v>14</v>
      </c>
      <c r="D33" s="4">
        <f t="shared" si="3"/>
        <v>0</v>
      </c>
      <c r="E33" s="4">
        <f t="shared" si="6"/>
        <v>1363091</v>
      </c>
      <c r="F33" s="4">
        <f t="shared" si="7"/>
        <v>0</v>
      </c>
      <c r="G33" s="4">
        <f t="shared" si="8"/>
        <v>0</v>
      </c>
      <c r="H33" s="4">
        <f t="shared" si="9"/>
        <v>0</v>
      </c>
      <c r="I33" s="4">
        <f t="shared" si="11"/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10"/>
        <v>1363091</v>
      </c>
      <c r="AG33" s="4"/>
      <c r="AH33" s="4"/>
      <c r="AI33" s="17"/>
      <c r="AJ33" s="4"/>
      <c r="AK33" s="4"/>
    </row>
    <row r="34" spans="1:37" ht="11.25">
      <c r="A34" s="69">
        <f t="shared" si="4"/>
        <v>17</v>
      </c>
      <c r="B34" s="79">
        <v>0.04462</v>
      </c>
      <c r="C34" s="69">
        <f t="shared" si="5"/>
        <v>15</v>
      </c>
      <c r="D34" s="4">
        <f t="shared" si="3"/>
        <v>0</v>
      </c>
      <c r="E34" s="4">
        <f t="shared" si="6"/>
        <v>1362786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1"/>
        <v>0</v>
      </c>
      <c r="J34" s="4"/>
      <c r="K34" s="4"/>
      <c r="L34" s="4"/>
      <c r="M34" s="4"/>
      <c r="N34" s="4"/>
      <c r="O34" s="4"/>
      <c r="P34" s="4"/>
      <c r="AF34" s="4">
        <f t="shared" si="10"/>
        <v>1362786</v>
      </c>
      <c r="AG34" s="4"/>
      <c r="AH34" s="4"/>
      <c r="AI34" s="17"/>
      <c r="AJ34" s="4"/>
      <c r="AK34" s="4"/>
    </row>
    <row r="35" spans="1:37" ht="11.25">
      <c r="A35" s="69">
        <f t="shared" si="4"/>
        <v>18</v>
      </c>
      <c r="B35" s="79">
        <v>0.04461</v>
      </c>
      <c r="C35" s="69">
        <f t="shared" si="5"/>
        <v>16</v>
      </c>
      <c r="D35" s="4">
        <f t="shared" si="3"/>
        <v>0</v>
      </c>
      <c r="E35" s="4">
        <f t="shared" si="6"/>
        <v>1363091</v>
      </c>
      <c r="F35" s="4">
        <f t="shared" si="7"/>
        <v>0</v>
      </c>
      <c r="G35" s="4">
        <f t="shared" si="8"/>
        <v>0</v>
      </c>
      <c r="H35" s="4">
        <f t="shared" si="9"/>
        <v>0</v>
      </c>
      <c r="I35" s="4">
        <f t="shared" si="11"/>
        <v>0</v>
      </c>
      <c r="J35" s="4"/>
      <c r="K35" s="4"/>
      <c r="L35" s="4"/>
      <c r="M35" s="4"/>
      <c r="N35" s="4"/>
      <c r="O35" s="4"/>
      <c r="P35" s="4"/>
      <c r="Q35" s="4"/>
      <c r="AF35" s="4">
        <f t="shared" si="10"/>
        <v>1363091</v>
      </c>
      <c r="AG35" s="4"/>
      <c r="AH35" s="4"/>
      <c r="AI35" s="17"/>
      <c r="AJ35" s="4"/>
      <c r="AK35" s="4"/>
    </row>
    <row r="36" spans="1:37" ht="11.25">
      <c r="A36" s="69">
        <f t="shared" si="4"/>
        <v>19</v>
      </c>
      <c r="B36" s="79">
        <v>0.04462</v>
      </c>
      <c r="C36" s="69">
        <f t="shared" si="5"/>
        <v>17</v>
      </c>
      <c r="D36" s="4">
        <f t="shared" si="3"/>
        <v>0</v>
      </c>
      <c r="E36" s="4">
        <f t="shared" si="6"/>
        <v>1362786</v>
      </c>
      <c r="F36" s="4">
        <f t="shared" si="7"/>
        <v>0</v>
      </c>
      <c r="G36" s="4">
        <f t="shared" si="8"/>
        <v>0</v>
      </c>
      <c r="H36" s="4">
        <f t="shared" si="9"/>
        <v>0</v>
      </c>
      <c r="I36" s="4">
        <f t="shared" si="11"/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 t="shared" si="10"/>
        <v>1362786</v>
      </c>
      <c r="AG36" s="4"/>
      <c r="AH36" s="4"/>
      <c r="AI36" s="17"/>
      <c r="AJ36" s="4"/>
      <c r="AK36" s="4"/>
    </row>
    <row r="37" spans="1:37" ht="11.25">
      <c r="A37" s="69">
        <f t="shared" si="4"/>
        <v>20</v>
      </c>
      <c r="B37" s="79">
        <v>0.04461</v>
      </c>
      <c r="C37" s="69">
        <f t="shared" si="5"/>
        <v>18</v>
      </c>
      <c r="D37" s="4">
        <f t="shared" si="3"/>
        <v>0</v>
      </c>
      <c r="E37" s="4">
        <f t="shared" si="6"/>
        <v>1363091</v>
      </c>
      <c r="F37" s="4">
        <f t="shared" si="7"/>
        <v>0</v>
      </c>
      <c r="G37" s="4">
        <f t="shared" si="8"/>
        <v>0</v>
      </c>
      <c r="H37" s="4">
        <f t="shared" si="9"/>
        <v>0</v>
      </c>
      <c r="I37" s="4">
        <f t="shared" si="11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 t="shared" si="10"/>
        <v>1363091</v>
      </c>
      <c r="AG37" s="4"/>
      <c r="AH37" s="4"/>
      <c r="AI37" s="17"/>
      <c r="AJ37" s="4"/>
      <c r="AK37" s="4"/>
    </row>
    <row r="38" spans="1:37" ht="11.25">
      <c r="A38" s="69">
        <f t="shared" si="4"/>
        <v>21</v>
      </c>
      <c r="B38" s="79">
        <v>0.04462</v>
      </c>
      <c r="C38" s="69">
        <f t="shared" si="5"/>
        <v>19</v>
      </c>
      <c r="D38" s="4">
        <f t="shared" si="3"/>
        <v>0</v>
      </c>
      <c r="E38" s="4">
        <f t="shared" si="6"/>
        <v>1362786</v>
      </c>
      <c r="F38" s="4">
        <f t="shared" si="7"/>
        <v>0</v>
      </c>
      <c r="G38" s="4">
        <f t="shared" si="8"/>
        <v>0</v>
      </c>
      <c r="H38" s="4">
        <f t="shared" si="9"/>
        <v>0</v>
      </c>
      <c r="I38" s="4">
        <f t="shared" si="11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 t="shared" si="10"/>
        <v>1362786</v>
      </c>
      <c r="AG38" s="4"/>
      <c r="AH38" s="4"/>
      <c r="AI38" s="17"/>
      <c r="AJ38" s="4"/>
      <c r="AK38" s="4"/>
    </row>
    <row r="39" spans="1:37" ht="11.25">
      <c r="A39" s="69">
        <f t="shared" si="4"/>
        <v>22</v>
      </c>
      <c r="B39" s="79">
        <v>0.04461</v>
      </c>
      <c r="C39" s="69">
        <f t="shared" si="5"/>
        <v>20</v>
      </c>
      <c r="D39" s="4">
        <f t="shared" si="3"/>
        <v>0</v>
      </c>
      <c r="E39" s="4">
        <f t="shared" si="6"/>
        <v>1363091</v>
      </c>
      <c r="F39" s="4">
        <f t="shared" si="7"/>
        <v>0</v>
      </c>
      <c r="G39" s="4">
        <f t="shared" si="8"/>
        <v>0</v>
      </c>
      <c r="H39" s="4">
        <f t="shared" si="9"/>
        <v>0</v>
      </c>
      <c r="I39" s="4">
        <f t="shared" si="11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10"/>
        <v>1363091</v>
      </c>
      <c r="AG39" s="4"/>
      <c r="AH39" s="4"/>
      <c r="AI39" s="17"/>
      <c r="AJ39" s="4"/>
      <c r="AK39" s="4"/>
    </row>
    <row r="40" spans="1:37" ht="11.25">
      <c r="A40" s="69">
        <f t="shared" si="4"/>
        <v>23</v>
      </c>
      <c r="B40" s="79">
        <v>0.02231</v>
      </c>
      <c r="C40" s="69">
        <f t="shared" si="5"/>
        <v>21</v>
      </c>
      <c r="D40" s="4">
        <f>ROUND(($D$16-($D$16*$D$18))*B40,0)</f>
        <v>0</v>
      </c>
      <c r="E40" s="4">
        <f t="shared" si="6"/>
        <v>1362786</v>
      </c>
      <c r="F40" s="4">
        <f t="shared" si="7"/>
        <v>0</v>
      </c>
      <c r="G40" s="4">
        <f t="shared" si="8"/>
        <v>0</v>
      </c>
      <c r="H40" s="4">
        <f t="shared" si="9"/>
        <v>0</v>
      </c>
      <c r="I40" s="4">
        <f t="shared" si="11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10"/>
        <v>1362786</v>
      </c>
      <c r="AG40" s="4"/>
      <c r="AH40" s="4"/>
      <c r="AI40" s="17"/>
      <c r="AJ40" s="4"/>
      <c r="AK40" s="4"/>
    </row>
    <row r="41" spans="1:37" ht="11.25">
      <c r="A41" s="69">
        <f t="shared" si="4"/>
        <v>24</v>
      </c>
      <c r="B41" s="79"/>
      <c r="C41" s="69">
        <f t="shared" si="5"/>
        <v>22</v>
      </c>
      <c r="E41" s="4">
        <f>ROUND(($E$16-($E$16*$E$18))*B40,0)+4</f>
        <v>681550</v>
      </c>
      <c r="F41" s="4">
        <f t="shared" si="7"/>
        <v>0</v>
      </c>
      <c r="G41" s="4">
        <f t="shared" si="8"/>
        <v>0</v>
      </c>
      <c r="H41" s="4">
        <f t="shared" si="9"/>
        <v>0</v>
      </c>
      <c r="I41" s="4">
        <f t="shared" si="11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10"/>
        <v>681550</v>
      </c>
      <c r="AH41" s="4"/>
      <c r="AI41" s="17"/>
      <c r="AJ41" s="4"/>
      <c r="AK41" s="4"/>
    </row>
    <row r="42" spans="1:37" ht="11.25">
      <c r="A42" s="69">
        <f t="shared" si="4"/>
        <v>25</v>
      </c>
      <c r="B42" s="79"/>
      <c r="C42" s="69">
        <f t="shared" si="5"/>
        <v>23</v>
      </c>
      <c r="F42" s="4">
        <f>ROUND((F$16-(F$16*F$18))*$B40,0)</f>
        <v>0</v>
      </c>
      <c r="G42" s="4">
        <f t="shared" si="8"/>
        <v>0</v>
      </c>
      <c r="H42" s="4">
        <f t="shared" si="9"/>
        <v>0</v>
      </c>
      <c r="I42" s="4">
        <f t="shared" si="11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10"/>
        <v>0</v>
      </c>
      <c r="AH42" s="4"/>
      <c r="AI42" s="17"/>
      <c r="AJ42" s="4"/>
      <c r="AK42" s="4"/>
    </row>
    <row r="43" spans="1:37" ht="11.25">
      <c r="A43" s="69">
        <f t="shared" si="4"/>
        <v>26</v>
      </c>
      <c r="B43" s="79"/>
      <c r="C43" s="69">
        <f t="shared" si="5"/>
        <v>24</v>
      </c>
      <c r="F43" s="4"/>
      <c r="G43" s="4"/>
      <c r="H43" s="4">
        <f t="shared" si="9"/>
        <v>0</v>
      </c>
      <c r="I43" s="4">
        <f t="shared" si="11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10"/>
        <v>0</v>
      </c>
      <c r="AH43" s="4">
        <f>AH42</f>
        <v>0</v>
      </c>
      <c r="AI43" s="17">
        <f>AF43+AG43-AH43</f>
        <v>0</v>
      </c>
      <c r="AJ43" s="4">
        <f>ROUND(0.2495*AH43,0)</f>
        <v>0</v>
      </c>
      <c r="AK43" s="4">
        <f>ROUND(0.2495*AI43,0)</f>
        <v>0</v>
      </c>
    </row>
    <row r="44" spans="1:37" ht="11.25">
      <c r="A44" s="69">
        <f t="shared" si="4"/>
        <v>27</v>
      </c>
      <c r="B44" s="79"/>
      <c r="C44" s="69"/>
      <c r="F44" s="4"/>
      <c r="G44" s="4"/>
      <c r="H44" s="4"/>
      <c r="I44" s="4">
        <f t="shared" si="11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10"/>
        <v>0</v>
      </c>
      <c r="AH44" s="4"/>
      <c r="AI44" s="17"/>
      <c r="AJ44" s="4"/>
      <c r="AK44" s="4"/>
    </row>
    <row r="45" spans="1:37" ht="11.25">
      <c r="A45" s="69">
        <f t="shared" si="4"/>
        <v>28</v>
      </c>
      <c r="D45" s="17">
        <f>SUM(D20:D41)</f>
        <v>0</v>
      </c>
      <c r="E45" s="17">
        <f>SUM(E20:E41)-2</f>
        <v>40147690</v>
      </c>
      <c r="F45" s="17">
        <f>SUM(F20:F41)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12" ref="J45:AE45">SUM(J20:J42)</f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  <c r="S45" s="17">
        <f t="shared" si="12"/>
        <v>0</v>
      </c>
      <c r="T45" s="17">
        <f t="shared" si="12"/>
        <v>0</v>
      </c>
      <c r="U45" s="17">
        <f t="shared" si="12"/>
        <v>0</v>
      </c>
      <c r="V45" s="17">
        <f t="shared" si="12"/>
        <v>0</v>
      </c>
      <c r="W45" s="17">
        <f t="shared" si="12"/>
        <v>0</v>
      </c>
      <c r="X45" s="17">
        <f t="shared" si="12"/>
        <v>0</v>
      </c>
      <c r="Y45" s="17">
        <f t="shared" si="12"/>
        <v>0</v>
      </c>
      <c r="Z45" s="17">
        <f t="shared" si="12"/>
        <v>0</v>
      </c>
      <c r="AA45" s="17">
        <f t="shared" si="12"/>
        <v>0</v>
      </c>
      <c r="AB45" s="17">
        <f t="shared" si="12"/>
        <v>0</v>
      </c>
      <c r="AC45" s="17">
        <f t="shared" si="12"/>
        <v>0</v>
      </c>
      <c r="AD45" s="17">
        <f t="shared" si="12"/>
        <v>0</v>
      </c>
      <c r="AE45" s="17">
        <f t="shared" si="12"/>
        <v>0</v>
      </c>
      <c r="AF45" s="17">
        <f>SUM(AF20:AF43)</f>
        <v>40147692</v>
      </c>
      <c r="AG45" s="17">
        <f>SUM(AG20:AG43)</f>
        <v>2119991.0000000005</v>
      </c>
      <c r="AH45" s="17">
        <f>SUM(AH20:AH43)</f>
        <v>283680.552</v>
      </c>
      <c r="AI45" s="4"/>
      <c r="AJ45" s="4"/>
      <c r="AK45" s="4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4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76"/>
    </row>
    <row r="48" spans="1:37" ht="11.25">
      <c r="A48" s="16" t="s">
        <v>93</v>
      </c>
      <c r="AH48" s="17"/>
      <c r="AI48" s="4"/>
      <c r="AJ48" s="4"/>
      <c r="AK48" s="4"/>
    </row>
    <row r="49" spans="1:37" ht="11.25">
      <c r="A49" s="16" t="s">
        <v>302</v>
      </c>
      <c r="AH49" s="17"/>
      <c r="AI49" s="4"/>
      <c r="AJ49" s="4"/>
      <c r="AK49" s="4"/>
    </row>
    <row r="50" spans="1:37" ht="11.25">
      <c r="A50" s="16" t="s">
        <v>185</v>
      </c>
      <c r="AH50" s="17"/>
      <c r="AI50" s="4"/>
      <c r="AJ50" s="4"/>
      <c r="AK50" s="4"/>
    </row>
    <row r="51" spans="4:37" ht="11.25">
      <c r="D51" s="80">
        <v>2022</v>
      </c>
      <c r="E51" s="80">
        <f>+D51+1</f>
        <v>2023</v>
      </c>
      <c r="F51" s="80">
        <f>+E51+1</f>
        <v>2024</v>
      </c>
      <c r="G51" s="80">
        <f>+F51+1</f>
        <v>2025</v>
      </c>
      <c r="H51" s="80">
        <f>+G51+1</f>
        <v>2026</v>
      </c>
      <c r="I51" s="80">
        <f>+H51+1</f>
        <v>2027</v>
      </c>
      <c r="AH51" s="17"/>
      <c r="AI51" s="4"/>
      <c r="AJ51" s="4"/>
      <c r="AK51" s="4"/>
    </row>
    <row r="52" spans="2:37" ht="11.25">
      <c r="B52" s="40" t="s">
        <v>74</v>
      </c>
      <c r="D52" s="84">
        <v>0.2073</v>
      </c>
      <c r="E52" s="84">
        <f>+D52</f>
        <v>0.2073</v>
      </c>
      <c r="F52" s="84">
        <f>+E52</f>
        <v>0.2073</v>
      </c>
      <c r="G52" s="84">
        <f>+F52</f>
        <v>0.2073</v>
      </c>
      <c r="H52" s="84">
        <f>+G52</f>
        <v>0.2073</v>
      </c>
      <c r="I52" s="84">
        <f>+H52</f>
        <v>0.2073</v>
      </c>
      <c r="AH52" s="17"/>
      <c r="AI52" s="4"/>
      <c r="AJ52" s="4"/>
      <c r="AK52" s="4"/>
    </row>
    <row r="53" spans="2:33" ht="11.25">
      <c r="B53" s="40" t="s">
        <v>75</v>
      </c>
      <c r="D53" s="84">
        <v>0.0401</v>
      </c>
      <c r="E53" s="84">
        <v>0.0401</v>
      </c>
      <c r="F53" s="84">
        <v>0.0401</v>
      </c>
      <c r="G53" s="84">
        <v>0.0401</v>
      </c>
      <c r="H53" s="84">
        <v>0.0401</v>
      </c>
      <c r="I53" s="84">
        <v>0.0401</v>
      </c>
      <c r="AG53" s="70"/>
    </row>
    <row r="54" spans="4:37" ht="11.25">
      <c r="D54" s="41">
        <f>(1-D52)*D53</f>
        <v>0.03178726999999999</v>
      </c>
      <c r="E54" s="41">
        <f>(1-E52)*E53</f>
        <v>0.03178726999999999</v>
      </c>
      <c r="F54" s="41">
        <f aca="true" t="shared" si="13" ref="F54:AE54">(1-F52)*F53</f>
        <v>0.03178726999999999</v>
      </c>
      <c r="G54" s="41">
        <f t="shared" si="13"/>
        <v>0.03178726999999999</v>
      </c>
      <c r="H54" s="41">
        <f>(1-H52)*H53</f>
        <v>0.03178726999999999</v>
      </c>
      <c r="I54" s="41">
        <f>(1-I52)*I53</f>
        <v>0.03178726999999999</v>
      </c>
      <c r="J54" s="41">
        <f t="shared" si="13"/>
        <v>0</v>
      </c>
      <c r="K54" s="41">
        <f t="shared" si="13"/>
        <v>0</v>
      </c>
      <c r="L54" s="41">
        <f t="shared" si="13"/>
        <v>0</v>
      </c>
      <c r="M54" s="41">
        <f t="shared" si="13"/>
        <v>0</v>
      </c>
      <c r="N54" s="41">
        <f t="shared" si="13"/>
        <v>0</v>
      </c>
      <c r="O54" s="41">
        <f t="shared" si="13"/>
        <v>0</v>
      </c>
      <c r="P54" s="41">
        <f t="shared" si="13"/>
        <v>0</v>
      </c>
      <c r="Q54" s="41">
        <f t="shared" si="13"/>
        <v>0</v>
      </c>
      <c r="R54" s="41">
        <f t="shared" si="13"/>
        <v>0</v>
      </c>
      <c r="S54" s="41">
        <f t="shared" si="13"/>
        <v>0</v>
      </c>
      <c r="T54" s="41">
        <f t="shared" si="13"/>
        <v>0</v>
      </c>
      <c r="U54" s="41">
        <f t="shared" si="13"/>
        <v>0</v>
      </c>
      <c r="V54" s="41">
        <f t="shared" si="13"/>
        <v>0</v>
      </c>
      <c r="W54" s="41">
        <f t="shared" si="13"/>
        <v>0</v>
      </c>
      <c r="X54" s="41">
        <f t="shared" si="13"/>
        <v>0</v>
      </c>
      <c r="Y54" s="41">
        <f t="shared" si="13"/>
        <v>0</v>
      </c>
      <c r="Z54" s="41">
        <f t="shared" si="13"/>
        <v>0</v>
      </c>
      <c r="AA54" s="41">
        <f t="shared" si="13"/>
        <v>0</v>
      </c>
      <c r="AB54" s="41">
        <f t="shared" si="13"/>
        <v>0</v>
      </c>
      <c r="AC54" s="41">
        <f t="shared" si="13"/>
        <v>0</v>
      </c>
      <c r="AD54" s="41">
        <f t="shared" si="13"/>
        <v>0</v>
      </c>
      <c r="AE54" s="41">
        <f t="shared" si="13"/>
        <v>0</v>
      </c>
      <c r="AJ54" s="69"/>
      <c r="AK54" s="69"/>
    </row>
    <row r="55" spans="2:37" ht="11.25">
      <c r="B55" s="40" t="s">
        <v>99</v>
      </c>
      <c r="D55" s="41">
        <v>0</v>
      </c>
      <c r="E55" s="41">
        <f>+D55</f>
        <v>0</v>
      </c>
      <c r="F55" s="41">
        <f>(1-F52-F54)*0</f>
        <v>0</v>
      </c>
      <c r="G55" s="41">
        <f>(1-G52-G54)*0</f>
        <v>0</v>
      </c>
      <c r="H55" s="41">
        <f>(1-H52-H54)*0</f>
        <v>0</v>
      </c>
      <c r="I55" s="41">
        <f>(1-I52-I54)*0</f>
        <v>0</v>
      </c>
      <c r="AG55" s="69"/>
      <c r="AH55" s="69"/>
      <c r="AI55" s="69"/>
      <c r="AJ55" s="69"/>
      <c r="AK55" s="69"/>
    </row>
    <row r="56" spans="2:37" ht="11.25">
      <c r="B56" s="42"/>
      <c r="D56" s="41">
        <f aca="true" t="shared" si="14" ref="D56:I56">D52+D54</f>
        <v>0.23908727000000002</v>
      </c>
      <c r="E56" s="41">
        <f t="shared" si="14"/>
        <v>0.23908727000000002</v>
      </c>
      <c r="F56" s="41">
        <f t="shared" si="14"/>
        <v>0.23908727000000002</v>
      </c>
      <c r="G56" s="41">
        <f t="shared" si="14"/>
        <v>0.23908727000000002</v>
      </c>
      <c r="H56" s="41">
        <f t="shared" si="14"/>
        <v>0.23908727000000002</v>
      </c>
      <c r="I56" s="41">
        <f t="shared" si="14"/>
        <v>0.23908727000000002</v>
      </c>
      <c r="AG56" s="82"/>
      <c r="AH56" s="82"/>
      <c r="AI56" s="82"/>
      <c r="AJ56" s="82"/>
      <c r="AK56" s="82"/>
    </row>
    <row r="57" spans="4:37" ht="11.25">
      <c r="D57" s="77"/>
      <c r="E57" s="77"/>
      <c r="F57" s="77"/>
      <c r="AH57" s="4"/>
      <c r="AI57" s="17"/>
      <c r="AJ57" s="4"/>
      <c r="AK57" s="4"/>
    </row>
    <row r="58" spans="4:37" ht="11.25">
      <c r="D58" s="77"/>
      <c r="E58" s="77"/>
      <c r="F58" s="77"/>
      <c r="AH58" s="4"/>
      <c r="AI58" s="17"/>
      <c r="AJ58" s="4"/>
      <c r="AK58" s="4"/>
    </row>
    <row r="59" spans="34:37" ht="11.25">
      <c r="AH59" s="4"/>
      <c r="AI59" s="17"/>
      <c r="AJ59" s="4"/>
      <c r="AK59" s="4"/>
    </row>
    <row r="60" spans="34:37" ht="11.25">
      <c r="AH60" s="4"/>
      <c r="AI60" s="17"/>
      <c r="AJ60" s="4"/>
      <c r="AK60" s="4"/>
    </row>
    <row r="61" spans="34:37" ht="11.25">
      <c r="AH61" s="4"/>
      <c r="AI61" s="17"/>
      <c r="AJ61" s="4"/>
      <c r="AK61" s="4"/>
    </row>
    <row r="62" spans="34:37" ht="11.25">
      <c r="AH62" s="4"/>
      <c r="AI62" s="17"/>
      <c r="AJ62" s="4"/>
      <c r="AK62" s="4"/>
    </row>
    <row r="63" spans="32:37" ht="11.25">
      <c r="AF63" s="17"/>
      <c r="AH63" s="4"/>
      <c r="AI63" s="17"/>
      <c r="AJ63" s="4"/>
      <c r="AK63" s="4"/>
    </row>
    <row r="64" spans="32:37" ht="11.25">
      <c r="AF64" s="17"/>
      <c r="AH64" s="4"/>
      <c r="AI64" s="17"/>
      <c r="AJ64" s="4"/>
      <c r="AK64" s="4"/>
    </row>
    <row r="65" spans="32:37" ht="11.25">
      <c r="AF65" s="17"/>
      <c r="AH65" s="4"/>
      <c r="AI65" s="17"/>
      <c r="AJ65" s="4"/>
      <c r="AK65" s="4"/>
    </row>
    <row r="66" spans="32:37" ht="11.25">
      <c r="AF66" s="17"/>
      <c r="AH66" s="4"/>
      <c r="AI66" s="17"/>
      <c r="AJ66" s="4"/>
      <c r="AK66" s="4"/>
    </row>
    <row r="67" spans="7:37" ht="11.25">
      <c r="G67" s="4"/>
      <c r="AF67" s="17"/>
      <c r="AH67" s="4"/>
      <c r="AI67" s="17"/>
      <c r="AJ67" s="4"/>
      <c r="AK67" s="4"/>
    </row>
    <row r="68" spans="7:37" ht="11.25">
      <c r="G68" s="4"/>
      <c r="H68" s="4"/>
      <c r="AF68" s="17"/>
      <c r="AH68" s="4"/>
      <c r="AI68" s="17"/>
      <c r="AJ68" s="4"/>
      <c r="AK68" s="4"/>
    </row>
    <row r="69" spans="7:37" ht="11.25">
      <c r="G69" s="4"/>
      <c r="H69" s="4"/>
      <c r="I69" s="4"/>
      <c r="AF69" s="17"/>
      <c r="AH69" s="4"/>
      <c r="AI69" s="17"/>
      <c r="AJ69" s="4"/>
      <c r="AK69" s="4"/>
    </row>
    <row r="70" spans="7:37" ht="11.25">
      <c r="G70" s="4"/>
      <c r="H70" s="4"/>
      <c r="I70" s="4"/>
      <c r="J70" s="4"/>
      <c r="AF70" s="17"/>
      <c r="AH70" s="4"/>
      <c r="AI70" s="17"/>
      <c r="AJ70" s="4"/>
      <c r="AK70" s="4"/>
    </row>
    <row r="71" spans="7:37" ht="11.25">
      <c r="G71" s="4"/>
      <c r="H71" s="4"/>
      <c r="I71" s="4"/>
      <c r="J71" s="4"/>
      <c r="K71" s="4"/>
      <c r="AF71" s="17"/>
      <c r="AH71" s="4"/>
      <c r="AI71" s="17"/>
      <c r="AJ71" s="4"/>
      <c r="AK71" s="4"/>
    </row>
    <row r="72" spans="7:37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/>
      <c r="AH72" s="4"/>
      <c r="AI72" s="17"/>
      <c r="AJ72" s="4"/>
      <c r="AK72" s="4"/>
    </row>
    <row r="73" spans="7:37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/>
      <c r="AH73" s="4"/>
      <c r="AI73" s="17"/>
      <c r="AJ73" s="4"/>
      <c r="AK73" s="4"/>
    </row>
    <row r="74" spans="7:37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/>
      <c r="AH74" s="4"/>
      <c r="AI74" s="17"/>
      <c r="AJ74" s="4"/>
      <c r="AK74" s="4"/>
    </row>
    <row r="75" spans="7:37" ht="11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H75" s="4"/>
      <c r="AI75" s="17"/>
      <c r="AJ75" s="4"/>
      <c r="AK75" s="4"/>
    </row>
    <row r="76" spans="7:37" ht="11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H76" s="4"/>
      <c r="AI76" s="17"/>
      <c r="AJ76" s="4"/>
      <c r="AK76" s="4"/>
    </row>
    <row r="77" spans="8:37" ht="11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H77" s="4"/>
      <c r="AI77" s="17"/>
      <c r="AJ77" s="4"/>
      <c r="AK77" s="4"/>
    </row>
    <row r="78" spans="9:37" ht="11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H78" s="17"/>
      <c r="AI78" s="17"/>
      <c r="AJ78" s="17"/>
      <c r="AK78" s="17"/>
    </row>
    <row r="79" spans="10:31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1:31" ht="11.2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2:33" ht="11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G81" s="70"/>
    </row>
    <row r="82" spans="36:37" ht="11.25">
      <c r="AJ82" s="69"/>
      <c r="AK82" s="69"/>
    </row>
    <row r="83" spans="33:37" ht="11.25">
      <c r="AG83" s="69"/>
      <c r="AH83" s="69"/>
      <c r="AI83" s="69"/>
      <c r="AJ83" s="69"/>
      <c r="AK83" s="69"/>
    </row>
    <row r="84" spans="33:37" ht="11.25">
      <c r="AG84" s="82"/>
      <c r="AH84" s="82"/>
      <c r="AI84" s="82"/>
      <c r="AJ84" s="82"/>
      <c r="AK84" s="82"/>
    </row>
    <row r="85" spans="34:37" ht="11.25">
      <c r="AH85" s="4"/>
      <c r="AI85" s="17"/>
      <c r="AJ85" s="4"/>
      <c r="AK85" s="4"/>
    </row>
    <row r="86" spans="34:37" ht="11.25">
      <c r="AH86" s="4"/>
      <c r="AI86" s="17"/>
      <c r="AJ86" s="4"/>
      <c r="AK86" s="4"/>
    </row>
    <row r="87" spans="34:37" ht="11.25">
      <c r="AH87" s="4"/>
      <c r="AI87" s="17"/>
      <c r="AJ87" s="4"/>
      <c r="AK87" s="4"/>
    </row>
    <row r="88" spans="34:37" ht="11.25">
      <c r="AH88" s="4"/>
      <c r="AI88" s="17"/>
      <c r="AJ88" s="4"/>
      <c r="AK88" s="4"/>
    </row>
    <row r="89" spans="34:37" ht="11.25">
      <c r="AH89" s="4"/>
      <c r="AI89" s="17"/>
      <c r="AJ89" s="4"/>
      <c r="AK89" s="4"/>
    </row>
    <row r="90" spans="34:37" ht="11.25">
      <c r="AH90" s="4"/>
      <c r="AI90" s="17"/>
      <c r="AJ90" s="4"/>
      <c r="AK90" s="4"/>
    </row>
    <row r="91" spans="34:37" ht="11.25">
      <c r="AH91" s="4"/>
      <c r="AI91" s="17"/>
      <c r="AJ91" s="4"/>
      <c r="AK91" s="4"/>
    </row>
    <row r="92" spans="34:37" ht="11.25">
      <c r="AH92" s="4"/>
      <c r="AI92" s="17"/>
      <c r="AJ92" s="4"/>
      <c r="AK92" s="4"/>
    </row>
    <row r="93" spans="34:37" ht="11.25">
      <c r="AH93" s="4"/>
      <c r="AI93" s="17"/>
      <c r="AJ93" s="4"/>
      <c r="AK93" s="4"/>
    </row>
    <row r="94" spans="34:37" ht="11.25">
      <c r="AH94" s="4"/>
      <c r="AI94" s="17"/>
      <c r="AJ94" s="4"/>
      <c r="AK94" s="4"/>
    </row>
    <row r="95" spans="34:37" ht="11.25">
      <c r="AH95" s="4"/>
      <c r="AI95" s="17"/>
      <c r="AJ95" s="4"/>
      <c r="AK95" s="4"/>
    </row>
    <row r="96" spans="34:37" ht="11.25">
      <c r="AH96" s="4"/>
      <c r="AI96" s="17"/>
      <c r="AJ96" s="4"/>
      <c r="AK96" s="4"/>
    </row>
    <row r="97" spans="34:37" ht="11.25">
      <c r="AH97" s="4"/>
      <c r="AI97" s="17"/>
      <c r="AJ97" s="4"/>
      <c r="AK97" s="4"/>
    </row>
    <row r="98" spans="34:37" ht="11.25">
      <c r="AH98" s="4"/>
      <c r="AI98" s="17"/>
      <c r="AJ98" s="4"/>
      <c r="AK98" s="4"/>
    </row>
    <row r="99" spans="34:37" ht="11.25">
      <c r="AH99" s="4"/>
      <c r="AI99" s="17"/>
      <c r="AJ99" s="4"/>
      <c r="AK99" s="4"/>
    </row>
    <row r="100" spans="34:37" ht="11.25">
      <c r="AH100" s="4"/>
      <c r="AI100" s="17"/>
      <c r="AJ100" s="4"/>
      <c r="AK100" s="4"/>
    </row>
    <row r="101" spans="34:37" ht="11.25">
      <c r="AH101" s="4"/>
      <c r="AI101" s="17"/>
      <c r="AJ101" s="4"/>
      <c r="AK101" s="4"/>
    </row>
    <row r="102" spans="34:37" ht="11.25">
      <c r="AH102" s="4"/>
      <c r="AI102" s="17"/>
      <c r="AJ102" s="4"/>
      <c r="AK102" s="4"/>
    </row>
    <row r="103" spans="34:37" ht="11.25">
      <c r="AH103" s="4"/>
      <c r="AI103" s="17"/>
      <c r="AJ103" s="4"/>
      <c r="AK103" s="4"/>
    </row>
    <row r="104" spans="34:37" ht="11.25">
      <c r="AH104" s="4"/>
      <c r="AI104" s="17"/>
      <c r="AJ104" s="4"/>
      <c r="AK104" s="4"/>
    </row>
    <row r="105" spans="34:37" ht="11.25">
      <c r="AH105" s="4"/>
      <c r="AI105" s="17"/>
      <c r="AJ105" s="4"/>
      <c r="AK105" s="4"/>
    </row>
    <row r="106" spans="34:37" ht="11.25">
      <c r="AH106" s="17"/>
      <c r="AI106" s="17"/>
      <c r="AJ106" s="17"/>
      <c r="AK106" s="17"/>
    </row>
  </sheetData>
  <sheetProtection/>
  <mergeCells count="4">
    <mergeCell ref="A5:AK5"/>
    <mergeCell ref="A6:AK6"/>
    <mergeCell ref="A7:AK7"/>
    <mergeCell ref="D17:AG17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06"/>
  <sheetViews>
    <sheetView zoomScale="90" zoomScaleNormal="90" zoomScaleSheetLayoutView="118" zoomScalePageLayoutView="0" workbookViewId="0" topLeftCell="A12">
      <selection activeCell="D41" sqref="D41"/>
    </sheetView>
  </sheetViews>
  <sheetFormatPr defaultColWidth="9.140625" defaultRowHeight="12.75"/>
  <cols>
    <col min="1" max="1" width="3.8515625" style="69" customWidth="1"/>
    <col min="2" max="2" width="14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2.00390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1" width="12.8515625" style="5" hidden="1" customWidth="1"/>
    <col min="32" max="32" width="11.28125" style="5" bestFit="1" customWidth="1"/>
    <col min="33" max="33" width="10.00390625" style="5" bestFit="1" customWidth="1"/>
    <col min="34" max="34" width="11.28125" style="5" bestFit="1" customWidth="1"/>
    <col min="35" max="35" width="11.00390625" style="5" bestFit="1" customWidth="1"/>
    <col min="36" max="36" width="10.00390625" style="5" bestFit="1" customWidth="1"/>
    <col min="37" max="37" width="13.421875" style="5" bestFit="1" customWidth="1"/>
    <col min="38" max="16384" width="9.140625" style="5" customWidth="1"/>
  </cols>
  <sheetData>
    <row r="1" spans="2:37" ht="11.25">
      <c r="B1" s="70"/>
      <c r="S1" s="15"/>
      <c r="AK1" s="15" t="str">
        <f>+'6.1 ADIT Calcluated p.2'!AK1</f>
        <v> PSC Set 1 No. 1 2022-00342</v>
      </c>
    </row>
    <row r="2" spans="2:37" ht="11.25">
      <c r="B2" s="70"/>
      <c r="S2" s="15"/>
      <c r="AK2" s="15" t="str">
        <f>+'6.1 ADIT Calcluated p.2'!AK2</f>
        <v>Attachment JTG-1</v>
      </c>
    </row>
    <row r="3" spans="2:37" ht="11.25">
      <c r="B3" s="70"/>
      <c r="S3" s="15"/>
      <c r="AK3" s="15" t="str">
        <f>+'6.1 ADIT Calcluated p.2'!AK3</f>
        <v>SMRP Form 6.1</v>
      </c>
    </row>
    <row r="4" spans="8:37" ht="11.25">
      <c r="H4" s="15"/>
      <c r="R4" s="38"/>
      <c r="S4" s="38"/>
      <c r="AK4" s="15" t="s">
        <v>261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3.5">
      <c r="A7" s="167" t="s">
        <v>272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ht="11.25">
      <c r="B8" s="14"/>
    </row>
    <row r="9" spans="2:36" ht="12.75" customHeight="1">
      <c r="B9" s="7"/>
      <c r="AJ9" s="18"/>
    </row>
    <row r="10" spans="9:37" ht="11.25">
      <c r="I10" s="18"/>
      <c r="J10" s="18">
        <v>2022</v>
      </c>
      <c r="K10" s="18">
        <f aca="true" t="shared" si="0" ref="K10:AE10">+J10+1</f>
        <v>2023</v>
      </c>
      <c r="L10" s="18">
        <f t="shared" si="0"/>
        <v>2024</v>
      </c>
      <c r="M10" s="18">
        <f t="shared" si="0"/>
        <v>2025</v>
      </c>
      <c r="N10" s="18">
        <f t="shared" si="0"/>
        <v>2026</v>
      </c>
      <c r="O10" s="18">
        <f t="shared" si="0"/>
        <v>2027</v>
      </c>
      <c r="P10" s="18">
        <f t="shared" si="0"/>
        <v>2028</v>
      </c>
      <c r="Q10" s="18">
        <f t="shared" si="0"/>
        <v>2029</v>
      </c>
      <c r="R10" s="18">
        <f>+Q10+1</f>
        <v>2030</v>
      </c>
      <c r="S10" s="18">
        <f t="shared" si="0"/>
        <v>2031</v>
      </c>
      <c r="T10" s="18">
        <f t="shared" si="0"/>
        <v>2032</v>
      </c>
      <c r="U10" s="18">
        <f t="shared" si="0"/>
        <v>2033</v>
      </c>
      <c r="V10" s="18">
        <f t="shared" si="0"/>
        <v>2034</v>
      </c>
      <c r="W10" s="18">
        <f t="shared" si="0"/>
        <v>2035</v>
      </c>
      <c r="X10" s="18">
        <f t="shared" si="0"/>
        <v>2036</v>
      </c>
      <c r="Y10" s="18">
        <f t="shared" si="0"/>
        <v>2037</v>
      </c>
      <c r="Z10" s="18">
        <f t="shared" si="0"/>
        <v>2038</v>
      </c>
      <c r="AA10" s="18">
        <f t="shared" si="0"/>
        <v>2039</v>
      </c>
      <c r="AB10" s="18">
        <f t="shared" si="0"/>
        <v>2040</v>
      </c>
      <c r="AC10" s="18">
        <f t="shared" si="0"/>
        <v>2041</v>
      </c>
      <c r="AD10" s="18">
        <f t="shared" si="0"/>
        <v>2042</v>
      </c>
      <c r="AE10" s="18">
        <f t="shared" si="0"/>
        <v>2043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f>+'6.1 ADIT Calcluated p.2'!D11</f>
        <v>2022</v>
      </c>
      <c r="E11" s="18">
        <f>+'6.1 ADIT Calcluated p.2'!E11</f>
        <v>2023</v>
      </c>
      <c r="F11" s="18">
        <f>+'6.1 ADIT Calcluated p.2'!F11</f>
        <v>2024</v>
      </c>
      <c r="G11" s="18">
        <f>+'6.1 ADIT Calcluated p.2'!G11</f>
        <v>2025</v>
      </c>
      <c r="H11" s="18">
        <f>+'6.1 ADIT Calcluated p.2'!H11</f>
        <v>2026</v>
      </c>
      <c r="I11" s="18">
        <f>+'6.1 ADIT Calcluated p.2'!I11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83" t="s">
        <v>102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5" t="s">
        <v>96</v>
      </c>
      <c r="C16" s="74"/>
      <c r="D16" s="6">
        <f>+'5.0 Depr Expense'!Q24+'5.0 Depr Expense'!Q44+'5.0 Depr Expense'!Q54</f>
        <v>0</v>
      </c>
      <c r="E16" s="6">
        <f>+'5.0 Depr Expense'!Q99+'5.0 Depr Expense'!Q119+'5.0 Depr Expense'!Q129</f>
        <v>1494837</v>
      </c>
      <c r="F16" s="6">
        <v>0</v>
      </c>
      <c r="G16" s="6">
        <v>0</v>
      </c>
      <c r="H16" s="6">
        <v>0</v>
      </c>
      <c r="I16" s="6">
        <v>0</v>
      </c>
      <c r="J16" s="6" t="e">
        <f>#REF!+#REF!</f>
        <v>#REF!</v>
      </c>
      <c r="K16" s="6" t="e">
        <f>#REF!+#REF!</f>
        <v>#REF!</v>
      </c>
      <c r="L16" s="6" t="e">
        <f>#REF!+#REF!</f>
        <v>#REF!</v>
      </c>
      <c r="M16" s="6" t="e">
        <f>#REF!+#REF!</f>
        <v>#REF!</v>
      </c>
      <c r="N16" s="6" t="e">
        <f>#REF!+#REF!</f>
        <v>#REF!</v>
      </c>
      <c r="O16" s="6" t="e">
        <f>#REF!+#REF!</f>
        <v>#REF!</v>
      </c>
      <c r="P16" s="6" t="e">
        <f>#REF!+#REF!</f>
        <v>#REF!</v>
      </c>
      <c r="Q16" s="6" t="e">
        <f>#REF!+#REF!</f>
        <v>#REF!</v>
      </c>
      <c r="R16" s="6" t="e">
        <f>#REF!+#REF!</f>
        <v>#REF!</v>
      </c>
      <c r="S16" s="6" t="e">
        <f>#REF!+#REF!</f>
        <v>#REF!</v>
      </c>
      <c r="T16" s="6" t="e">
        <f>#REF!+#REF!</f>
        <v>#REF!</v>
      </c>
      <c r="U16" s="6" t="e">
        <f>#REF!+#REF!</f>
        <v>#REF!</v>
      </c>
      <c r="V16" s="6" t="e">
        <f>#REF!+#REF!</f>
        <v>#REF!</v>
      </c>
      <c r="W16" s="6" t="e">
        <f>#REF!+#REF!</f>
        <v>#REF!</v>
      </c>
      <c r="X16" s="6" t="e">
        <f>#REF!+#REF!</f>
        <v>#REF!</v>
      </c>
      <c r="Y16" s="6" t="e">
        <f>#REF!+#REF!</f>
        <v>#REF!</v>
      </c>
      <c r="Z16" s="6" t="e">
        <f>#REF!+#REF!</f>
        <v>#REF!</v>
      </c>
      <c r="AA16" s="6" t="e">
        <f>#REF!+#REF!</f>
        <v>#REF!</v>
      </c>
      <c r="AB16" s="6" t="e">
        <f>#REF!+#REF!</f>
        <v>#REF!</v>
      </c>
      <c r="AC16" s="6" t="e">
        <f>#REF!+#REF!</f>
        <v>#REF!</v>
      </c>
      <c r="AD16" s="6" t="e">
        <f>#REF!+#REF!</f>
        <v>#REF!</v>
      </c>
      <c r="AE16" s="6" t="e">
        <f>#REF!+#REF!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13.5" customHeight="1">
      <c r="A18" s="69">
        <f>A16+1</f>
        <v>2</v>
      </c>
      <c r="B18" s="75" t="s">
        <v>97</v>
      </c>
      <c r="C18" s="74"/>
      <c r="D18" s="8">
        <f aca="true" t="shared" si="2" ref="D18:I18">D56+D55</f>
        <v>0.0401</v>
      </c>
      <c r="E18" s="8">
        <f t="shared" si="2"/>
        <v>0.0401</v>
      </c>
      <c r="F18" s="8">
        <f t="shared" si="2"/>
        <v>0.0401</v>
      </c>
      <c r="G18" s="8">
        <f t="shared" si="2"/>
        <v>0.0401</v>
      </c>
      <c r="H18" s="8">
        <f t="shared" si="2"/>
        <v>0.0401</v>
      </c>
      <c r="I18" s="8">
        <f t="shared" si="2"/>
        <v>0.0401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ROUND((D$16)*$D$18,0)+ROUND(($D$16-($D$16*$D$18))*B20,0)</f>
        <v>0</v>
      </c>
      <c r="AF20" s="4">
        <f>SUM(D20:G20)</f>
        <v>0</v>
      </c>
      <c r="AG20" s="4">
        <f>SUM('4.0 Accumulated Depr'!D36:O36)+_xlfn.SINGLE(SUM('4.0 Accumulated Depr'!D38:O39))</f>
        <v>0</v>
      </c>
      <c r="AH20" s="4">
        <f>+'5.0 Depr Expense'!Q31+'5.0 Depr Expense'!Q51+'5.0 Depr Expense'!Q61</f>
        <v>0</v>
      </c>
      <c r="AI20" s="17">
        <f>AF20+AG20-AH20</f>
        <v>0</v>
      </c>
      <c r="AJ20" s="4">
        <f>ROUND(0.2495*AI20,0)</f>
        <v>0</v>
      </c>
      <c r="AK20" s="4">
        <f>+AJ20</f>
        <v>0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 aca="true" t="shared" si="3" ref="D21:D39">ROUND(($D$16-($D$16*$D$18))*B21,0)</f>
        <v>0</v>
      </c>
      <c r="E21" s="4">
        <f>ROUND((E$16)*$E$18,0)+ROUND(($E$16-($E$16*$E$18))*B20,0)</f>
        <v>113752</v>
      </c>
      <c r="AF21" s="4">
        <f>SUM(D21:G21)</f>
        <v>113752</v>
      </c>
      <c r="AG21" s="4">
        <f>SUM('4.0 Accumulated Depr'!D92:O92)+_xlfn.SINGLE(SUM('4.0 Accumulated Depr'!D94:O95))</f>
        <v>24347.000000000004</v>
      </c>
      <c r="AH21" s="4">
        <f>+'5.0 Depr Expense'!Q106+'5.0 Depr Expense'!Q126+'5.0 Depr Expense'!Q136</f>
        <v>11642.922999999999</v>
      </c>
      <c r="AI21" s="17">
        <f>AF21+AG21-AH21</f>
        <v>126456.077</v>
      </c>
      <c r="AJ21" s="4">
        <f>ROUND(0.2495*AI21,0)</f>
        <v>31551</v>
      </c>
      <c r="AK21" s="4">
        <f>+AK20+AJ21</f>
        <v>31551</v>
      </c>
    </row>
    <row r="22" spans="1:37" ht="11.25">
      <c r="A22" s="69">
        <f aca="true" t="shared" si="4" ref="A22:A45">A21+1</f>
        <v>5</v>
      </c>
      <c r="B22" s="79">
        <v>0.06677</v>
      </c>
      <c r="C22" s="69">
        <f aca="true" t="shared" si="5" ref="C22:C43">+C21+1</f>
        <v>3</v>
      </c>
      <c r="D22" s="4">
        <f t="shared" si="3"/>
        <v>0</v>
      </c>
      <c r="E22" s="4">
        <f aca="true" t="shared" si="6" ref="E22:E41">ROUND(($E$16-($E$16*$E$18))*B21,0)</f>
        <v>103585</v>
      </c>
      <c r="F22" s="4">
        <f>ROUND((F$16)*F$18,0)+ROUND((F$16-(F$16*F$18))*$B20,0)</f>
        <v>0</v>
      </c>
      <c r="G22" s="4">
        <f>ROUND((G$16)*G$18,0)+ROUND((G$16-(G$16*G$18))*$B20,0)</f>
        <v>0</v>
      </c>
      <c r="AF22" s="4">
        <f>SUM(D22:G22)</f>
        <v>103585</v>
      </c>
      <c r="AG22" s="4"/>
      <c r="AH22" s="4"/>
      <c r="AI22" s="17"/>
      <c r="AJ22" s="4"/>
      <c r="AK22" s="4"/>
    </row>
    <row r="23" spans="1:37" ht="11.25">
      <c r="A23" s="69">
        <f t="shared" si="4"/>
        <v>6</v>
      </c>
      <c r="B23" s="79">
        <v>0.06177</v>
      </c>
      <c r="C23" s="69">
        <f t="shared" si="5"/>
        <v>4</v>
      </c>
      <c r="D23" s="4">
        <f t="shared" si="3"/>
        <v>0</v>
      </c>
      <c r="E23" s="4">
        <f t="shared" si="6"/>
        <v>95808</v>
      </c>
      <c r="F23" s="4">
        <f>ROUND((F$16-(F$16*F$18))*$B21,0)</f>
        <v>0</v>
      </c>
      <c r="G23" s="4">
        <f>ROUND((G$16-(G$16*G$18))*$B21,0)</f>
        <v>0</v>
      </c>
      <c r="H23" s="4">
        <f>ROUND((H$16)*H$18,0)+ROUND((H$16-(H$16*H$18))*$B20,0)</f>
        <v>0</v>
      </c>
      <c r="AF23" s="4">
        <f>SUM(D23:H23)</f>
        <v>95808</v>
      </c>
      <c r="AG23" s="4">
        <v>0</v>
      </c>
      <c r="AH23" s="4"/>
      <c r="AI23" s="17"/>
      <c r="AJ23" s="4"/>
      <c r="AK23" s="4"/>
    </row>
    <row r="24" spans="1:37" ht="11.25">
      <c r="A24" s="69">
        <f t="shared" si="4"/>
        <v>7</v>
      </c>
      <c r="B24" s="79">
        <v>0.05713</v>
      </c>
      <c r="C24" s="69">
        <f t="shared" si="5"/>
        <v>5</v>
      </c>
      <c r="D24" s="4">
        <f t="shared" si="3"/>
        <v>0</v>
      </c>
      <c r="E24" s="4">
        <f t="shared" si="6"/>
        <v>88633</v>
      </c>
      <c r="F24" s="4">
        <f aca="true" t="shared" si="7" ref="F24:F42">ROUND(($F$16-($F$16*$F$18))*B22,0)</f>
        <v>0</v>
      </c>
      <c r="G24" s="4">
        <f aca="true" t="shared" si="8" ref="G24:G42">ROUND((G$16-(G$16*G$18))*$B22,0)</f>
        <v>0</v>
      </c>
      <c r="H24" s="4">
        <f>ROUND((H$16-(H$16*H$18))*$B21,0)</f>
        <v>0</v>
      </c>
      <c r="I24" s="4">
        <f>ROUND((I$16)*I$18,0)+ROUND((I$16-(I$16*I$18))*$B20,0)</f>
        <v>0</v>
      </c>
      <c r="AF24" s="4">
        <f>SUM(D24:I24)</f>
        <v>88633</v>
      </c>
      <c r="AG24" s="4">
        <v>0</v>
      </c>
      <c r="AH24" s="4"/>
      <c r="AI24" s="17"/>
      <c r="AJ24" s="4"/>
      <c r="AK24" s="4"/>
    </row>
    <row r="25" spans="1:37" ht="11.25">
      <c r="A25" s="69">
        <f t="shared" si="4"/>
        <v>8</v>
      </c>
      <c r="B25" s="79">
        <v>0.05285</v>
      </c>
      <c r="C25" s="69">
        <f t="shared" si="5"/>
        <v>6</v>
      </c>
      <c r="D25" s="4">
        <f t="shared" si="3"/>
        <v>0</v>
      </c>
      <c r="E25" s="4">
        <f t="shared" si="6"/>
        <v>81975</v>
      </c>
      <c r="F25" s="4">
        <f t="shared" si="7"/>
        <v>0</v>
      </c>
      <c r="G25" s="4">
        <f t="shared" si="8"/>
        <v>0</v>
      </c>
      <c r="H25" s="4">
        <f aca="true" t="shared" si="9" ref="H25:H43">ROUND((H$16-(H$16*H$18))*$B22,0)</f>
        <v>0</v>
      </c>
      <c r="I25" s="4">
        <f>ROUND((I$16-(I$16*I$18))*$B21,0)</f>
        <v>0</v>
      </c>
      <c r="AF25" s="4">
        <f aca="true" t="shared" si="10" ref="AF25:AF44">SUM(D25:I25)</f>
        <v>81975</v>
      </c>
      <c r="AG25" s="4"/>
      <c r="AH25" s="4"/>
      <c r="AI25" s="17"/>
      <c r="AJ25" s="4"/>
      <c r="AK25" s="4"/>
    </row>
    <row r="26" spans="1:37" ht="11.25">
      <c r="A26" s="69">
        <f t="shared" si="4"/>
        <v>9</v>
      </c>
      <c r="B26" s="79">
        <v>0.04888</v>
      </c>
      <c r="C26" s="69">
        <f t="shared" si="5"/>
        <v>7</v>
      </c>
      <c r="D26" s="4">
        <f t="shared" si="3"/>
        <v>0</v>
      </c>
      <c r="E26" s="4">
        <f t="shared" si="6"/>
        <v>75834</v>
      </c>
      <c r="F26" s="4">
        <f t="shared" si="7"/>
        <v>0</v>
      </c>
      <c r="G26" s="4">
        <f t="shared" si="8"/>
        <v>0</v>
      </c>
      <c r="H26" s="4">
        <f t="shared" si="9"/>
        <v>0</v>
      </c>
      <c r="I26" s="4">
        <f aca="true" t="shared" si="11" ref="I26:I44">ROUND((I$16-(I$16*I$18))*$B22,0)</f>
        <v>0</v>
      </c>
      <c r="AF26" s="4">
        <f t="shared" si="10"/>
        <v>75834</v>
      </c>
      <c r="AG26" s="4"/>
      <c r="AH26" s="4"/>
      <c r="AI26" s="17"/>
      <c r="AJ26" s="4"/>
      <c r="AK26" s="4"/>
    </row>
    <row r="27" spans="1:37" ht="11.25">
      <c r="A27" s="69">
        <f t="shared" si="4"/>
        <v>10</v>
      </c>
      <c r="B27" s="79">
        <v>0.04522</v>
      </c>
      <c r="C27" s="69">
        <f t="shared" si="5"/>
        <v>8</v>
      </c>
      <c r="D27" s="4">
        <f t="shared" si="3"/>
        <v>0</v>
      </c>
      <c r="E27" s="4">
        <f t="shared" si="6"/>
        <v>70138</v>
      </c>
      <c r="F27" s="4">
        <f t="shared" si="7"/>
        <v>0</v>
      </c>
      <c r="G27" s="4">
        <f t="shared" si="8"/>
        <v>0</v>
      </c>
      <c r="H27" s="4">
        <f t="shared" si="9"/>
        <v>0</v>
      </c>
      <c r="I27" s="4">
        <f t="shared" si="11"/>
        <v>0</v>
      </c>
      <c r="AF27" s="4">
        <f t="shared" si="10"/>
        <v>70138</v>
      </c>
      <c r="AG27" s="4"/>
      <c r="AH27" s="4"/>
      <c r="AI27" s="17"/>
      <c r="AJ27" s="4"/>
      <c r="AK27" s="4"/>
    </row>
    <row r="28" spans="1:37" ht="11.25">
      <c r="A28" s="69">
        <f t="shared" si="4"/>
        <v>11</v>
      </c>
      <c r="B28" s="79">
        <v>0.04462</v>
      </c>
      <c r="C28" s="69">
        <f t="shared" si="5"/>
        <v>9</v>
      </c>
      <c r="D28" s="4">
        <f t="shared" si="3"/>
        <v>0</v>
      </c>
      <c r="E28" s="4">
        <f t="shared" si="6"/>
        <v>64886</v>
      </c>
      <c r="F28" s="4">
        <f t="shared" si="7"/>
        <v>0</v>
      </c>
      <c r="G28" s="4">
        <f t="shared" si="8"/>
        <v>0</v>
      </c>
      <c r="H28" s="4">
        <f t="shared" si="9"/>
        <v>0</v>
      </c>
      <c r="I28" s="4">
        <f t="shared" si="11"/>
        <v>0</v>
      </c>
      <c r="J28" s="4"/>
      <c r="AF28" s="4">
        <f t="shared" si="10"/>
        <v>64886</v>
      </c>
      <c r="AG28" s="4"/>
      <c r="AH28" s="4"/>
      <c r="AI28" s="17"/>
      <c r="AJ28" s="4"/>
      <c r="AK28" s="4"/>
    </row>
    <row r="29" spans="1:37" ht="11.25">
      <c r="A29" s="69">
        <f t="shared" si="4"/>
        <v>12</v>
      </c>
      <c r="B29" s="79">
        <v>0.04461</v>
      </c>
      <c r="C29" s="69">
        <f t="shared" si="5"/>
        <v>10</v>
      </c>
      <c r="D29" s="4">
        <f t="shared" si="3"/>
        <v>0</v>
      </c>
      <c r="E29" s="4">
        <f t="shared" si="6"/>
        <v>64025</v>
      </c>
      <c r="F29" s="4">
        <f t="shared" si="7"/>
        <v>0</v>
      </c>
      <c r="G29" s="4">
        <f t="shared" si="8"/>
        <v>0</v>
      </c>
      <c r="H29" s="4">
        <f t="shared" si="9"/>
        <v>0</v>
      </c>
      <c r="I29" s="4">
        <f t="shared" si="11"/>
        <v>0</v>
      </c>
      <c r="J29" s="4"/>
      <c r="K29" s="4"/>
      <c r="AF29" s="4">
        <f t="shared" si="10"/>
        <v>64025</v>
      </c>
      <c r="AG29" s="4"/>
      <c r="AH29" s="4"/>
      <c r="AI29" s="17"/>
      <c r="AJ29" s="4"/>
      <c r="AK29" s="4"/>
    </row>
    <row r="30" spans="1:37" ht="11.25">
      <c r="A30" s="69">
        <f t="shared" si="4"/>
        <v>13</v>
      </c>
      <c r="B30" s="79">
        <v>0.04462</v>
      </c>
      <c r="C30" s="69">
        <f t="shared" si="5"/>
        <v>11</v>
      </c>
      <c r="D30" s="4">
        <f t="shared" si="3"/>
        <v>0</v>
      </c>
      <c r="E30" s="4">
        <f t="shared" si="6"/>
        <v>64011</v>
      </c>
      <c r="F30" s="4">
        <f t="shared" si="7"/>
        <v>0</v>
      </c>
      <c r="G30" s="4">
        <f t="shared" si="8"/>
        <v>0</v>
      </c>
      <c r="H30" s="4">
        <f t="shared" si="9"/>
        <v>0</v>
      </c>
      <c r="I30" s="4">
        <f t="shared" si="11"/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10"/>
        <v>64011</v>
      </c>
      <c r="AG30" s="4"/>
      <c r="AH30" s="4"/>
      <c r="AI30" s="17"/>
      <c r="AJ30" s="4"/>
      <c r="AK30" s="4"/>
    </row>
    <row r="31" spans="1:37" ht="11.25">
      <c r="A31" s="69">
        <f t="shared" si="4"/>
        <v>14</v>
      </c>
      <c r="B31" s="79">
        <v>0.04461</v>
      </c>
      <c r="C31" s="69">
        <f t="shared" si="5"/>
        <v>12</v>
      </c>
      <c r="D31" s="4">
        <f t="shared" si="3"/>
        <v>0</v>
      </c>
      <c r="E31" s="4">
        <f t="shared" si="6"/>
        <v>64025</v>
      </c>
      <c r="F31" s="4">
        <f t="shared" si="7"/>
        <v>0</v>
      </c>
      <c r="G31" s="4">
        <f t="shared" si="8"/>
        <v>0</v>
      </c>
      <c r="H31" s="4">
        <f t="shared" si="9"/>
        <v>0</v>
      </c>
      <c r="I31" s="4">
        <f t="shared" si="11"/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t="shared" si="10"/>
        <v>64025</v>
      </c>
      <c r="AG31" s="4"/>
      <c r="AH31" s="4"/>
      <c r="AI31" s="17"/>
      <c r="AJ31" s="4"/>
      <c r="AK31" s="4"/>
    </row>
    <row r="32" spans="1:37" ht="11.25">
      <c r="A32" s="69">
        <f t="shared" si="4"/>
        <v>15</v>
      </c>
      <c r="B32" s="79">
        <v>0.04462</v>
      </c>
      <c r="C32" s="69">
        <f t="shared" si="5"/>
        <v>13</v>
      </c>
      <c r="D32" s="4">
        <f t="shared" si="3"/>
        <v>0</v>
      </c>
      <c r="E32" s="4">
        <f t="shared" si="6"/>
        <v>64011</v>
      </c>
      <c r="F32" s="4">
        <f t="shared" si="7"/>
        <v>0</v>
      </c>
      <c r="G32" s="4">
        <f t="shared" si="8"/>
        <v>0</v>
      </c>
      <c r="H32" s="4">
        <f t="shared" si="9"/>
        <v>0</v>
      </c>
      <c r="I32" s="4">
        <f t="shared" si="11"/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 t="shared" si="10"/>
        <v>64011</v>
      </c>
      <c r="AG32" s="4"/>
      <c r="AH32" s="4"/>
      <c r="AI32" s="17"/>
      <c r="AJ32" s="4"/>
      <c r="AK32" s="4"/>
    </row>
    <row r="33" spans="1:37" ht="11.25">
      <c r="A33" s="69">
        <f t="shared" si="4"/>
        <v>16</v>
      </c>
      <c r="B33" s="79">
        <v>0.04461</v>
      </c>
      <c r="C33" s="69">
        <f t="shared" si="5"/>
        <v>14</v>
      </c>
      <c r="D33" s="4">
        <f t="shared" si="3"/>
        <v>0</v>
      </c>
      <c r="E33" s="4">
        <f t="shared" si="6"/>
        <v>64025</v>
      </c>
      <c r="F33" s="4">
        <f t="shared" si="7"/>
        <v>0</v>
      </c>
      <c r="G33" s="4">
        <f t="shared" si="8"/>
        <v>0</v>
      </c>
      <c r="H33" s="4">
        <f t="shared" si="9"/>
        <v>0</v>
      </c>
      <c r="I33" s="4">
        <f t="shared" si="11"/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10"/>
        <v>64025</v>
      </c>
      <c r="AG33" s="4"/>
      <c r="AH33" s="4"/>
      <c r="AI33" s="17"/>
      <c r="AJ33" s="4"/>
      <c r="AK33" s="4"/>
    </row>
    <row r="34" spans="1:37" ht="11.25">
      <c r="A34" s="69">
        <f t="shared" si="4"/>
        <v>17</v>
      </c>
      <c r="B34" s="79">
        <v>0.04462</v>
      </c>
      <c r="C34" s="69">
        <f t="shared" si="5"/>
        <v>15</v>
      </c>
      <c r="D34" s="4">
        <f t="shared" si="3"/>
        <v>0</v>
      </c>
      <c r="E34" s="4">
        <f t="shared" si="6"/>
        <v>64011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1"/>
        <v>0</v>
      </c>
      <c r="J34" s="4"/>
      <c r="K34" s="4"/>
      <c r="L34" s="4"/>
      <c r="M34" s="4"/>
      <c r="N34" s="4"/>
      <c r="O34" s="4"/>
      <c r="P34" s="4"/>
      <c r="AF34" s="4">
        <f t="shared" si="10"/>
        <v>64011</v>
      </c>
      <c r="AG34" s="4"/>
      <c r="AH34" s="4"/>
      <c r="AI34" s="17"/>
      <c r="AJ34" s="4"/>
      <c r="AK34" s="4"/>
    </row>
    <row r="35" spans="1:37" ht="11.25">
      <c r="A35" s="69">
        <f t="shared" si="4"/>
        <v>18</v>
      </c>
      <c r="B35" s="79">
        <v>0.04461</v>
      </c>
      <c r="C35" s="69">
        <f t="shared" si="5"/>
        <v>16</v>
      </c>
      <c r="D35" s="4">
        <f t="shared" si="3"/>
        <v>0</v>
      </c>
      <c r="E35" s="4">
        <f t="shared" si="6"/>
        <v>64025</v>
      </c>
      <c r="F35" s="4">
        <f t="shared" si="7"/>
        <v>0</v>
      </c>
      <c r="G35" s="4">
        <f t="shared" si="8"/>
        <v>0</v>
      </c>
      <c r="H35" s="4">
        <f t="shared" si="9"/>
        <v>0</v>
      </c>
      <c r="I35" s="4">
        <f t="shared" si="11"/>
        <v>0</v>
      </c>
      <c r="J35" s="4"/>
      <c r="K35" s="4"/>
      <c r="L35" s="4"/>
      <c r="M35" s="4"/>
      <c r="N35" s="4"/>
      <c r="O35" s="4"/>
      <c r="P35" s="4"/>
      <c r="Q35" s="4"/>
      <c r="AF35" s="4">
        <f t="shared" si="10"/>
        <v>64025</v>
      </c>
      <c r="AG35" s="4"/>
      <c r="AH35" s="4"/>
      <c r="AI35" s="17"/>
      <c r="AJ35" s="4"/>
      <c r="AK35" s="4"/>
    </row>
    <row r="36" spans="1:37" ht="11.25">
      <c r="A36" s="69">
        <f t="shared" si="4"/>
        <v>19</v>
      </c>
      <c r="B36" s="79">
        <v>0.04462</v>
      </c>
      <c r="C36" s="69">
        <f t="shared" si="5"/>
        <v>17</v>
      </c>
      <c r="D36" s="4">
        <f t="shared" si="3"/>
        <v>0</v>
      </c>
      <c r="E36" s="4">
        <f t="shared" si="6"/>
        <v>64011</v>
      </c>
      <c r="F36" s="4">
        <f t="shared" si="7"/>
        <v>0</v>
      </c>
      <c r="G36" s="4">
        <f t="shared" si="8"/>
        <v>0</v>
      </c>
      <c r="H36" s="4">
        <f t="shared" si="9"/>
        <v>0</v>
      </c>
      <c r="I36" s="4">
        <f t="shared" si="11"/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 t="shared" si="10"/>
        <v>64011</v>
      </c>
      <c r="AG36" s="4"/>
      <c r="AH36" s="4"/>
      <c r="AI36" s="17"/>
      <c r="AJ36" s="4"/>
      <c r="AK36" s="4"/>
    </row>
    <row r="37" spans="1:37" ht="11.25">
      <c r="A37" s="69">
        <f t="shared" si="4"/>
        <v>20</v>
      </c>
      <c r="B37" s="79">
        <v>0.04461</v>
      </c>
      <c r="C37" s="69">
        <f t="shared" si="5"/>
        <v>18</v>
      </c>
      <c r="D37" s="4">
        <f t="shared" si="3"/>
        <v>0</v>
      </c>
      <c r="E37" s="4">
        <f t="shared" si="6"/>
        <v>64025</v>
      </c>
      <c r="F37" s="4">
        <f t="shared" si="7"/>
        <v>0</v>
      </c>
      <c r="G37" s="4">
        <f t="shared" si="8"/>
        <v>0</v>
      </c>
      <c r="H37" s="4">
        <f t="shared" si="9"/>
        <v>0</v>
      </c>
      <c r="I37" s="4">
        <f t="shared" si="11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 t="shared" si="10"/>
        <v>64025</v>
      </c>
      <c r="AG37" s="4"/>
      <c r="AH37" s="4"/>
      <c r="AI37" s="17"/>
      <c r="AJ37" s="4"/>
      <c r="AK37" s="4"/>
    </row>
    <row r="38" spans="1:37" ht="11.25">
      <c r="A38" s="69">
        <f t="shared" si="4"/>
        <v>21</v>
      </c>
      <c r="B38" s="79">
        <v>0.04462</v>
      </c>
      <c r="C38" s="69">
        <f t="shared" si="5"/>
        <v>19</v>
      </c>
      <c r="D38" s="4">
        <f t="shared" si="3"/>
        <v>0</v>
      </c>
      <c r="E38" s="4">
        <f t="shared" si="6"/>
        <v>64011</v>
      </c>
      <c r="F38" s="4">
        <f t="shared" si="7"/>
        <v>0</v>
      </c>
      <c r="G38" s="4">
        <f t="shared" si="8"/>
        <v>0</v>
      </c>
      <c r="H38" s="4">
        <f t="shared" si="9"/>
        <v>0</v>
      </c>
      <c r="I38" s="4">
        <f t="shared" si="11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 t="shared" si="10"/>
        <v>64011</v>
      </c>
      <c r="AG38" s="4"/>
      <c r="AH38" s="4"/>
      <c r="AI38" s="17"/>
      <c r="AJ38" s="4"/>
      <c r="AK38" s="4"/>
    </row>
    <row r="39" spans="1:37" ht="11.25">
      <c r="A39" s="69">
        <f t="shared" si="4"/>
        <v>22</v>
      </c>
      <c r="B39" s="79">
        <v>0.04461</v>
      </c>
      <c r="C39" s="69">
        <f t="shared" si="5"/>
        <v>20</v>
      </c>
      <c r="D39" s="4">
        <f t="shared" si="3"/>
        <v>0</v>
      </c>
      <c r="E39" s="4">
        <f t="shared" si="6"/>
        <v>64025</v>
      </c>
      <c r="F39" s="4">
        <f t="shared" si="7"/>
        <v>0</v>
      </c>
      <c r="G39" s="4">
        <f t="shared" si="8"/>
        <v>0</v>
      </c>
      <c r="H39" s="4">
        <f t="shared" si="9"/>
        <v>0</v>
      </c>
      <c r="I39" s="4">
        <f t="shared" si="11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10"/>
        <v>64025</v>
      </c>
      <c r="AG39" s="4"/>
      <c r="AH39" s="4"/>
      <c r="AI39" s="17"/>
      <c r="AJ39" s="4"/>
      <c r="AK39" s="4"/>
    </row>
    <row r="40" spans="1:37" ht="11.25">
      <c r="A40" s="69">
        <f t="shared" si="4"/>
        <v>23</v>
      </c>
      <c r="B40" s="79">
        <v>0.02231</v>
      </c>
      <c r="C40" s="69">
        <f t="shared" si="5"/>
        <v>21</v>
      </c>
      <c r="D40" s="4">
        <f>ROUND(($D$16-($D$16*$D$18))*B40,0)</f>
        <v>0</v>
      </c>
      <c r="E40" s="4">
        <f t="shared" si="6"/>
        <v>64011</v>
      </c>
      <c r="F40" s="4">
        <f t="shared" si="7"/>
        <v>0</v>
      </c>
      <c r="G40" s="4">
        <f t="shared" si="8"/>
        <v>0</v>
      </c>
      <c r="H40" s="4">
        <f t="shared" si="9"/>
        <v>0</v>
      </c>
      <c r="I40" s="4">
        <f t="shared" si="11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10"/>
        <v>64011</v>
      </c>
      <c r="AG40" s="4"/>
      <c r="AH40" s="4"/>
      <c r="AI40" s="17"/>
      <c r="AJ40" s="4"/>
      <c r="AK40" s="4"/>
    </row>
    <row r="41" spans="1:37" ht="11.25">
      <c r="A41" s="69">
        <f t="shared" si="4"/>
        <v>24</v>
      </c>
      <c r="B41" s="79"/>
      <c r="C41" s="69">
        <f t="shared" si="5"/>
        <v>22</v>
      </c>
      <c r="E41" s="4">
        <f t="shared" si="6"/>
        <v>32012</v>
      </c>
      <c r="F41" s="4">
        <f t="shared" si="7"/>
        <v>0</v>
      </c>
      <c r="G41" s="4">
        <f t="shared" si="8"/>
        <v>0</v>
      </c>
      <c r="H41" s="4">
        <f t="shared" si="9"/>
        <v>0</v>
      </c>
      <c r="I41" s="4">
        <f t="shared" si="11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10"/>
        <v>32012</v>
      </c>
      <c r="AH41" s="4"/>
      <c r="AI41" s="17"/>
      <c r="AJ41" s="4"/>
      <c r="AK41" s="4"/>
    </row>
    <row r="42" spans="1:37" ht="11.25">
      <c r="A42" s="69">
        <f t="shared" si="4"/>
        <v>25</v>
      </c>
      <c r="B42" s="79"/>
      <c r="C42" s="69">
        <f t="shared" si="5"/>
        <v>23</v>
      </c>
      <c r="F42" s="4">
        <f t="shared" si="7"/>
        <v>0</v>
      </c>
      <c r="G42" s="4">
        <f t="shared" si="8"/>
        <v>0</v>
      </c>
      <c r="H42" s="4">
        <f t="shared" si="9"/>
        <v>0</v>
      </c>
      <c r="I42" s="4">
        <f t="shared" si="11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10"/>
        <v>0</v>
      </c>
      <c r="AH42" s="4"/>
      <c r="AI42" s="17"/>
      <c r="AJ42" s="4"/>
      <c r="AK42" s="4"/>
    </row>
    <row r="43" spans="1:37" ht="11.25">
      <c r="A43" s="69">
        <f t="shared" si="4"/>
        <v>26</v>
      </c>
      <c r="B43" s="79"/>
      <c r="C43" s="69">
        <f t="shared" si="5"/>
        <v>24</v>
      </c>
      <c r="F43" s="4"/>
      <c r="G43" s="4"/>
      <c r="H43" s="4">
        <f t="shared" si="9"/>
        <v>0</v>
      </c>
      <c r="I43" s="4">
        <f t="shared" si="11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10"/>
        <v>0</v>
      </c>
      <c r="AH43" s="4"/>
      <c r="AI43" s="17"/>
      <c r="AJ43" s="4"/>
      <c r="AK43" s="4"/>
    </row>
    <row r="44" spans="1:37" ht="11.25">
      <c r="A44" s="69">
        <f t="shared" si="4"/>
        <v>27</v>
      </c>
      <c r="B44" s="79"/>
      <c r="C44" s="69"/>
      <c r="F44" s="4"/>
      <c r="G44" s="4"/>
      <c r="H44" s="4"/>
      <c r="I44" s="4">
        <f t="shared" si="11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10"/>
        <v>0</v>
      </c>
      <c r="AH44" s="4"/>
      <c r="AI44" s="17"/>
      <c r="AJ44" s="4"/>
      <c r="AK44" s="4"/>
    </row>
    <row r="45" spans="1:37" ht="11.25">
      <c r="A45" s="69">
        <f t="shared" si="4"/>
        <v>28</v>
      </c>
      <c r="D45" s="17">
        <f>SUM(D20:D41)</f>
        <v>0</v>
      </c>
      <c r="E45" s="17">
        <f>SUM(E21:E41)</f>
        <v>1494839</v>
      </c>
      <c r="F45" s="17">
        <f>SUM(F20:F42)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12" ref="J45:AE45">SUM(J20:J41)</f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  <c r="S45" s="17">
        <f t="shared" si="12"/>
        <v>0</v>
      </c>
      <c r="T45" s="17">
        <f t="shared" si="12"/>
        <v>0</v>
      </c>
      <c r="U45" s="17">
        <f t="shared" si="12"/>
        <v>0</v>
      </c>
      <c r="V45" s="17">
        <f t="shared" si="12"/>
        <v>0</v>
      </c>
      <c r="W45" s="17">
        <f t="shared" si="12"/>
        <v>0</v>
      </c>
      <c r="X45" s="17">
        <f t="shared" si="12"/>
        <v>0</v>
      </c>
      <c r="Y45" s="17">
        <f t="shared" si="12"/>
        <v>0</v>
      </c>
      <c r="Z45" s="17">
        <f t="shared" si="12"/>
        <v>0</v>
      </c>
      <c r="AA45" s="17">
        <f t="shared" si="12"/>
        <v>0</v>
      </c>
      <c r="AB45" s="17">
        <f t="shared" si="12"/>
        <v>0</v>
      </c>
      <c r="AC45" s="17">
        <f t="shared" si="12"/>
        <v>0</v>
      </c>
      <c r="AD45" s="17">
        <f t="shared" si="12"/>
        <v>0</v>
      </c>
      <c r="AE45" s="17">
        <f t="shared" si="12"/>
        <v>0</v>
      </c>
      <c r="AF45" s="17">
        <f>SUM(AF20:AF43)</f>
        <v>1494839</v>
      </c>
      <c r="AG45" s="17">
        <f>SUM(AG20:AG43)</f>
        <v>24347.000000000004</v>
      </c>
      <c r="AH45" s="17">
        <f>SUM(AH20:AH43)</f>
        <v>11642.922999999999</v>
      </c>
      <c r="AI45" s="4"/>
      <c r="AJ45" s="4"/>
      <c r="AK45" s="17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17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17"/>
    </row>
    <row r="48" spans="1:36" ht="11.25">
      <c r="A48" s="16" t="s">
        <v>98</v>
      </c>
      <c r="AH48" s="17"/>
      <c r="AI48" s="4"/>
      <c r="AJ48" s="4"/>
    </row>
    <row r="49" spans="1:36" ht="11.25">
      <c r="A49" s="16" t="s">
        <v>184</v>
      </c>
      <c r="AH49" s="17"/>
      <c r="AI49" s="4"/>
      <c r="AJ49" s="4"/>
    </row>
    <row r="50" spans="1:36" ht="11.25">
      <c r="A50" s="16" t="s">
        <v>185</v>
      </c>
      <c r="AH50" s="17"/>
      <c r="AI50" s="4"/>
      <c r="AJ50" s="4"/>
    </row>
    <row r="51" spans="4:37" ht="11.25">
      <c r="D51" s="80">
        <f>+'6.1 ADIT Calcluated p.2'!D51</f>
        <v>2022</v>
      </c>
      <c r="E51" s="80">
        <f>+'6.1 ADIT Calcluated p.2'!E51</f>
        <v>2023</v>
      </c>
      <c r="F51" s="80">
        <f>+'6.1 ADIT Calcluated p.2'!F51</f>
        <v>2024</v>
      </c>
      <c r="G51" s="80">
        <f>+'6.1 ADIT Calcluated p.2'!G51</f>
        <v>2025</v>
      </c>
      <c r="H51" s="80">
        <f>+'6.1 ADIT Calcluated p.2'!H51</f>
        <v>2026</v>
      </c>
      <c r="I51" s="80">
        <f>+'6.1 ADIT Calcluated p.2'!I51</f>
        <v>2027</v>
      </c>
      <c r="AH51" s="17"/>
      <c r="AI51" s="4"/>
      <c r="AJ51" s="4"/>
      <c r="AK51" s="81"/>
    </row>
    <row r="52" spans="2:37" ht="11.25">
      <c r="B52" s="40" t="s">
        <v>74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AH52" s="17"/>
      <c r="AI52" s="4"/>
      <c r="AJ52" s="4"/>
      <c r="AK52" s="81"/>
    </row>
    <row r="53" spans="2:37" ht="11.25">
      <c r="B53" s="40" t="s">
        <v>75</v>
      </c>
      <c r="D53" s="84">
        <f>+'6.1 ADIT Calcluated p.2'!D53</f>
        <v>0.0401</v>
      </c>
      <c r="E53" s="84">
        <f>+'6.1 ADIT Calcluated p.2'!E53</f>
        <v>0.0401</v>
      </c>
      <c r="F53" s="84">
        <f>+'6.1 ADIT Calcluated p.2'!F53</f>
        <v>0.0401</v>
      </c>
      <c r="G53" s="84">
        <f>+'6.1 ADIT Calcluated p.2'!G53</f>
        <v>0.0401</v>
      </c>
      <c r="H53" s="84">
        <f>+'6.1 ADIT Calcluated p.2'!H53</f>
        <v>0.0401</v>
      </c>
      <c r="I53" s="84">
        <f>+'6.1 ADIT Calcluated p.2'!I53</f>
        <v>0.0401</v>
      </c>
      <c r="AG53" s="70"/>
      <c r="AK53" s="17"/>
    </row>
    <row r="54" spans="2:37" ht="11.25">
      <c r="B54" s="85"/>
      <c r="D54" s="9">
        <f>(1-D52)*D53</f>
        <v>0.0401</v>
      </c>
      <c r="E54" s="9">
        <f>(1-E52)*E53</f>
        <v>0.0401</v>
      </c>
      <c r="F54" s="9">
        <f aca="true" t="shared" si="13" ref="F54:AE54">(1-F52)*F53</f>
        <v>0.0401</v>
      </c>
      <c r="G54" s="9">
        <f>(1-G52)*G53</f>
        <v>0.0401</v>
      </c>
      <c r="H54" s="9">
        <f>(1-H52)*H53</f>
        <v>0.0401</v>
      </c>
      <c r="I54" s="9">
        <f>(1-I52)*I53</f>
        <v>0.0401</v>
      </c>
      <c r="J54" s="9">
        <f t="shared" si="13"/>
        <v>0</v>
      </c>
      <c r="K54" s="9">
        <f t="shared" si="13"/>
        <v>0</v>
      </c>
      <c r="L54" s="9">
        <f t="shared" si="13"/>
        <v>0</v>
      </c>
      <c r="M54" s="9">
        <f t="shared" si="13"/>
        <v>0</v>
      </c>
      <c r="N54" s="9">
        <f t="shared" si="13"/>
        <v>0</v>
      </c>
      <c r="O54" s="9">
        <f t="shared" si="13"/>
        <v>0</v>
      </c>
      <c r="P54" s="9">
        <f t="shared" si="13"/>
        <v>0</v>
      </c>
      <c r="Q54" s="9">
        <f t="shared" si="13"/>
        <v>0</v>
      </c>
      <c r="R54" s="9">
        <f t="shared" si="13"/>
        <v>0</v>
      </c>
      <c r="S54" s="9">
        <f t="shared" si="13"/>
        <v>0</v>
      </c>
      <c r="T54" s="9">
        <f t="shared" si="13"/>
        <v>0</v>
      </c>
      <c r="U54" s="9">
        <f t="shared" si="13"/>
        <v>0</v>
      </c>
      <c r="V54" s="9">
        <f t="shared" si="13"/>
        <v>0</v>
      </c>
      <c r="W54" s="9">
        <f t="shared" si="13"/>
        <v>0</v>
      </c>
      <c r="X54" s="9">
        <f t="shared" si="13"/>
        <v>0</v>
      </c>
      <c r="Y54" s="9">
        <f t="shared" si="13"/>
        <v>0</v>
      </c>
      <c r="Z54" s="9">
        <f t="shared" si="13"/>
        <v>0</v>
      </c>
      <c r="AA54" s="9">
        <f t="shared" si="13"/>
        <v>0</v>
      </c>
      <c r="AB54" s="9">
        <f t="shared" si="13"/>
        <v>0</v>
      </c>
      <c r="AC54" s="9">
        <f t="shared" si="13"/>
        <v>0</v>
      </c>
      <c r="AD54" s="9">
        <f t="shared" si="13"/>
        <v>0</v>
      </c>
      <c r="AE54" s="9">
        <f t="shared" si="13"/>
        <v>0</v>
      </c>
      <c r="AJ54" s="69"/>
      <c r="AK54" s="17"/>
    </row>
    <row r="55" spans="2:37" ht="11.25">
      <c r="B55" s="86" t="s">
        <v>99</v>
      </c>
      <c r="D55" s="84">
        <f>+'6.1 ADIT Calcluated p.2'!D55</f>
        <v>0</v>
      </c>
      <c r="E55" s="84">
        <f>+'6.1 ADIT Calcluated p.2'!E55</f>
        <v>0</v>
      </c>
      <c r="F55" s="84">
        <f>+'6.1 ADIT Calcluated p.2'!F55</f>
        <v>0</v>
      </c>
      <c r="G55" s="84">
        <f>+'6.1 ADIT Calcluated p.2'!G55</f>
        <v>0</v>
      </c>
      <c r="H55" s="84">
        <f>+'6.1 ADIT Calcluated p.2'!H55</f>
        <v>0</v>
      </c>
      <c r="I55" s="84">
        <f>+'6.1 ADIT Calcluated p.2'!I55</f>
        <v>0</v>
      </c>
      <c r="AG55" s="69"/>
      <c r="AH55" s="69"/>
      <c r="AI55" s="69"/>
      <c r="AJ55" s="69"/>
      <c r="AK55" s="69"/>
    </row>
    <row r="56" spans="2:37" ht="11.25">
      <c r="B56" s="87"/>
      <c r="D56" s="9">
        <f aca="true" t="shared" si="14" ref="D56:I56">D52+D54</f>
        <v>0.0401</v>
      </c>
      <c r="E56" s="9">
        <f t="shared" si="14"/>
        <v>0.0401</v>
      </c>
      <c r="F56" s="9">
        <f t="shared" si="14"/>
        <v>0.0401</v>
      </c>
      <c r="G56" s="9">
        <f t="shared" si="14"/>
        <v>0.0401</v>
      </c>
      <c r="H56" s="9">
        <f t="shared" si="14"/>
        <v>0.0401</v>
      </c>
      <c r="I56" s="9">
        <f t="shared" si="14"/>
        <v>0.0401</v>
      </c>
      <c r="AG56" s="82"/>
      <c r="AH56" s="82"/>
      <c r="AI56" s="82"/>
      <c r="AJ56" s="82"/>
      <c r="AK56" s="82"/>
    </row>
    <row r="57" spans="4:37" ht="11.25">
      <c r="D57" s="77"/>
      <c r="E57" s="77"/>
      <c r="F57" s="77"/>
      <c r="AH57" s="4"/>
      <c r="AI57" s="17"/>
      <c r="AJ57" s="4"/>
      <c r="AK57" s="17"/>
    </row>
    <row r="58" spans="4:37" ht="11.25">
      <c r="D58" s="77"/>
      <c r="E58" s="77"/>
      <c r="F58" s="77"/>
      <c r="AH58" s="4"/>
      <c r="AI58" s="17"/>
      <c r="AJ58" s="4"/>
      <c r="AK58" s="17"/>
    </row>
    <row r="59" spans="34:37" ht="11.25">
      <c r="AH59" s="4"/>
      <c r="AI59" s="17"/>
      <c r="AJ59" s="4"/>
      <c r="AK59" s="17"/>
    </row>
    <row r="60" spans="34:37" ht="11.25">
      <c r="AH60" s="4"/>
      <c r="AI60" s="17"/>
      <c r="AJ60" s="4"/>
      <c r="AK60" s="17"/>
    </row>
    <row r="61" spans="34:37" ht="11.25">
      <c r="AH61" s="4"/>
      <c r="AI61" s="17"/>
      <c r="AJ61" s="4"/>
      <c r="AK61" s="17"/>
    </row>
    <row r="62" spans="34:37" ht="11.25">
      <c r="AH62" s="4"/>
      <c r="AI62" s="17"/>
      <c r="AJ62" s="4"/>
      <c r="AK62" s="17"/>
    </row>
    <row r="63" spans="32:37" ht="11.25">
      <c r="AF63" s="17"/>
      <c r="AH63" s="4"/>
      <c r="AI63" s="17"/>
      <c r="AJ63" s="4"/>
      <c r="AK63" s="17"/>
    </row>
    <row r="64" spans="32:37" ht="11.25">
      <c r="AF64" s="17"/>
      <c r="AH64" s="4"/>
      <c r="AI64" s="17"/>
      <c r="AJ64" s="4"/>
      <c r="AK64" s="17"/>
    </row>
    <row r="65" spans="32:37" ht="11.25">
      <c r="AF65" s="17"/>
      <c r="AH65" s="4"/>
      <c r="AI65" s="17"/>
      <c r="AJ65" s="4"/>
      <c r="AK65" s="17"/>
    </row>
    <row r="66" spans="32:37" ht="11.25">
      <c r="AF66" s="17"/>
      <c r="AH66" s="4"/>
      <c r="AI66" s="17"/>
      <c r="AJ66" s="4"/>
      <c r="AK66" s="17"/>
    </row>
    <row r="67" spans="7:37" ht="11.25">
      <c r="G67" s="4"/>
      <c r="AF67" s="17"/>
      <c r="AH67" s="4"/>
      <c r="AI67" s="17"/>
      <c r="AJ67" s="4"/>
      <c r="AK67" s="17"/>
    </row>
    <row r="68" spans="7:37" ht="11.25">
      <c r="G68" s="4"/>
      <c r="H68" s="4"/>
      <c r="AF68" s="17"/>
      <c r="AH68" s="4"/>
      <c r="AI68" s="17"/>
      <c r="AJ68" s="4"/>
      <c r="AK68" s="17"/>
    </row>
    <row r="69" spans="7:37" ht="11.25">
      <c r="G69" s="4"/>
      <c r="H69" s="4"/>
      <c r="I69" s="4"/>
      <c r="AF69" s="17"/>
      <c r="AH69" s="4"/>
      <c r="AI69" s="17"/>
      <c r="AJ69" s="4"/>
      <c r="AK69" s="17"/>
    </row>
    <row r="70" spans="7:37" ht="11.25">
      <c r="G70" s="4"/>
      <c r="H70" s="4"/>
      <c r="I70" s="4"/>
      <c r="J70" s="4"/>
      <c r="AF70" s="17"/>
      <c r="AH70" s="4"/>
      <c r="AI70" s="17"/>
      <c r="AJ70" s="4"/>
      <c r="AK70" s="17"/>
    </row>
    <row r="71" spans="7:37" ht="11.25">
      <c r="G71" s="4"/>
      <c r="H71" s="4"/>
      <c r="I71" s="4"/>
      <c r="J71" s="4"/>
      <c r="K71" s="4"/>
      <c r="AF71" s="17"/>
      <c r="AH71" s="4"/>
      <c r="AI71" s="17"/>
      <c r="AJ71" s="4"/>
      <c r="AK71" s="17"/>
    </row>
    <row r="72" spans="7:37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/>
      <c r="AH72" s="4"/>
      <c r="AI72" s="17"/>
      <c r="AJ72" s="4"/>
      <c r="AK72" s="17"/>
    </row>
    <row r="73" spans="7:37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/>
      <c r="AH73" s="4"/>
      <c r="AI73" s="17"/>
      <c r="AJ73" s="4"/>
      <c r="AK73" s="17"/>
    </row>
    <row r="74" spans="7:37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/>
      <c r="AH74" s="4"/>
      <c r="AI74" s="17"/>
      <c r="AJ74" s="4"/>
      <c r="AK74" s="17"/>
    </row>
    <row r="75" spans="7:37" ht="11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H75" s="4"/>
      <c r="AI75" s="17"/>
      <c r="AJ75" s="4"/>
      <c r="AK75" s="17"/>
    </row>
    <row r="76" spans="7:37" ht="11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H76" s="4"/>
      <c r="AI76" s="17"/>
      <c r="AJ76" s="4"/>
      <c r="AK76" s="17"/>
    </row>
    <row r="77" spans="8:37" ht="11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H77" s="4"/>
      <c r="AI77" s="17"/>
      <c r="AJ77" s="4"/>
      <c r="AK77" s="17"/>
    </row>
    <row r="78" spans="9:37" ht="11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H78" s="17"/>
      <c r="AI78" s="17"/>
      <c r="AJ78" s="17"/>
      <c r="AK78" s="17"/>
    </row>
    <row r="79" spans="10:31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1:31" ht="11.2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2:37" ht="11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G81" s="70"/>
      <c r="AK81" s="17"/>
    </row>
    <row r="82" spans="36:37" ht="11.25">
      <c r="AJ82" s="69"/>
      <c r="AK82" s="17"/>
    </row>
    <row r="83" spans="33:37" ht="11.25">
      <c r="AG83" s="69"/>
      <c r="AH83" s="69"/>
      <c r="AI83" s="69"/>
      <c r="AJ83" s="69"/>
      <c r="AK83" s="69"/>
    </row>
    <row r="84" spans="33:37" ht="11.25">
      <c r="AG84" s="82"/>
      <c r="AH84" s="82"/>
      <c r="AI84" s="82"/>
      <c r="AJ84" s="82"/>
      <c r="AK84" s="82"/>
    </row>
    <row r="85" spans="34:37" ht="11.25">
      <c r="AH85" s="4"/>
      <c r="AI85" s="17"/>
      <c r="AJ85" s="4"/>
      <c r="AK85" s="17"/>
    </row>
    <row r="86" spans="34:37" ht="11.25">
      <c r="AH86" s="4"/>
      <c r="AI86" s="17"/>
      <c r="AJ86" s="4"/>
      <c r="AK86" s="17"/>
    </row>
    <row r="87" spans="34:37" ht="11.25">
      <c r="AH87" s="4"/>
      <c r="AI87" s="17"/>
      <c r="AJ87" s="4"/>
      <c r="AK87" s="17"/>
    </row>
    <row r="88" spans="34:37" ht="11.25">
      <c r="AH88" s="4"/>
      <c r="AI88" s="17"/>
      <c r="AJ88" s="4"/>
      <c r="AK88" s="17"/>
    </row>
    <row r="89" spans="34:37" ht="11.25">
      <c r="AH89" s="4"/>
      <c r="AI89" s="17"/>
      <c r="AJ89" s="4"/>
      <c r="AK89" s="17"/>
    </row>
    <row r="90" spans="34:37" ht="11.25">
      <c r="AH90" s="4"/>
      <c r="AI90" s="17"/>
      <c r="AJ90" s="4"/>
      <c r="AK90" s="17"/>
    </row>
    <row r="91" spans="34:37" ht="11.25">
      <c r="AH91" s="4"/>
      <c r="AI91" s="17"/>
      <c r="AJ91" s="4"/>
      <c r="AK91" s="17"/>
    </row>
    <row r="92" spans="34:37" ht="11.25">
      <c r="AH92" s="4"/>
      <c r="AI92" s="17"/>
      <c r="AJ92" s="4"/>
      <c r="AK92" s="17"/>
    </row>
    <row r="93" spans="34:37" ht="11.25">
      <c r="AH93" s="4"/>
      <c r="AI93" s="17"/>
      <c r="AJ93" s="4"/>
      <c r="AK93" s="17"/>
    </row>
    <row r="94" spans="34:37" ht="11.25">
      <c r="AH94" s="4"/>
      <c r="AI94" s="17"/>
      <c r="AJ94" s="4"/>
      <c r="AK94" s="17"/>
    </row>
    <row r="95" spans="34:37" ht="11.25">
      <c r="AH95" s="4"/>
      <c r="AI95" s="17"/>
      <c r="AJ95" s="4"/>
      <c r="AK95" s="17"/>
    </row>
    <row r="96" spans="34:37" ht="11.25">
      <c r="AH96" s="4"/>
      <c r="AI96" s="17"/>
      <c r="AJ96" s="4"/>
      <c r="AK96" s="17"/>
    </row>
    <row r="97" spans="34:37" ht="11.25">
      <c r="AH97" s="4"/>
      <c r="AI97" s="17"/>
      <c r="AJ97" s="4"/>
      <c r="AK97" s="17"/>
    </row>
    <row r="98" spans="34:37" ht="11.25">
      <c r="AH98" s="4"/>
      <c r="AI98" s="17"/>
      <c r="AJ98" s="4"/>
      <c r="AK98" s="17"/>
    </row>
    <row r="99" spans="34:37" ht="11.25">
      <c r="AH99" s="4"/>
      <c r="AI99" s="17"/>
      <c r="AJ99" s="4"/>
      <c r="AK99" s="17"/>
    </row>
    <row r="100" spans="34:37" ht="11.25">
      <c r="AH100" s="4"/>
      <c r="AI100" s="17"/>
      <c r="AJ100" s="4"/>
      <c r="AK100" s="17"/>
    </row>
    <row r="101" spans="34:37" ht="11.25">
      <c r="AH101" s="4"/>
      <c r="AI101" s="17"/>
      <c r="AJ101" s="4"/>
      <c r="AK101" s="17"/>
    </row>
    <row r="102" spans="34:37" ht="11.25">
      <c r="AH102" s="4"/>
      <c r="AI102" s="17"/>
      <c r="AJ102" s="4"/>
      <c r="AK102" s="17"/>
    </row>
    <row r="103" spans="34:37" ht="11.25">
      <c r="AH103" s="4"/>
      <c r="AI103" s="17"/>
      <c r="AJ103" s="4"/>
      <c r="AK103" s="17"/>
    </row>
    <row r="104" spans="34:37" ht="11.25">
      <c r="AH104" s="4"/>
      <c r="AI104" s="17"/>
      <c r="AJ104" s="4"/>
      <c r="AK104" s="17"/>
    </row>
    <row r="105" spans="34:37" ht="11.25">
      <c r="AH105" s="4"/>
      <c r="AI105" s="17"/>
      <c r="AJ105" s="4"/>
      <c r="AK105" s="17"/>
    </row>
    <row r="106" spans="34:37" ht="11.25">
      <c r="AH106" s="17"/>
      <c r="AI106" s="17"/>
      <c r="AJ106" s="17"/>
      <c r="AK106" s="17"/>
    </row>
  </sheetData>
  <sheetProtection/>
  <mergeCells count="4">
    <mergeCell ref="A5:AK5"/>
    <mergeCell ref="A6:AK6"/>
    <mergeCell ref="A7:AK7"/>
    <mergeCell ref="D17:AG17"/>
  </mergeCells>
  <printOptions horizontalCentered="1"/>
  <pageMargins left="0" right="0" top="0.5" bottom="0" header="0.5" footer="0.5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2.421875" style="0" customWidth="1"/>
    <col min="3" max="3" width="3.00390625" style="0" customWidth="1"/>
    <col min="4" max="4" width="44.57421875" style="0" bestFit="1" customWidth="1"/>
    <col min="5" max="5" width="8.57421875" style="0" customWidth="1"/>
    <col min="7" max="7" width="18.00390625" style="0" customWidth="1"/>
    <col min="9" max="9" width="35.140625" style="0" bestFit="1" customWidth="1"/>
  </cols>
  <sheetData>
    <row r="1" ht="12.75">
      <c r="I1" s="120" t="str">
        <f>+'6.1 ADIT Calcluated p.3'!AK1</f>
        <v> PSC Set 1 No. 1 2022-00342</v>
      </c>
    </row>
    <row r="2" ht="12.75">
      <c r="I2" s="120" t="str">
        <f>+'6.1 ADIT Calcluated p.3'!AK2</f>
        <v>Attachment JTG-1</v>
      </c>
    </row>
    <row r="3" spans="1:12" ht="12.75">
      <c r="A3" s="11"/>
      <c r="B3" s="11"/>
      <c r="C3" s="11"/>
      <c r="D3" s="11"/>
      <c r="E3" s="11"/>
      <c r="F3" s="11"/>
      <c r="G3" s="11"/>
      <c r="H3" s="11"/>
      <c r="I3" s="120" t="s">
        <v>222</v>
      </c>
      <c r="L3" s="120"/>
    </row>
    <row r="4" spans="1:13" ht="12.75">
      <c r="A4" s="165" t="s">
        <v>12</v>
      </c>
      <c r="B4" s="165"/>
      <c r="C4" s="165"/>
      <c r="D4" s="165"/>
      <c r="E4" s="165"/>
      <c r="F4" s="165"/>
      <c r="G4" s="165"/>
      <c r="H4" s="165"/>
      <c r="I4" s="165"/>
      <c r="J4" s="1"/>
      <c r="K4" s="1"/>
      <c r="L4" s="1"/>
      <c r="M4" s="1"/>
    </row>
    <row r="5" spans="1:17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62"/>
      <c r="K5" s="62"/>
      <c r="L5" s="62"/>
      <c r="M5" s="62"/>
      <c r="N5" s="62"/>
      <c r="O5" s="62"/>
      <c r="P5" s="62"/>
      <c r="Q5" s="62"/>
    </row>
    <row r="6" spans="1:13" ht="12.75">
      <c r="A6" s="165" t="s">
        <v>223</v>
      </c>
      <c r="B6" s="165"/>
      <c r="C6" s="165"/>
      <c r="D6" s="165"/>
      <c r="E6" s="165"/>
      <c r="F6" s="165"/>
      <c r="G6" s="165"/>
      <c r="H6" s="165"/>
      <c r="I6" s="165"/>
      <c r="J6" s="1"/>
      <c r="K6" s="1"/>
      <c r="L6" s="1"/>
      <c r="M6" s="1"/>
    </row>
    <row r="9" spans="1:9" ht="12.75">
      <c r="A9" s="118" t="s">
        <v>49</v>
      </c>
      <c r="B9" s="11"/>
      <c r="C9" s="11"/>
      <c r="D9" s="11"/>
      <c r="E9" s="11"/>
      <c r="F9" s="118"/>
      <c r="G9" s="118" t="s">
        <v>114</v>
      </c>
      <c r="H9" s="121"/>
      <c r="I9" s="121"/>
    </row>
    <row r="10" spans="1:9" ht="12.75">
      <c r="A10" s="122" t="s">
        <v>50</v>
      </c>
      <c r="B10" s="11"/>
      <c r="C10" s="11"/>
      <c r="D10" s="11"/>
      <c r="E10" s="111"/>
      <c r="F10" s="123"/>
      <c r="G10" s="160">
        <v>44926</v>
      </c>
      <c r="H10" s="121"/>
      <c r="I10" s="122" t="s">
        <v>51</v>
      </c>
    </row>
    <row r="11" spans="1:9" ht="12.75">
      <c r="A11" s="118"/>
      <c r="B11" s="11"/>
      <c r="C11" s="11"/>
      <c r="D11" s="11"/>
      <c r="E11" s="111"/>
      <c r="F11" s="124"/>
      <c r="G11" s="124" t="s">
        <v>280</v>
      </c>
      <c r="H11" s="124"/>
      <c r="I11" s="124" t="s">
        <v>281</v>
      </c>
    </row>
    <row r="12" spans="1:9" ht="12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1"/>
      <c r="B13" s="121" t="s">
        <v>224</v>
      </c>
      <c r="C13" s="11"/>
      <c r="D13" s="11"/>
      <c r="E13" s="11"/>
      <c r="F13" s="11"/>
      <c r="G13" s="11"/>
      <c r="H13" s="11"/>
      <c r="I13" s="11"/>
    </row>
    <row r="14" spans="1:9" ht="12.75">
      <c r="A14" s="111"/>
      <c r="B14" s="11"/>
      <c r="C14" s="2" t="s">
        <v>225</v>
      </c>
      <c r="D14" s="11"/>
      <c r="E14" s="11"/>
      <c r="F14" s="11"/>
      <c r="G14" s="11"/>
      <c r="H14" s="11"/>
      <c r="I14" s="11"/>
    </row>
    <row r="15" spans="1:9" ht="12">
      <c r="A15" s="111">
        <v>1</v>
      </c>
      <c r="B15" s="11"/>
      <c r="C15" s="11"/>
      <c r="D15" s="11" t="s">
        <v>228</v>
      </c>
      <c r="E15" s="11"/>
      <c r="F15" s="27"/>
      <c r="G15" s="28">
        <f>+'3.0 Plant in Service'!P40+'4.0 Accumulated Depr'!O50</f>
        <v>0</v>
      </c>
      <c r="H15" s="11"/>
      <c r="I15" s="11" t="s">
        <v>303</v>
      </c>
    </row>
    <row r="16" spans="1:9" ht="12">
      <c r="A16" s="1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1"/>
      <c r="B17" s="2" t="s">
        <v>226</v>
      </c>
      <c r="C17" s="121"/>
      <c r="D17" s="121"/>
      <c r="E17" s="121"/>
      <c r="F17" s="11"/>
      <c r="G17" s="11"/>
      <c r="H17" s="11"/>
      <c r="I17" s="11"/>
    </row>
    <row r="18" spans="1:9" ht="18">
      <c r="A18" s="111">
        <f>A15+1</f>
        <v>2</v>
      </c>
      <c r="B18" s="11"/>
      <c r="C18" s="11"/>
      <c r="D18" s="11" t="s">
        <v>227</v>
      </c>
      <c r="E18" s="11"/>
      <c r="F18" s="27"/>
      <c r="G18" s="93">
        <f>ROUND(G15*0.01418,0)</f>
        <v>0</v>
      </c>
      <c r="H18" s="11"/>
      <c r="I18" s="10" t="s">
        <v>246</v>
      </c>
    </row>
    <row r="19" spans="1:9" ht="12">
      <c r="A19" s="111"/>
      <c r="B19" s="11"/>
      <c r="C19" s="11"/>
      <c r="D19" s="11"/>
      <c r="E19" s="11"/>
      <c r="F19" s="27"/>
      <c r="G19" s="113"/>
      <c r="H19" s="11"/>
      <c r="I19" s="11"/>
    </row>
    <row r="20" spans="1:9" ht="13.5">
      <c r="A20" s="111"/>
      <c r="B20" s="11"/>
      <c r="C20" s="11"/>
      <c r="D20" s="11"/>
      <c r="E20" s="11"/>
      <c r="F20" s="27"/>
      <c r="G20" s="125"/>
      <c r="H20" s="11"/>
      <c r="I20" s="11"/>
    </row>
    <row r="21" spans="1:9" ht="12">
      <c r="A21" s="111"/>
      <c r="B21" s="11"/>
      <c r="C21" s="11"/>
      <c r="D21" s="11"/>
      <c r="E21" s="11"/>
      <c r="F21" s="116"/>
      <c r="G21" s="116"/>
      <c r="H21" s="11"/>
      <c r="I21" s="11"/>
    </row>
    <row r="22" spans="1:9" ht="12">
      <c r="A22" s="111"/>
      <c r="B22" s="11"/>
      <c r="C22" s="11"/>
      <c r="D22" s="11"/>
      <c r="E22" s="11"/>
      <c r="F22" s="126"/>
      <c r="G22" s="116"/>
      <c r="H22" s="11"/>
      <c r="I22" s="11"/>
    </row>
    <row r="23" spans="1:9" ht="12.75">
      <c r="A23" s="111"/>
      <c r="B23" s="121"/>
      <c r="C23" s="11"/>
      <c r="D23" s="11"/>
      <c r="E23" s="11"/>
      <c r="F23" s="127"/>
      <c r="G23" s="116"/>
      <c r="H23" s="11"/>
      <c r="I23" s="11"/>
    </row>
    <row r="24" spans="1:9" ht="12.75">
      <c r="A24" s="11"/>
      <c r="B24" s="11"/>
      <c r="C24" s="11"/>
      <c r="D24" s="11"/>
      <c r="E24" s="11"/>
      <c r="F24" s="126"/>
      <c r="G24" s="128"/>
      <c r="H24" s="11"/>
      <c r="I24" s="11"/>
    </row>
    <row r="25" spans="1:9" ht="12.75">
      <c r="A25" s="111" t="s">
        <v>71</v>
      </c>
      <c r="B25" s="121"/>
      <c r="C25" s="121"/>
      <c r="D25" s="121"/>
      <c r="E25" s="121"/>
      <c r="F25" s="129"/>
      <c r="G25" s="129"/>
      <c r="H25" s="121"/>
      <c r="I25" s="121"/>
    </row>
    <row r="26" spans="1:9" ht="18">
      <c r="A26" s="10" t="s">
        <v>247</v>
      </c>
      <c r="B26" s="10"/>
      <c r="C26" s="10"/>
      <c r="D26" s="10"/>
      <c r="E26" s="10"/>
      <c r="F26" s="136"/>
      <c r="G26" s="130"/>
      <c r="H26" s="11"/>
      <c r="I26" s="11"/>
    </row>
    <row r="27" spans="1:9" ht="12">
      <c r="A27" s="11"/>
      <c r="B27" s="11"/>
      <c r="C27" s="11"/>
      <c r="D27" s="11"/>
      <c r="E27" s="11"/>
      <c r="F27" s="11"/>
      <c r="G27" s="126"/>
      <c r="H27" s="11"/>
      <c r="I27" s="11"/>
    </row>
  </sheetData>
  <sheetProtection/>
  <mergeCells count="3">
    <mergeCell ref="A4:I4"/>
    <mergeCell ref="A5:I5"/>
    <mergeCell ref="A6:I6"/>
  </mergeCells>
  <printOptions/>
  <pageMargins left="0.7" right="0.7" top="0.75" bottom="0.75" header="0.3" footer="0.3"/>
  <pageSetup horizontalDpi="1200" verticalDpi="12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3.7109375" style="10" customWidth="1"/>
    <col min="2" max="2" width="53.140625" style="10" bestFit="1" customWidth="1"/>
    <col min="3" max="4" width="10.7109375" style="10" customWidth="1"/>
    <col min="5" max="5" width="20.7109375" style="10" customWidth="1"/>
    <col min="6" max="7" width="10.28125" style="10" bestFit="1" customWidth="1"/>
    <col min="8" max="8" width="9.140625" style="10" customWidth="1"/>
    <col min="9" max="9" width="9.8515625" style="10" customWidth="1"/>
    <col min="10" max="16384" width="9.140625" style="10" customWidth="1"/>
  </cols>
  <sheetData>
    <row r="1" ht="12.75">
      <c r="G1" s="43" t="str">
        <f>+'7.0 Property Tax'!I1</f>
        <v> PSC Set 1 No. 1 2022-00342</v>
      </c>
    </row>
    <row r="2" ht="12.75">
      <c r="G2" s="43" t="str">
        <f>+'7.0 Property Tax'!I2</f>
        <v>Attachment JTG-1</v>
      </c>
    </row>
    <row r="3" ht="12.75">
      <c r="G3" s="43" t="s">
        <v>199</v>
      </c>
    </row>
    <row r="4" ht="12.75">
      <c r="E4" s="43"/>
    </row>
    <row r="5" spans="2:8" ht="12.75">
      <c r="B5" s="166" t="s">
        <v>12</v>
      </c>
      <c r="C5" s="166"/>
      <c r="D5" s="166"/>
      <c r="E5" s="166"/>
      <c r="F5" s="62"/>
      <c r="G5" s="62"/>
      <c r="H5" s="62"/>
    </row>
    <row r="6" spans="2:8" ht="12.75">
      <c r="B6" s="166" t="s">
        <v>115</v>
      </c>
      <c r="C6" s="166"/>
      <c r="D6" s="166"/>
      <c r="E6" s="166"/>
      <c r="F6" s="62"/>
      <c r="G6" s="62"/>
      <c r="H6" s="62"/>
    </row>
    <row r="7" spans="2:8" ht="12.75">
      <c r="B7" s="166" t="s">
        <v>78</v>
      </c>
      <c r="C7" s="166"/>
      <c r="D7" s="166"/>
      <c r="E7" s="166"/>
      <c r="F7" s="62"/>
      <c r="G7" s="62"/>
      <c r="H7" s="62"/>
    </row>
    <row r="10" ht="12.75">
      <c r="E10" s="34" t="s">
        <v>79</v>
      </c>
    </row>
    <row r="11" ht="12.75">
      <c r="E11" s="35" t="s">
        <v>13</v>
      </c>
    </row>
    <row r="12" spans="2:7" ht="14.25">
      <c r="B12" s="10" t="s">
        <v>275</v>
      </c>
      <c r="E12" s="21">
        <f>+E13</f>
        <v>2978227</v>
      </c>
      <c r="G12" s="91"/>
    </row>
    <row r="13" spans="2:7" ht="13.5">
      <c r="B13" s="10" t="s">
        <v>248</v>
      </c>
      <c r="E13" s="137">
        <v>2978227</v>
      </c>
      <c r="G13" s="92"/>
    </row>
    <row r="14" spans="2:7" ht="12">
      <c r="B14" s="10" t="s">
        <v>77</v>
      </c>
      <c r="E14" s="56">
        <f>IF(+E12-E13&lt;0,+E12-E13,0)</f>
        <v>0</v>
      </c>
      <c r="G14" s="27"/>
    </row>
    <row r="15" ht="12">
      <c r="I15" s="32"/>
    </row>
    <row r="17" ht="13.5">
      <c r="B17" s="5" t="s">
        <v>276</v>
      </c>
    </row>
  </sheetData>
  <sheetProtection/>
  <mergeCells count="3">
    <mergeCell ref="B5:E5"/>
    <mergeCell ref="B6:E6"/>
    <mergeCell ref="B7:E7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23" sqref="D23:O27"/>
    </sheetView>
  </sheetViews>
  <sheetFormatPr defaultColWidth="9.140625" defaultRowHeight="12.75"/>
  <cols>
    <col min="1" max="1" width="3.28125" style="141" customWidth="1"/>
    <col min="2" max="2" width="33.140625" style="141" bestFit="1" customWidth="1"/>
    <col min="3" max="3" width="12.140625" style="141" bestFit="1" customWidth="1"/>
    <col min="4" max="4" width="12.00390625" style="141" bestFit="1" customWidth="1"/>
    <col min="5" max="9" width="12.8515625" style="141" bestFit="1" customWidth="1"/>
    <col min="10" max="11" width="13.8515625" style="141" bestFit="1" customWidth="1"/>
    <col min="12" max="12" width="11.8515625" style="141" customWidth="1"/>
    <col min="13" max="15" width="13.8515625" style="141" bestFit="1" customWidth="1"/>
    <col min="16" max="16" width="18.421875" style="141" customWidth="1"/>
    <col min="17" max="17" width="17.57421875" style="141" customWidth="1"/>
    <col min="18" max="16384" width="8.7109375" style="141" customWidth="1"/>
  </cols>
  <sheetData>
    <row r="1" spans="14:17" s="10" customFormat="1" ht="12.75">
      <c r="N1" s="43"/>
      <c r="Q1" s="43" t="str">
        <f>+'8.0 O&amp;M Savings '!G1</f>
        <v> PSC Set 1 No. 1 2022-00342</v>
      </c>
    </row>
    <row r="2" spans="14:17" s="10" customFormat="1" ht="12.75">
      <c r="N2" s="43"/>
      <c r="Q2" s="43" t="str">
        <f>+'8.0 O&amp;M Savings '!G2</f>
        <v>Attachment JTG-1</v>
      </c>
    </row>
    <row r="3" spans="14:17" s="10" customFormat="1" ht="12.75">
      <c r="N3" s="43"/>
      <c r="Q3" s="43" t="s">
        <v>250</v>
      </c>
    </row>
    <row r="4" spans="1:17" s="10" customFormat="1" ht="12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10" customFormat="1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251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9" spans="3:17" ht="12">
      <c r="C9" s="142">
        <v>2021</v>
      </c>
      <c r="D9" s="142">
        <f>+C9+1</f>
        <v>2022</v>
      </c>
      <c r="E9" s="142">
        <f>+D9</f>
        <v>2022</v>
      </c>
      <c r="F9" s="142">
        <f aca="true" t="shared" si="0" ref="F9:Q9">+E9</f>
        <v>2022</v>
      </c>
      <c r="G9" s="142">
        <f t="shared" si="0"/>
        <v>2022</v>
      </c>
      <c r="H9" s="142">
        <f t="shared" si="0"/>
        <v>2022</v>
      </c>
      <c r="I9" s="142">
        <f t="shared" si="0"/>
        <v>2022</v>
      </c>
      <c r="J9" s="142">
        <f t="shared" si="0"/>
        <v>2022</v>
      </c>
      <c r="K9" s="142">
        <f t="shared" si="0"/>
        <v>2022</v>
      </c>
      <c r="L9" s="142">
        <f t="shared" si="0"/>
        <v>2022</v>
      </c>
      <c r="M9" s="142">
        <f t="shared" si="0"/>
        <v>2022</v>
      </c>
      <c r="N9" s="142">
        <f t="shared" si="0"/>
        <v>2022</v>
      </c>
      <c r="O9" s="142">
        <f t="shared" si="0"/>
        <v>2022</v>
      </c>
      <c r="P9" s="142">
        <f t="shared" si="0"/>
        <v>2022</v>
      </c>
      <c r="Q9" s="142">
        <f t="shared" si="0"/>
        <v>2022</v>
      </c>
    </row>
    <row r="10" spans="3:17" ht="12">
      <c r="C10" s="37" t="s">
        <v>148</v>
      </c>
      <c r="D10" s="37" t="s">
        <v>149</v>
      </c>
      <c r="E10" s="37" t="s">
        <v>150</v>
      </c>
      <c r="F10" s="37" t="s">
        <v>151</v>
      </c>
      <c r="G10" s="37" t="s">
        <v>152</v>
      </c>
      <c r="H10" s="37" t="s">
        <v>81</v>
      </c>
      <c r="I10" s="37" t="s">
        <v>153</v>
      </c>
      <c r="J10" s="37" t="s">
        <v>154</v>
      </c>
      <c r="K10" s="37" t="s">
        <v>155</v>
      </c>
      <c r="L10" s="37" t="s">
        <v>156</v>
      </c>
      <c r="M10" s="37" t="s">
        <v>157</v>
      </c>
      <c r="N10" s="37" t="s">
        <v>158</v>
      </c>
      <c r="O10" s="37" t="s">
        <v>148</v>
      </c>
      <c r="P10" s="37" t="s">
        <v>159</v>
      </c>
      <c r="Q10" s="37" t="s">
        <v>160</v>
      </c>
    </row>
    <row r="11" spans="3:15" ht="12">
      <c r="C11" s="37" t="s">
        <v>92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3" ht="12">
      <c r="B13" s="143" t="s">
        <v>22</v>
      </c>
    </row>
    <row r="14" spans="2:16" ht="12">
      <c r="B14" s="10" t="s">
        <v>141</v>
      </c>
      <c r="C14" s="144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6">
        <f>SUM(C14:O14)</f>
        <v>0</v>
      </c>
    </row>
    <row r="15" spans="2:16" ht="12">
      <c r="B15" s="10" t="s">
        <v>142</v>
      </c>
      <c r="C15" s="144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6">
        <f>SUM(C15:O15)</f>
        <v>0</v>
      </c>
    </row>
    <row r="16" spans="2:16" ht="12">
      <c r="B16" s="10" t="s">
        <v>143</v>
      </c>
      <c r="C16" s="144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6">
        <f>SUM(C16:O16)</f>
        <v>0</v>
      </c>
    </row>
    <row r="17" spans="2:16" ht="12">
      <c r="B17" s="10" t="s">
        <v>144</v>
      </c>
      <c r="C17" s="144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6">
        <f>SUM(C17:O17)</f>
        <v>0</v>
      </c>
    </row>
    <row r="18" spans="2:16" ht="12">
      <c r="B18" s="10" t="s">
        <v>145</v>
      </c>
      <c r="C18" s="144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6">
        <f>SUM(C18:O18)</f>
        <v>0</v>
      </c>
    </row>
    <row r="19" spans="2:16" ht="12">
      <c r="B19" s="10" t="s">
        <v>161</v>
      </c>
      <c r="C19" s="147">
        <f>SUM(C14:C18)</f>
        <v>0</v>
      </c>
      <c r="D19" s="98">
        <f>SUM(D14:D18)</f>
        <v>0</v>
      </c>
      <c r="E19" s="98">
        <f aca="true" t="shared" si="1" ref="E19:O19">SUM(E14:E18)</f>
        <v>0</v>
      </c>
      <c r="F19" s="98">
        <f t="shared" si="1"/>
        <v>0</v>
      </c>
      <c r="G19" s="98">
        <f t="shared" si="1"/>
        <v>0</v>
      </c>
      <c r="H19" s="98">
        <f t="shared" si="1"/>
        <v>0</v>
      </c>
      <c r="I19" s="98">
        <f t="shared" si="1"/>
        <v>0</v>
      </c>
      <c r="J19" s="98">
        <f t="shared" si="1"/>
        <v>0</v>
      </c>
      <c r="K19" s="98">
        <f t="shared" si="1"/>
        <v>0</v>
      </c>
      <c r="L19" s="98">
        <f t="shared" si="1"/>
        <v>0</v>
      </c>
      <c r="M19" s="98">
        <f t="shared" si="1"/>
        <v>0</v>
      </c>
      <c r="N19" s="98">
        <f t="shared" si="1"/>
        <v>0</v>
      </c>
      <c r="O19" s="98">
        <f t="shared" si="1"/>
        <v>0</v>
      </c>
      <c r="P19" s="147"/>
    </row>
    <row r="20" spans="2:17" ht="12">
      <c r="B20" s="10" t="s">
        <v>162</v>
      </c>
      <c r="C20" s="148">
        <f>+C19</f>
        <v>0</v>
      </c>
      <c r="D20" s="27">
        <f>+D19+C20</f>
        <v>0</v>
      </c>
      <c r="E20" s="27">
        <f aca="true" t="shared" si="2" ref="E20:O20">+E19+D20</f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  <c r="K20" s="27">
        <f t="shared" si="2"/>
        <v>0</v>
      </c>
      <c r="L20" s="27">
        <f t="shared" si="2"/>
        <v>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148">
        <f>SUM(P14:P18)</f>
        <v>0</v>
      </c>
      <c r="Q20" s="146">
        <f>AVERAGE(C20:O20)</f>
        <v>0</v>
      </c>
    </row>
    <row r="21" spans="4:15" ht="12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2">
      <c r="B22" s="143" t="s">
        <v>62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6" ht="12">
      <c r="B23" s="10" t="s">
        <v>141</v>
      </c>
      <c r="C23" s="144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6">
        <f>SUM(C23:O23)</f>
        <v>0</v>
      </c>
    </row>
    <row r="24" spans="2:16" ht="12">
      <c r="B24" s="10" t="s">
        <v>142</v>
      </c>
      <c r="C24" s="144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6">
        <f>SUM(C24:O24)</f>
        <v>0</v>
      </c>
    </row>
    <row r="25" spans="2:16" ht="12">
      <c r="B25" s="10" t="s">
        <v>143</v>
      </c>
      <c r="C25" s="144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6">
        <f>SUM(C25:O25)</f>
        <v>0</v>
      </c>
    </row>
    <row r="26" spans="2:16" ht="12">
      <c r="B26" s="10" t="s">
        <v>144</v>
      </c>
      <c r="C26" s="144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6">
        <f>SUM(C26:O26)</f>
        <v>0</v>
      </c>
    </row>
    <row r="27" spans="2:16" ht="12">
      <c r="B27" s="10" t="s">
        <v>145</v>
      </c>
      <c r="C27" s="144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6">
        <f>SUM(C27:O27)</f>
        <v>0</v>
      </c>
    </row>
    <row r="28" spans="2:16" ht="12">
      <c r="B28" s="10" t="s">
        <v>163</v>
      </c>
      <c r="C28" s="147">
        <f>SUM(C23:C27)</f>
        <v>0</v>
      </c>
      <c r="D28" s="98">
        <f>SUM(D23:D27)</f>
        <v>0</v>
      </c>
      <c r="E28" s="98">
        <f aca="true" t="shared" si="3" ref="E28:O28">SUM(E23:E27)</f>
        <v>0</v>
      </c>
      <c r="F28" s="98">
        <f t="shared" si="3"/>
        <v>0</v>
      </c>
      <c r="G28" s="98">
        <f t="shared" si="3"/>
        <v>0</v>
      </c>
      <c r="H28" s="98">
        <f t="shared" si="3"/>
        <v>0</v>
      </c>
      <c r="I28" s="98">
        <f t="shared" si="3"/>
        <v>0</v>
      </c>
      <c r="J28" s="98">
        <f t="shared" si="3"/>
        <v>0</v>
      </c>
      <c r="K28" s="98">
        <f t="shared" si="3"/>
        <v>0</v>
      </c>
      <c r="L28" s="98">
        <f t="shared" si="3"/>
        <v>0</v>
      </c>
      <c r="M28" s="98">
        <f t="shared" si="3"/>
        <v>0</v>
      </c>
      <c r="N28" s="98">
        <f t="shared" si="3"/>
        <v>0</v>
      </c>
      <c r="O28" s="98">
        <f t="shared" si="3"/>
        <v>0</v>
      </c>
      <c r="P28" s="147"/>
    </row>
    <row r="29" spans="2:17" ht="12">
      <c r="B29" s="10" t="s">
        <v>164</v>
      </c>
      <c r="C29" s="148">
        <f>+C28</f>
        <v>0</v>
      </c>
      <c r="D29" s="148">
        <f>+D28+C29</f>
        <v>0</v>
      </c>
      <c r="E29" s="148">
        <f aca="true" t="shared" si="4" ref="E29:O29">+E28+D29</f>
        <v>0</v>
      </c>
      <c r="F29" s="148">
        <f t="shared" si="4"/>
        <v>0</v>
      </c>
      <c r="G29" s="148">
        <f t="shared" si="4"/>
        <v>0</v>
      </c>
      <c r="H29" s="148">
        <f t="shared" si="4"/>
        <v>0</v>
      </c>
      <c r="I29" s="148">
        <f t="shared" si="4"/>
        <v>0</v>
      </c>
      <c r="J29" s="148">
        <f t="shared" si="4"/>
        <v>0</v>
      </c>
      <c r="K29" s="148">
        <f t="shared" si="4"/>
        <v>0</v>
      </c>
      <c r="L29" s="148">
        <f t="shared" si="4"/>
        <v>0</v>
      </c>
      <c r="M29" s="148">
        <f t="shared" si="4"/>
        <v>0</v>
      </c>
      <c r="N29" s="148">
        <f t="shared" si="4"/>
        <v>0</v>
      </c>
      <c r="O29" s="148">
        <f t="shared" si="4"/>
        <v>0</v>
      </c>
      <c r="P29" s="148">
        <f>SUM(P23:P27)</f>
        <v>0</v>
      </c>
      <c r="Q29" s="146">
        <f>AVERAGE(C29:O29)</f>
        <v>0</v>
      </c>
    </row>
    <row r="31" ht="12">
      <c r="B31" s="143" t="s">
        <v>147</v>
      </c>
    </row>
    <row r="32" spans="2:16" ht="12">
      <c r="B32" s="10" t="s">
        <v>141</v>
      </c>
      <c r="C32" s="144">
        <v>0</v>
      </c>
      <c r="D32" s="149">
        <f aca="true" t="shared" si="5" ref="D32:O36">+D14+D23</f>
        <v>0</v>
      </c>
      <c r="E32" s="149">
        <f t="shared" si="5"/>
        <v>0</v>
      </c>
      <c r="F32" s="149">
        <f t="shared" si="5"/>
        <v>0</v>
      </c>
      <c r="G32" s="149">
        <f t="shared" si="5"/>
        <v>0</v>
      </c>
      <c r="H32" s="149">
        <f t="shared" si="5"/>
        <v>0</v>
      </c>
      <c r="I32" s="149">
        <f t="shared" si="5"/>
        <v>0</v>
      </c>
      <c r="J32" s="149">
        <f t="shared" si="5"/>
        <v>0</v>
      </c>
      <c r="K32" s="149">
        <f t="shared" si="5"/>
        <v>0</v>
      </c>
      <c r="L32" s="149">
        <f t="shared" si="5"/>
        <v>0</v>
      </c>
      <c r="M32" s="149">
        <f t="shared" si="5"/>
        <v>0</v>
      </c>
      <c r="N32" s="149">
        <f t="shared" si="5"/>
        <v>0</v>
      </c>
      <c r="O32" s="149">
        <f t="shared" si="5"/>
        <v>0</v>
      </c>
      <c r="P32" s="146">
        <f>SUM(C32:O32)</f>
        <v>0</v>
      </c>
    </row>
    <row r="33" spans="2:16" ht="12">
      <c r="B33" s="10" t="s">
        <v>142</v>
      </c>
      <c r="C33" s="144">
        <v>0</v>
      </c>
      <c r="D33" s="149">
        <f t="shared" si="5"/>
        <v>0</v>
      </c>
      <c r="E33" s="149">
        <f t="shared" si="5"/>
        <v>0</v>
      </c>
      <c r="F33" s="149">
        <f t="shared" si="5"/>
        <v>0</v>
      </c>
      <c r="G33" s="149">
        <f t="shared" si="5"/>
        <v>0</v>
      </c>
      <c r="H33" s="149">
        <f t="shared" si="5"/>
        <v>0</v>
      </c>
      <c r="I33" s="149">
        <f t="shared" si="5"/>
        <v>0</v>
      </c>
      <c r="J33" s="149">
        <f t="shared" si="5"/>
        <v>0</v>
      </c>
      <c r="K33" s="149">
        <f t="shared" si="5"/>
        <v>0</v>
      </c>
      <c r="L33" s="149">
        <f t="shared" si="5"/>
        <v>0</v>
      </c>
      <c r="M33" s="149">
        <f t="shared" si="5"/>
        <v>0</v>
      </c>
      <c r="N33" s="149">
        <f t="shared" si="5"/>
        <v>0</v>
      </c>
      <c r="O33" s="149">
        <f t="shared" si="5"/>
        <v>0</v>
      </c>
      <c r="P33" s="146">
        <f>SUM(C33:O33)</f>
        <v>0</v>
      </c>
    </row>
    <row r="34" spans="2:16" ht="12">
      <c r="B34" s="10" t="s">
        <v>143</v>
      </c>
      <c r="C34" s="144">
        <v>0</v>
      </c>
      <c r="D34" s="149">
        <f t="shared" si="5"/>
        <v>0</v>
      </c>
      <c r="E34" s="149">
        <f t="shared" si="5"/>
        <v>0</v>
      </c>
      <c r="F34" s="149">
        <f t="shared" si="5"/>
        <v>0</v>
      </c>
      <c r="G34" s="149">
        <f t="shared" si="5"/>
        <v>0</v>
      </c>
      <c r="H34" s="149">
        <f t="shared" si="5"/>
        <v>0</v>
      </c>
      <c r="I34" s="149">
        <f t="shared" si="5"/>
        <v>0</v>
      </c>
      <c r="J34" s="149">
        <f t="shared" si="5"/>
        <v>0</v>
      </c>
      <c r="K34" s="149">
        <f t="shared" si="5"/>
        <v>0</v>
      </c>
      <c r="L34" s="149">
        <f t="shared" si="5"/>
        <v>0</v>
      </c>
      <c r="M34" s="149">
        <f t="shared" si="5"/>
        <v>0</v>
      </c>
      <c r="N34" s="149">
        <f t="shared" si="5"/>
        <v>0</v>
      </c>
      <c r="O34" s="149">
        <f t="shared" si="5"/>
        <v>0</v>
      </c>
      <c r="P34" s="146">
        <f>SUM(C34:O34)</f>
        <v>0</v>
      </c>
    </row>
    <row r="35" spans="2:16" ht="12">
      <c r="B35" s="10" t="s">
        <v>144</v>
      </c>
      <c r="C35" s="144">
        <v>0</v>
      </c>
      <c r="D35" s="149">
        <f t="shared" si="5"/>
        <v>0</v>
      </c>
      <c r="E35" s="149">
        <f t="shared" si="5"/>
        <v>0</v>
      </c>
      <c r="F35" s="149">
        <f t="shared" si="5"/>
        <v>0</v>
      </c>
      <c r="G35" s="149">
        <f t="shared" si="5"/>
        <v>0</v>
      </c>
      <c r="H35" s="149">
        <f t="shared" si="5"/>
        <v>0</v>
      </c>
      <c r="I35" s="149">
        <f t="shared" si="5"/>
        <v>0</v>
      </c>
      <c r="J35" s="149">
        <f t="shared" si="5"/>
        <v>0</v>
      </c>
      <c r="K35" s="149">
        <f t="shared" si="5"/>
        <v>0</v>
      </c>
      <c r="L35" s="149">
        <f t="shared" si="5"/>
        <v>0</v>
      </c>
      <c r="M35" s="149">
        <f t="shared" si="5"/>
        <v>0</v>
      </c>
      <c r="N35" s="149">
        <f t="shared" si="5"/>
        <v>0</v>
      </c>
      <c r="O35" s="149">
        <f t="shared" si="5"/>
        <v>0</v>
      </c>
      <c r="P35" s="146">
        <f>SUM(C35:O35)</f>
        <v>0</v>
      </c>
    </row>
    <row r="36" spans="2:16" ht="12">
      <c r="B36" s="10" t="s">
        <v>145</v>
      </c>
      <c r="C36" s="144">
        <v>0</v>
      </c>
      <c r="D36" s="149">
        <f t="shared" si="5"/>
        <v>0</v>
      </c>
      <c r="E36" s="149">
        <f t="shared" si="5"/>
        <v>0</v>
      </c>
      <c r="F36" s="149">
        <f t="shared" si="5"/>
        <v>0</v>
      </c>
      <c r="G36" s="149">
        <f t="shared" si="5"/>
        <v>0</v>
      </c>
      <c r="H36" s="149">
        <f t="shared" si="5"/>
        <v>0</v>
      </c>
      <c r="I36" s="149">
        <f t="shared" si="5"/>
        <v>0</v>
      </c>
      <c r="J36" s="149">
        <f t="shared" si="5"/>
        <v>0</v>
      </c>
      <c r="K36" s="149">
        <f t="shared" si="5"/>
        <v>0</v>
      </c>
      <c r="L36" s="149">
        <f t="shared" si="5"/>
        <v>0</v>
      </c>
      <c r="M36" s="149">
        <f t="shared" si="5"/>
        <v>0</v>
      </c>
      <c r="N36" s="149">
        <f t="shared" si="5"/>
        <v>0</v>
      </c>
      <c r="O36" s="149">
        <f t="shared" si="5"/>
        <v>0</v>
      </c>
      <c r="P36" s="146">
        <f>SUM(C36:O36)</f>
        <v>0</v>
      </c>
    </row>
    <row r="37" spans="2:16" ht="12">
      <c r="B37" s="10" t="s">
        <v>165</v>
      </c>
      <c r="C37" s="147">
        <f>SUM(C32:C36)</f>
        <v>0</v>
      </c>
      <c r="D37" s="147">
        <f>SUM(D32:D36)</f>
        <v>0</v>
      </c>
      <c r="E37" s="147">
        <f aca="true" t="shared" si="6" ref="E37:O37">SUM(E32:E36)</f>
        <v>0</v>
      </c>
      <c r="F37" s="147">
        <f t="shared" si="6"/>
        <v>0</v>
      </c>
      <c r="G37" s="147">
        <f t="shared" si="6"/>
        <v>0</v>
      </c>
      <c r="H37" s="147">
        <f t="shared" si="6"/>
        <v>0</v>
      </c>
      <c r="I37" s="147">
        <f t="shared" si="6"/>
        <v>0</v>
      </c>
      <c r="J37" s="147">
        <f t="shared" si="6"/>
        <v>0</v>
      </c>
      <c r="K37" s="147">
        <f t="shared" si="6"/>
        <v>0</v>
      </c>
      <c r="L37" s="147">
        <f t="shared" si="6"/>
        <v>0</v>
      </c>
      <c r="M37" s="147">
        <f t="shared" si="6"/>
        <v>0</v>
      </c>
      <c r="N37" s="147">
        <f t="shared" si="6"/>
        <v>0</v>
      </c>
      <c r="O37" s="147">
        <f t="shared" si="6"/>
        <v>0</v>
      </c>
      <c r="P37" s="147"/>
    </row>
    <row r="38" spans="2:17" ht="12">
      <c r="B38" s="10" t="s">
        <v>266</v>
      </c>
      <c r="C38" s="148">
        <f>+C37</f>
        <v>0</v>
      </c>
      <c r="D38" s="148">
        <f>+D37+C38</f>
        <v>0</v>
      </c>
      <c r="E38" s="148">
        <f aca="true" t="shared" si="7" ref="E38:O38">+E37+D38</f>
        <v>0</v>
      </c>
      <c r="F38" s="148">
        <f t="shared" si="7"/>
        <v>0</v>
      </c>
      <c r="G38" s="148">
        <f t="shared" si="7"/>
        <v>0</v>
      </c>
      <c r="H38" s="148">
        <f t="shared" si="7"/>
        <v>0</v>
      </c>
      <c r="I38" s="148">
        <f t="shared" si="7"/>
        <v>0</v>
      </c>
      <c r="J38" s="148">
        <f t="shared" si="7"/>
        <v>0</v>
      </c>
      <c r="K38" s="148">
        <f t="shared" si="7"/>
        <v>0</v>
      </c>
      <c r="L38" s="148">
        <f t="shared" si="7"/>
        <v>0</v>
      </c>
      <c r="M38" s="148">
        <f t="shared" si="7"/>
        <v>0</v>
      </c>
      <c r="N38" s="148">
        <f t="shared" si="7"/>
        <v>0</v>
      </c>
      <c r="O38" s="148">
        <f t="shared" si="7"/>
        <v>0</v>
      </c>
      <c r="P38" s="148">
        <f>SUM(P32:P36)</f>
        <v>0</v>
      </c>
      <c r="Q38" s="146">
        <f>AVERAGE(C38:O38)</f>
        <v>0</v>
      </c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6">
      <selection activeCell="E31" sqref="E31:O35"/>
    </sheetView>
  </sheetViews>
  <sheetFormatPr defaultColWidth="9.140625" defaultRowHeight="12.75"/>
  <cols>
    <col min="1" max="1" width="2.00390625" style="141" customWidth="1"/>
    <col min="2" max="2" width="37.7109375" style="141" bestFit="1" customWidth="1"/>
    <col min="3" max="3" width="11.140625" style="141" bestFit="1" customWidth="1"/>
    <col min="4" max="4" width="12.00390625" style="141" bestFit="1" customWidth="1"/>
    <col min="5" max="9" width="12.8515625" style="141" bestFit="1" customWidth="1"/>
    <col min="10" max="11" width="13.8515625" style="141" bestFit="1" customWidth="1"/>
    <col min="12" max="12" width="11.8515625" style="141" customWidth="1"/>
    <col min="13" max="15" width="13.8515625" style="141" bestFit="1" customWidth="1"/>
    <col min="16" max="16" width="18.421875" style="141" customWidth="1"/>
    <col min="17" max="17" width="15.57421875" style="141" bestFit="1" customWidth="1"/>
    <col min="18" max="16384" width="8.7109375" style="141" customWidth="1"/>
  </cols>
  <sheetData>
    <row r="1" spans="14:17" s="10" customFormat="1" ht="12.75">
      <c r="N1" s="43"/>
      <c r="Q1" s="43" t="str">
        <f>+'9.0 Base Rates Plant in Svc'!Q1</f>
        <v> PSC Set 1 No. 1 2022-00342</v>
      </c>
    </row>
    <row r="2" spans="14:17" s="10" customFormat="1" ht="12.75">
      <c r="N2" s="43"/>
      <c r="Q2" s="43" t="str">
        <f>+'9.0 Base Rates Plant in Svc'!Q2</f>
        <v>Attachment JTG-1</v>
      </c>
    </row>
    <row r="3" spans="14:17" s="10" customFormat="1" ht="12.75">
      <c r="N3" s="43"/>
      <c r="Q3" s="43" t="s">
        <v>253</v>
      </c>
    </row>
    <row r="4" spans="1:17" s="10" customFormat="1" ht="12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10" customFormat="1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252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8" spans="3:17" ht="12">
      <c r="C8" s="142">
        <v>2021</v>
      </c>
      <c r="D8" s="142">
        <f>+C8+1</f>
        <v>2022</v>
      </c>
      <c r="E8" s="142">
        <f>+D8</f>
        <v>2022</v>
      </c>
      <c r="F8" s="142">
        <f aca="true" t="shared" si="0" ref="F8:P8">+E8</f>
        <v>2022</v>
      </c>
      <c r="G8" s="142">
        <f t="shared" si="0"/>
        <v>2022</v>
      </c>
      <c r="H8" s="142">
        <f t="shared" si="0"/>
        <v>2022</v>
      </c>
      <c r="I8" s="142">
        <f t="shared" si="0"/>
        <v>2022</v>
      </c>
      <c r="J8" s="142">
        <f t="shared" si="0"/>
        <v>2022</v>
      </c>
      <c r="K8" s="142">
        <f t="shared" si="0"/>
        <v>2022</v>
      </c>
      <c r="L8" s="142">
        <f t="shared" si="0"/>
        <v>2022</v>
      </c>
      <c r="M8" s="142">
        <f t="shared" si="0"/>
        <v>2022</v>
      </c>
      <c r="N8" s="142">
        <f t="shared" si="0"/>
        <v>2022</v>
      </c>
      <c r="O8" s="142">
        <f t="shared" si="0"/>
        <v>2022</v>
      </c>
      <c r="P8" s="142">
        <f t="shared" si="0"/>
        <v>2022</v>
      </c>
      <c r="Q8" s="142">
        <f>+P8</f>
        <v>2022</v>
      </c>
    </row>
    <row r="9" spans="3:17" ht="12">
      <c r="C9" s="37" t="s">
        <v>148</v>
      </c>
      <c r="D9" s="37" t="s">
        <v>149</v>
      </c>
      <c r="E9" s="37" t="s">
        <v>150</v>
      </c>
      <c r="F9" s="37" t="s">
        <v>151</v>
      </c>
      <c r="G9" s="37" t="s">
        <v>152</v>
      </c>
      <c r="H9" s="37" t="s">
        <v>81</v>
      </c>
      <c r="I9" s="37" t="s">
        <v>153</v>
      </c>
      <c r="J9" s="37" t="s">
        <v>154</v>
      </c>
      <c r="K9" s="37" t="s">
        <v>155</v>
      </c>
      <c r="L9" s="37" t="s">
        <v>156</v>
      </c>
      <c r="M9" s="37" t="s">
        <v>157</v>
      </c>
      <c r="N9" s="37" t="s">
        <v>158</v>
      </c>
      <c r="O9" s="37" t="s">
        <v>148</v>
      </c>
      <c r="P9" s="37" t="s">
        <v>159</v>
      </c>
      <c r="Q9" s="37" t="s">
        <v>160</v>
      </c>
    </row>
    <row r="10" spans="3:15" ht="12">
      <c r="C10" s="37" t="s">
        <v>92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2" ht="12">
      <c r="B12" s="143" t="s">
        <v>125</v>
      </c>
    </row>
    <row r="13" spans="2:16" ht="12">
      <c r="B13" s="10" t="s">
        <v>141</v>
      </c>
      <c r="C13" s="144">
        <v>0</v>
      </c>
      <c r="D13" s="28">
        <f>+'9.2 Base Rates Depr Exp'!E20*-1</f>
        <v>0</v>
      </c>
      <c r="E13" s="28">
        <f>+'9.2 Base Rates Depr Exp'!F20*-1</f>
        <v>0</v>
      </c>
      <c r="F13" s="28">
        <f>+'9.2 Base Rates Depr Exp'!G20*-1</f>
        <v>0</v>
      </c>
      <c r="G13" s="28">
        <f>+'9.2 Base Rates Depr Exp'!H20*-1</f>
        <v>0</v>
      </c>
      <c r="H13" s="28">
        <f>+'9.2 Base Rates Depr Exp'!I20*-1</f>
        <v>0</v>
      </c>
      <c r="I13" s="28">
        <f>+'9.2 Base Rates Depr Exp'!J20*-1</f>
        <v>0</v>
      </c>
      <c r="J13" s="28">
        <f>+'9.2 Base Rates Depr Exp'!K20*-1</f>
        <v>0</v>
      </c>
      <c r="K13" s="28">
        <f>+'9.2 Base Rates Depr Exp'!L20*-1</f>
        <v>0</v>
      </c>
      <c r="L13" s="28">
        <f>+'9.2 Base Rates Depr Exp'!M20*-1</f>
        <v>0</v>
      </c>
      <c r="M13" s="28">
        <f>+'9.2 Base Rates Depr Exp'!N20*-1</f>
        <v>0</v>
      </c>
      <c r="N13" s="28">
        <f>+'9.2 Base Rates Depr Exp'!O20*-1</f>
        <v>0</v>
      </c>
      <c r="O13" s="28">
        <f>+'9.2 Base Rates Depr Exp'!P20*-1</f>
        <v>0</v>
      </c>
      <c r="P13" s="146">
        <f>SUM(C13:O13)</f>
        <v>0</v>
      </c>
    </row>
    <row r="14" spans="2:16" ht="12">
      <c r="B14" s="10" t="s">
        <v>142</v>
      </c>
      <c r="C14" s="144">
        <v>0</v>
      </c>
      <c r="D14" s="28">
        <f>+'9.2 Base Rates Depr Exp'!E30*-1</f>
        <v>0</v>
      </c>
      <c r="E14" s="28">
        <f>+'9.2 Base Rates Depr Exp'!F30*-1</f>
        <v>0</v>
      </c>
      <c r="F14" s="28">
        <f>+'9.2 Base Rates Depr Exp'!G30*-1</f>
        <v>0</v>
      </c>
      <c r="G14" s="28">
        <f>+'9.2 Base Rates Depr Exp'!H30*-1</f>
        <v>0</v>
      </c>
      <c r="H14" s="28">
        <f>+'9.2 Base Rates Depr Exp'!I30*-1</f>
        <v>0</v>
      </c>
      <c r="I14" s="28">
        <f>+'9.2 Base Rates Depr Exp'!J30*-1</f>
        <v>0</v>
      </c>
      <c r="J14" s="28">
        <f>+'9.2 Base Rates Depr Exp'!K30*-1</f>
        <v>0</v>
      </c>
      <c r="K14" s="28">
        <f>+'9.2 Base Rates Depr Exp'!L30*-1</f>
        <v>0</v>
      </c>
      <c r="L14" s="28">
        <f>+'9.2 Base Rates Depr Exp'!M30*-1</f>
        <v>0</v>
      </c>
      <c r="M14" s="28">
        <f>+'9.2 Base Rates Depr Exp'!N30*-1</f>
        <v>0</v>
      </c>
      <c r="N14" s="28">
        <f>+'9.2 Base Rates Depr Exp'!O30*-1</f>
        <v>0</v>
      </c>
      <c r="O14" s="28">
        <f>+'9.2 Base Rates Depr Exp'!P30*-1</f>
        <v>0</v>
      </c>
      <c r="P14" s="146">
        <f>SUM(C14:O14)</f>
        <v>0</v>
      </c>
    </row>
    <row r="15" spans="2:16" ht="12">
      <c r="B15" s="10" t="s">
        <v>143</v>
      </c>
      <c r="C15" s="144">
        <v>0</v>
      </c>
      <c r="D15" s="28">
        <f>+'9.2 Base Rates Depr Exp'!E40*-1</f>
        <v>0</v>
      </c>
      <c r="E15" s="28">
        <f>+'9.2 Base Rates Depr Exp'!F40*-1</f>
        <v>0</v>
      </c>
      <c r="F15" s="28">
        <f>+'9.2 Base Rates Depr Exp'!G40*-1</f>
        <v>0</v>
      </c>
      <c r="G15" s="28">
        <f>+'9.2 Base Rates Depr Exp'!H40*-1</f>
        <v>0</v>
      </c>
      <c r="H15" s="28">
        <f>+'9.2 Base Rates Depr Exp'!I40*-1</f>
        <v>0</v>
      </c>
      <c r="I15" s="28">
        <f>+'9.2 Base Rates Depr Exp'!J40*-1</f>
        <v>0</v>
      </c>
      <c r="J15" s="28">
        <f>+'9.2 Base Rates Depr Exp'!K40*-1</f>
        <v>0</v>
      </c>
      <c r="K15" s="28">
        <f>+'9.2 Base Rates Depr Exp'!L40*-1</f>
        <v>0</v>
      </c>
      <c r="L15" s="28">
        <f>+'9.2 Base Rates Depr Exp'!M40*-1</f>
        <v>0</v>
      </c>
      <c r="M15" s="28">
        <f>+'9.2 Base Rates Depr Exp'!N40*-1</f>
        <v>0</v>
      </c>
      <c r="N15" s="28">
        <f>+'9.2 Base Rates Depr Exp'!O40*-1</f>
        <v>0</v>
      </c>
      <c r="O15" s="28">
        <f>+'9.2 Base Rates Depr Exp'!P40*-1</f>
        <v>0</v>
      </c>
      <c r="P15" s="146">
        <f>SUM(C15:O15)</f>
        <v>0</v>
      </c>
    </row>
    <row r="16" spans="2:16" ht="12">
      <c r="B16" s="10" t="s">
        <v>144</v>
      </c>
      <c r="C16" s="144">
        <v>0</v>
      </c>
      <c r="D16" s="28">
        <f>+'9.2 Base Rates Depr Exp'!E50*-1</f>
        <v>0</v>
      </c>
      <c r="E16" s="28">
        <f>+'9.2 Base Rates Depr Exp'!F50*-1</f>
        <v>0</v>
      </c>
      <c r="F16" s="28">
        <f>+'9.2 Base Rates Depr Exp'!G50*-1</f>
        <v>0</v>
      </c>
      <c r="G16" s="28">
        <f>+'9.2 Base Rates Depr Exp'!H50*-1</f>
        <v>0</v>
      </c>
      <c r="H16" s="28">
        <f>+'9.2 Base Rates Depr Exp'!I50*-1</f>
        <v>0</v>
      </c>
      <c r="I16" s="28">
        <f>+'9.2 Base Rates Depr Exp'!J50*-1</f>
        <v>0</v>
      </c>
      <c r="J16" s="28">
        <f>+'9.2 Base Rates Depr Exp'!K50*-1</f>
        <v>0</v>
      </c>
      <c r="K16" s="28">
        <f>+'9.2 Base Rates Depr Exp'!L50*-1</f>
        <v>0</v>
      </c>
      <c r="L16" s="28">
        <f>+'9.2 Base Rates Depr Exp'!M50*-1</f>
        <v>0</v>
      </c>
      <c r="M16" s="28">
        <f>+'9.2 Base Rates Depr Exp'!N50*-1</f>
        <v>0</v>
      </c>
      <c r="N16" s="28">
        <f>+'9.2 Base Rates Depr Exp'!O50*-1</f>
        <v>0</v>
      </c>
      <c r="O16" s="28">
        <f>+'9.2 Base Rates Depr Exp'!P50*-1</f>
        <v>0</v>
      </c>
      <c r="P16" s="146">
        <f>SUM(C16:O16)</f>
        <v>0</v>
      </c>
    </row>
    <row r="17" spans="2:16" ht="12">
      <c r="B17" s="10" t="s">
        <v>145</v>
      </c>
      <c r="C17" s="144">
        <v>0</v>
      </c>
      <c r="D17" s="28">
        <f>+'9.2 Base Rates Depr Exp'!E60*-1</f>
        <v>0</v>
      </c>
      <c r="E17" s="28">
        <f>+'9.2 Base Rates Depr Exp'!F60*-1</f>
        <v>0</v>
      </c>
      <c r="F17" s="28">
        <f>+'9.2 Base Rates Depr Exp'!G60*-1</f>
        <v>0</v>
      </c>
      <c r="G17" s="28">
        <f>+'9.2 Base Rates Depr Exp'!H60*-1</f>
        <v>0</v>
      </c>
      <c r="H17" s="28">
        <f>+'9.2 Base Rates Depr Exp'!I60*-1</f>
        <v>0</v>
      </c>
      <c r="I17" s="28">
        <f>+'9.2 Base Rates Depr Exp'!J60*-1</f>
        <v>0</v>
      </c>
      <c r="J17" s="28">
        <f>+'9.2 Base Rates Depr Exp'!K60*-1</f>
        <v>0</v>
      </c>
      <c r="K17" s="28">
        <f>+'9.2 Base Rates Depr Exp'!L60*-1</f>
        <v>0</v>
      </c>
      <c r="L17" s="28">
        <f>+'9.2 Base Rates Depr Exp'!M60*-1</f>
        <v>0</v>
      </c>
      <c r="M17" s="28">
        <f>+'9.2 Base Rates Depr Exp'!N60*-1</f>
        <v>0</v>
      </c>
      <c r="N17" s="28">
        <f>+'9.2 Base Rates Depr Exp'!O60*-1</f>
        <v>0</v>
      </c>
      <c r="O17" s="28">
        <f>+'9.2 Base Rates Depr Exp'!P60*-1</f>
        <v>0</v>
      </c>
      <c r="P17" s="146">
        <f>SUM(C17:O17)</f>
        <v>0</v>
      </c>
    </row>
    <row r="18" spans="2:16" ht="12">
      <c r="B18" s="10" t="s">
        <v>166</v>
      </c>
      <c r="C18" s="147"/>
      <c r="D18" s="147">
        <f>SUM(D13:D17)</f>
        <v>0</v>
      </c>
      <c r="E18" s="147">
        <f aca="true" t="shared" si="1" ref="E18:P18">SUM(E13:E17)</f>
        <v>0</v>
      </c>
      <c r="F18" s="147">
        <f t="shared" si="1"/>
        <v>0</v>
      </c>
      <c r="G18" s="147">
        <f t="shared" si="1"/>
        <v>0</v>
      </c>
      <c r="H18" s="147">
        <f t="shared" si="1"/>
        <v>0</v>
      </c>
      <c r="I18" s="147">
        <f t="shared" si="1"/>
        <v>0</v>
      </c>
      <c r="J18" s="147">
        <f t="shared" si="1"/>
        <v>0</v>
      </c>
      <c r="K18" s="147">
        <f t="shared" si="1"/>
        <v>0</v>
      </c>
      <c r="L18" s="147">
        <f t="shared" si="1"/>
        <v>0</v>
      </c>
      <c r="M18" s="147">
        <f t="shared" si="1"/>
        <v>0</v>
      </c>
      <c r="N18" s="147">
        <f t="shared" si="1"/>
        <v>0</v>
      </c>
      <c r="O18" s="147">
        <f t="shared" si="1"/>
        <v>0</v>
      </c>
      <c r="P18" s="147">
        <f t="shared" si="1"/>
        <v>0</v>
      </c>
    </row>
    <row r="19" spans="2:16" ht="12">
      <c r="B19" s="10" t="s">
        <v>167</v>
      </c>
      <c r="C19" s="148">
        <f>SUM(C13:C18)</f>
        <v>0</v>
      </c>
      <c r="D19" s="148">
        <f>+D18+C19</f>
        <v>0</v>
      </c>
      <c r="E19" s="148">
        <f aca="true" t="shared" si="2" ref="E19:P19">+E18+D19</f>
        <v>0</v>
      </c>
      <c r="F19" s="148">
        <f t="shared" si="2"/>
        <v>0</v>
      </c>
      <c r="G19" s="148">
        <f t="shared" si="2"/>
        <v>0</v>
      </c>
      <c r="H19" s="148">
        <f t="shared" si="2"/>
        <v>0</v>
      </c>
      <c r="I19" s="148">
        <f t="shared" si="2"/>
        <v>0</v>
      </c>
      <c r="J19" s="148">
        <f t="shared" si="2"/>
        <v>0</v>
      </c>
      <c r="K19" s="148">
        <f t="shared" si="2"/>
        <v>0</v>
      </c>
      <c r="L19" s="148">
        <f t="shared" si="2"/>
        <v>0</v>
      </c>
      <c r="M19" s="148">
        <f t="shared" si="2"/>
        <v>0</v>
      </c>
      <c r="N19" s="148">
        <f t="shared" si="2"/>
        <v>0</v>
      </c>
      <c r="O19" s="148">
        <f t="shared" si="2"/>
        <v>0</v>
      </c>
      <c r="P19" s="148">
        <f t="shared" si="2"/>
        <v>0</v>
      </c>
    </row>
    <row r="20" spans="2:16" ht="12">
      <c r="B20" s="10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ht="12">
      <c r="B21" s="143" t="s">
        <v>62</v>
      </c>
    </row>
    <row r="22" spans="2:16" ht="12">
      <c r="B22" s="10" t="s">
        <v>141</v>
      </c>
      <c r="C22" s="144">
        <v>0</v>
      </c>
      <c r="D22" s="28">
        <f>-'9.0 Base Rates Plant in Svc'!D23</f>
        <v>0</v>
      </c>
      <c r="E22" s="28">
        <f>-'9.0 Base Rates Plant in Svc'!E23</f>
        <v>0</v>
      </c>
      <c r="F22" s="28">
        <f>-'9.0 Base Rates Plant in Svc'!F23</f>
        <v>0</v>
      </c>
      <c r="G22" s="28">
        <f>-'9.0 Base Rates Plant in Svc'!G23</f>
        <v>0</v>
      </c>
      <c r="H22" s="28">
        <f>-'9.0 Base Rates Plant in Svc'!H23</f>
        <v>0</v>
      </c>
      <c r="I22" s="28">
        <f>-'9.0 Base Rates Plant in Svc'!I23</f>
        <v>0</v>
      </c>
      <c r="J22" s="28">
        <f>-'9.0 Base Rates Plant in Svc'!J23</f>
        <v>0</v>
      </c>
      <c r="K22" s="28">
        <f>-'9.0 Base Rates Plant in Svc'!K23</f>
        <v>0</v>
      </c>
      <c r="L22" s="28">
        <f>-'9.0 Base Rates Plant in Svc'!L23</f>
        <v>0</v>
      </c>
      <c r="M22" s="28">
        <f>-'9.0 Base Rates Plant in Svc'!M23</f>
        <v>0</v>
      </c>
      <c r="N22" s="28">
        <f>-'9.0 Base Rates Plant in Svc'!N23</f>
        <v>0</v>
      </c>
      <c r="O22" s="28">
        <f>-'9.0 Base Rates Plant in Svc'!O23</f>
        <v>0</v>
      </c>
      <c r="P22" s="146">
        <f>SUM(C22:O22)</f>
        <v>0</v>
      </c>
    </row>
    <row r="23" spans="2:16" ht="12">
      <c r="B23" s="10" t="s">
        <v>142</v>
      </c>
      <c r="C23" s="144">
        <v>0</v>
      </c>
      <c r="D23" s="28">
        <f>-'9.0 Base Rates Plant in Svc'!D24</f>
        <v>0</v>
      </c>
      <c r="E23" s="28">
        <f>-'9.0 Base Rates Plant in Svc'!E24</f>
        <v>0</v>
      </c>
      <c r="F23" s="28">
        <f>-'9.0 Base Rates Plant in Svc'!F24</f>
        <v>0</v>
      </c>
      <c r="G23" s="28">
        <f>-'9.0 Base Rates Plant in Svc'!G24</f>
        <v>0</v>
      </c>
      <c r="H23" s="28">
        <f>-'9.0 Base Rates Plant in Svc'!H24</f>
        <v>0</v>
      </c>
      <c r="I23" s="28">
        <f>-'9.0 Base Rates Plant in Svc'!I24</f>
        <v>0</v>
      </c>
      <c r="J23" s="28">
        <f>-'9.0 Base Rates Plant in Svc'!J24</f>
        <v>0</v>
      </c>
      <c r="K23" s="28">
        <f>-'9.0 Base Rates Plant in Svc'!K24</f>
        <v>0</v>
      </c>
      <c r="L23" s="28">
        <f>-'9.0 Base Rates Plant in Svc'!L24</f>
        <v>0</v>
      </c>
      <c r="M23" s="28">
        <f>-'9.0 Base Rates Plant in Svc'!M24</f>
        <v>0</v>
      </c>
      <c r="N23" s="28">
        <f>-'9.0 Base Rates Plant in Svc'!N24</f>
        <v>0</v>
      </c>
      <c r="O23" s="28">
        <f>-'9.0 Base Rates Plant in Svc'!O24</f>
        <v>0</v>
      </c>
      <c r="P23" s="146">
        <f>SUM(C23:O23)</f>
        <v>0</v>
      </c>
    </row>
    <row r="24" spans="2:16" ht="12">
      <c r="B24" s="10" t="s">
        <v>143</v>
      </c>
      <c r="C24" s="144">
        <v>0</v>
      </c>
      <c r="D24" s="28">
        <f>-'9.0 Base Rates Plant in Svc'!D25</f>
        <v>0</v>
      </c>
      <c r="E24" s="28">
        <f>-'9.0 Base Rates Plant in Svc'!E25</f>
        <v>0</v>
      </c>
      <c r="F24" s="28">
        <f>-'9.0 Base Rates Plant in Svc'!F25</f>
        <v>0</v>
      </c>
      <c r="G24" s="28">
        <f>-'9.0 Base Rates Plant in Svc'!G25</f>
        <v>0</v>
      </c>
      <c r="H24" s="28">
        <f>-'9.0 Base Rates Plant in Svc'!H25</f>
        <v>0</v>
      </c>
      <c r="I24" s="28">
        <f>-'9.0 Base Rates Plant in Svc'!I25</f>
        <v>0</v>
      </c>
      <c r="J24" s="28">
        <f>-'9.0 Base Rates Plant in Svc'!J25</f>
        <v>0</v>
      </c>
      <c r="K24" s="28">
        <f>-'9.0 Base Rates Plant in Svc'!K25</f>
        <v>0</v>
      </c>
      <c r="L24" s="28">
        <f>-'9.0 Base Rates Plant in Svc'!L25</f>
        <v>0</v>
      </c>
      <c r="M24" s="28">
        <f>-'9.0 Base Rates Plant in Svc'!M25</f>
        <v>0</v>
      </c>
      <c r="N24" s="28">
        <f>-'9.0 Base Rates Plant in Svc'!N25</f>
        <v>0</v>
      </c>
      <c r="O24" s="28">
        <f>-'9.0 Base Rates Plant in Svc'!O25</f>
        <v>0</v>
      </c>
      <c r="P24" s="146">
        <f>SUM(C24:O24)</f>
        <v>0</v>
      </c>
    </row>
    <row r="25" spans="2:16" ht="12">
      <c r="B25" s="10" t="s">
        <v>144</v>
      </c>
      <c r="C25" s="144">
        <v>0</v>
      </c>
      <c r="D25" s="28">
        <f>-'9.0 Base Rates Plant in Svc'!D26</f>
        <v>0</v>
      </c>
      <c r="E25" s="28">
        <f>-'9.0 Base Rates Plant in Svc'!E26</f>
        <v>0</v>
      </c>
      <c r="F25" s="28">
        <f>-'9.0 Base Rates Plant in Svc'!F26</f>
        <v>0</v>
      </c>
      <c r="G25" s="28">
        <f>-'9.0 Base Rates Plant in Svc'!G26</f>
        <v>0</v>
      </c>
      <c r="H25" s="28">
        <f>-'9.0 Base Rates Plant in Svc'!H26</f>
        <v>0</v>
      </c>
      <c r="I25" s="28">
        <f>-'9.0 Base Rates Plant in Svc'!I26</f>
        <v>0</v>
      </c>
      <c r="J25" s="28">
        <f>-'9.0 Base Rates Plant in Svc'!J26</f>
        <v>0</v>
      </c>
      <c r="K25" s="28">
        <f>-'9.0 Base Rates Plant in Svc'!K26</f>
        <v>0</v>
      </c>
      <c r="L25" s="28">
        <f>-'9.0 Base Rates Plant in Svc'!L26</f>
        <v>0</v>
      </c>
      <c r="M25" s="28">
        <f>-'9.0 Base Rates Plant in Svc'!M26</f>
        <v>0</v>
      </c>
      <c r="N25" s="28">
        <f>-'9.0 Base Rates Plant in Svc'!N26</f>
        <v>0</v>
      </c>
      <c r="O25" s="28">
        <f>-'9.0 Base Rates Plant in Svc'!O26</f>
        <v>0</v>
      </c>
      <c r="P25" s="146">
        <f>SUM(C25:O25)</f>
        <v>0</v>
      </c>
    </row>
    <row r="26" spans="2:16" ht="12">
      <c r="B26" s="10" t="s">
        <v>145</v>
      </c>
      <c r="C26" s="144">
        <v>0</v>
      </c>
      <c r="D26" s="28">
        <f>-'9.0 Base Rates Plant in Svc'!D27</f>
        <v>0</v>
      </c>
      <c r="E26" s="28">
        <f>-'9.0 Base Rates Plant in Svc'!E27</f>
        <v>0</v>
      </c>
      <c r="F26" s="28">
        <f>-'9.0 Base Rates Plant in Svc'!F27</f>
        <v>0</v>
      </c>
      <c r="G26" s="28">
        <f>-'9.0 Base Rates Plant in Svc'!G27</f>
        <v>0</v>
      </c>
      <c r="H26" s="28">
        <f>-'9.0 Base Rates Plant in Svc'!H27</f>
        <v>0</v>
      </c>
      <c r="I26" s="28">
        <f>-'9.0 Base Rates Plant in Svc'!I27</f>
        <v>0</v>
      </c>
      <c r="J26" s="28">
        <f>-'9.0 Base Rates Plant in Svc'!J27</f>
        <v>0</v>
      </c>
      <c r="K26" s="28">
        <f>-'9.0 Base Rates Plant in Svc'!K27</f>
        <v>0</v>
      </c>
      <c r="L26" s="28">
        <f>-'9.0 Base Rates Plant in Svc'!L27</f>
        <v>0</v>
      </c>
      <c r="M26" s="28">
        <f>-'9.0 Base Rates Plant in Svc'!M27</f>
        <v>0</v>
      </c>
      <c r="N26" s="28">
        <f>-'9.0 Base Rates Plant in Svc'!N27</f>
        <v>0</v>
      </c>
      <c r="O26" s="28">
        <f>-'9.0 Base Rates Plant in Svc'!O27</f>
        <v>0</v>
      </c>
      <c r="P26" s="146">
        <f>SUM(C26:O26)</f>
        <v>0</v>
      </c>
    </row>
    <row r="27" spans="2:16" ht="12">
      <c r="B27" s="10" t="s">
        <v>163</v>
      </c>
      <c r="C27" s="147"/>
      <c r="D27" s="147">
        <f>SUM(D22:D26)</f>
        <v>0</v>
      </c>
      <c r="E27" s="147">
        <f aca="true" t="shared" si="3" ref="E27:P27">SUM(E22:E26)</f>
        <v>0</v>
      </c>
      <c r="F27" s="147">
        <f t="shared" si="3"/>
        <v>0</v>
      </c>
      <c r="G27" s="147">
        <f t="shared" si="3"/>
        <v>0</v>
      </c>
      <c r="H27" s="147">
        <f t="shared" si="3"/>
        <v>0</v>
      </c>
      <c r="I27" s="147">
        <f t="shared" si="3"/>
        <v>0</v>
      </c>
      <c r="J27" s="147">
        <f t="shared" si="3"/>
        <v>0</v>
      </c>
      <c r="K27" s="147">
        <f t="shared" si="3"/>
        <v>0</v>
      </c>
      <c r="L27" s="147">
        <f t="shared" si="3"/>
        <v>0</v>
      </c>
      <c r="M27" s="147">
        <f t="shared" si="3"/>
        <v>0</v>
      </c>
      <c r="N27" s="147">
        <f t="shared" si="3"/>
        <v>0</v>
      </c>
      <c r="O27" s="147">
        <f t="shared" si="3"/>
        <v>0</v>
      </c>
      <c r="P27" s="147">
        <f t="shared" si="3"/>
        <v>0</v>
      </c>
    </row>
    <row r="28" spans="2:16" ht="12">
      <c r="B28" s="10" t="s">
        <v>164</v>
      </c>
      <c r="C28" s="148">
        <f>SUM(C22:C27)</f>
        <v>0</v>
      </c>
      <c r="D28" s="148">
        <f>+D27+C28</f>
        <v>0</v>
      </c>
      <c r="E28" s="148">
        <f aca="true" t="shared" si="4" ref="E28:P28">+E27+D28</f>
        <v>0</v>
      </c>
      <c r="F28" s="148">
        <f t="shared" si="4"/>
        <v>0</v>
      </c>
      <c r="G28" s="148">
        <f t="shared" si="4"/>
        <v>0</v>
      </c>
      <c r="H28" s="148">
        <f t="shared" si="4"/>
        <v>0</v>
      </c>
      <c r="I28" s="148">
        <f t="shared" si="4"/>
        <v>0</v>
      </c>
      <c r="J28" s="148">
        <f t="shared" si="4"/>
        <v>0</v>
      </c>
      <c r="K28" s="148">
        <f t="shared" si="4"/>
        <v>0</v>
      </c>
      <c r="L28" s="148">
        <f t="shared" si="4"/>
        <v>0</v>
      </c>
      <c r="M28" s="148">
        <f t="shared" si="4"/>
        <v>0</v>
      </c>
      <c r="N28" s="148">
        <f t="shared" si="4"/>
        <v>0</v>
      </c>
      <c r="O28" s="148">
        <f t="shared" si="4"/>
        <v>0</v>
      </c>
      <c r="P28" s="148">
        <f t="shared" si="4"/>
        <v>0</v>
      </c>
    </row>
    <row r="30" spans="2:15" ht="12">
      <c r="B30" s="143" t="s">
        <v>52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6" ht="12">
      <c r="B31" s="10" t="s">
        <v>141</v>
      </c>
      <c r="C31" s="144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146">
        <f>SUM(C31:O31)</f>
        <v>0</v>
      </c>
    </row>
    <row r="32" spans="2:16" ht="12">
      <c r="B32" s="10" t="s">
        <v>142</v>
      </c>
      <c r="C32" s="144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146">
        <f>SUM(C32:O32)</f>
        <v>0</v>
      </c>
    </row>
    <row r="33" spans="2:16" ht="12">
      <c r="B33" s="10" t="s">
        <v>143</v>
      </c>
      <c r="C33" s="144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146">
        <f>SUM(C33:O33)</f>
        <v>0</v>
      </c>
    </row>
    <row r="34" spans="2:16" ht="12">
      <c r="B34" s="10" t="s">
        <v>144</v>
      </c>
      <c r="C34" s="144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146">
        <f>SUM(C34:O34)</f>
        <v>0</v>
      </c>
    </row>
    <row r="35" spans="2:16" ht="12">
      <c r="B35" s="10" t="s">
        <v>145</v>
      </c>
      <c r="C35" s="144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146">
        <f>SUM(C35:O35)</f>
        <v>0</v>
      </c>
    </row>
    <row r="36" spans="2:16" ht="12">
      <c r="B36" s="10" t="s">
        <v>168</v>
      </c>
      <c r="C36" s="147"/>
      <c r="D36" s="98">
        <f>SUM(D31:D35)</f>
        <v>0</v>
      </c>
      <c r="E36" s="98">
        <f aca="true" t="shared" si="5" ref="E36:P36">SUM(E31:E35)</f>
        <v>0</v>
      </c>
      <c r="F36" s="98">
        <f t="shared" si="5"/>
        <v>0</v>
      </c>
      <c r="G36" s="98">
        <f t="shared" si="5"/>
        <v>0</v>
      </c>
      <c r="H36" s="98">
        <f t="shared" si="5"/>
        <v>0</v>
      </c>
      <c r="I36" s="98">
        <f t="shared" si="5"/>
        <v>0</v>
      </c>
      <c r="J36" s="98">
        <f t="shared" si="5"/>
        <v>0</v>
      </c>
      <c r="K36" s="98">
        <f t="shared" si="5"/>
        <v>0</v>
      </c>
      <c r="L36" s="98">
        <f t="shared" si="5"/>
        <v>0</v>
      </c>
      <c r="M36" s="98">
        <f t="shared" si="5"/>
        <v>0</v>
      </c>
      <c r="N36" s="98">
        <f t="shared" si="5"/>
        <v>0</v>
      </c>
      <c r="O36" s="98">
        <f t="shared" si="5"/>
        <v>0</v>
      </c>
      <c r="P36" s="147">
        <f t="shared" si="5"/>
        <v>0</v>
      </c>
    </row>
    <row r="37" spans="2:16" ht="12">
      <c r="B37" s="10" t="s">
        <v>169</v>
      </c>
      <c r="C37" s="148">
        <f>SUM(C31:C36)</f>
        <v>0</v>
      </c>
      <c r="D37" s="148">
        <f>+D36+C37</f>
        <v>0</v>
      </c>
      <c r="E37" s="148">
        <f aca="true" t="shared" si="6" ref="E37:P37">+E36+D37</f>
        <v>0</v>
      </c>
      <c r="F37" s="148">
        <f t="shared" si="6"/>
        <v>0</v>
      </c>
      <c r="G37" s="148">
        <f t="shared" si="6"/>
        <v>0</v>
      </c>
      <c r="H37" s="148">
        <f t="shared" si="6"/>
        <v>0</v>
      </c>
      <c r="I37" s="148">
        <f t="shared" si="6"/>
        <v>0</v>
      </c>
      <c r="J37" s="148">
        <f t="shared" si="6"/>
        <v>0</v>
      </c>
      <c r="K37" s="148">
        <f t="shared" si="6"/>
        <v>0</v>
      </c>
      <c r="L37" s="148">
        <f t="shared" si="6"/>
        <v>0</v>
      </c>
      <c r="M37" s="148">
        <f t="shared" si="6"/>
        <v>0</v>
      </c>
      <c r="N37" s="148">
        <f t="shared" si="6"/>
        <v>0</v>
      </c>
      <c r="O37" s="148">
        <f t="shared" si="6"/>
        <v>0</v>
      </c>
      <c r="P37" s="148">
        <f t="shared" si="6"/>
        <v>0</v>
      </c>
    </row>
    <row r="39" ht="12">
      <c r="B39" s="143" t="s">
        <v>179</v>
      </c>
    </row>
    <row r="40" spans="2:16" ht="12">
      <c r="B40" s="10" t="s">
        <v>141</v>
      </c>
      <c r="C40" s="144">
        <v>0</v>
      </c>
      <c r="D40" s="149">
        <f>+D13+D22+D31</f>
        <v>0</v>
      </c>
      <c r="E40" s="149">
        <f aca="true" t="shared" si="7" ref="E40:O40">+E13+E22+E31</f>
        <v>0</v>
      </c>
      <c r="F40" s="149">
        <f t="shared" si="7"/>
        <v>0</v>
      </c>
      <c r="G40" s="149">
        <f t="shared" si="7"/>
        <v>0</v>
      </c>
      <c r="H40" s="149">
        <f t="shared" si="7"/>
        <v>0</v>
      </c>
      <c r="I40" s="149">
        <f t="shared" si="7"/>
        <v>0</v>
      </c>
      <c r="J40" s="149">
        <f t="shared" si="7"/>
        <v>0</v>
      </c>
      <c r="K40" s="149">
        <f t="shared" si="7"/>
        <v>0</v>
      </c>
      <c r="L40" s="149">
        <f t="shared" si="7"/>
        <v>0</v>
      </c>
      <c r="M40" s="149">
        <f t="shared" si="7"/>
        <v>0</v>
      </c>
      <c r="N40" s="149">
        <f t="shared" si="7"/>
        <v>0</v>
      </c>
      <c r="O40" s="149">
        <f t="shared" si="7"/>
        <v>0</v>
      </c>
      <c r="P40" s="146">
        <f>SUM(C40:O40)</f>
        <v>0</v>
      </c>
    </row>
    <row r="41" spans="2:16" ht="12">
      <c r="B41" s="10" t="s">
        <v>142</v>
      </c>
      <c r="C41" s="144">
        <v>0</v>
      </c>
      <c r="D41" s="149">
        <f aca="true" t="shared" si="8" ref="D41:O44">+D14+D23+D32</f>
        <v>0</v>
      </c>
      <c r="E41" s="149">
        <f t="shared" si="8"/>
        <v>0</v>
      </c>
      <c r="F41" s="149">
        <f t="shared" si="8"/>
        <v>0</v>
      </c>
      <c r="G41" s="149">
        <f t="shared" si="8"/>
        <v>0</v>
      </c>
      <c r="H41" s="149">
        <f t="shared" si="8"/>
        <v>0</v>
      </c>
      <c r="I41" s="149">
        <f t="shared" si="8"/>
        <v>0</v>
      </c>
      <c r="J41" s="149">
        <f t="shared" si="8"/>
        <v>0</v>
      </c>
      <c r="K41" s="149">
        <f t="shared" si="8"/>
        <v>0</v>
      </c>
      <c r="L41" s="149">
        <f t="shared" si="8"/>
        <v>0</v>
      </c>
      <c r="M41" s="149">
        <f t="shared" si="8"/>
        <v>0</v>
      </c>
      <c r="N41" s="149">
        <f t="shared" si="8"/>
        <v>0</v>
      </c>
      <c r="O41" s="149">
        <f t="shared" si="8"/>
        <v>0</v>
      </c>
      <c r="P41" s="146">
        <f>SUM(C41:O41)</f>
        <v>0</v>
      </c>
    </row>
    <row r="42" spans="2:16" ht="12">
      <c r="B42" s="10" t="s">
        <v>143</v>
      </c>
      <c r="C42" s="144">
        <v>0</v>
      </c>
      <c r="D42" s="149">
        <f t="shared" si="8"/>
        <v>0</v>
      </c>
      <c r="E42" s="149">
        <f t="shared" si="8"/>
        <v>0</v>
      </c>
      <c r="F42" s="149">
        <f t="shared" si="8"/>
        <v>0</v>
      </c>
      <c r="G42" s="149">
        <f t="shared" si="8"/>
        <v>0</v>
      </c>
      <c r="H42" s="149">
        <f t="shared" si="8"/>
        <v>0</v>
      </c>
      <c r="I42" s="149">
        <f t="shared" si="8"/>
        <v>0</v>
      </c>
      <c r="J42" s="149">
        <f t="shared" si="8"/>
        <v>0</v>
      </c>
      <c r="K42" s="149">
        <f t="shared" si="8"/>
        <v>0</v>
      </c>
      <c r="L42" s="149">
        <f t="shared" si="8"/>
        <v>0</v>
      </c>
      <c r="M42" s="149">
        <f t="shared" si="8"/>
        <v>0</v>
      </c>
      <c r="N42" s="149">
        <f t="shared" si="8"/>
        <v>0</v>
      </c>
      <c r="O42" s="149">
        <f t="shared" si="8"/>
        <v>0</v>
      </c>
      <c r="P42" s="146">
        <f>SUM(C42:O42)</f>
        <v>0</v>
      </c>
    </row>
    <row r="43" spans="2:16" ht="12">
      <c r="B43" s="10" t="s">
        <v>144</v>
      </c>
      <c r="C43" s="144">
        <v>0</v>
      </c>
      <c r="D43" s="149">
        <f t="shared" si="8"/>
        <v>0</v>
      </c>
      <c r="E43" s="149">
        <f t="shared" si="8"/>
        <v>0</v>
      </c>
      <c r="F43" s="149">
        <f t="shared" si="8"/>
        <v>0</v>
      </c>
      <c r="G43" s="149">
        <f t="shared" si="8"/>
        <v>0</v>
      </c>
      <c r="H43" s="149">
        <f t="shared" si="8"/>
        <v>0</v>
      </c>
      <c r="I43" s="149">
        <f t="shared" si="8"/>
        <v>0</v>
      </c>
      <c r="J43" s="149">
        <f t="shared" si="8"/>
        <v>0</v>
      </c>
      <c r="K43" s="149">
        <f t="shared" si="8"/>
        <v>0</v>
      </c>
      <c r="L43" s="149">
        <f t="shared" si="8"/>
        <v>0</v>
      </c>
      <c r="M43" s="149">
        <f t="shared" si="8"/>
        <v>0</v>
      </c>
      <c r="N43" s="149">
        <f t="shared" si="8"/>
        <v>0</v>
      </c>
      <c r="O43" s="149">
        <f t="shared" si="8"/>
        <v>0</v>
      </c>
      <c r="P43" s="146">
        <f>SUM(C43:O43)</f>
        <v>0</v>
      </c>
    </row>
    <row r="44" spans="2:16" ht="12">
      <c r="B44" s="10" t="s">
        <v>145</v>
      </c>
      <c r="C44" s="144">
        <v>0</v>
      </c>
      <c r="D44" s="149">
        <f t="shared" si="8"/>
        <v>0</v>
      </c>
      <c r="E44" s="149">
        <f t="shared" si="8"/>
        <v>0</v>
      </c>
      <c r="F44" s="149">
        <f t="shared" si="8"/>
        <v>0</v>
      </c>
      <c r="G44" s="149">
        <f t="shared" si="8"/>
        <v>0</v>
      </c>
      <c r="H44" s="149">
        <f t="shared" si="8"/>
        <v>0</v>
      </c>
      <c r="I44" s="149">
        <f t="shared" si="8"/>
        <v>0</v>
      </c>
      <c r="J44" s="149">
        <f t="shared" si="8"/>
        <v>0</v>
      </c>
      <c r="K44" s="149">
        <f t="shared" si="8"/>
        <v>0</v>
      </c>
      <c r="L44" s="149">
        <f t="shared" si="8"/>
        <v>0</v>
      </c>
      <c r="M44" s="149">
        <f t="shared" si="8"/>
        <v>0</v>
      </c>
      <c r="N44" s="149">
        <f t="shared" si="8"/>
        <v>0</v>
      </c>
      <c r="O44" s="149">
        <f t="shared" si="8"/>
        <v>0</v>
      </c>
      <c r="P44" s="146">
        <f>SUM(C44:O44)</f>
        <v>0</v>
      </c>
    </row>
    <row r="45" spans="2:16" ht="12">
      <c r="B45" s="10" t="s">
        <v>180</v>
      </c>
      <c r="C45" s="147"/>
      <c r="D45" s="147">
        <f>SUM(D40:D44)</f>
        <v>0</v>
      </c>
      <c r="E45" s="147">
        <f aca="true" t="shared" si="9" ref="E45:P45">SUM(E40:E44)</f>
        <v>0</v>
      </c>
      <c r="F45" s="147">
        <f t="shared" si="9"/>
        <v>0</v>
      </c>
      <c r="G45" s="147">
        <f t="shared" si="9"/>
        <v>0</v>
      </c>
      <c r="H45" s="147">
        <f t="shared" si="9"/>
        <v>0</v>
      </c>
      <c r="I45" s="147">
        <f t="shared" si="9"/>
        <v>0</v>
      </c>
      <c r="J45" s="147">
        <f t="shared" si="9"/>
        <v>0</v>
      </c>
      <c r="K45" s="147">
        <f t="shared" si="9"/>
        <v>0</v>
      </c>
      <c r="L45" s="147">
        <f t="shared" si="9"/>
        <v>0</v>
      </c>
      <c r="M45" s="147">
        <f t="shared" si="9"/>
        <v>0</v>
      </c>
      <c r="N45" s="147">
        <f t="shared" si="9"/>
        <v>0</v>
      </c>
      <c r="O45" s="147">
        <f t="shared" si="9"/>
        <v>0</v>
      </c>
      <c r="P45" s="147">
        <f t="shared" si="9"/>
        <v>0</v>
      </c>
    </row>
    <row r="46" spans="2:17" ht="12">
      <c r="B46" s="10" t="s">
        <v>181</v>
      </c>
      <c r="C46" s="148">
        <f>SUM(C40:C45)</f>
        <v>0</v>
      </c>
      <c r="D46" s="148">
        <f>+D45+C46</f>
        <v>0</v>
      </c>
      <c r="E46" s="148">
        <f aca="true" t="shared" si="10" ref="E46:P46">+E45+D46</f>
        <v>0</v>
      </c>
      <c r="F46" s="148">
        <f t="shared" si="10"/>
        <v>0</v>
      </c>
      <c r="G46" s="148">
        <f t="shared" si="10"/>
        <v>0</v>
      </c>
      <c r="H46" s="148">
        <f t="shared" si="10"/>
        <v>0</v>
      </c>
      <c r="I46" s="148">
        <f t="shared" si="10"/>
        <v>0</v>
      </c>
      <c r="J46" s="148">
        <f t="shared" si="10"/>
        <v>0</v>
      </c>
      <c r="K46" s="148">
        <f t="shared" si="10"/>
        <v>0</v>
      </c>
      <c r="L46" s="148">
        <f t="shared" si="10"/>
        <v>0</v>
      </c>
      <c r="M46" s="148">
        <f t="shared" si="10"/>
        <v>0</v>
      </c>
      <c r="N46" s="148">
        <f t="shared" si="10"/>
        <v>0</v>
      </c>
      <c r="O46" s="148">
        <f t="shared" si="10"/>
        <v>0</v>
      </c>
      <c r="P46" s="148">
        <f t="shared" si="10"/>
        <v>0</v>
      </c>
      <c r="Q46" s="146">
        <f>AVERAGE(C46:O46)</f>
        <v>0</v>
      </c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46">
      <selection activeCell="I7" sqref="I7"/>
    </sheetView>
  </sheetViews>
  <sheetFormatPr defaultColWidth="9.140625" defaultRowHeight="12.75"/>
  <cols>
    <col min="1" max="1" width="2.00390625" style="141" customWidth="1"/>
    <col min="2" max="2" width="40.7109375" style="141" bestFit="1" customWidth="1"/>
    <col min="3" max="3" width="11.421875" style="10" bestFit="1" customWidth="1"/>
    <col min="4" max="4" width="11.140625" style="141" bestFit="1" customWidth="1"/>
    <col min="5" max="5" width="12.00390625" style="141" bestFit="1" customWidth="1"/>
    <col min="6" max="10" width="12.8515625" style="141" bestFit="1" customWidth="1"/>
    <col min="11" max="12" width="13.8515625" style="141" bestFit="1" customWidth="1"/>
    <col min="13" max="13" width="11.8515625" style="141" customWidth="1"/>
    <col min="14" max="16" width="13.8515625" style="141" bestFit="1" customWidth="1"/>
    <col min="17" max="17" width="18.421875" style="141" customWidth="1"/>
    <col min="18" max="16384" width="8.7109375" style="141" customWidth="1"/>
  </cols>
  <sheetData>
    <row r="1" spans="14:17" s="10" customFormat="1" ht="12.75">
      <c r="N1" s="43"/>
      <c r="Q1" s="43" t="str">
        <f>+'9.1 Base Rates Acc Depr '!Q1</f>
        <v> PSC Set 1 No. 1 2022-00342</v>
      </c>
    </row>
    <row r="2" spans="14:17" s="10" customFormat="1" ht="12.75">
      <c r="N2" s="43"/>
      <c r="Q2" s="43" t="str">
        <f>+'9.1 Base Rates Acc Depr '!Q2</f>
        <v>Attachment JTG-1</v>
      </c>
    </row>
    <row r="3" spans="14:17" s="10" customFormat="1" ht="12.75">
      <c r="N3" s="43"/>
      <c r="Q3" s="43" t="s">
        <v>254</v>
      </c>
    </row>
    <row r="4" spans="1:17" s="10" customFormat="1" ht="12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10" customFormat="1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255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8" spans="3:17" ht="12">
      <c r="C8" s="10" t="s">
        <v>60</v>
      </c>
      <c r="D8" s="142">
        <v>2021</v>
      </c>
      <c r="E8" s="142">
        <f>+D8+1</f>
        <v>2022</v>
      </c>
      <c r="F8" s="142">
        <f>+E8</f>
        <v>2022</v>
      </c>
      <c r="G8" s="142">
        <f aca="true" t="shared" si="0" ref="G8:Q8">+F8</f>
        <v>2022</v>
      </c>
      <c r="H8" s="142">
        <f t="shared" si="0"/>
        <v>2022</v>
      </c>
      <c r="I8" s="142">
        <f t="shared" si="0"/>
        <v>2022</v>
      </c>
      <c r="J8" s="142">
        <f t="shared" si="0"/>
        <v>2022</v>
      </c>
      <c r="K8" s="142">
        <f t="shared" si="0"/>
        <v>2022</v>
      </c>
      <c r="L8" s="142">
        <f t="shared" si="0"/>
        <v>2022</v>
      </c>
      <c r="M8" s="142">
        <f t="shared" si="0"/>
        <v>2022</v>
      </c>
      <c r="N8" s="142">
        <f t="shared" si="0"/>
        <v>2022</v>
      </c>
      <c r="O8" s="142">
        <f t="shared" si="0"/>
        <v>2022</v>
      </c>
      <c r="P8" s="142">
        <f t="shared" si="0"/>
        <v>2022</v>
      </c>
      <c r="Q8" s="142">
        <f t="shared" si="0"/>
        <v>2022</v>
      </c>
    </row>
    <row r="9" spans="3:17" ht="12">
      <c r="C9" s="10" t="s">
        <v>23</v>
      </c>
      <c r="D9" s="37" t="s">
        <v>148</v>
      </c>
      <c r="E9" s="37" t="s">
        <v>149</v>
      </c>
      <c r="F9" s="37" t="s">
        <v>150</v>
      </c>
      <c r="G9" s="37" t="s">
        <v>151</v>
      </c>
      <c r="H9" s="37" t="s">
        <v>152</v>
      </c>
      <c r="I9" s="37" t="s">
        <v>81</v>
      </c>
      <c r="J9" s="37" t="s">
        <v>153</v>
      </c>
      <c r="K9" s="37" t="s">
        <v>154</v>
      </c>
      <c r="L9" s="37" t="s">
        <v>155</v>
      </c>
      <c r="M9" s="37" t="s">
        <v>156</v>
      </c>
      <c r="N9" s="37" t="s">
        <v>157</v>
      </c>
      <c r="O9" s="37" t="s">
        <v>158</v>
      </c>
      <c r="P9" s="37" t="s">
        <v>148</v>
      </c>
      <c r="Q9" s="37" t="s">
        <v>159</v>
      </c>
    </row>
    <row r="10" spans="3:16" ht="12">
      <c r="C10" s="10" t="s">
        <v>170</v>
      </c>
      <c r="D10" s="37" t="s">
        <v>92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3" ht="12">
      <c r="B11" s="143"/>
      <c r="C11" s="143"/>
    </row>
    <row r="12" spans="2:17" ht="12">
      <c r="B12" s="10" t="s">
        <v>141</v>
      </c>
      <c r="C12" s="138">
        <f>1.74%/12</f>
        <v>0.00145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6"/>
    </row>
    <row r="13" spans="2:17" ht="12">
      <c r="B13" s="10" t="s">
        <v>174</v>
      </c>
      <c r="C13" s="138"/>
      <c r="D13" s="144">
        <v>0</v>
      </c>
      <c r="E13" s="28">
        <f>+'9.0 Base Rates Plant in Svc'!D14</f>
        <v>0</v>
      </c>
      <c r="F13" s="28">
        <f>+'9.0 Base Rates Plant in Svc'!E14</f>
        <v>0</v>
      </c>
      <c r="G13" s="28">
        <f>+'9.0 Base Rates Plant in Svc'!F14</f>
        <v>0</v>
      </c>
      <c r="H13" s="28">
        <f>+'9.0 Base Rates Plant in Svc'!G14</f>
        <v>0</v>
      </c>
      <c r="I13" s="28">
        <f>+'9.0 Base Rates Plant in Svc'!H14</f>
        <v>0</v>
      </c>
      <c r="J13" s="28">
        <f>+'9.0 Base Rates Plant in Svc'!I14</f>
        <v>0</v>
      </c>
      <c r="K13" s="28">
        <f>+'9.0 Base Rates Plant in Svc'!J14</f>
        <v>0</v>
      </c>
      <c r="L13" s="28">
        <f>+'9.0 Base Rates Plant in Svc'!K14</f>
        <v>0</v>
      </c>
      <c r="M13" s="28">
        <f>+'9.0 Base Rates Plant in Svc'!L14</f>
        <v>0</v>
      </c>
      <c r="N13" s="28">
        <f>+'9.0 Base Rates Plant in Svc'!M14</f>
        <v>0</v>
      </c>
      <c r="O13" s="28">
        <f>+'9.0 Base Rates Plant in Svc'!N14</f>
        <v>0</v>
      </c>
      <c r="P13" s="28">
        <f>+'9.0 Base Rates Plant in Svc'!O14</f>
        <v>0</v>
      </c>
      <c r="Q13" s="146">
        <f>SUM(D13:P13)</f>
        <v>0</v>
      </c>
    </row>
    <row r="14" spans="2:17" ht="12">
      <c r="B14" s="10" t="s">
        <v>175</v>
      </c>
      <c r="C14" s="138"/>
      <c r="D14" s="144">
        <v>0</v>
      </c>
      <c r="E14" s="93">
        <f>+'9.0 Base Rates Plant in Svc'!D23</f>
        <v>0</v>
      </c>
      <c r="F14" s="93">
        <f>+'9.0 Base Rates Plant in Svc'!E23</f>
        <v>0</v>
      </c>
      <c r="G14" s="93">
        <f>+'9.0 Base Rates Plant in Svc'!F23</f>
        <v>0</v>
      </c>
      <c r="H14" s="93">
        <f>+'9.0 Base Rates Plant in Svc'!G23</f>
        <v>0</v>
      </c>
      <c r="I14" s="93">
        <f>+'9.0 Base Rates Plant in Svc'!H23</f>
        <v>0</v>
      </c>
      <c r="J14" s="93">
        <f>+'9.0 Base Rates Plant in Svc'!I23</f>
        <v>0</v>
      </c>
      <c r="K14" s="93">
        <f>+'9.0 Base Rates Plant in Svc'!J23</f>
        <v>0</v>
      </c>
      <c r="L14" s="93">
        <f>+'9.0 Base Rates Plant in Svc'!K23</f>
        <v>0</v>
      </c>
      <c r="M14" s="93">
        <f>+'9.0 Base Rates Plant in Svc'!L23</f>
        <v>0</v>
      </c>
      <c r="N14" s="93">
        <f>+'9.0 Base Rates Plant in Svc'!M23</f>
        <v>0</v>
      </c>
      <c r="O14" s="93">
        <f>+'9.0 Base Rates Plant in Svc'!N23</f>
        <v>0</v>
      </c>
      <c r="P14" s="93">
        <f>+'9.0 Base Rates Plant in Svc'!O23</f>
        <v>0</v>
      </c>
      <c r="Q14" s="146"/>
    </row>
    <row r="15" spans="2:17" ht="12">
      <c r="B15" s="10" t="s">
        <v>265</v>
      </c>
      <c r="C15" s="138"/>
      <c r="D15" s="144">
        <f>SUM(D13:D14)</f>
        <v>0</v>
      </c>
      <c r="E15" s="28">
        <f>SUM(E13:E14)</f>
        <v>0</v>
      </c>
      <c r="F15" s="28">
        <f aca="true" t="shared" si="1" ref="F15:P15">SUM(F13:F14)</f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0</v>
      </c>
      <c r="Q15" s="146">
        <f>SUM(D15:P15)</f>
        <v>0</v>
      </c>
    </row>
    <row r="16" spans="2:17" ht="12">
      <c r="B16" s="10" t="s">
        <v>171</v>
      </c>
      <c r="C16" s="138"/>
      <c r="D16" s="144">
        <v>0</v>
      </c>
      <c r="E16" s="28">
        <f>+E15+D16</f>
        <v>0</v>
      </c>
      <c r="F16" s="28">
        <f aca="true" t="shared" si="2" ref="F16:P16">+F15+E16</f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146"/>
    </row>
    <row r="17" spans="2:17" ht="12">
      <c r="B17" s="10"/>
      <c r="C17" s="138"/>
      <c r="D17" s="14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46"/>
    </row>
    <row r="18" spans="2:17" ht="12">
      <c r="B18" s="10" t="s">
        <v>172</v>
      </c>
      <c r="C18" s="138"/>
      <c r="D18" s="144"/>
      <c r="E18" s="28">
        <f>ROUND($C12*D16,0)</f>
        <v>0</v>
      </c>
      <c r="F18" s="28">
        <f aca="true" t="shared" si="3" ref="F18:P18">ROUND($C12*E16,0)</f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8">
        <f t="shared" si="3"/>
        <v>0</v>
      </c>
      <c r="O18" s="28">
        <f t="shared" si="3"/>
        <v>0</v>
      </c>
      <c r="P18" s="28">
        <f t="shared" si="3"/>
        <v>0</v>
      </c>
      <c r="Q18" s="146"/>
    </row>
    <row r="19" spans="2:17" ht="12">
      <c r="B19" s="10" t="s">
        <v>173</v>
      </c>
      <c r="C19" s="138"/>
      <c r="D19" s="144"/>
      <c r="E19" s="93">
        <f>ROUND($C12*E15*0.5,3)</f>
        <v>0</v>
      </c>
      <c r="F19" s="93">
        <f aca="true" t="shared" si="4" ref="F19:P19">ROUND($C12*F15*0.5,3)</f>
        <v>0</v>
      </c>
      <c r="G19" s="93">
        <f t="shared" si="4"/>
        <v>0</v>
      </c>
      <c r="H19" s="93">
        <f t="shared" si="4"/>
        <v>0</v>
      </c>
      <c r="I19" s="93">
        <f t="shared" si="4"/>
        <v>0</v>
      </c>
      <c r="J19" s="93">
        <f t="shared" si="4"/>
        <v>0</v>
      </c>
      <c r="K19" s="93">
        <f t="shared" si="4"/>
        <v>0</v>
      </c>
      <c r="L19" s="93">
        <f t="shared" si="4"/>
        <v>0</v>
      </c>
      <c r="M19" s="93">
        <f t="shared" si="4"/>
        <v>0</v>
      </c>
      <c r="N19" s="93">
        <f t="shared" si="4"/>
        <v>0</v>
      </c>
      <c r="O19" s="93">
        <f t="shared" si="4"/>
        <v>0</v>
      </c>
      <c r="P19" s="93">
        <f t="shared" si="4"/>
        <v>0</v>
      </c>
      <c r="Q19" s="146"/>
    </row>
    <row r="20" spans="2:17" ht="12">
      <c r="B20" s="10" t="s">
        <v>176</v>
      </c>
      <c r="C20" s="138"/>
      <c r="D20" s="144">
        <v>0</v>
      </c>
      <c r="E20" s="28">
        <f>SUM(E18:E19)</f>
        <v>0</v>
      </c>
      <c r="F20" s="28">
        <f aca="true" t="shared" si="5" ref="F20:P20">SUM(F18:F19)</f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146">
        <f>SUM(D20:P20)</f>
        <v>0</v>
      </c>
    </row>
    <row r="21" spans="2:17" ht="12">
      <c r="B21" s="10"/>
      <c r="C21" s="138"/>
      <c r="D21" s="144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46"/>
    </row>
    <row r="22" spans="2:17" ht="12">
      <c r="B22" s="10" t="s">
        <v>142</v>
      </c>
      <c r="C22" s="138">
        <f>2.52%/12</f>
        <v>0.0021</v>
      </c>
      <c r="D22" s="14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46"/>
    </row>
    <row r="23" spans="2:17" ht="12">
      <c r="B23" s="10" t="s">
        <v>174</v>
      </c>
      <c r="C23" s="138"/>
      <c r="D23" s="144">
        <v>0</v>
      </c>
      <c r="E23" s="28">
        <f>+'9.0 Base Rates Plant in Svc'!D15</f>
        <v>0</v>
      </c>
      <c r="F23" s="28">
        <f>+'9.0 Base Rates Plant in Svc'!E15</f>
        <v>0</v>
      </c>
      <c r="G23" s="28">
        <f>+'9.0 Base Rates Plant in Svc'!F15</f>
        <v>0</v>
      </c>
      <c r="H23" s="28">
        <f>+'9.0 Base Rates Plant in Svc'!G15</f>
        <v>0</v>
      </c>
      <c r="I23" s="28">
        <f>+'9.0 Base Rates Plant in Svc'!H15</f>
        <v>0</v>
      </c>
      <c r="J23" s="28">
        <f>+'9.0 Base Rates Plant in Svc'!I15</f>
        <v>0</v>
      </c>
      <c r="K23" s="28">
        <f>+'9.0 Base Rates Plant in Svc'!J15</f>
        <v>0</v>
      </c>
      <c r="L23" s="28">
        <f>+'9.0 Base Rates Plant in Svc'!K15</f>
        <v>0</v>
      </c>
      <c r="M23" s="28">
        <f>+'9.0 Base Rates Plant in Svc'!L15</f>
        <v>0</v>
      </c>
      <c r="N23" s="28">
        <f>+'9.0 Base Rates Plant in Svc'!M15</f>
        <v>0</v>
      </c>
      <c r="O23" s="28">
        <f>+'9.0 Base Rates Plant in Svc'!N15</f>
        <v>0</v>
      </c>
      <c r="P23" s="28">
        <f>+'9.0 Base Rates Plant in Svc'!O15</f>
        <v>0</v>
      </c>
      <c r="Q23" s="146">
        <f>SUM(D23:P23)</f>
        <v>0</v>
      </c>
    </row>
    <row r="24" spans="2:17" ht="12">
      <c r="B24" s="10" t="s">
        <v>175</v>
      </c>
      <c r="C24" s="138"/>
      <c r="D24" s="144">
        <v>0</v>
      </c>
      <c r="E24" s="93">
        <f>+'9.0 Base Rates Plant in Svc'!D24</f>
        <v>0</v>
      </c>
      <c r="F24" s="93">
        <f>+'9.0 Base Rates Plant in Svc'!E24</f>
        <v>0</v>
      </c>
      <c r="G24" s="93">
        <f>+'9.0 Base Rates Plant in Svc'!F24</f>
        <v>0</v>
      </c>
      <c r="H24" s="93">
        <f>+'9.0 Base Rates Plant in Svc'!G24</f>
        <v>0</v>
      </c>
      <c r="I24" s="93">
        <f>+'9.0 Base Rates Plant in Svc'!H24</f>
        <v>0</v>
      </c>
      <c r="J24" s="93">
        <f>+'9.0 Base Rates Plant in Svc'!I24</f>
        <v>0</v>
      </c>
      <c r="K24" s="93">
        <f>+'9.0 Base Rates Plant in Svc'!J24</f>
        <v>0</v>
      </c>
      <c r="L24" s="93">
        <f>+'9.0 Base Rates Plant in Svc'!K24</f>
        <v>0</v>
      </c>
      <c r="M24" s="93">
        <f>+'9.0 Base Rates Plant in Svc'!L24</f>
        <v>0</v>
      </c>
      <c r="N24" s="93">
        <f>+'9.0 Base Rates Plant in Svc'!M24</f>
        <v>0</v>
      </c>
      <c r="O24" s="93">
        <f>+'9.0 Base Rates Plant in Svc'!N24</f>
        <v>0</v>
      </c>
      <c r="P24" s="93">
        <f>+'9.0 Base Rates Plant in Svc'!O24</f>
        <v>0</v>
      </c>
      <c r="Q24" s="146"/>
    </row>
    <row r="25" spans="2:17" ht="12">
      <c r="B25" s="10" t="s">
        <v>265</v>
      </c>
      <c r="C25" s="138"/>
      <c r="D25" s="144">
        <f>SUM(D23:D24)</f>
        <v>0</v>
      </c>
      <c r="E25" s="28">
        <f>SUM(E23:E24)</f>
        <v>0</v>
      </c>
      <c r="F25" s="28">
        <f aca="true" t="shared" si="6" ref="F25:P25">SUM(F23:F24)</f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146">
        <f>SUM(D25:P25)</f>
        <v>0</v>
      </c>
    </row>
    <row r="26" spans="2:17" ht="12">
      <c r="B26" s="10" t="s">
        <v>171</v>
      </c>
      <c r="C26" s="138"/>
      <c r="D26" s="144">
        <v>0</v>
      </c>
      <c r="E26" s="28">
        <f>+E25+D26</f>
        <v>0</v>
      </c>
      <c r="F26" s="28">
        <f aca="true" t="shared" si="7" ref="F26:P26">+F25+E26</f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0</v>
      </c>
      <c r="P26" s="28">
        <f t="shared" si="7"/>
        <v>0</v>
      </c>
      <c r="Q26" s="146"/>
    </row>
    <row r="27" spans="2:17" ht="12">
      <c r="B27" s="10"/>
      <c r="C27" s="138"/>
      <c r="D27" s="14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46"/>
    </row>
    <row r="28" spans="2:17" ht="12">
      <c r="B28" s="10" t="s">
        <v>172</v>
      </c>
      <c r="C28" s="138"/>
      <c r="D28" s="144"/>
      <c r="E28" s="28">
        <f>ROUND($C22*D26,0)</f>
        <v>0</v>
      </c>
      <c r="F28" s="28">
        <f aca="true" t="shared" si="8" ref="F28:P28">ROUND($C22*E26,0)</f>
        <v>0</v>
      </c>
      <c r="G28" s="28">
        <f t="shared" si="8"/>
        <v>0</v>
      </c>
      <c r="H28" s="28">
        <f t="shared" si="8"/>
        <v>0</v>
      </c>
      <c r="I28" s="28">
        <f t="shared" si="8"/>
        <v>0</v>
      </c>
      <c r="J28" s="28">
        <f t="shared" si="8"/>
        <v>0</v>
      </c>
      <c r="K28" s="28">
        <f t="shared" si="8"/>
        <v>0</v>
      </c>
      <c r="L28" s="28">
        <f t="shared" si="8"/>
        <v>0</v>
      </c>
      <c r="M28" s="28">
        <f t="shared" si="8"/>
        <v>0</v>
      </c>
      <c r="N28" s="28">
        <f t="shared" si="8"/>
        <v>0</v>
      </c>
      <c r="O28" s="28">
        <f t="shared" si="8"/>
        <v>0</v>
      </c>
      <c r="P28" s="28">
        <f t="shared" si="8"/>
        <v>0</v>
      </c>
      <c r="Q28" s="146"/>
    </row>
    <row r="29" spans="2:17" ht="12">
      <c r="B29" s="10" t="s">
        <v>173</v>
      </c>
      <c r="C29" s="138"/>
      <c r="D29" s="144"/>
      <c r="E29" s="93">
        <f>ROUND($C22*E25*0.5,3)</f>
        <v>0</v>
      </c>
      <c r="F29" s="93">
        <f aca="true" t="shared" si="9" ref="F29:P29">ROUND($C22*F25*0.5,3)</f>
        <v>0</v>
      </c>
      <c r="G29" s="93">
        <f t="shared" si="9"/>
        <v>0</v>
      </c>
      <c r="H29" s="93">
        <f t="shared" si="9"/>
        <v>0</v>
      </c>
      <c r="I29" s="93">
        <f t="shared" si="9"/>
        <v>0</v>
      </c>
      <c r="J29" s="93">
        <f t="shared" si="9"/>
        <v>0</v>
      </c>
      <c r="K29" s="93">
        <f t="shared" si="9"/>
        <v>0</v>
      </c>
      <c r="L29" s="93">
        <f t="shared" si="9"/>
        <v>0</v>
      </c>
      <c r="M29" s="93">
        <f t="shared" si="9"/>
        <v>0</v>
      </c>
      <c r="N29" s="93">
        <f t="shared" si="9"/>
        <v>0</v>
      </c>
      <c r="O29" s="93">
        <f t="shared" si="9"/>
        <v>0</v>
      </c>
      <c r="P29" s="93">
        <f t="shared" si="9"/>
        <v>0</v>
      </c>
      <c r="Q29" s="146"/>
    </row>
    <row r="30" spans="2:17" ht="12">
      <c r="B30" s="10" t="s">
        <v>176</v>
      </c>
      <c r="C30" s="138"/>
      <c r="D30" s="144">
        <v>0</v>
      </c>
      <c r="E30" s="28">
        <f>SUM(E28:E29)</f>
        <v>0</v>
      </c>
      <c r="F30" s="28">
        <f aca="true" t="shared" si="10" ref="F30:P30">SUM(F28:F29)</f>
        <v>0</v>
      </c>
      <c r="G30" s="28">
        <f t="shared" si="10"/>
        <v>0</v>
      </c>
      <c r="H30" s="28">
        <f t="shared" si="10"/>
        <v>0</v>
      </c>
      <c r="I30" s="28">
        <f t="shared" si="10"/>
        <v>0</v>
      </c>
      <c r="J30" s="28">
        <f t="shared" si="10"/>
        <v>0</v>
      </c>
      <c r="K30" s="28">
        <f t="shared" si="10"/>
        <v>0</v>
      </c>
      <c r="L30" s="28">
        <f t="shared" si="10"/>
        <v>0</v>
      </c>
      <c r="M30" s="28">
        <f t="shared" si="10"/>
        <v>0</v>
      </c>
      <c r="N30" s="28">
        <f t="shared" si="10"/>
        <v>0</v>
      </c>
      <c r="O30" s="28">
        <f t="shared" si="10"/>
        <v>0</v>
      </c>
      <c r="P30" s="28">
        <f t="shared" si="10"/>
        <v>0</v>
      </c>
      <c r="Q30" s="146">
        <f>SUM(D30:P30)</f>
        <v>0</v>
      </c>
    </row>
    <row r="31" spans="2:17" ht="12">
      <c r="B31" s="10"/>
      <c r="C31" s="138"/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2:17" ht="12">
      <c r="B32" s="10" t="s">
        <v>143</v>
      </c>
      <c r="C32" s="138">
        <f>3.98%/12</f>
        <v>0.003316666666666667</v>
      </c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</row>
    <row r="33" spans="2:17" ht="12">
      <c r="B33" s="10" t="s">
        <v>174</v>
      </c>
      <c r="C33" s="138"/>
      <c r="D33" s="144">
        <v>0</v>
      </c>
      <c r="E33" s="28">
        <f>+'9.0 Base Rates Plant in Svc'!D16</f>
        <v>0</v>
      </c>
      <c r="F33" s="28">
        <f>+'9.0 Base Rates Plant in Svc'!E16</f>
        <v>0</v>
      </c>
      <c r="G33" s="28">
        <f>+'9.0 Base Rates Plant in Svc'!F16</f>
        <v>0</v>
      </c>
      <c r="H33" s="28">
        <f>+'9.0 Base Rates Plant in Svc'!G16</f>
        <v>0</v>
      </c>
      <c r="I33" s="28">
        <f>+'9.0 Base Rates Plant in Svc'!H16</f>
        <v>0</v>
      </c>
      <c r="J33" s="28">
        <f>+'9.0 Base Rates Plant in Svc'!I16</f>
        <v>0</v>
      </c>
      <c r="K33" s="28">
        <f>+'9.0 Base Rates Plant in Svc'!J16</f>
        <v>0</v>
      </c>
      <c r="L33" s="28">
        <f>+'9.0 Base Rates Plant in Svc'!K16</f>
        <v>0</v>
      </c>
      <c r="M33" s="28">
        <f>+'9.0 Base Rates Plant in Svc'!L16</f>
        <v>0</v>
      </c>
      <c r="N33" s="28">
        <f>+'9.0 Base Rates Plant in Svc'!M16</f>
        <v>0</v>
      </c>
      <c r="O33" s="28">
        <f>+'9.0 Base Rates Plant in Svc'!N16</f>
        <v>0</v>
      </c>
      <c r="P33" s="28">
        <f>+'9.0 Base Rates Plant in Svc'!O16</f>
        <v>0</v>
      </c>
      <c r="Q33" s="146">
        <f>SUM(D33:P33)</f>
        <v>0</v>
      </c>
    </row>
    <row r="34" spans="2:17" ht="12">
      <c r="B34" s="10" t="s">
        <v>175</v>
      </c>
      <c r="C34" s="138"/>
      <c r="D34" s="144">
        <v>0</v>
      </c>
      <c r="E34" s="93">
        <f>+'9.0 Base Rates Plant in Svc'!D25</f>
        <v>0</v>
      </c>
      <c r="F34" s="93">
        <f>+'9.0 Base Rates Plant in Svc'!E25</f>
        <v>0</v>
      </c>
      <c r="G34" s="93">
        <f>+'9.0 Base Rates Plant in Svc'!F25</f>
        <v>0</v>
      </c>
      <c r="H34" s="93">
        <f>+'9.0 Base Rates Plant in Svc'!G25</f>
        <v>0</v>
      </c>
      <c r="I34" s="93">
        <f>+'9.0 Base Rates Plant in Svc'!H25</f>
        <v>0</v>
      </c>
      <c r="J34" s="93">
        <f>+'9.0 Base Rates Plant in Svc'!I25</f>
        <v>0</v>
      </c>
      <c r="K34" s="93">
        <f>+'9.0 Base Rates Plant in Svc'!J25</f>
        <v>0</v>
      </c>
      <c r="L34" s="93">
        <f>+'9.0 Base Rates Plant in Svc'!K25</f>
        <v>0</v>
      </c>
      <c r="M34" s="93">
        <f>+'9.0 Base Rates Plant in Svc'!L25</f>
        <v>0</v>
      </c>
      <c r="N34" s="93">
        <f>+'9.0 Base Rates Plant in Svc'!M25</f>
        <v>0</v>
      </c>
      <c r="O34" s="93">
        <f>+'9.0 Base Rates Plant in Svc'!N25</f>
        <v>0</v>
      </c>
      <c r="P34" s="93">
        <f>+'9.0 Base Rates Plant in Svc'!O25</f>
        <v>0</v>
      </c>
      <c r="Q34" s="146"/>
    </row>
    <row r="35" spans="2:17" ht="12">
      <c r="B35" s="10" t="s">
        <v>265</v>
      </c>
      <c r="C35" s="138"/>
      <c r="D35" s="144">
        <f>SUM(D33:D34)</f>
        <v>0</v>
      </c>
      <c r="E35" s="28">
        <f>SUM(E33:E34)</f>
        <v>0</v>
      </c>
      <c r="F35" s="28">
        <f aca="true" t="shared" si="11" ref="F35:P35">SUM(F33:F34)</f>
        <v>0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146">
        <f>SUM(D35:P35)</f>
        <v>0</v>
      </c>
    </row>
    <row r="36" spans="2:17" ht="12">
      <c r="B36" s="10" t="s">
        <v>171</v>
      </c>
      <c r="C36" s="138"/>
      <c r="D36" s="144">
        <v>0</v>
      </c>
      <c r="E36" s="28">
        <f>+E35+D36</f>
        <v>0</v>
      </c>
      <c r="F36" s="28">
        <f aca="true" t="shared" si="12" ref="F36:P36">+F35+E36</f>
        <v>0</v>
      </c>
      <c r="G36" s="28">
        <f t="shared" si="12"/>
        <v>0</v>
      </c>
      <c r="H36" s="28">
        <f t="shared" si="12"/>
        <v>0</v>
      </c>
      <c r="I36" s="28">
        <f t="shared" si="12"/>
        <v>0</v>
      </c>
      <c r="J36" s="28">
        <f t="shared" si="12"/>
        <v>0</v>
      </c>
      <c r="K36" s="28">
        <f t="shared" si="12"/>
        <v>0</v>
      </c>
      <c r="L36" s="28">
        <f t="shared" si="12"/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8">
        <f t="shared" si="12"/>
        <v>0</v>
      </c>
      <c r="Q36" s="146"/>
    </row>
    <row r="37" spans="2:17" ht="12">
      <c r="B37" s="10"/>
      <c r="C37" s="138"/>
      <c r="D37" s="144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46"/>
    </row>
    <row r="38" spans="2:17" ht="12">
      <c r="B38" s="10" t="s">
        <v>172</v>
      </c>
      <c r="C38" s="138"/>
      <c r="D38" s="144"/>
      <c r="E38" s="28">
        <f>ROUND($C32*D36,0)</f>
        <v>0</v>
      </c>
      <c r="F38" s="28">
        <f aca="true" t="shared" si="13" ref="F38:P38">ROUND($C32*E36,0)</f>
        <v>0</v>
      </c>
      <c r="G38" s="28">
        <f t="shared" si="13"/>
        <v>0</v>
      </c>
      <c r="H38" s="28">
        <f t="shared" si="13"/>
        <v>0</v>
      </c>
      <c r="I38" s="28">
        <f t="shared" si="13"/>
        <v>0</v>
      </c>
      <c r="J38" s="28">
        <f t="shared" si="13"/>
        <v>0</v>
      </c>
      <c r="K38" s="28">
        <f t="shared" si="13"/>
        <v>0</v>
      </c>
      <c r="L38" s="28">
        <f t="shared" si="13"/>
        <v>0</v>
      </c>
      <c r="M38" s="28">
        <f t="shared" si="13"/>
        <v>0</v>
      </c>
      <c r="N38" s="28">
        <f t="shared" si="13"/>
        <v>0</v>
      </c>
      <c r="O38" s="28">
        <f t="shared" si="13"/>
        <v>0</v>
      </c>
      <c r="P38" s="28">
        <f t="shared" si="13"/>
        <v>0</v>
      </c>
      <c r="Q38" s="146"/>
    </row>
    <row r="39" spans="2:17" ht="12">
      <c r="B39" s="10" t="s">
        <v>173</v>
      </c>
      <c r="C39" s="138"/>
      <c r="D39" s="144"/>
      <c r="E39" s="93">
        <f>ROUND($C32*E35*0.5,3)</f>
        <v>0</v>
      </c>
      <c r="F39" s="93">
        <f aca="true" t="shared" si="14" ref="F39:P39">ROUND($C32*F35*0.5,3)</f>
        <v>0</v>
      </c>
      <c r="G39" s="93">
        <f t="shared" si="14"/>
        <v>0</v>
      </c>
      <c r="H39" s="93">
        <f t="shared" si="14"/>
        <v>0</v>
      </c>
      <c r="I39" s="93">
        <f t="shared" si="14"/>
        <v>0</v>
      </c>
      <c r="J39" s="93">
        <f t="shared" si="14"/>
        <v>0</v>
      </c>
      <c r="K39" s="93">
        <f t="shared" si="14"/>
        <v>0</v>
      </c>
      <c r="L39" s="93">
        <f t="shared" si="14"/>
        <v>0</v>
      </c>
      <c r="M39" s="93">
        <f t="shared" si="14"/>
        <v>0</v>
      </c>
      <c r="N39" s="93">
        <f t="shared" si="14"/>
        <v>0</v>
      </c>
      <c r="O39" s="93">
        <f t="shared" si="14"/>
        <v>0</v>
      </c>
      <c r="P39" s="93">
        <f t="shared" si="14"/>
        <v>0</v>
      </c>
      <c r="Q39" s="146"/>
    </row>
    <row r="40" spans="2:17" ht="12">
      <c r="B40" s="10" t="s">
        <v>176</v>
      </c>
      <c r="C40" s="138"/>
      <c r="D40" s="144">
        <v>0</v>
      </c>
      <c r="E40" s="28">
        <f>SUM(E38:E39)</f>
        <v>0</v>
      </c>
      <c r="F40" s="28">
        <f aca="true" t="shared" si="15" ref="F40:P40">SUM(F38:F39)</f>
        <v>0</v>
      </c>
      <c r="G40" s="28">
        <f t="shared" si="15"/>
        <v>0</v>
      </c>
      <c r="H40" s="28">
        <f t="shared" si="15"/>
        <v>0</v>
      </c>
      <c r="I40" s="28">
        <f t="shared" si="15"/>
        <v>0</v>
      </c>
      <c r="J40" s="28">
        <f t="shared" si="15"/>
        <v>0</v>
      </c>
      <c r="K40" s="28">
        <f t="shared" si="15"/>
        <v>0</v>
      </c>
      <c r="L40" s="28">
        <f t="shared" si="15"/>
        <v>0</v>
      </c>
      <c r="M40" s="28">
        <f t="shared" si="15"/>
        <v>0</v>
      </c>
      <c r="N40" s="28">
        <f t="shared" si="15"/>
        <v>0</v>
      </c>
      <c r="O40" s="28">
        <f t="shared" si="15"/>
        <v>0</v>
      </c>
      <c r="P40" s="28">
        <f t="shared" si="15"/>
        <v>0</v>
      </c>
      <c r="Q40" s="146">
        <f>SUM(D40:P40)</f>
        <v>0</v>
      </c>
    </row>
    <row r="41" spans="2:17" ht="12">
      <c r="B41" s="10"/>
      <c r="C41" s="138"/>
      <c r="D41" s="144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46"/>
    </row>
    <row r="42" spans="2:17" ht="12">
      <c r="B42" s="10" t="s">
        <v>144</v>
      </c>
      <c r="C42" s="138">
        <f>1.77%/12</f>
        <v>0.001475</v>
      </c>
      <c r="D42" s="144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6"/>
    </row>
    <row r="43" spans="2:17" ht="12">
      <c r="B43" s="10" t="s">
        <v>174</v>
      </c>
      <c r="C43" s="138"/>
      <c r="D43" s="144">
        <v>0</v>
      </c>
      <c r="E43" s="28">
        <f>+'9.0 Base Rates Plant in Svc'!D17</f>
        <v>0</v>
      </c>
      <c r="F43" s="28">
        <f>+'9.0 Base Rates Plant in Svc'!E17</f>
        <v>0</v>
      </c>
      <c r="G43" s="28">
        <f>+'9.0 Base Rates Plant in Svc'!F17</f>
        <v>0</v>
      </c>
      <c r="H43" s="28">
        <f>+'9.0 Base Rates Plant in Svc'!G17</f>
        <v>0</v>
      </c>
      <c r="I43" s="28">
        <f>+'9.0 Base Rates Plant in Svc'!H17</f>
        <v>0</v>
      </c>
      <c r="J43" s="28">
        <f>+'9.0 Base Rates Plant in Svc'!I17</f>
        <v>0</v>
      </c>
      <c r="K43" s="28">
        <f>+'9.0 Base Rates Plant in Svc'!J17</f>
        <v>0</v>
      </c>
      <c r="L43" s="28">
        <f>+'9.0 Base Rates Plant in Svc'!K17</f>
        <v>0</v>
      </c>
      <c r="M43" s="28">
        <f>+'9.0 Base Rates Plant in Svc'!L17</f>
        <v>0</v>
      </c>
      <c r="N43" s="28">
        <f>+'9.0 Base Rates Plant in Svc'!M17</f>
        <v>0</v>
      </c>
      <c r="O43" s="28">
        <f>+'9.0 Base Rates Plant in Svc'!N17</f>
        <v>0</v>
      </c>
      <c r="P43" s="28">
        <f>+'9.0 Base Rates Plant in Svc'!O17</f>
        <v>0</v>
      </c>
      <c r="Q43" s="146">
        <f>SUM(D43:P43)</f>
        <v>0</v>
      </c>
    </row>
    <row r="44" spans="2:17" ht="12">
      <c r="B44" s="10" t="s">
        <v>175</v>
      </c>
      <c r="C44" s="138"/>
      <c r="D44" s="144">
        <v>0</v>
      </c>
      <c r="E44" s="93">
        <f>+'9.0 Base Rates Plant in Svc'!D26</f>
        <v>0</v>
      </c>
      <c r="F44" s="93">
        <f>+'9.0 Base Rates Plant in Svc'!E26</f>
        <v>0</v>
      </c>
      <c r="G44" s="93">
        <f>+'9.0 Base Rates Plant in Svc'!F26</f>
        <v>0</v>
      </c>
      <c r="H44" s="93">
        <f>+'9.0 Base Rates Plant in Svc'!G26</f>
        <v>0</v>
      </c>
      <c r="I44" s="93">
        <f>+'9.0 Base Rates Plant in Svc'!H26</f>
        <v>0</v>
      </c>
      <c r="J44" s="93">
        <f>+'9.0 Base Rates Plant in Svc'!I26</f>
        <v>0</v>
      </c>
      <c r="K44" s="93">
        <f>+'9.0 Base Rates Plant in Svc'!J26</f>
        <v>0</v>
      </c>
      <c r="L44" s="93">
        <f>+'9.0 Base Rates Plant in Svc'!K26</f>
        <v>0</v>
      </c>
      <c r="M44" s="93">
        <f>+'9.0 Base Rates Plant in Svc'!L26</f>
        <v>0</v>
      </c>
      <c r="N44" s="93">
        <f>+'9.0 Base Rates Plant in Svc'!M26</f>
        <v>0</v>
      </c>
      <c r="O44" s="93">
        <f>+'9.0 Base Rates Plant in Svc'!N26</f>
        <v>0</v>
      </c>
      <c r="P44" s="93">
        <f>+'9.0 Base Rates Plant in Svc'!O26</f>
        <v>0</v>
      </c>
      <c r="Q44" s="146"/>
    </row>
    <row r="45" spans="2:17" ht="12">
      <c r="B45" s="10" t="s">
        <v>265</v>
      </c>
      <c r="C45" s="138"/>
      <c r="D45" s="144">
        <f>SUM(D43:D44)</f>
        <v>0</v>
      </c>
      <c r="E45" s="28">
        <f>SUM(E43:E44)</f>
        <v>0</v>
      </c>
      <c r="F45" s="28">
        <f aca="true" t="shared" si="16" ref="F45:P45">SUM(F43:F44)</f>
        <v>0</v>
      </c>
      <c r="G45" s="28">
        <f t="shared" si="16"/>
        <v>0</v>
      </c>
      <c r="H45" s="28">
        <f t="shared" si="16"/>
        <v>0</v>
      </c>
      <c r="I45" s="28">
        <f t="shared" si="16"/>
        <v>0</v>
      </c>
      <c r="J45" s="28">
        <f t="shared" si="16"/>
        <v>0</v>
      </c>
      <c r="K45" s="28">
        <f t="shared" si="16"/>
        <v>0</v>
      </c>
      <c r="L45" s="28">
        <f t="shared" si="16"/>
        <v>0</v>
      </c>
      <c r="M45" s="28">
        <f t="shared" si="16"/>
        <v>0</v>
      </c>
      <c r="N45" s="28">
        <f t="shared" si="16"/>
        <v>0</v>
      </c>
      <c r="O45" s="28">
        <f t="shared" si="16"/>
        <v>0</v>
      </c>
      <c r="P45" s="28">
        <f t="shared" si="16"/>
        <v>0</v>
      </c>
      <c r="Q45" s="146">
        <f>SUM(D45:P45)</f>
        <v>0</v>
      </c>
    </row>
    <row r="46" spans="2:17" ht="12">
      <c r="B46" s="10" t="s">
        <v>171</v>
      </c>
      <c r="C46" s="138"/>
      <c r="D46" s="144">
        <v>0</v>
      </c>
      <c r="E46" s="28">
        <f>+E45+D46</f>
        <v>0</v>
      </c>
      <c r="F46" s="28">
        <f aca="true" t="shared" si="17" ref="F46:P46">+F45+E46</f>
        <v>0</v>
      </c>
      <c r="G46" s="28">
        <f t="shared" si="17"/>
        <v>0</v>
      </c>
      <c r="H46" s="28">
        <f t="shared" si="17"/>
        <v>0</v>
      </c>
      <c r="I46" s="28">
        <f t="shared" si="17"/>
        <v>0</v>
      </c>
      <c r="J46" s="28">
        <f t="shared" si="17"/>
        <v>0</v>
      </c>
      <c r="K46" s="28">
        <f t="shared" si="17"/>
        <v>0</v>
      </c>
      <c r="L46" s="28">
        <f t="shared" si="17"/>
        <v>0</v>
      </c>
      <c r="M46" s="28">
        <f t="shared" si="17"/>
        <v>0</v>
      </c>
      <c r="N46" s="28">
        <f t="shared" si="17"/>
        <v>0</v>
      </c>
      <c r="O46" s="28">
        <f t="shared" si="17"/>
        <v>0</v>
      </c>
      <c r="P46" s="28">
        <f t="shared" si="17"/>
        <v>0</v>
      </c>
      <c r="Q46" s="146"/>
    </row>
    <row r="47" spans="2:17" ht="12">
      <c r="B47" s="10"/>
      <c r="C47" s="138"/>
      <c r="D47" s="14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46"/>
    </row>
    <row r="48" spans="2:17" ht="12">
      <c r="B48" s="10" t="s">
        <v>172</v>
      </c>
      <c r="C48" s="138"/>
      <c r="D48" s="144"/>
      <c r="E48" s="28">
        <f>ROUND($C42*D46,0)</f>
        <v>0</v>
      </c>
      <c r="F48" s="28">
        <f aca="true" t="shared" si="18" ref="F48:P48">ROUND($C42*E46,0)</f>
        <v>0</v>
      </c>
      <c r="G48" s="28">
        <f t="shared" si="18"/>
        <v>0</v>
      </c>
      <c r="H48" s="28">
        <f t="shared" si="18"/>
        <v>0</v>
      </c>
      <c r="I48" s="28">
        <f t="shared" si="18"/>
        <v>0</v>
      </c>
      <c r="J48" s="28">
        <f t="shared" si="18"/>
        <v>0</v>
      </c>
      <c r="K48" s="28">
        <f t="shared" si="18"/>
        <v>0</v>
      </c>
      <c r="L48" s="28">
        <f t="shared" si="18"/>
        <v>0</v>
      </c>
      <c r="M48" s="28">
        <f t="shared" si="18"/>
        <v>0</v>
      </c>
      <c r="N48" s="28">
        <f t="shared" si="18"/>
        <v>0</v>
      </c>
      <c r="O48" s="28">
        <f t="shared" si="18"/>
        <v>0</v>
      </c>
      <c r="P48" s="28">
        <f t="shared" si="18"/>
        <v>0</v>
      </c>
      <c r="Q48" s="146"/>
    </row>
    <row r="49" spans="2:17" ht="12">
      <c r="B49" s="10" t="s">
        <v>173</v>
      </c>
      <c r="C49" s="138"/>
      <c r="D49" s="144"/>
      <c r="E49" s="93">
        <f>ROUND($C42*E45*0.5,3)</f>
        <v>0</v>
      </c>
      <c r="F49" s="93">
        <f aca="true" t="shared" si="19" ref="F49:P49">ROUND($C42*F45*0.5,3)</f>
        <v>0</v>
      </c>
      <c r="G49" s="93">
        <f t="shared" si="19"/>
        <v>0</v>
      </c>
      <c r="H49" s="93">
        <f t="shared" si="19"/>
        <v>0</v>
      </c>
      <c r="I49" s="93">
        <f t="shared" si="19"/>
        <v>0</v>
      </c>
      <c r="J49" s="93">
        <f t="shared" si="19"/>
        <v>0</v>
      </c>
      <c r="K49" s="93">
        <f t="shared" si="19"/>
        <v>0</v>
      </c>
      <c r="L49" s="93">
        <f t="shared" si="19"/>
        <v>0</v>
      </c>
      <c r="M49" s="93">
        <f t="shared" si="19"/>
        <v>0</v>
      </c>
      <c r="N49" s="93">
        <f t="shared" si="19"/>
        <v>0</v>
      </c>
      <c r="O49" s="93">
        <f t="shared" si="19"/>
        <v>0</v>
      </c>
      <c r="P49" s="93">
        <f t="shared" si="19"/>
        <v>0</v>
      </c>
      <c r="Q49" s="146"/>
    </row>
    <row r="50" spans="2:17" ht="12">
      <c r="B50" s="10" t="s">
        <v>176</v>
      </c>
      <c r="C50" s="138"/>
      <c r="D50" s="144">
        <v>0</v>
      </c>
      <c r="E50" s="28">
        <f>SUM(E48:E49)</f>
        <v>0</v>
      </c>
      <c r="F50" s="28">
        <f aca="true" t="shared" si="20" ref="F50:P50">SUM(F48:F49)</f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0</v>
      </c>
      <c r="L50" s="28">
        <f t="shared" si="20"/>
        <v>0</v>
      </c>
      <c r="M50" s="28">
        <f t="shared" si="20"/>
        <v>0</v>
      </c>
      <c r="N50" s="28">
        <f t="shared" si="20"/>
        <v>0</v>
      </c>
      <c r="O50" s="28">
        <f t="shared" si="20"/>
        <v>0</v>
      </c>
      <c r="P50" s="28">
        <f t="shared" si="20"/>
        <v>0</v>
      </c>
      <c r="Q50" s="146">
        <f>SUM(D50:P50)</f>
        <v>0</v>
      </c>
    </row>
    <row r="52" spans="2:17" ht="12">
      <c r="B52" s="10" t="s">
        <v>145</v>
      </c>
      <c r="C52" s="138">
        <f>1.94%/12</f>
        <v>0.0016166666666666666</v>
      </c>
      <c r="D52" s="14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46"/>
    </row>
    <row r="53" spans="2:17" ht="12">
      <c r="B53" s="10" t="s">
        <v>174</v>
      </c>
      <c r="C53" s="138"/>
      <c r="D53" s="144">
        <v>0</v>
      </c>
      <c r="E53" s="28">
        <f>+'9.0 Base Rates Plant in Svc'!D18</f>
        <v>0</v>
      </c>
      <c r="F53" s="28">
        <f>+'9.0 Base Rates Plant in Svc'!E18</f>
        <v>0</v>
      </c>
      <c r="G53" s="28">
        <f>+'9.0 Base Rates Plant in Svc'!F18</f>
        <v>0</v>
      </c>
      <c r="H53" s="28">
        <f>+'9.0 Base Rates Plant in Svc'!G18</f>
        <v>0</v>
      </c>
      <c r="I53" s="28">
        <f>+'9.0 Base Rates Plant in Svc'!H18</f>
        <v>0</v>
      </c>
      <c r="J53" s="28">
        <f>+'9.0 Base Rates Plant in Svc'!I18</f>
        <v>0</v>
      </c>
      <c r="K53" s="28">
        <f>+'9.0 Base Rates Plant in Svc'!J18</f>
        <v>0</v>
      </c>
      <c r="L53" s="28">
        <f>+'9.0 Base Rates Plant in Svc'!K18</f>
        <v>0</v>
      </c>
      <c r="M53" s="28">
        <f>+'9.0 Base Rates Plant in Svc'!L18</f>
        <v>0</v>
      </c>
      <c r="N53" s="28">
        <f>+'9.0 Base Rates Plant in Svc'!M18</f>
        <v>0</v>
      </c>
      <c r="O53" s="28">
        <f>+'9.0 Base Rates Plant in Svc'!N18</f>
        <v>0</v>
      </c>
      <c r="P53" s="28">
        <f>+'9.0 Base Rates Plant in Svc'!O18</f>
        <v>0</v>
      </c>
      <c r="Q53" s="146">
        <f>SUM(D53:P53)</f>
        <v>0</v>
      </c>
    </row>
    <row r="54" spans="2:17" ht="12">
      <c r="B54" s="10" t="s">
        <v>175</v>
      </c>
      <c r="C54" s="138"/>
      <c r="D54" s="144">
        <v>0</v>
      </c>
      <c r="E54" s="93">
        <f>+'9.0 Base Rates Plant in Svc'!D27</f>
        <v>0</v>
      </c>
      <c r="F54" s="93">
        <f>+'9.0 Base Rates Plant in Svc'!E27</f>
        <v>0</v>
      </c>
      <c r="G54" s="93">
        <f>+'9.0 Base Rates Plant in Svc'!F27</f>
        <v>0</v>
      </c>
      <c r="H54" s="93">
        <f>+'9.0 Base Rates Plant in Svc'!G27</f>
        <v>0</v>
      </c>
      <c r="I54" s="93">
        <f>+'9.0 Base Rates Plant in Svc'!H27</f>
        <v>0</v>
      </c>
      <c r="J54" s="93">
        <f>+'9.0 Base Rates Plant in Svc'!I27</f>
        <v>0</v>
      </c>
      <c r="K54" s="93">
        <f>+'9.0 Base Rates Plant in Svc'!J27</f>
        <v>0</v>
      </c>
      <c r="L54" s="93">
        <f>+'9.0 Base Rates Plant in Svc'!K27</f>
        <v>0</v>
      </c>
      <c r="M54" s="93">
        <f>+'9.0 Base Rates Plant in Svc'!L27</f>
        <v>0</v>
      </c>
      <c r="N54" s="93">
        <f>+'9.0 Base Rates Plant in Svc'!M27</f>
        <v>0</v>
      </c>
      <c r="O54" s="93">
        <f>+'9.0 Base Rates Plant in Svc'!N27</f>
        <v>0</v>
      </c>
      <c r="P54" s="93">
        <f>+'9.0 Base Rates Plant in Svc'!O27</f>
        <v>0</v>
      </c>
      <c r="Q54" s="146"/>
    </row>
    <row r="55" spans="2:17" ht="12">
      <c r="B55" s="10" t="s">
        <v>265</v>
      </c>
      <c r="C55" s="138"/>
      <c r="D55" s="144">
        <f>SUM(D53:D54)</f>
        <v>0</v>
      </c>
      <c r="E55" s="28">
        <f>SUM(E53:E54)</f>
        <v>0</v>
      </c>
      <c r="F55" s="28">
        <f aca="true" t="shared" si="21" ref="F55:P55">SUM(F53:F54)</f>
        <v>0</v>
      </c>
      <c r="G55" s="28">
        <f t="shared" si="21"/>
        <v>0</v>
      </c>
      <c r="H55" s="28">
        <f t="shared" si="21"/>
        <v>0</v>
      </c>
      <c r="I55" s="28">
        <f t="shared" si="21"/>
        <v>0</v>
      </c>
      <c r="J55" s="28">
        <f t="shared" si="21"/>
        <v>0</v>
      </c>
      <c r="K55" s="28">
        <f t="shared" si="21"/>
        <v>0</v>
      </c>
      <c r="L55" s="28">
        <f t="shared" si="21"/>
        <v>0</v>
      </c>
      <c r="M55" s="28">
        <f t="shared" si="21"/>
        <v>0</v>
      </c>
      <c r="N55" s="28">
        <f t="shared" si="21"/>
        <v>0</v>
      </c>
      <c r="O55" s="28">
        <f t="shared" si="21"/>
        <v>0</v>
      </c>
      <c r="P55" s="28">
        <f t="shared" si="21"/>
        <v>0</v>
      </c>
      <c r="Q55" s="146">
        <f>SUM(D55:P55)</f>
        <v>0</v>
      </c>
    </row>
    <row r="56" spans="2:17" ht="12">
      <c r="B56" s="10" t="s">
        <v>171</v>
      </c>
      <c r="C56" s="138"/>
      <c r="D56" s="144">
        <v>0</v>
      </c>
      <c r="E56" s="28">
        <f>+E55+D56</f>
        <v>0</v>
      </c>
      <c r="F56" s="28">
        <f aca="true" t="shared" si="22" ref="F56:P56">+F55+E56</f>
        <v>0</v>
      </c>
      <c r="G56" s="28">
        <f t="shared" si="22"/>
        <v>0</v>
      </c>
      <c r="H56" s="28">
        <f t="shared" si="22"/>
        <v>0</v>
      </c>
      <c r="I56" s="28">
        <f t="shared" si="22"/>
        <v>0</v>
      </c>
      <c r="J56" s="28">
        <f t="shared" si="22"/>
        <v>0</v>
      </c>
      <c r="K56" s="28">
        <f t="shared" si="22"/>
        <v>0</v>
      </c>
      <c r="L56" s="28">
        <f t="shared" si="22"/>
        <v>0</v>
      </c>
      <c r="M56" s="28">
        <f t="shared" si="22"/>
        <v>0</v>
      </c>
      <c r="N56" s="28">
        <f t="shared" si="22"/>
        <v>0</v>
      </c>
      <c r="O56" s="28">
        <f t="shared" si="22"/>
        <v>0</v>
      </c>
      <c r="P56" s="28">
        <f t="shared" si="22"/>
        <v>0</v>
      </c>
      <c r="Q56" s="146"/>
    </row>
    <row r="57" spans="2:17" ht="12">
      <c r="B57" s="10"/>
      <c r="C57" s="138"/>
      <c r="D57" s="14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46"/>
    </row>
    <row r="58" spans="2:17" ht="12">
      <c r="B58" s="10" t="s">
        <v>172</v>
      </c>
      <c r="C58" s="138"/>
      <c r="D58" s="144"/>
      <c r="E58" s="28">
        <f>ROUND($C52*D56,0)</f>
        <v>0</v>
      </c>
      <c r="F58" s="28">
        <f aca="true" t="shared" si="23" ref="F58:P58">ROUND($C52*E56,0)</f>
        <v>0</v>
      </c>
      <c r="G58" s="28">
        <f t="shared" si="23"/>
        <v>0</v>
      </c>
      <c r="H58" s="28">
        <f t="shared" si="23"/>
        <v>0</v>
      </c>
      <c r="I58" s="28">
        <f t="shared" si="23"/>
        <v>0</v>
      </c>
      <c r="J58" s="28">
        <f t="shared" si="23"/>
        <v>0</v>
      </c>
      <c r="K58" s="28">
        <f t="shared" si="23"/>
        <v>0</v>
      </c>
      <c r="L58" s="28">
        <f t="shared" si="23"/>
        <v>0</v>
      </c>
      <c r="M58" s="28">
        <f t="shared" si="23"/>
        <v>0</v>
      </c>
      <c r="N58" s="28">
        <f t="shared" si="23"/>
        <v>0</v>
      </c>
      <c r="O58" s="28">
        <f t="shared" si="23"/>
        <v>0</v>
      </c>
      <c r="P58" s="28">
        <f t="shared" si="23"/>
        <v>0</v>
      </c>
      <c r="Q58" s="146"/>
    </row>
    <row r="59" spans="2:17" ht="12">
      <c r="B59" s="10" t="s">
        <v>173</v>
      </c>
      <c r="C59" s="138"/>
      <c r="D59" s="144"/>
      <c r="E59" s="93">
        <f>ROUND($C52*E55*0.5,3)</f>
        <v>0</v>
      </c>
      <c r="F59" s="93">
        <f aca="true" t="shared" si="24" ref="F59:P59">ROUND($C52*F55*0.5,3)</f>
        <v>0</v>
      </c>
      <c r="G59" s="93">
        <f t="shared" si="24"/>
        <v>0</v>
      </c>
      <c r="H59" s="93">
        <f t="shared" si="24"/>
        <v>0</v>
      </c>
      <c r="I59" s="93">
        <f t="shared" si="24"/>
        <v>0</v>
      </c>
      <c r="J59" s="93">
        <f t="shared" si="24"/>
        <v>0</v>
      </c>
      <c r="K59" s="93">
        <f t="shared" si="24"/>
        <v>0</v>
      </c>
      <c r="L59" s="93">
        <f t="shared" si="24"/>
        <v>0</v>
      </c>
      <c r="M59" s="93">
        <f t="shared" si="24"/>
        <v>0</v>
      </c>
      <c r="N59" s="93">
        <f t="shared" si="24"/>
        <v>0</v>
      </c>
      <c r="O59" s="93">
        <f t="shared" si="24"/>
        <v>0</v>
      </c>
      <c r="P59" s="93">
        <f t="shared" si="24"/>
        <v>0</v>
      </c>
      <c r="Q59" s="146"/>
    </row>
    <row r="60" spans="2:17" ht="12">
      <c r="B60" s="10" t="s">
        <v>176</v>
      </c>
      <c r="C60" s="138"/>
      <c r="D60" s="144">
        <v>0</v>
      </c>
      <c r="E60" s="28">
        <f>SUM(E58:E59)</f>
        <v>0</v>
      </c>
      <c r="F60" s="28">
        <f aca="true" t="shared" si="25" ref="F60:P60">SUM(F58:F59)</f>
        <v>0</v>
      </c>
      <c r="G60" s="28">
        <f t="shared" si="25"/>
        <v>0</v>
      </c>
      <c r="H60" s="28">
        <f t="shared" si="25"/>
        <v>0</v>
      </c>
      <c r="I60" s="28">
        <f t="shared" si="25"/>
        <v>0</v>
      </c>
      <c r="J60" s="28">
        <f t="shared" si="25"/>
        <v>0</v>
      </c>
      <c r="K60" s="28">
        <f t="shared" si="25"/>
        <v>0</v>
      </c>
      <c r="L60" s="28">
        <f t="shared" si="25"/>
        <v>0</v>
      </c>
      <c r="M60" s="28">
        <f t="shared" si="25"/>
        <v>0</v>
      </c>
      <c r="N60" s="28">
        <f t="shared" si="25"/>
        <v>0</v>
      </c>
      <c r="O60" s="28">
        <f t="shared" si="25"/>
        <v>0</v>
      </c>
      <c r="P60" s="28">
        <f t="shared" si="25"/>
        <v>0</v>
      </c>
      <c r="Q60" s="146">
        <f>SUM(D60:P60)</f>
        <v>0</v>
      </c>
    </row>
    <row r="62" spans="2:17" ht="12">
      <c r="B62" s="10" t="s">
        <v>177</v>
      </c>
      <c r="E62" s="144">
        <f>+E20+E30+E40+E50+E60</f>
        <v>0</v>
      </c>
      <c r="F62" s="144">
        <f aca="true" t="shared" si="26" ref="F62:P62">+F20+F30+F40+F50+F60</f>
        <v>0</v>
      </c>
      <c r="G62" s="144">
        <f t="shared" si="26"/>
        <v>0</v>
      </c>
      <c r="H62" s="144">
        <f t="shared" si="26"/>
        <v>0</v>
      </c>
      <c r="I62" s="144">
        <f t="shared" si="26"/>
        <v>0</v>
      </c>
      <c r="J62" s="144">
        <f t="shared" si="26"/>
        <v>0</v>
      </c>
      <c r="K62" s="144">
        <f t="shared" si="26"/>
        <v>0</v>
      </c>
      <c r="L62" s="144">
        <f t="shared" si="26"/>
        <v>0</v>
      </c>
      <c r="M62" s="144">
        <f t="shared" si="26"/>
        <v>0</v>
      </c>
      <c r="N62" s="144">
        <f t="shared" si="26"/>
        <v>0</v>
      </c>
      <c r="O62" s="144">
        <f t="shared" si="26"/>
        <v>0</v>
      </c>
      <c r="P62" s="144">
        <f t="shared" si="26"/>
        <v>0</v>
      </c>
      <c r="Q62" s="146">
        <f>SUM(E62:P62)</f>
        <v>0</v>
      </c>
    </row>
    <row r="63" spans="2:16" ht="12">
      <c r="B63" s="10" t="s">
        <v>178</v>
      </c>
      <c r="D63" s="141">
        <v>0</v>
      </c>
      <c r="E63" s="146">
        <f>+E62+D63</f>
        <v>0</v>
      </c>
      <c r="F63" s="146">
        <f aca="true" t="shared" si="27" ref="F63:P63">+F62+E63</f>
        <v>0</v>
      </c>
      <c r="G63" s="146">
        <f t="shared" si="27"/>
        <v>0</v>
      </c>
      <c r="H63" s="146">
        <f t="shared" si="27"/>
        <v>0</v>
      </c>
      <c r="I63" s="146">
        <f t="shared" si="27"/>
        <v>0</v>
      </c>
      <c r="J63" s="146">
        <f t="shared" si="27"/>
        <v>0</v>
      </c>
      <c r="K63" s="146">
        <f t="shared" si="27"/>
        <v>0</v>
      </c>
      <c r="L63" s="146">
        <f t="shared" si="27"/>
        <v>0</v>
      </c>
      <c r="M63" s="146">
        <f t="shared" si="27"/>
        <v>0</v>
      </c>
      <c r="N63" s="146">
        <f t="shared" si="27"/>
        <v>0</v>
      </c>
      <c r="O63" s="146">
        <f t="shared" si="27"/>
        <v>0</v>
      </c>
      <c r="P63" s="146">
        <f t="shared" si="27"/>
        <v>0</v>
      </c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21.140625" style="0" bestFit="1" customWidth="1"/>
    <col min="2" max="2" width="10.8515625" style="0" bestFit="1" customWidth="1"/>
    <col min="3" max="3" width="11.8515625" style="0" bestFit="1" customWidth="1"/>
    <col min="4" max="4" width="10.8515625" style="0" bestFit="1" customWidth="1"/>
    <col min="5" max="6" width="11.140625" style="0" bestFit="1" customWidth="1"/>
    <col min="7" max="13" width="11.8515625" style="0" bestFit="1" customWidth="1"/>
    <col min="14" max="14" width="11.8515625" style="0" customWidth="1"/>
    <col min="15" max="15" width="13.421875" style="0" bestFit="1" customWidth="1"/>
    <col min="16" max="16" width="12.140625" style="0" bestFit="1" customWidth="1"/>
    <col min="17" max="17" width="14.28125" style="0" customWidth="1"/>
  </cols>
  <sheetData>
    <row r="1" ht="12.75">
      <c r="Q1" s="120" t="str">
        <f>+'9.2 Base Rates Depr Exp'!Q1</f>
        <v> PSC Set 1 No. 1 2022-00342</v>
      </c>
    </row>
    <row r="2" ht="12.75">
      <c r="Q2" s="120" t="str">
        <f>+'9.2 Base Rates Depr Exp'!Q2</f>
        <v>Attachment JTG-1</v>
      </c>
    </row>
    <row r="3" ht="12.75">
      <c r="Q3" s="121" t="s">
        <v>256</v>
      </c>
    </row>
    <row r="4" spans="1:17" ht="12.75">
      <c r="A4" s="165" t="s">
        <v>12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2.75">
      <c r="A5" s="165" t="s">
        <v>257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2.75">
      <c r="A6" s="165" t="s">
        <v>115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9" spans="2:17" ht="12">
      <c r="B9" s="110">
        <v>2021</v>
      </c>
      <c r="C9" s="110">
        <f>+B9+1</f>
        <v>2022</v>
      </c>
      <c r="D9" s="110">
        <f>+C9</f>
        <v>2022</v>
      </c>
      <c r="E9" s="110">
        <f aca="true" t="shared" si="0" ref="E9:M9">+D9</f>
        <v>2022</v>
      </c>
      <c r="F9" s="110">
        <f t="shared" si="0"/>
        <v>2022</v>
      </c>
      <c r="G9" s="110">
        <f t="shared" si="0"/>
        <v>2022</v>
      </c>
      <c r="H9" s="110">
        <f t="shared" si="0"/>
        <v>2022</v>
      </c>
      <c r="I9" s="110">
        <f t="shared" si="0"/>
        <v>2022</v>
      </c>
      <c r="J9" s="110">
        <f t="shared" si="0"/>
        <v>2022</v>
      </c>
      <c r="K9" s="110">
        <f t="shared" si="0"/>
        <v>2022</v>
      </c>
      <c r="L9" s="110">
        <f t="shared" si="0"/>
        <v>2022</v>
      </c>
      <c r="M9" s="110">
        <f t="shared" si="0"/>
        <v>2022</v>
      </c>
      <c r="N9" s="110">
        <f>+M9</f>
        <v>2022</v>
      </c>
      <c r="O9" s="110">
        <v>2022</v>
      </c>
      <c r="P9" s="110">
        <v>2022</v>
      </c>
      <c r="Q9" s="110">
        <f>+P9</f>
        <v>2022</v>
      </c>
    </row>
    <row r="10" spans="2:17" ht="12">
      <c r="B10" s="111" t="s">
        <v>148</v>
      </c>
      <c r="C10" s="111" t="s">
        <v>149</v>
      </c>
      <c r="D10" s="111" t="s">
        <v>150</v>
      </c>
      <c r="E10" s="111" t="s">
        <v>151</v>
      </c>
      <c r="F10" s="111" t="s">
        <v>152</v>
      </c>
      <c r="G10" s="111" t="s">
        <v>81</v>
      </c>
      <c r="H10" s="111" t="s">
        <v>153</v>
      </c>
      <c r="I10" s="111" t="s">
        <v>154</v>
      </c>
      <c r="J10" s="111" t="s">
        <v>155</v>
      </c>
      <c r="K10" s="111" t="s">
        <v>156</v>
      </c>
      <c r="L10" s="111" t="s">
        <v>157</v>
      </c>
      <c r="M10" s="111" t="s">
        <v>158</v>
      </c>
      <c r="N10" s="111" t="s">
        <v>148</v>
      </c>
      <c r="O10" s="111" t="s">
        <v>187</v>
      </c>
      <c r="P10" s="111" t="s">
        <v>245</v>
      </c>
      <c r="Q10" s="111" t="s">
        <v>188</v>
      </c>
    </row>
    <row r="11" spans="2:17" ht="12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2:17" ht="12">
      <c r="B12" s="135" t="s">
        <v>280</v>
      </c>
      <c r="C12" s="135" t="s">
        <v>295</v>
      </c>
      <c r="D12" s="135" t="s">
        <v>296</v>
      </c>
      <c r="E12" s="135" t="s">
        <v>283</v>
      </c>
      <c r="F12" s="135" t="s">
        <v>284</v>
      </c>
      <c r="G12" s="135" t="s">
        <v>285</v>
      </c>
      <c r="H12" s="135" t="s">
        <v>286</v>
      </c>
      <c r="I12" s="135" t="s">
        <v>287</v>
      </c>
      <c r="J12" s="135" t="s">
        <v>288</v>
      </c>
      <c r="K12" s="135" t="s">
        <v>289</v>
      </c>
      <c r="L12" s="135" t="s">
        <v>290</v>
      </c>
      <c r="M12" s="135" t="s">
        <v>297</v>
      </c>
      <c r="N12" s="135" t="s">
        <v>292</v>
      </c>
      <c r="O12" s="135" t="s">
        <v>293</v>
      </c>
      <c r="P12" s="135" t="s">
        <v>299</v>
      </c>
      <c r="Q12" s="110" t="s">
        <v>301</v>
      </c>
    </row>
    <row r="13" spans="2:16" ht="12">
      <c r="B13" s="11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2" t="s">
        <v>298</v>
      </c>
      <c r="P13" s="134" t="s">
        <v>300</v>
      </c>
    </row>
    <row r="14" spans="2:17" ht="1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6" spans="1:16" ht="12">
      <c r="A16" s="11" t="s">
        <v>249</v>
      </c>
      <c r="B16" s="109">
        <v>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>
        <f>+'9.4 Base Rates ADIT Calc.1 '!AK20*-1</f>
        <v>0</v>
      </c>
      <c r="O16" s="109">
        <f>+N16-B16</f>
        <v>0</v>
      </c>
      <c r="P16" s="109">
        <f>ROUND(O16/12,0)</f>
        <v>0</v>
      </c>
    </row>
    <row r="17" spans="2:16" ht="12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7" ht="12">
      <c r="A18" s="11" t="s">
        <v>243</v>
      </c>
      <c r="B18" s="109">
        <f>+B16</f>
        <v>0</v>
      </c>
      <c r="C18" s="109">
        <f aca="true" t="shared" si="1" ref="C18:M18">+B18+$P$16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  <c r="H18" s="109">
        <f t="shared" si="1"/>
        <v>0</v>
      </c>
      <c r="I18" s="109">
        <f t="shared" si="1"/>
        <v>0</v>
      </c>
      <c r="J18" s="109">
        <f t="shared" si="1"/>
        <v>0</v>
      </c>
      <c r="K18" s="109">
        <f t="shared" si="1"/>
        <v>0</v>
      </c>
      <c r="L18" s="109">
        <f t="shared" si="1"/>
        <v>0</v>
      </c>
      <c r="M18" s="109">
        <f t="shared" si="1"/>
        <v>0</v>
      </c>
      <c r="N18" s="109">
        <f>+N16</f>
        <v>0</v>
      </c>
      <c r="O18" s="109"/>
      <c r="P18" s="109"/>
      <c r="Q18" s="112">
        <f>AVERAGE(B18:N18)</f>
        <v>0</v>
      </c>
    </row>
    <row r="19" spans="2:16" ht="12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2:16" ht="12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2:16" ht="12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3" spans="2:17" ht="1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5" spans="1:16" ht="12">
      <c r="A25" s="11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2:16" ht="1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2:17" ht="1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2"/>
    </row>
    <row r="28" spans="2:16" ht="1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31" spans="2:17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1:16" ht="12">
      <c r="A33" s="11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2:16" ht="1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2:17" ht="1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2"/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6" zoomScalePageLayoutView="0" workbookViewId="0" topLeftCell="A1">
      <selection activeCell="H1" sqref="H1"/>
    </sheetView>
  </sheetViews>
  <sheetFormatPr defaultColWidth="8.8515625" defaultRowHeight="12.75"/>
  <cols>
    <col min="1" max="1" width="4.57421875" style="10" customWidth="1"/>
    <col min="2" max="2" width="49.140625" style="10" customWidth="1"/>
    <col min="3" max="3" width="10.57421875" style="10" bestFit="1" customWidth="1"/>
    <col min="4" max="4" width="12.7109375" style="10" customWidth="1"/>
    <col min="5" max="5" width="14.8515625" style="10" bestFit="1" customWidth="1"/>
    <col min="6" max="6" width="10.421875" style="10" bestFit="1" customWidth="1"/>
    <col min="7" max="8" width="14.421875" style="10" bestFit="1" customWidth="1"/>
    <col min="9" max="9" width="8.8515625" style="10" customWidth="1"/>
    <col min="10" max="10" width="15.8515625" style="28" bestFit="1" customWidth="1"/>
    <col min="11" max="11" width="10.00390625" style="138" bestFit="1" customWidth="1"/>
    <col min="12" max="16384" width="8.8515625" style="10" customWidth="1"/>
  </cols>
  <sheetData>
    <row r="1" ht="12.75">
      <c r="H1" s="43" t="str">
        <f>+'Table of Contents'!F1</f>
        <v> PSC Set 1 No. 1 2022-00342</v>
      </c>
    </row>
    <row r="2" ht="12.75">
      <c r="H2" s="43" t="str">
        <f>+'Table of Contents'!F2</f>
        <v>Attachment JTG-1</v>
      </c>
    </row>
    <row r="3" ht="12.75">
      <c r="H3" s="43" t="s">
        <v>111</v>
      </c>
    </row>
    <row r="4" ht="12.75">
      <c r="H4" s="43"/>
    </row>
    <row r="5" spans="1:8" ht="12.75">
      <c r="A5" s="166" t="s">
        <v>12</v>
      </c>
      <c r="B5" s="166"/>
      <c r="C5" s="166"/>
      <c r="D5" s="166"/>
      <c r="E5" s="166"/>
      <c r="F5" s="166"/>
      <c r="G5" s="166"/>
      <c r="H5" s="166"/>
    </row>
    <row r="6" spans="1:8" ht="12.75">
      <c r="A6" s="166" t="s">
        <v>112</v>
      </c>
      <c r="B6" s="166"/>
      <c r="C6" s="166"/>
      <c r="D6" s="166"/>
      <c r="E6" s="166"/>
      <c r="F6" s="166"/>
      <c r="G6" s="166"/>
      <c r="H6" s="166"/>
    </row>
    <row r="7" spans="1:8" ht="12.75">
      <c r="A7" s="166" t="s">
        <v>109</v>
      </c>
      <c r="B7" s="166"/>
      <c r="C7" s="166"/>
      <c r="D7" s="166"/>
      <c r="E7" s="166"/>
      <c r="F7" s="166"/>
      <c r="G7" s="166"/>
      <c r="H7" s="166"/>
    </row>
    <row r="8" spans="1:6" ht="12.75">
      <c r="A8" s="35"/>
      <c r="B8" s="35"/>
      <c r="C8" s="35"/>
      <c r="D8" s="35"/>
      <c r="E8" s="35"/>
      <c r="F8" s="35"/>
    </row>
    <row r="9" spans="4:8" ht="12.75">
      <c r="D9" s="35"/>
      <c r="E9" s="35" t="s">
        <v>57</v>
      </c>
      <c r="F9" s="35" t="s">
        <v>308</v>
      </c>
      <c r="G9" s="35" t="s">
        <v>103</v>
      </c>
      <c r="H9" s="35" t="s">
        <v>9</v>
      </c>
    </row>
    <row r="10" spans="1:8" ht="12.75">
      <c r="A10" s="35" t="s">
        <v>49</v>
      </c>
      <c r="C10" s="35" t="s">
        <v>54</v>
      </c>
      <c r="D10" s="35" t="s">
        <v>55</v>
      </c>
      <c r="E10" s="35" t="s">
        <v>58</v>
      </c>
      <c r="F10" s="35" t="s">
        <v>108</v>
      </c>
      <c r="G10" s="35" t="s">
        <v>94</v>
      </c>
      <c r="H10" s="35" t="s">
        <v>308</v>
      </c>
    </row>
    <row r="11" spans="1:8" ht="17.25">
      <c r="A11" s="34" t="s">
        <v>50</v>
      </c>
      <c r="B11" s="34" t="s">
        <v>53</v>
      </c>
      <c r="C11" s="19" t="s">
        <v>104</v>
      </c>
      <c r="D11" s="19" t="s">
        <v>56</v>
      </c>
      <c r="E11" s="19" t="s">
        <v>219</v>
      </c>
      <c r="F11" s="34" t="s">
        <v>59</v>
      </c>
      <c r="G11" s="34" t="s">
        <v>277</v>
      </c>
      <c r="H11" s="19" t="s">
        <v>110</v>
      </c>
    </row>
    <row r="12" spans="1:8" ht="12.75">
      <c r="A12" s="35"/>
      <c r="B12" s="36" t="s">
        <v>280</v>
      </c>
      <c r="C12" s="36" t="s">
        <v>281</v>
      </c>
      <c r="D12" s="36" t="s">
        <v>282</v>
      </c>
      <c r="E12" s="36" t="s">
        <v>283</v>
      </c>
      <c r="F12" s="36" t="s">
        <v>284</v>
      </c>
      <c r="G12" s="36" t="s">
        <v>285</v>
      </c>
      <c r="H12" s="36" t="s">
        <v>286</v>
      </c>
    </row>
    <row r="14" spans="1:8" ht="12">
      <c r="A14" s="37">
        <v>1</v>
      </c>
      <c r="B14" s="31" t="s">
        <v>63</v>
      </c>
      <c r="C14" s="20">
        <v>0.6441861319802371</v>
      </c>
      <c r="D14" s="44">
        <f>ROUND(C14*$D$22,0)</f>
        <v>1013498</v>
      </c>
      <c r="E14" s="139">
        <f>+'1.1 Projected Volumes'!C18</f>
        <v>8279217.4</v>
      </c>
      <c r="F14" s="161">
        <f>ROUND(D14/E14,4)</f>
        <v>0.1224</v>
      </c>
      <c r="G14" s="119">
        <v>0</v>
      </c>
      <c r="H14" s="161">
        <f>F14+G14</f>
        <v>0.1224</v>
      </c>
    </row>
    <row r="15" spans="1:8" ht="12">
      <c r="A15" s="37"/>
      <c r="B15" s="37"/>
      <c r="C15" s="20"/>
      <c r="D15" s="44"/>
      <c r="E15" s="139"/>
      <c r="F15" s="161"/>
      <c r="G15" s="119"/>
      <c r="H15" s="161"/>
    </row>
    <row r="16" spans="1:8" ht="12">
      <c r="A16" s="37">
        <f>A14+1</f>
        <v>2</v>
      </c>
      <c r="B16" s="31" t="s">
        <v>64</v>
      </c>
      <c r="C16" s="20">
        <v>0.2785917870705459</v>
      </c>
      <c r="D16" s="44">
        <f>ROUND(C16*$D$22,0)</f>
        <v>438308</v>
      </c>
      <c r="E16" s="139">
        <f>+'1.1 Projected Volumes'!C19</f>
        <v>5989222.2</v>
      </c>
      <c r="F16" s="161">
        <f>ROUND(D16/E16,4)</f>
        <v>0.0732</v>
      </c>
      <c r="G16" s="119">
        <v>0</v>
      </c>
      <c r="H16" s="161">
        <f>F16+G16</f>
        <v>0.0732</v>
      </c>
    </row>
    <row r="17" spans="1:8" ht="12">
      <c r="A17" s="37"/>
      <c r="B17" s="37"/>
      <c r="C17" s="20"/>
      <c r="D17" s="44"/>
      <c r="E17" s="139"/>
      <c r="F17" s="161"/>
      <c r="G17" s="119"/>
      <c r="H17" s="161"/>
    </row>
    <row r="18" spans="1:8" ht="12">
      <c r="A18" s="37">
        <f>A16+1</f>
        <v>3</v>
      </c>
      <c r="B18" s="31" t="s">
        <v>65</v>
      </c>
      <c r="C18" s="20">
        <v>0.00031962937661102073</v>
      </c>
      <c r="D18" s="44">
        <f>ROUND(C18*$D$22,0)</f>
        <v>503</v>
      </c>
      <c r="E18" s="139">
        <f>'1.1 Projected Volumes'!C20</f>
        <v>11251.2</v>
      </c>
      <c r="F18" s="161">
        <f>ROUND(D18/E18,4)</f>
        <v>0.0447</v>
      </c>
      <c r="G18" s="119">
        <v>0</v>
      </c>
      <c r="H18" s="161">
        <f>F18+G18</f>
        <v>0.0447</v>
      </c>
    </row>
    <row r="19" spans="1:8" ht="12">
      <c r="A19" s="37"/>
      <c r="B19" s="31"/>
      <c r="C19" s="46"/>
      <c r="D19" s="44"/>
      <c r="E19" s="139"/>
      <c r="F19" s="161"/>
      <c r="G19" s="119"/>
      <c r="H19" s="161"/>
    </row>
    <row r="20" spans="1:8" ht="18">
      <c r="A20" s="37">
        <f>A18+1</f>
        <v>4</v>
      </c>
      <c r="B20" s="31" t="s">
        <v>105</v>
      </c>
      <c r="C20" s="22">
        <v>0.07690245157260596</v>
      </c>
      <c r="D20" s="47">
        <f>ROUND(C20*$D$22,0)</f>
        <v>120991</v>
      </c>
      <c r="E20" s="162">
        <f>+'1.1 Projected Volumes'!C21</f>
        <v>8691352.8</v>
      </c>
      <c r="F20" s="161">
        <f>ROUND(D20/E20,4)</f>
        <v>0.0139</v>
      </c>
      <c r="G20" s="119">
        <v>0</v>
      </c>
      <c r="H20" s="161">
        <f>F20+G20</f>
        <v>0.0139</v>
      </c>
    </row>
    <row r="21" spans="1:8" ht="12">
      <c r="A21" s="37"/>
      <c r="B21" s="31"/>
      <c r="C21" s="46"/>
      <c r="D21" s="48"/>
      <c r="E21" s="163"/>
      <c r="G21" s="119"/>
      <c r="H21" s="119"/>
    </row>
    <row r="22" spans="1:8" ht="12.75" thickBot="1">
      <c r="A22" s="37">
        <f>A20+1</f>
        <v>5</v>
      </c>
      <c r="B22" s="31" t="s">
        <v>61</v>
      </c>
      <c r="C22" s="49">
        <f>SUM(C14:C21)</f>
        <v>1</v>
      </c>
      <c r="D22" s="50">
        <f>'2.0 Revenue Req.'!M33</f>
        <v>1573300</v>
      </c>
      <c r="E22" s="164">
        <f>SUM(E14:E21)</f>
        <v>22971043.6</v>
      </c>
      <c r="F22" s="51"/>
      <c r="G22" s="51"/>
      <c r="H22" s="45"/>
    </row>
    <row r="23" spans="1:2" ht="12.75" thickTop="1">
      <c r="A23" s="37"/>
      <c r="B23" s="37"/>
    </row>
    <row r="24" spans="1:4" ht="12">
      <c r="A24" s="37"/>
      <c r="B24" s="37"/>
      <c r="D24" s="52"/>
    </row>
    <row r="26" ht="12">
      <c r="A26" s="10" t="s">
        <v>71</v>
      </c>
    </row>
    <row r="27" ht="18">
      <c r="A27" s="53" t="s">
        <v>307</v>
      </c>
    </row>
    <row r="28" ht="18">
      <c r="A28" s="10" t="s">
        <v>309</v>
      </c>
    </row>
    <row r="29" ht="18">
      <c r="A29" s="10" t="s">
        <v>106</v>
      </c>
    </row>
    <row r="30" ht="18">
      <c r="A30" s="10" t="s">
        <v>278</v>
      </c>
    </row>
  </sheetData>
  <sheetProtection/>
  <mergeCells count="3">
    <mergeCell ref="A5:H5"/>
    <mergeCell ref="A6:H6"/>
    <mergeCell ref="A7:H7"/>
  </mergeCells>
  <printOptions/>
  <pageMargins left="0.5" right="0.5" top="1" bottom="0" header="0.5" footer="0.5"/>
  <pageSetup horizontalDpi="600" verticalDpi="600" orientation="landscape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74"/>
  <sheetViews>
    <sheetView zoomScale="90" zoomScaleNormal="90" zoomScaleSheetLayoutView="96" zoomScalePageLayoutView="0" workbookViewId="0" topLeftCell="A18">
      <selection activeCell="AK4" sqref="AK4"/>
    </sheetView>
  </sheetViews>
  <sheetFormatPr defaultColWidth="9.140625" defaultRowHeight="12.75"/>
  <cols>
    <col min="1" max="1" width="3.8515625" style="69" customWidth="1"/>
    <col min="2" max="2" width="13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1.8515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0" width="12.8515625" style="5" hidden="1" customWidth="1"/>
    <col min="31" max="31" width="9.57421875" style="5" hidden="1" customWidth="1"/>
    <col min="32" max="32" width="12.00390625" style="5" bestFit="1" customWidth="1"/>
    <col min="33" max="33" width="10.00390625" style="5" bestFit="1" customWidth="1"/>
    <col min="34" max="34" width="11.28125" style="5" bestFit="1" customWidth="1"/>
    <col min="35" max="35" width="11.00390625" style="5" bestFit="1" customWidth="1"/>
    <col min="36" max="37" width="11.7109375" style="5" bestFit="1" customWidth="1"/>
    <col min="38" max="16384" width="9.140625" style="5" customWidth="1"/>
  </cols>
  <sheetData>
    <row r="1" spans="2:37" ht="11.25">
      <c r="B1" s="70"/>
      <c r="S1" s="15"/>
      <c r="AK1" s="15" t="str">
        <f>+'9.3 Base Rates ADIT Normalized'!Q1</f>
        <v> PSC Set 1 No. 1 2022-00342</v>
      </c>
    </row>
    <row r="2" spans="2:37" ht="11.25">
      <c r="B2" s="70"/>
      <c r="S2" s="15"/>
      <c r="AK2" s="15" t="str">
        <f>+'9.3 Base Rates ADIT Normalized'!Q2</f>
        <v>Attachment JTG-1</v>
      </c>
    </row>
    <row r="3" spans="2:37" ht="12.75">
      <c r="B3" s="70"/>
      <c r="S3" s="15"/>
      <c r="AK3" s="120" t="s">
        <v>259</v>
      </c>
    </row>
    <row r="4" spans="8:37" ht="11.25">
      <c r="H4" s="15"/>
      <c r="R4" s="38"/>
      <c r="S4" s="38"/>
      <c r="AK4" s="15" t="s">
        <v>263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260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1.25">
      <c r="A7" s="167" t="s">
        <v>115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spans="1:37" ht="11.25">
      <c r="A8" s="167" t="s">
        <v>273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</row>
    <row r="9" spans="2:37" ht="12.75" customHeight="1">
      <c r="B9" s="7"/>
      <c r="AJ9" s="18"/>
      <c r="AK9" s="18"/>
    </row>
    <row r="10" spans="9:37" ht="11.25">
      <c r="I10" s="18"/>
      <c r="J10" s="18">
        <v>2022</v>
      </c>
      <c r="K10" s="18">
        <f aca="true" t="shared" si="0" ref="K10:AE10">+J10+1</f>
        <v>2023</v>
      </c>
      <c r="L10" s="18">
        <f t="shared" si="0"/>
        <v>2024</v>
      </c>
      <c r="M10" s="18">
        <f t="shared" si="0"/>
        <v>2025</v>
      </c>
      <c r="N10" s="18">
        <f t="shared" si="0"/>
        <v>2026</v>
      </c>
      <c r="O10" s="18">
        <f t="shared" si="0"/>
        <v>2027</v>
      </c>
      <c r="P10" s="18">
        <f t="shared" si="0"/>
        <v>2028</v>
      </c>
      <c r="Q10" s="18">
        <f t="shared" si="0"/>
        <v>2029</v>
      </c>
      <c r="R10" s="18">
        <f>+Q10+1</f>
        <v>2030</v>
      </c>
      <c r="S10" s="18">
        <f t="shared" si="0"/>
        <v>2031</v>
      </c>
      <c r="T10" s="18">
        <f t="shared" si="0"/>
        <v>2032</v>
      </c>
      <c r="U10" s="18">
        <f t="shared" si="0"/>
        <v>2033</v>
      </c>
      <c r="V10" s="18">
        <f t="shared" si="0"/>
        <v>2034</v>
      </c>
      <c r="W10" s="18">
        <f t="shared" si="0"/>
        <v>2035</v>
      </c>
      <c r="X10" s="18">
        <f t="shared" si="0"/>
        <v>2036</v>
      </c>
      <c r="Y10" s="18">
        <f t="shared" si="0"/>
        <v>2037</v>
      </c>
      <c r="Z10" s="18">
        <f t="shared" si="0"/>
        <v>2038</v>
      </c>
      <c r="AA10" s="18">
        <f t="shared" si="0"/>
        <v>2039</v>
      </c>
      <c r="AB10" s="18">
        <f t="shared" si="0"/>
        <v>2040</v>
      </c>
      <c r="AC10" s="18">
        <f t="shared" si="0"/>
        <v>2041</v>
      </c>
      <c r="AD10" s="18">
        <f t="shared" si="0"/>
        <v>2042</v>
      </c>
      <c r="AE10" s="18">
        <f t="shared" si="0"/>
        <v>2043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v>2022</v>
      </c>
      <c r="E11" s="18">
        <f>+D11+1</f>
        <v>2023</v>
      </c>
      <c r="F11" s="18">
        <f>+E11+1</f>
        <v>2024</v>
      </c>
      <c r="G11" s="18">
        <f>+F11+1</f>
        <v>2025</v>
      </c>
      <c r="H11" s="18">
        <f>+G11+1</f>
        <v>2026</v>
      </c>
      <c r="I11" s="18">
        <f>+H11+1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100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78">
        <f>0.2495</f>
        <v>0.2495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75" t="s">
        <v>95</v>
      </c>
      <c r="C16" s="74"/>
      <c r="D16" s="6">
        <f>'9.4 Base Rates ADIT Calc p.2 '!D16+'9.4 Base Rates ADIT Calc p.3 '!D16</f>
        <v>0</v>
      </c>
      <c r="E16" s="6">
        <v>0</v>
      </c>
      <c r="F16" s="6">
        <v>0</v>
      </c>
      <c r="G16" s="6">
        <f>'9.4 Base Rates ADIT Calc p.2 '!G16+'9.4 Base Rates ADIT Calc p.3 '!G16</f>
        <v>0</v>
      </c>
      <c r="H16" s="6">
        <f>'9.4 Base Rates ADIT Calc p.2 '!H16+'9.4 Base Rates ADIT Calc p.3 '!H16</f>
        <v>0</v>
      </c>
      <c r="I16" s="6">
        <f>'9.4 Base Rates ADIT Calc p.2 '!I16+'9.4 Base Rates ADIT Calc p.3 '!I16</f>
        <v>0</v>
      </c>
      <c r="J16" s="6" t="e">
        <f>'9.4 Base Rates ADIT Calc p.2 '!J16+'9.4 Base Rates ADIT Calc p.3 '!J16</f>
        <v>#REF!</v>
      </c>
      <c r="K16" s="6" t="e">
        <f>'9.4 Base Rates ADIT Calc p.2 '!K16+'9.4 Base Rates ADIT Calc p.3 '!K16</f>
        <v>#REF!</v>
      </c>
      <c r="L16" s="6" t="e">
        <f>'9.4 Base Rates ADIT Calc p.2 '!L16+'9.4 Base Rates ADIT Calc p.3 '!L16</f>
        <v>#REF!</v>
      </c>
      <c r="M16" s="6" t="e">
        <f>'9.4 Base Rates ADIT Calc p.2 '!M16+'9.4 Base Rates ADIT Calc p.3 '!M16</f>
        <v>#REF!</v>
      </c>
      <c r="N16" s="6" t="e">
        <f>'9.4 Base Rates ADIT Calc p.2 '!N16+'9.4 Base Rates ADIT Calc p.3 '!N16</f>
        <v>#REF!</v>
      </c>
      <c r="O16" s="6" t="e">
        <f>'9.4 Base Rates ADIT Calc p.2 '!O16+'9.4 Base Rates ADIT Calc p.3 '!O16</f>
        <v>#REF!</v>
      </c>
      <c r="P16" s="6" t="e">
        <f>'9.4 Base Rates ADIT Calc p.2 '!P16+'9.4 Base Rates ADIT Calc p.3 '!P16</f>
        <v>#REF!</v>
      </c>
      <c r="Q16" s="6" t="e">
        <f>'9.4 Base Rates ADIT Calc p.2 '!Q16+'9.4 Base Rates ADIT Calc p.3 '!Q16</f>
        <v>#REF!</v>
      </c>
      <c r="R16" s="6" t="e">
        <f>'9.4 Base Rates ADIT Calc p.2 '!R16+'9.4 Base Rates ADIT Calc p.3 '!R16</f>
        <v>#REF!</v>
      </c>
      <c r="S16" s="6" t="e">
        <f>'9.4 Base Rates ADIT Calc p.2 '!S16+'9.4 Base Rates ADIT Calc p.3 '!S16</f>
        <v>#REF!</v>
      </c>
      <c r="T16" s="6" t="e">
        <f>'9.4 Base Rates ADIT Calc p.2 '!T16+'9.4 Base Rates ADIT Calc p.3 '!T16</f>
        <v>#REF!</v>
      </c>
      <c r="U16" s="6" t="e">
        <f>'9.4 Base Rates ADIT Calc p.2 '!U16+'9.4 Base Rates ADIT Calc p.3 '!U16</f>
        <v>#REF!</v>
      </c>
      <c r="V16" s="6" t="e">
        <f>'9.4 Base Rates ADIT Calc p.2 '!V16+'9.4 Base Rates ADIT Calc p.3 '!V16</f>
        <v>#REF!</v>
      </c>
      <c r="W16" s="6" t="e">
        <f>'9.4 Base Rates ADIT Calc p.2 '!W16+'9.4 Base Rates ADIT Calc p.3 '!W16</f>
        <v>#REF!</v>
      </c>
      <c r="X16" s="6" t="e">
        <f>'9.4 Base Rates ADIT Calc p.2 '!X16+'9.4 Base Rates ADIT Calc p.3 '!X16</f>
        <v>#REF!</v>
      </c>
      <c r="Y16" s="6" t="e">
        <f>'9.4 Base Rates ADIT Calc p.2 '!Y16+'9.4 Base Rates ADIT Calc p.3 '!Y16</f>
        <v>#REF!</v>
      </c>
      <c r="Z16" s="6" t="e">
        <f>'9.4 Base Rates ADIT Calc p.2 '!Z16+'9.4 Base Rates ADIT Calc p.3 '!Z16</f>
        <v>#REF!</v>
      </c>
      <c r="AA16" s="6" t="e">
        <f>'9.4 Base Rates ADIT Calc p.2 '!AA16+'9.4 Base Rates ADIT Calc p.3 '!AA16</f>
        <v>#REF!</v>
      </c>
      <c r="AB16" s="6" t="e">
        <f>'9.4 Base Rates ADIT Calc p.2 '!AB16+'9.4 Base Rates ADIT Calc p.3 '!AB16</f>
        <v>#REF!</v>
      </c>
      <c r="AC16" s="6" t="e">
        <f>'9.4 Base Rates ADIT Calc p.2 '!AC16+'9.4 Base Rates ADIT Calc p.3 '!AC16</f>
        <v>#REF!</v>
      </c>
      <c r="AD16" s="6" t="e">
        <f>'9.4 Base Rates ADIT Calc p.2 '!AD16+'9.4 Base Rates ADIT Calc p.3 '!AD16</f>
        <v>#REF!</v>
      </c>
      <c r="AE16" s="6" t="e">
        <f>'9.4 Base Rates ADIT Calc p.2 '!AE16+'9.4 Base Rates ADIT Calc p.3 '!AE16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5" ht="13.5" customHeight="1">
      <c r="A18" s="69">
        <f>A16+1</f>
        <v>2</v>
      </c>
      <c r="B18" s="75"/>
      <c r="C18" s="74"/>
      <c r="D18" s="8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1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'9.4 Base Rates ADIT Calc p.2 '!D20+'9.4 Base Rates ADIT Calc p.3 '!D20</f>
        <v>0</v>
      </c>
      <c r="E20" s="4"/>
      <c r="AF20" s="4">
        <f>'9.4 Base Rates ADIT Calc p.2 '!AF20+'9.4 Base Rates ADIT Calc p.3 '!AF20</f>
        <v>0</v>
      </c>
      <c r="AG20" s="4">
        <f>'9.4 Base Rates ADIT Calc p.2 '!AG20+'9.4 Base Rates ADIT Calc p.3 '!AG20</f>
        <v>0</v>
      </c>
      <c r="AH20" s="4">
        <f>'9.4 Base Rates ADIT Calc p.2 '!AH20+'9.4 Base Rates ADIT Calc p.3 '!AH20</f>
        <v>0</v>
      </c>
      <c r="AI20" s="4">
        <f>'9.4 Base Rates ADIT Calc p.2 '!AI20+'9.4 Base Rates ADIT Calc p.3 '!AI20</f>
        <v>0</v>
      </c>
      <c r="AJ20" s="4">
        <f>+'9.4 Base Rates ADIT Calc p.2 '!AJ20+'9.4 Base Rates ADIT Calc p.3 '!AJ20</f>
        <v>0</v>
      </c>
      <c r="AK20" s="4">
        <f>+'9.4 Base Rates ADIT Calc p.2 '!AK20+'9.4 Base Rates ADIT Calc p.3 '!AK20</f>
        <v>0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>'9.4 Base Rates ADIT Calc p.2 '!D21+'9.4 Base Rates ADIT Calc p.3 '!D21</f>
        <v>0</v>
      </c>
      <c r="E21" s="4">
        <f>'9.4 Base Rates ADIT Calc p.2 '!E21+'9.4 Base Rates ADIT Calc p.3 '!E22</f>
        <v>0</v>
      </c>
      <c r="F21" s="4">
        <f>'9.4 Base Rates ADIT Calc p.2 '!F21+'9.4 Base Rates ADIT Calc p.3 '!F22</f>
        <v>0</v>
      </c>
      <c r="AF21" s="4">
        <f>'9.4 Base Rates ADIT Calc p.2 '!AF21+'9.4 Base Rates ADIT Calc p.3 '!AF21</f>
        <v>0</v>
      </c>
      <c r="AG21" s="4">
        <f>'9.4 Base Rates ADIT Calc p.2 '!AG21+'9.4 Base Rates ADIT Calc p.3 '!AG21</f>
        <v>0</v>
      </c>
      <c r="AH21" s="4">
        <f>'9.4 Base Rates ADIT Calc p.2 '!AH21+'9.4 Base Rates ADIT Calc p.3 '!AH21</f>
        <v>0</v>
      </c>
      <c r="AI21" s="4">
        <f>'9.4 Base Rates ADIT Calc p.2 '!AI21+'9.4 Base Rates ADIT Calc p.3 '!AI21</f>
        <v>0</v>
      </c>
      <c r="AJ21" s="4">
        <f>+'9.4 Base Rates ADIT Calc p.2 '!AJ21+'9.4 Base Rates ADIT Calc p.3 '!AJ21</f>
        <v>0</v>
      </c>
      <c r="AK21" s="4">
        <f>+'9.4 Base Rates ADIT Calc p.2 '!AK21+'9.4 Base Rates ADIT Calc p.3 '!AK21</f>
        <v>0</v>
      </c>
    </row>
    <row r="22" spans="1:37" ht="11.25">
      <c r="A22" s="69">
        <f aca="true" t="shared" si="2" ref="A22:A45">A21+1</f>
        <v>5</v>
      </c>
      <c r="B22" s="79">
        <v>0.06677</v>
      </c>
      <c r="C22" s="69">
        <f aca="true" t="shared" si="3" ref="C22:C41">+C21+1</f>
        <v>3</v>
      </c>
      <c r="D22" s="4">
        <f>'9.4 Base Rates ADIT Calc p.2 '!D22+'9.4 Base Rates ADIT Calc p.3 '!D22</f>
        <v>0</v>
      </c>
      <c r="E22" s="4">
        <f>'9.4 Base Rates ADIT Calc p.2 '!E22+'9.4 Base Rates ADIT Calc p.3 '!E23</f>
        <v>0</v>
      </c>
      <c r="F22" s="4">
        <f>'9.4 Base Rates ADIT Calc p.2 '!F22+'9.4 Base Rates ADIT Calc p.3 '!F23</f>
        <v>0</v>
      </c>
      <c r="G22" s="4">
        <f>'9.4 Base Rates ADIT Calc p.2 '!G22+'9.4 Base Rates ADIT Calc p.3 '!G22</f>
        <v>0</v>
      </c>
      <c r="AF22" s="4">
        <f>'9.4 Base Rates ADIT Calc p.2 '!AF22+'9.4 Base Rates ADIT Calc p.3 '!AF22</f>
        <v>0</v>
      </c>
      <c r="AG22" s="4">
        <f>'9.4 Base Rates ADIT Calc p.2 '!AG22+'9.4 Base Rates ADIT Calc p.3 '!AG22</f>
        <v>0</v>
      </c>
      <c r="AH22" s="4">
        <f>'9.4 Base Rates ADIT Calc p.2 '!AH22+'9.4 Base Rates ADIT Calc p.3 '!AH22</f>
        <v>0</v>
      </c>
      <c r="AI22" s="4">
        <f>'9.4 Base Rates ADIT Calc p.2 '!AI22+'9.4 Base Rates ADIT Calc p.3 '!AI22</f>
        <v>0</v>
      </c>
      <c r="AJ22" s="4">
        <f>+'9.4 Base Rates ADIT Calc p.2 '!AJ22+'9.4 Base Rates ADIT Calc p.3 '!AJ22</f>
        <v>0</v>
      </c>
      <c r="AK22" s="4">
        <f>+'9.4 Base Rates ADIT Calc p.2 '!AK22+'9.4 Base Rates ADIT Calc p.3 '!AK22</f>
        <v>0</v>
      </c>
    </row>
    <row r="23" spans="1:37" ht="11.25">
      <c r="A23" s="69">
        <f t="shared" si="2"/>
        <v>6</v>
      </c>
      <c r="B23" s="79">
        <v>0.06177</v>
      </c>
      <c r="C23" s="69">
        <f t="shared" si="3"/>
        <v>4</v>
      </c>
      <c r="D23" s="4">
        <f>'9.4 Base Rates ADIT Calc p.2 '!D23+'9.4 Base Rates ADIT Calc p.3 '!D23</f>
        <v>0</v>
      </c>
      <c r="E23" s="4">
        <f>'9.4 Base Rates ADIT Calc p.2 '!E23+'9.4 Base Rates ADIT Calc p.3 '!E24</f>
        <v>0</v>
      </c>
      <c r="F23" s="4">
        <f>'9.4 Base Rates ADIT Calc p.2 '!F23+'9.4 Base Rates ADIT Calc p.3 '!F24</f>
        <v>0</v>
      </c>
      <c r="G23" s="4">
        <f>'9.4 Base Rates ADIT Calc p.2 '!G23+'9.4 Base Rates ADIT Calc p.3 '!G23</f>
        <v>0</v>
      </c>
      <c r="H23" s="4">
        <f>'9.4 Base Rates ADIT Calc p.2 '!H23+'9.4 Base Rates ADIT Calc p.3 '!H23</f>
        <v>0</v>
      </c>
      <c r="AF23" s="4">
        <f>'9.4 Base Rates ADIT Calc p.2 '!AF23+'9.4 Base Rates ADIT Calc p.3 '!AF23</f>
        <v>0</v>
      </c>
      <c r="AG23" s="4">
        <f>'9.4 Base Rates ADIT Calc p.2 '!AG23+'9.4 Base Rates ADIT Calc p.3 '!AG23</f>
        <v>0</v>
      </c>
      <c r="AH23" s="4">
        <f>'9.4 Base Rates ADIT Calc p.2 '!AH23+'9.4 Base Rates ADIT Calc p.3 '!AH23</f>
        <v>0</v>
      </c>
      <c r="AI23" s="4">
        <f>'9.4 Base Rates ADIT Calc p.2 '!AI23+'9.4 Base Rates ADIT Calc p.3 '!AI23</f>
        <v>0</v>
      </c>
      <c r="AJ23" s="4">
        <f>+'9.4 Base Rates ADIT Calc p.2 '!AJ23+'9.4 Base Rates ADIT Calc p.3 '!AJ23</f>
        <v>0</v>
      </c>
      <c r="AK23" s="4">
        <f>+'9.4 Base Rates ADIT Calc p.2 '!AK23+'9.4 Base Rates ADIT Calc p.3 '!AK23</f>
        <v>0</v>
      </c>
    </row>
    <row r="24" spans="1:37" ht="11.25">
      <c r="A24" s="69">
        <f t="shared" si="2"/>
        <v>7</v>
      </c>
      <c r="B24" s="79">
        <v>0.05713</v>
      </c>
      <c r="C24" s="69">
        <f t="shared" si="3"/>
        <v>5</v>
      </c>
      <c r="D24" s="4">
        <f>'9.4 Base Rates ADIT Calc p.2 '!D24+'9.4 Base Rates ADIT Calc p.3 '!D24</f>
        <v>0</v>
      </c>
      <c r="E24" s="4">
        <f>'9.4 Base Rates ADIT Calc p.2 '!E24+'9.4 Base Rates ADIT Calc p.3 '!E25</f>
        <v>0</v>
      </c>
      <c r="F24" s="4">
        <f>'9.4 Base Rates ADIT Calc p.2 '!F24+'9.4 Base Rates ADIT Calc p.3 '!F25</f>
        <v>0</v>
      </c>
      <c r="G24" s="4">
        <f>'9.4 Base Rates ADIT Calc p.2 '!G24+'9.4 Base Rates ADIT Calc p.3 '!G24</f>
        <v>0</v>
      </c>
      <c r="H24" s="4">
        <f>'9.4 Base Rates ADIT Calc p.2 '!H24+'9.4 Base Rates ADIT Calc p.3 '!H24</f>
        <v>0</v>
      </c>
      <c r="I24" s="4">
        <f>'9.4 Base Rates ADIT Calc p.2 '!I24+'9.4 Base Rates ADIT Calc p.3 '!I24</f>
        <v>0</v>
      </c>
      <c r="AF24" s="4">
        <f>'9.4 Base Rates ADIT Calc p.2 '!AF24+'9.4 Base Rates ADIT Calc p.3 '!AF24</f>
        <v>0</v>
      </c>
      <c r="AG24" s="4">
        <f>'9.4 Base Rates ADIT Calc p.2 '!AG24+'9.4 Base Rates ADIT Calc p.3 '!AG24</f>
        <v>0</v>
      </c>
      <c r="AH24" s="4">
        <f>'9.4 Base Rates ADIT Calc p.2 '!AH24+'9.4 Base Rates ADIT Calc p.3 '!AH24</f>
        <v>0</v>
      </c>
      <c r="AI24" s="4">
        <f>'9.4 Base Rates ADIT Calc p.2 '!AI24+'9.4 Base Rates ADIT Calc p.3 '!AI24</f>
        <v>0</v>
      </c>
      <c r="AJ24" s="4">
        <f>+'9.4 Base Rates ADIT Calc p.2 '!AJ24+'9.4 Base Rates ADIT Calc p.3 '!AJ24</f>
        <v>0</v>
      </c>
      <c r="AK24" s="4">
        <f>+'9.4 Base Rates ADIT Calc p.2 '!AK24+'9.4 Base Rates ADIT Calc p.3 '!AK24</f>
        <v>0</v>
      </c>
    </row>
    <row r="25" spans="1:37" ht="11.25">
      <c r="A25" s="69">
        <f t="shared" si="2"/>
        <v>8</v>
      </c>
      <c r="B25" s="79">
        <v>0.05285</v>
      </c>
      <c r="C25" s="69">
        <f t="shared" si="3"/>
        <v>6</v>
      </c>
      <c r="D25" s="4">
        <f>'9.4 Base Rates ADIT Calc p.2 '!D25+'9.4 Base Rates ADIT Calc p.3 '!D25</f>
        <v>0</v>
      </c>
      <c r="E25" s="4">
        <f>'9.4 Base Rates ADIT Calc p.2 '!E25+'9.4 Base Rates ADIT Calc p.3 '!E26</f>
        <v>0</v>
      </c>
      <c r="F25" s="4">
        <f>'9.4 Base Rates ADIT Calc p.2 '!F25+'9.4 Base Rates ADIT Calc p.3 '!F26</f>
        <v>0</v>
      </c>
      <c r="G25" s="4">
        <f>'9.4 Base Rates ADIT Calc p.2 '!G25+'9.4 Base Rates ADIT Calc p.3 '!G25</f>
        <v>0</v>
      </c>
      <c r="H25" s="4">
        <f>'9.4 Base Rates ADIT Calc p.2 '!H25+'9.4 Base Rates ADIT Calc p.3 '!H25</f>
        <v>0</v>
      </c>
      <c r="I25" s="4">
        <f>'9.4 Base Rates ADIT Calc p.2 '!I25+'9.4 Base Rates ADIT Calc p.3 '!I25</f>
        <v>0</v>
      </c>
      <c r="AF25" s="4">
        <f>'9.4 Base Rates ADIT Calc p.2 '!AF25+'9.4 Base Rates ADIT Calc p.3 '!AF25</f>
        <v>0</v>
      </c>
      <c r="AG25" s="4"/>
      <c r="AH25" s="4">
        <v>0</v>
      </c>
      <c r="AI25" s="4">
        <f>'9.4 Base Rates ADIT Calc p.2 '!AI25+'9.4 Base Rates ADIT Calc p.3 '!AI25</f>
        <v>0</v>
      </c>
      <c r="AJ25" s="4">
        <f>+'9.4 Base Rates ADIT Calc p.2 '!AJ25+'9.4 Base Rates ADIT Calc p.3 '!AJ25</f>
        <v>0</v>
      </c>
      <c r="AK25" s="4">
        <f>+'9.4 Base Rates ADIT Calc p.2 '!AK25+'9.4 Base Rates ADIT Calc p.3 '!AK25</f>
        <v>0</v>
      </c>
    </row>
    <row r="26" spans="1:37" ht="11.25">
      <c r="A26" s="69">
        <f t="shared" si="2"/>
        <v>9</v>
      </c>
      <c r="B26" s="79">
        <v>0.04888</v>
      </c>
      <c r="C26" s="69">
        <f t="shared" si="3"/>
        <v>7</v>
      </c>
      <c r="D26" s="4">
        <f>'9.4 Base Rates ADIT Calc p.2 '!D26+'9.4 Base Rates ADIT Calc p.3 '!D26</f>
        <v>0</v>
      </c>
      <c r="E26" s="4">
        <f>'9.4 Base Rates ADIT Calc p.2 '!E26+'9.4 Base Rates ADIT Calc p.3 '!E27</f>
        <v>0</v>
      </c>
      <c r="F26" s="4">
        <f>'9.4 Base Rates ADIT Calc p.2 '!F26+'9.4 Base Rates ADIT Calc p.3 '!F27</f>
        <v>0</v>
      </c>
      <c r="G26" s="4">
        <f>'9.4 Base Rates ADIT Calc p.2 '!G26+'9.4 Base Rates ADIT Calc p.3 '!G26</f>
        <v>0</v>
      </c>
      <c r="H26" s="4">
        <f>'9.4 Base Rates ADIT Calc p.2 '!H26+'9.4 Base Rates ADIT Calc p.3 '!H26</f>
        <v>0</v>
      </c>
      <c r="I26" s="4">
        <f>'9.4 Base Rates ADIT Calc p.2 '!I26+'9.4 Base Rates ADIT Calc p.3 '!I26</f>
        <v>0</v>
      </c>
      <c r="AF26" s="4">
        <f>'9.4 Base Rates ADIT Calc p.2 '!AF26+'9.4 Base Rates ADIT Calc p.3 '!AF26</f>
        <v>0</v>
      </c>
      <c r="AG26" s="4"/>
      <c r="AH26" s="4">
        <v>0</v>
      </c>
      <c r="AI26" s="4">
        <f>'9.4 Base Rates ADIT Calc p.2 '!AI26+'9.4 Base Rates ADIT Calc p.3 '!AI26</f>
        <v>0</v>
      </c>
      <c r="AJ26" s="4">
        <f>+'9.4 Base Rates ADIT Calc p.2 '!AJ26+'9.4 Base Rates ADIT Calc p.3 '!AJ26</f>
        <v>0</v>
      </c>
      <c r="AK26" s="4">
        <f>+'9.4 Base Rates ADIT Calc p.2 '!AK26+'9.4 Base Rates ADIT Calc p.3 '!AK26</f>
        <v>0</v>
      </c>
    </row>
    <row r="27" spans="1:37" ht="11.25">
      <c r="A27" s="69">
        <f t="shared" si="2"/>
        <v>10</v>
      </c>
      <c r="B27" s="79">
        <v>0.04522</v>
      </c>
      <c r="C27" s="69">
        <f t="shared" si="3"/>
        <v>8</v>
      </c>
      <c r="D27" s="4">
        <f>'9.4 Base Rates ADIT Calc p.2 '!D27+'9.4 Base Rates ADIT Calc p.3 '!D27</f>
        <v>0</v>
      </c>
      <c r="E27" s="4">
        <f>'9.4 Base Rates ADIT Calc p.2 '!E27+'9.4 Base Rates ADIT Calc p.3 '!E28</f>
        <v>0</v>
      </c>
      <c r="F27" s="4">
        <f>'9.4 Base Rates ADIT Calc p.2 '!F27+'9.4 Base Rates ADIT Calc p.3 '!F28</f>
        <v>0</v>
      </c>
      <c r="G27" s="4">
        <f>'9.4 Base Rates ADIT Calc p.2 '!G27+'9.4 Base Rates ADIT Calc p.3 '!G27</f>
        <v>0</v>
      </c>
      <c r="H27" s="4">
        <f>'9.4 Base Rates ADIT Calc p.2 '!H27+'9.4 Base Rates ADIT Calc p.3 '!H27</f>
        <v>0</v>
      </c>
      <c r="I27" s="4">
        <f>'9.4 Base Rates ADIT Calc p.2 '!I27+'9.4 Base Rates ADIT Calc p.3 '!I27</f>
        <v>0</v>
      </c>
      <c r="AF27" s="4">
        <f>'9.4 Base Rates ADIT Calc p.2 '!AF27+'9.4 Base Rates ADIT Calc p.3 '!AF27</f>
        <v>0</v>
      </c>
      <c r="AG27" s="4"/>
      <c r="AH27" s="4">
        <v>0</v>
      </c>
      <c r="AI27" s="4">
        <f>'9.4 Base Rates ADIT Calc p.2 '!AI27+'9.4 Base Rates ADIT Calc p.3 '!AI27</f>
        <v>0</v>
      </c>
      <c r="AJ27" s="4">
        <f>+'9.4 Base Rates ADIT Calc p.2 '!AJ27+'9.4 Base Rates ADIT Calc p.3 '!AJ27</f>
        <v>0</v>
      </c>
      <c r="AK27" s="4">
        <f>+'9.4 Base Rates ADIT Calc p.2 '!AK27+'9.4 Base Rates ADIT Calc p.3 '!AK27</f>
        <v>0</v>
      </c>
    </row>
    <row r="28" spans="1:37" ht="11.25">
      <c r="A28" s="69">
        <f t="shared" si="2"/>
        <v>11</v>
      </c>
      <c r="B28" s="79">
        <v>0.04462</v>
      </c>
      <c r="C28" s="69">
        <f t="shared" si="3"/>
        <v>9</v>
      </c>
      <c r="D28" s="4">
        <f>'9.4 Base Rates ADIT Calc p.2 '!D28+'9.4 Base Rates ADIT Calc p.3 '!D28</f>
        <v>0</v>
      </c>
      <c r="E28" s="4">
        <f>'9.4 Base Rates ADIT Calc p.2 '!E28+'9.4 Base Rates ADIT Calc p.3 '!E29</f>
        <v>0</v>
      </c>
      <c r="F28" s="4">
        <f>'9.4 Base Rates ADIT Calc p.2 '!F28+'9.4 Base Rates ADIT Calc p.3 '!F29</f>
        <v>0</v>
      </c>
      <c r="G28" s="4">
        <f>'9.4 Base Rates ADIT Calc p.2 '!G28+'9.4 Base Rates ADIT Calc p.3 '!G28</f>
        <v>0</v>
      </c>
      <c r="H28" s="4">
        <f>'9.4 Base Rates ADIT Calc p.2 '!H28+'9.4 Base Rates ADIT Calc p.3 '!H28</f>
        <v>0</v>
      </c>
      <c r="I28" s="4">
        <f>'9.4 Base Rates ADIT Calc p.2 '!I28+'9.4 Base Rates ADIT Calc p.3 '!I28</f>
        <v>0</v>
      </c>
      <c r="J28" s="4"/>
      <c r="AF28" s="4">
        <f>'9.4 Base Rates ADIT Calc p.2 '!AF28+'9.4 Base Rates ADIT Calc p.3 '!AF28</f>
        <v>0</v>
      </c>
      <c r="AG28" s="4"/>
      <c r="AH28" s="4">
        <v>0</v>
      </c>
      <c r="AI28" s="4">
        <f>'9.4 Base Rates ADIT Calc p.2 '!AI28+'9.4 Base Rates ADIT Calc p.3 '!AI28</f>
        <v>0</v>
      </c>
      <c r="AJ28" s="4">
        <f>+'9.4 Base Rates ADIT Calc p.2 '!AJ28+'9.4 Base Rates ADIT Calc p.3 '!AJ28</f>
        <v>0</v>
      </c>
      <c r="AK28" s="4">
        <f>+'9.4 Base Rates ADIT Calc p.2 '!AK28+'9.4 Base Rates ADIT Calc p.3 '!AK28</f>
        <v>0</v>
      </c>
    </row>
    <row r="29" spans="1:37" ht="11.25">
      <c r="A29" s="69">
        <f t="shared" si="2"/>
        <v>12</v>
      </c>
      <c r="B29" s="79">
        <v>0.04461</v>
      </c>
      <c r="C29" s="69">
        <f t="shared" si="3"/>
        <v>10</v>
      </c>
      <c r="D29" s="4">
        <f>'9.4 Base Rates ADIT Calc p.2 '!D29+'9.4 Base Rates ADIT Calc p.3 '!D29</f>
        <v>0</v>
      </c>
      <c r="E29" s="4">
        <f>'9.4 Base Rates ADIT Calc p.2 '!E29+'9.4 Base Rates ADIT Calc p.3 '!E30</f>
        <v>0</v>
      </c>
      <c r="F29" s="4">
        <f>'9.4 Base Rates ADIT Calc p.2 '!F29+'9.4 Base Rates ADIT Calc p.3 '!F30</f>
        <v>0</v>
      </c>
      <c r="G29" s="4">
        <f>'9.4 Base Rates ADIT Calc p.2 '!G29+'9.4 Base Rates ADIT Calc p.3 '!G29</f>
        <v>0</v>
      </c>
      <c r="H29" s="4">
        <f>'9.4 Base Rates ADIT Calc p.2 '!H29+'9.4 Base Rates ADIT Calc p.3 '!H29</f>
        <v>0</v>
      </c>
      <c r="I29" s="4">
        <f>'9.4 Base Rates ADIT Calc p.2 '!I29+'9.4 Base Rates ADIT Calc p.3 '!I29</f>
        <v>0</v>
      </c>
      <c r="J29" s="4"/>
      <c r="K29" s="4"/>
      <c r="AF29" s="4">
        <f>'9.4 Base Rates ADIT Calc p.2 '!AF29+'9.4 Base Rates ADIT Calc p.3 '!AF29</f>
        <v>0</v>
      </c>
      <c r="AG29" s="4"/>
      <c r="AH29" s="4">
        <v>0</v>
      </c>
      <c r="AI29" s="4">
        <f>'9.4 Base Rates ADIT Calc p.2 '!AI29+'9.4 Base Rates ADIT Calc p.3 '!AI29</f>
        <v>0</v>
      </c>
      <c r="AJ29" s="4">
        <f>+'9.4 Base Rates ADIT Calc p.2 '!AJ29+'9.4 Base Rates ADIT Calc p.3 '!AJ29</f>
        <v>0</v>
      </c>
      <c r="AK29" s="4">
        <f>+'9.4 Base Rates ADIT Calc p.2 '!AK29+'9.4 Base Rates ADIT Calc p.3 '!AK29</f>
        <v>0</v>
      </c>
    </row>
    <row r="30" spans="1:37" ht="11.25">
      <c r="A30" s="69">
        <f t="shared" si="2"/>
        <v>13</v>
      </c>
      <c r="B30" s="79">
        <v>0.04462</v>
      </c>
      <c r="C30" s="69">
        <f t="shared" si="3"/>
        <v>11</v>
      </c>
      <c r="D30" s="4">
        <f>'9.4 Base Rates ADIT Calc p.2 '!D30+'9.4 Base Rates ADIT Calc p.3 '!D30</f>
        <v>0</v>
      </c>
      <c r="E30" s="4">
        <f>'9.4 Base Rates ADIT Calc p.2 '!E30+'9.4 Base Rates ADIT Calc p.3 '!E31</f>
        <v>0</v>
      </c>
      <c r="F30" s="4">
        <f>'9.4 Base Rates ADIT Calc p.2 '!F30+'9.4 Base Rates ADIT Calc p.3 '!F31</f>
        <v>0</v>
      </c>
      <c r="G30" s="4">
        <f>'9.4 Base Rates ADIT Calc p.2 '!G30+'9.4 Base Rates ADIT Calc p.3 '!G30</f>
        <v>0</v>
      </c>
      <c r="H30" s="4">
        <f>'9.4 Base Rates ADIT Calc p.2 '!H30+'9.4 Base Rates ADIT Calc p.3 '!H30</f>
        <v>0</v>
      </c>
      <c r="I30" s="4">
        <f>'9.4 Base Rates ADIT Calc p.2 '!I30+'9.4 Base Rates ADIT Calc p.3 '!I30</f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>'9.4 Base Rates ADIT Calc p.2 '!AF30+'9.4 Base Rates ADIT Calc p.3 '!AF30</f>
        <v>0</v>
      </c>
      <c r="AG30" s="4"/>
      <c r="AH30" s="4">
        <v>0</v>
      </c>
      <c r="AI30" s="4">
        <f>'9.4 Base Rates ADIT Calc p.2 '!AI30+'9.4 Base Rates ADIT Calc p.3 '!AI30</f>
        <v>0</v>
      </c>
      <c r="AJ30" s="4">
        <f>+'9.4 Base Rates ADIT Calc p.2 '!AJ30+'9.4 Base Rates ADIT Calc p.3 '!AJ30</f>
        <v>0</v>
      </c>
      <c r="AK30" s="4">
        <f>+'9.4 Base Rates ADIT Calc p.2 '!AK30+'9.4 Base Rates ADIT Calc p.3 '!AK30</f>
        <v>0</v>
      </c>
    </row>
    <row r="31" spans="1:37" ht="11.25">
      <c r="A31" s="69">
        <f t="shared" si="2"/>
        <v>14</v>
      </c>
      <c r="B31" s="79">
        <v>0.04461</v>
      </c>
      <c r="C31" s="69">
        <f t="shared" si="3"/>
        <v>12</v>
      </c>
      <c r="D31" s="4">
        <f>'9.4 Base Rates ADIT Calc p.2 '!D31+'9.4 Base Rates ADIT Calc p.3 '!D31</f>
        <v>0</v>
      </c>
      <c r="E31" s="4">
        <f>'9.4 Base Rates ADIT Calc p.2 '!E31+'9.4 Base Rates ADIT Calc p.3 '!E32</f>
        <v>0</v>
      </c>
      <c r="F31" s="4">
        <f>'9.4 Base Rates ADIT Calc p.2 '!F31+'9.4 Base Rates ADIT Calc p.3 '!F32</f>
        <v>0</v>
      </c>
      <c r="G31" s="4">
        <f>'9.4 Base Rates ADIT Calc p.2 '!G31+'9.4 Base Rates ADIT Calc p.3 '!G31</f>
        <v>0</v>
      </c>
      <c r="H31" s="4">
        <f>'9.4 Base Rates ADIT Calc p.2 '!H31+'9.4 Base Rates ADIT Calc p.3 '!H31</f>
        <v>0</v>
      </c>
      <c r="I31" s="4">
        <f>'9.4 Base Rates ADIT Calc p.2 '!I31+'9.4 Base Rates ADIT Calc p.3 '!I31</f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>'9.4 Base Rates ADIT Calc p.2 '!AF31+'9.4 Base Rates ADIT Calc p.3 '!AF31</f>
        <v>0</v>
      </c>
      <c r="AG31" s="4"/>
      <c r="AH31" s="4">
        <v>0</v>
      </c>
      <c r="AI31" s="4">
        <f>'9.4 Base Rates ADIT Calc p.2 '!AI31+'9.4 Base Rates ADIT Calc p.3 '!AI31</f>
        <v>0</v>
      </c>
      <c r="AJ31" s="4">
        <f>+'9.4 Base Rates ADIT Calc p.2 '!AJ31+'9.4 Base Rates ADIT Calc p.3 '!AJ31</f>
        <v>0</v>
      </c>
      <c r="AK31" s="4">
        <f>+'9.4 Base Rates ADIT Calc p.2 '!AK31+'9.4 Base Rates ADIT Calc p.3 '!AK31</f>
        <v>0</v>
      </c>
    </row>
    <row r="32" spans="1:37" ht="11.25">
      <c r="A32" s="69">
        <f t="shared" si="2"/>
        <v>15</v>
      </c>
      <c r="B32" s="79">
        <v>0.04462</v>
      </c>
      <c r="C32" s="69">
        <f t="shared" si="3"/>
        <v>13</v>
      </c>
      <c r="D32" s="4">
        <f>'9.4 Base Rates ADIT Calc p.2 '!D32+'9.4 Base Rates ADIT Calc p.3 '!D32</f>
        <v>0</v>
      </c>
      <c r="E32" s="4">
        <f>'9.4 Base Rates ADIT Calc p.2 '!E32+'9.4 Base Rates ADIT Calc p.3 '!E33</f>
        <v>0</v>
      </c>
      <c r="F32" s="4">
        <f>'9.4 Base Rates ADIT Calc p.2 '!F32+'9.4 Base Rates ADIT Calc p.3 '!F33</f>
        <v>0</v>
      </c>
      <c r="G32" s="4">
        <f>'9.4 Base Rates ADIT Calc p.2 '!G32+'9.4 Base Rates ADIT Calc p.3 '!G32</f>
        <v>0</v>
      </c>
      <c r="H32" s="4">
        <f>'9.4 Base Rates ADIT Calc p.2 '!H32+'9.4 Base Rates ADIT Calc p.3 '!H32</f>
        <v>0</v>
      </c>
      <c r="I32" s="4">
        <f>'9.4 Base Rates ADIT Calc p.2 '!I32+'9.4 Base Rates ADIT Calc p.3 '!I32</f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>'9.4 Base Rates ADIT Calc p.2 '!AF32+'9.4 Base Rates ADIT Calc p.3 '!AF32</f>
        <v>0</v>
      </c>
      <c r="AG32" s="4"/>
      <c r="AH32" s="4">
        <v>0</v>
      </c>
      <c r="AI32" s="4">
        <f>'9.4 Base Rates ADIT Calc p.2 '!AI32+'9.4 Base Rates ADIT Calc p.3 '!AI32</f>
        <v>0</v>
      </c>
      <c r="AJ32" s="4">
        <f>+'9.4 Base Rates ADIT Calc p.2 '!AJ32+'9.4 Base Rates ADIT Calc p.3 '!AJ32</f>
        <v>0</v>
      </c>
      <c r="AK32" s="4">
        <f>+'9.4 Base Rates ADIT Calc p.2 '!AK32+'9.4 Base Rates ADIT Calc p.3 '!AK32</f>
        <v>0</v>
      </c>
    </row>
    <row r="33" spans="1:37" ht="11.25">
      <c r="A33" s="69">
        <f t="shared" si="2"/>
        <v>16</v>
      </c>
      <c r="B33" s="79">
        <v>0.04461</v>
      </c>
      <c r="C33" s="69">
        <f t="shared" si="3"/>
        <v>14</v>
      </c>
      <c r="D33" s="4">
        <f>'9.4 Base Rates ADIT Calc p.2 '!D33+'9.4 Base Rates ADIT Calc p.3 '!D33</f>
        <v>0</v>
      </c>
      <c r="E33" s="4">
        <f>'9.4 Base Rates ADIT Calc p.2 '!E33+'9.4 Base Rates ADIT Calc p.3 '!E34</f>
        <v>0</v>
      </c>
      <c r="F33" s="4">
        <f>'9.4 Base Rates ADIT Calc p.2 '!F33+'9.4 Base Rates ADIT Calc p.3 '!F34</f>
        <v>0</v>
      </c>
      <c r="G33" s="4">
        <f>'9.4 Base Rates ADIT Calc p.2 '!G33+'9.4 Base Rates ADIT Calc p.3 '!G33</f>
        <v>0</v>
      </c>
      <c r="H33" s="4">
        <f>'9.4 Base Rates ADIT Calc p.2 '!H33+'9.4 Base Rates ADIT Calc p.3 '!H33</f>
        <v>0</v>
      </c>
      <c r="I33" s="4">
        <f>'9.4 Base Rates ADIT Calc p.2 '!I33+'9.4 Base Rates ADIT Calc p.3 '!I33</f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>'9.4 Base Rates ADIT Calc p.2 '!AF33+'9.4 Base Rates ADIT Calc p.3 '!AF33</f>
        <v>0</v>
      </c>
      <c r="AG33" s="4"/>
      <c r="AH33" s="4">
        <v>0</v>
      </c>
      <c r="AI33" s="4">
        <f>'9.4 Base Rates ADIT Calc p.2 '!AI33+'9.4 Base Rates ADIT Calc p.3 '!AI33</f>
        <v>0</v>
      </c>
      <c r="AJ33" s="4">
        <f>+'9.4 Base Rates ADIT Calc p.2 '!AJ33+'9.4 Base Rates ADIT Calc p.3 '!AJ33</f>
        <v>0</v>
      </c>
      <c r="AK33" s="4">
        <f>+'9.4 Base Rates ADIT Calc p.2 '!AK33+'9.4 Base Rates ADIT Calc p.3 '!AK33</f>
        <v>0</v>
      </c>
    </row>
    <row r="34" spans="1:37" ht="11.25">
      <c r="A34" s="69">
        <f t="shared" si="2"/>
        <v>17</v>
      </c>
      <c r="B34" s="79">
        <v>0.04462</v>
      </c>
      <c r="C34" s="69">
        <f t="shared" si="3"/>
        <v>15</v>
      </c>
      <c r="D34" s="4">
        <f>'9.4 Base Rates ADIT Calc p.2 '!D34+'9.4 Base Rates ADIT Calc p.3 '!D34</f>
        <v>0</v>
      </c>
      <c r="E34" s="4">
        <f>'9.4 Base Rates ADIT Calc p.2 '!E34+'9.4 Base Rates ADIT Calc p.3 '!E35</f>
        <v>0</v>
      </c>
      <c r="F34" s="4">
        <f>'9.4 Base Rates ADIT Calc p.2 '!F34+'9.4 Base Rates ADIT Calc p.3 '!F35</f>
        <v>0</v>
      </c>
      <c r="G34" s="4">
        <f>'9.4 Base Rates ADIT Calc p.2 '!G34+'9.4 Base Rates ADIT Calc p.3 '!G34</f>
        <v>0</v>
      </c>
      <c r="H34" s="4">
        <f>'9.4 Base Rates ADIT Calc p.2 '!H34+'9.4 Base Rates ADIT Calc p.3 '!H34</f>
        <v>0</v>
      </c>
      <c r="I34" s="4">
        <f>'9.4 Base Rates ADIT Calc p.2 '!I34+'9.4 Base Rates ADIT Calc p.3 '!I34</f>
        <v>0</v>
      </c>
      <c r="J34" s="4"/>
      <c r="K34" s="4"/>
      <c r="L34" s="4"/>
      <c r="M34" s="4"/>
      <c r="N34" s="4"/>
      <c r="O34" s="4"/>
      <c r="P34" s="4"/>
      <c r="AF34" s="4">
        <f>'9.4 Base Rates ADIT Calc p.2 '!AF34+'9.4 Base Rates ADIT Calc p.3 '!AF34</f>
        <v>0</v>
      </c>
      <c r="AG34" s="4"/>
      <c r="AH34" s="4">
        <v>0</v>
      </c>
      <c r="AI34" s="4">
        <f>'9.4 Base Rates ADIT Calc p.2 '!AI34+'9.4 Base Rates ADIT Calc p.3 '!AI34</f>
        <v>0</v>
      </c>
      <c r="AJ34" s="4">
        <f>+'9.4 Base Rates ADIT Calc p.2 '!AJ34+'9.4 Base Rates ADIT Calc p.3 '!AJ34</f>
        <v>0</v>
      </c>
      <c r="AK34" s="4">
        <f>+'9.4 Base Rates ADIT Calc p.2 '!AK34+'9.4 Base Rates ADIT Calc p.3 '!AK34</f>
        <v>0</v>
      </c>
    </row>
    <row r="35" spans="1:37" ht="11.25">
      <c r="A35" s="69">
        <f t="shared" si="2"/>
        <v>18</v>
      </c>
      <c r="B35" s="79">
        <v>0.04461</v>
      </c>
      <c r="C35" s="69">
        <f t="shared" si="3"/>
        <v>16</v>
      </c>
      <c r="D35" s="4">
        <f>'9.4 Base Rates ADIT Calc p.2 '!D35+'9.4 Base Rates ADIT Calc p.3 '!D35</f>
        <v>0</v>
      </c>
      <c r="E35" s="4">
        <f>'9.4 Base Rates ADIT Calc p.2 '!E35+'9.4 Base Rates ADIT Calc p.3 '!E36</f>
        <v>0</v>
      </c>
      <c r="F35" s="4">
        <f>'9.4 Base Rates ADIT Calc p.2 '!F35+'9.4 Base Rates ADIT Calc p.3 '!F36</f>
        <v>0</v>
      </c>
      <c r="G35" s="4">
        <f>'9.4 Base Rates ADIT Calc p.2 '!G35+'9.4 Base Rates ADIT Calc p.3 '!G35</f>
        <v>0</v>
      </c>
      <c r="H35" s="4">
        <f>'9.4 Base Rates ADIT Calc p.2 '!H35+'9.4 Base Rates ADIT Calc p.3 '!H35</f>
        <v>0</v>
      </c>
      <c r="I35" s="4">
        <f>'9.4 Base Rates ADIT Calc p.2 '!I35+'9.4 Base Rates ADIT Calc p.3 '!I35</f>
        <v>0</v>
      </c>
      <c r="J35" s="4"/>
      <c r="K35" s="4"/>
      <c r="L35" s="4"/>
      <c r="M35" s="4"/>
      <c r="N35" s="4"/>
      <c r="O35" s="4"/>
      <c r="P35" s="4"/>
      <c r="Q35" s="4"/>
      <c r="AF35" s="4">
        <f>'9.4 Base Rates ADIT Calc p.2 '!AF35+'9.4 Base Rates ADIT Calc p.3 '!AF35</f>
        <v>0</v>
      </c>
      <c r="AG35" s="4"/>
      <c r="AH35" s="4">
        <v>0</v>
      </c>
      <c r="AI35" s="4">
        <f>'9.4 Base Rates ADIT Calc p.2 '!AI35+'9.4 Base Rates ADIT Calc p.3 '!AI35</f>
        <v>0</v>
      </c>
      <c r="AJ35" s="4">
        <f>+'9.4 Base Rates ADIT Calc p.2 '!AJ35+'9.4 Base Rates ADIT Calc p.3 '!AJ35</f>
        <v>0</v>
      </c>
      <c r="AK35" s="4">
        <f>+'9.4 Base Rates ADIT Calc p.2 '!AK35+'9.4 Base Rates ADIT Calc p.3 '!AK35</f>
        <v>0</v>
      </c>
    </row>
    <row r="36" spans="1:37" ht="11.25">
      <c r="A36" s="69">
        <f t="shared" si="2"/>
        <v>19</v>
      </c>
      <c r="B36" s="79">
        <v>0.04462</v>
      </c>
      <c r="C36" s="69">
        <f t="shared" si="3"/>
        <v>17</v>
      </c>
      <c r="D36" s="4">
        <f>'9.4 Base Rates ADIT Calc p.2 '!D36+'9.4 Base Rates ADIT Calc p.3 '!D36</f>
        <v>0</v>
      </c>
      <c r="E36" s="4">
        <f>'9.4 Base Rates ADIT Calc p.2 '!E36+'9.4 Base Rates ADIT Calc p.3 '!E37</f>
        <v>0</v>
      </c>
      <c r="F36" s="4">
        <f>'9.4 Base Rates ADIT Calc p.2 '!F36+'9.4 Base Rates ADIT Calc p.3 '!F37</f>
        <v>0</v>
      </c>
      <c r="G36" s="4">
        <f>'9.4 Base Rates ADIT Calc p.2 '!G36+'9.4 Base Rates ADIT Calc p.3 '!G36</f>
        <v>0</v>
      </c>
      <c r="H36" s="4">
        <f>'9.4 Base Rates ADIT Calc p.2 '!H36+'9.4 Base Rates ADIT Calc p.3 '!H36</f>
        <v>0</v>
      </c>
      <c r="I36" s="4">
        <f>'9.4 Base Rates ADIT Calc p.2 '!I36+'9.4 Base Rates ADIT Calc p.3 '!I36</f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>'9.4 Base Rates ADIT Calc p.2 '!AF36+'9.4 Base Rates ADIT Calc p.3 '!AF36</f>
        <v>0</v>
      </c>
      <c r="AG36" s="4"/>
      <c r="AH36" s="4">
        <v>0</v>
      </c>
      <c r="AI36" s="4">
        <f>'9.4 Base Rates ADIT Calc p.2 '!AI36+'9.4 Base Rates ADIT Calc p.3 '!AI36</f>
        <v>0</v>
      </c>
      <c r="AJ36" s="4">
        <f>+'9.4 Base Rates ADIT Calc p.2 '!AJ36+'9.4 Base Rates ADIT Calc p.3 '!AJ36</f>
        <v>0</v>
      </c>
      <c r="AK36" s="4">
        <f>+'9.4 Base Rates ADIT Calc p.2 '!AK36+'9.4 Base Rates ADIT Calc p.3 '!AK36</f>
        <v>0</v>
      </c>
    </row>
    <row r="37" spans="1:37" ht="11.25">
      <c r="A37" s="69">
        <f t="shared" si="2"/>
        <v>20</v>
      </c>
      <c r="B37" s="79">
        <v>0.04461</v>
      </c>
      <c r="C37" s="69">
        <f t="shared" si="3"/>
        <v>18</v>
      </c>
      <c r="D37" s="4">
        <f>'9.4 Base Rates ADIT Calc p.2 '!D37+'9.4 Base Rates ADIT Calc p.3 '!D37</f>
        <v>0</v>
      </c>
      <c r="E37" s="4">
        <f>'9.4 Base Rates ADIT Calc p.2 '!E37+'9.4 Base Rates ADIT Calc p.3 '!E38</f>
        <v>0</v>
      </c>
      <c r="F37" s="4">
        <f>'9.4 Base Rates ADIT Calc p.2 '!F37+'9.4 Base Rates ADIT Calc p.3 '!F38</f>
        <v>0</v>
      </c>
      <c r="G37" s="4">
        <f>'9.4 Base Rates ADIT Calc p.2 '!G37+'9.4 Base Rates ADIT Calc p.3 '!G37</f>
        <v>0</v>
      </c>
      <c r="H37" s="4">
        <f>'9.4 Base Rates ADIT Calc p.2 '!H37+'9.4 Base Rates ADIT Calc p.3 '!H37</f>
        <v>0</v>
      </c>
      <c r="I37" s="4">
        <f>'9.4 Base Rates ADIT Calc p.2 '!I37+'9.4 Base Rates ADIT Calc p.3 '!I37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>'9.4 Base Rates ADIT Calc p.2 '!AF37+'9.4 Base Rates ADIT Calc p.3 '!AF37</f>
        <v>0</v>
      </c>
      <c r="AG37" s="4"/>
      <c r="AH37" s="4">
        <v>0</v>
      </c>
      <c r="AI37" s="4">
        <f>'9.4 Base Rates ADIT Calc p.2 '!AI37+'9.4 Base Rates ADIT Calc p.3 '!AI37</f>
        <v>0</v>
      </c>
      <c r="AJ37" s="4">
        <f>+'9.4 Base Rates ADIT Calc p.2 '!AJ37+'9.4 Base Rates ADIT Calc p.3 '!AJ37</f>
        <v>0</v>
      </c>
      <c r="AK37" s="4">
        <f>+'9.4 Base Rates ADIT Calc p.2 '!AK37+'9.4 Base Rates ADIT Calc p.3 '!AK37</f>
        <v>0</v>
      </c>
    </row>
    <row r="38" spans="1:37" ht="11.25">
      <c r="A38" s="69">
        <f t="shared" si="2"/>
        <v>21</v>
      </c>
      <c r="B38" s="79">
        <v>0.04462</v>
      </c>
      <c r="C38" s="69">
        <f t="shared" si="3"/>
        <v>19</v>
      </c>
      <c r="D38" s="4">
        <f>'9.4 Base Rates ADIT Calc p.2 '!D38+'9.4 Base Rates ADIT Calc p.3 '!D38</f>
        <v>0</v>
      </c>
      <c r="E38" s="4">
        <f>'9.4 Base Rates ADIT Calc p.2 '!E38+'9.4 Base Rates ADIT Calc p.3 '!E39</f>
        <v>0</v>
      </c>
      <c r="F38" s="4">
        <f>'9.4 Base Rates ADIT Calc p.2 '!F38+'9.4 Base Rates ADIT Calc p.3 '!F39</f>
        <v>0</v>
      </c>
      <c r="G38" s="4">
        <f>'9.4 Base Rates ADIT Calc p.2 '!G38+'9.4 Base Rates ADIT Calc p.3 '!G38</f>
        <v>0</v>
      </c>
      <c r="H38" s="4">
        <f>'9.4 Base Rates ADIT Calc p.2 '!H38+'9.4 Base Rates ADIT Calc p.3 '!H38</f>
        <v>0</v>
      </c>
      <c r="I38" s="4">
        <f>'9.4 Base Rates ADIT Calc p.2 '!I38+'9.4 Base Rates ADIT Calc p.3 '!I38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>'9.4 Base Rates ADIT Calc p.2 '!AF38+'9.4 Base Rates ADIT Calc p.3 '!AF38</f>
        <v>0</v>
      </c>
      <c r="AG38" s="4"/>
      <c r="AH38" s="4">
        <v>0</v>
      </c>
      <c r="AI38" s="4">
        <f>'9.4 Base Rates ADIT Calc p.2 '!AI38+'9.4 Base Rates ADIT Calc p.3 '!AI38</f>
        <v>0</v>
      </c>
      <c r="AJ38" s="4">
        <f>+'9.4 Base Rates ADIT Calc p.2 '!AJ38+'9.4 Base Rates ADIT Calc p.3 '!AJ38</f>
        <v>0</v>
      </c>
      <c r="AK38" s="4">
        <f>+'9.4 Base Rates ADIT Calc p.2 '!AK38+'9.4 Base Rates ADIT Calc p.3 '!AK38</f>
        <v>0</v>
      </c>
    </row>
    <row r="39" spans="1:37" ht="11.25">
      <c r="A39" s="69">
        <f t="shared" si="2"/>
        <v>22</v>
      </c>
      <c r="B39" s="79">
        <v>0.04461</v>
      </c>
      <c r="C39" s="69">
        <f t="shared" si="3"/>
        <v>20</v>
      </c>
      <c r="D39" s="4">
        <f>'9.4 Base Rates ADIT Calc p.2 '!D39+'9.4 Base Rates ADIT Calc p.3 '!D39</f>
        <v>0</v>
      </c>
      <c r="E39" s="4">
        <f>'9.4 Base Rates ADIT Calc p.2 '!E39+'9.4 Base Rates ADIT Calc p.3 '!E40</f>
        <v>0</v>
      </c>
      <c r="F39" s="4">
        <f>'9.4 Base Rates ADIT Calc p.2 '!F39+'9.4 Base Rates ADIT Calc p.3 '!F40</f>
        <v>0</v>
      </c>
      <c r="G39" s="4">
        <f>'9.4 Base Rates ADIT Calc p.2 '!G39+'9.4 Base Rates ADIT Calc p.3 '!G39</f>
        <v>0</v>
      </c>
      <c r="H39" s="4">
        <f>'9.4 Base Rates ADIT Calc p.2 '!H39+'9.4 Base Rates ADIT Calc p.3 '!H39</f>
        <v>0</v>
      </c>
      <c r="I39" s="4">
        <f>'9.4 Base Rates ADIT Calc p.2 '!I39+'9.4 Base Rates ADIT Calc p.3 '!I39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>'9.4 Base Rates ADIT Calc p.2 '!AF39+'9.4 Base Rates ADIT Calc p.3 '!AF39</f>
        <v>0</v>
      </c>
      <c r="AG39" s="4"/>
      <c r="AH39" s="4">
        <v>0</v>
      </c>
      <c r="AI39" s="4">
        <f>'9.4 Base Rates ADIT Calc p.2 '!AI39+'9.4 Base Rates ADIT Calc p.3 '!AI39</f>
        <v>0</v>
      </c>
      <c r="AJ39" s="4">
        <f>+'9.4 Base Rates ADIT Calc p.2 '!AJ39+'9.4 Base Rates ADIT Calc p.3 '!AJ39</f>
        <v>0</v>
      </c>
      <c r="AK39" s="4">
        <f>+'9.4 Base Rates ADIT Calc p.2 '!AK39+'9.4 Base Rates ADIT Calc p.3 '!AK39</f>
        <v>0</v>
      </c>
    </row>
    <row r="40" spans="1:37" ht="11.25">
      <c r="A40" s="69">
        <f t="shared" si="2"/>
        <v>23</v>
      </c>
      <c r="B40" s="79">
        <v>0.02231</v>
      </c>
      <c r="C40" s="69">
        <f t="shared" si="3"/>
        <v>21</v>
      </c>
      <c r="D40" s="4">
        <f>'9.4 Base Rates ADIT Calc p.2 '!D40+'9.4 Base Rates ADIT Calc p.3 '!D40</f>
        <v>0</v>
      </c>
      <c r="E40" s="4">
        <f>'9.4 Base Rates ADIT Calc p.2 '!E40+'9.4 Base Rates ADIT Calc p.3 '!E41</f>
        <v>0</v>
      </c>
      <c r="F40" s="4">
        <f>'9.4 Base Rates ADIT Calc p.2 '!F40+'9.4 Base Rates ADIT Calc p.3 '!F41</f>
        <v>0</v>
      </c>
      <c r="G40" s="4">
        <f>'9.4 Base Rates ADIT Calc p.2 '!G40+'9.4 Base Rates ADIT Calc p.3 '!G40</f>
        <v>0</v>
      </c>
      <c r="H40" s="4">
        <f>'9.4 Base Rates ADIT Calc p.2 '!H40+'9.4 Base Rates ADIT Calc p.3 '!H40</f>
        <v>0</v>
      </c>
      <c r="I40" s="4">
        <f>'9.4 Base Rates ADIT Calc p.2 '!I40+'9.4 Base Rates ADIT Calc p.3 '!I40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>'9.4 Base Rates ADIT Calc p.2 '!AF40+'9.4 Base Rates ADIT Calc p.3 '!AF40</f>
        <v>0</v>
      </c>
      <c r="AG40" s="4"/>
      <c r="AH40" s="4">
        <v>0</v>
      </c>
      <c r="AI40" s="4">
        <f>'9.4 Base Rates ADIT Calc p.2 '!AI40+'9.4 Base Rates ADIT Calc p.3 '!AI40</f>
        <v>0</v>
      </c>
      <c r="AJ40" s="4">
        <f>+'9.4 Base Rates ADIT Calc p.2 '!AJ40+'9.4 Base Rates ADIT Calc p.3 '!AJ40</f>
        <v>0</v>
      </c>
      <c r="AK40" s="4">
        <f>+'9.4 Base Rates ADIT Calc p.2 '!AK40+'9.4 Base Rates ADIT Calc p.3 '!AK40</f>
        <v>0</v>
      </c>
    </row>
    <row r="41" spans="1:37" ht="11.25">
      <c r="A41" s="69">
        <f t="shared" si="2"/>
        <v>24</v>
      </c>
      <c r="B41" s="79"/>
      <c r="C41" s="69">
        <f t="shared" si="3"/>
        <v>22</v>
      </c>
      <c r="D41" s="4"/>
      <c r="E41" s="4">
        <v>0</v>
      </c>
      <c r="F41" s="4">
        <f>'9.4 Base Rates ADIT Calc p.2 '!F41+'9.4 Base Rates ADIT Calc p.3 '!F42</f>
        <v>0</v>
      </c>
      <c r="G41" s="4">
        <f>'9.4 Base Rates ADIT Calc p.2 '!G41+'9.4 Base Rates ADIT Calc p.3 '!G41</f>
        <v>0</v>
      </c>
      <c r="H41" s="4">
        <f>'9.4 Base Rates ADIT Calc p.2 '!H41+'9.4 Base Rates ADIT Calc p.3 '!H41</f>
        <v>0</v>
      </c>
      <c r="I41" s="4">
        <f>'9.4 Base Rates ADIT Calc p.2 '!I41+'9.4 Base Rates ADIT Calc p.3 '!I41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>'9.4 Base Rates ADIT Calc p.2 '!AF41+'9.4 Base Rates ADIT Calc p.3 '!AF41</f>
        <v>0</v>
      </c>
      <c r="AH41" s="4">
        <v>0</v>
      </c>
      <c r="AI41" s="4">
        <f>'9.4 Base Rates ADIT Calc p.2 '!AI41+'9.4 Base Rates ADIT Calc p.3 '!AI41</f>
        <v>0</v>
      </c>
      <c r="AJ41" s="4">
        <f>+'9.4 Base Rates ADIT Calc p.2 '!AJ41+'9.4 Base Rates ADIT Calc p.3 '!AJ41</f>
        <v>0</v>
      </c>
      <c r="AK41" s="4">
        <f>+'9.4 Base Rates ADIT Calc p.2 '!AK41+'9.4 Base Rates ADIT Calc p.3 '!AK41</f>
        <v>0</v>
      </c>
    </row>
    <row r="42" spans="1:37" ht="11.25">
      <c r="A42" s="69">
        <f t="shared" si="2"/>
        <v>25</v>
      </c>
      <c r="B42" s="79"/>
      <c r="C42" s="69"/>
      <c r="F42" s="4"/>
      <c r="G42" s="4">
        <f>'9.4 Base Rates ADIT Calc p.2 '!G42+'9.4 Base Rates ADIT Calc p.3 '!G42</f>
        <v>0</v>
      </c>
      <c r="H42" s="4">
        <f>'9.4 Base Rates ADIT Calc p.2 '!H42+'9.4 Base Rates ADIT Calc p.3 '!H42</f>
        <v>0</v>
      </c>
      <c r="I42" s="4">
        <f>'9.4 Base Rates ADIT Calc p.2 '!I42+'9.4 Base Rates ADIT Calc p.3 '!I42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>'9.4 Base Rates ADIT Calc p.2 '!AF42+'9.4 Base Rates ADIT Calc p.3 '!AF42</f>
        <v>0</v>
      </c>
      <c r="AH42" s="4">
        <v>0</v>
      </c>
      <c r="AI42" s="4">
        <f>'9.4 Base Rates ADIT Calc p.2 '!AI42+'9.4 Base Rates ADIT Calc p.3 '!AI42</f>
        <v>0</v>
      </c>
      <c r="AJ42" s="4">
        <f>+'9.4 Base Rates ADIT Calc p.2 '!AJ42+'9.4 Base Rates ADIT Calc p.3 '!AJ42</f>
        <v>0</v>
      </c>
      <c r="AK42" s="4">
        <f>+'9.4 Base Rates ADIT Calc p.2 '!AK42+'9.4 Base Rates ADIT Calc p.3 '!AK42</f>
        <v>0</v>
      </c>
    </row>
    <row r="43" spans="1:37" ht="11.25">
      <c r="A43" s="69">
        <f t="shared" si="2"/>
        <v>26</v>
      </c>
      <c r="B43" s="79"/>
      <c r="C43" s="69"/>
      <c r="F43" s="4"/>
      <c r="G43" s="4"/>
      <c r="H43" s="4">
        <f>'9.4 Base Rates ADIT Calc p.2 '!H43+'9.4 Base Rates ADIT Calc p.3 '!H43</f>
        <v>0</v>
      </c>
      <c r="I43" s="4">
        <f>'9.4 Base Rates ADIT Calc p.2 '!I43+'9.4 Base Rates ADIT Calc p.3 '!I43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>'9.4 Base Rates ADIT Calc p.2 '!AF43+'9.4 Base Rates ADIT Calc p.3 '!AF43</f>
        <v>0</v>
      </c>
      <c r="AH43" s="4">
        <v>0</v>
      </c>
      <c r="AI43" s="4">
        <f>'9.4 Base Rates ADIT Calc p.2 '!AI45+'9.4 Base Rates ADIT Calc p.3 '!AI45</f>
        <v>0</v>
      </c>
      <c r="AJ43" s="4"/>
      <c r="AK43" s="4">
        <f>+'9.4 Base Rates ADIT Calc p.2 '!AJ43+'9.4 Base Rates ADIT Calc p.3 '!AJ43</f>
        <v>0</v>
      </c>
    </row>
    <row r="44" spans="1:37" ht="11.25">
      <c r="A44" s="69">
        <f t="shared" si="2"/>
        <v>27</v>
      </c>
      <c r="B44" s="79"/>
      <c r="C44" s="69"/>
      <c r="F44" s="4"/>
      <c r="G44" s="4"/>
      <c r="H44" s="4"/>
      <c r="I44" s="4">
        <f>'9.4 Base Rates ADIT Calc p.2 '!I44+'9.4 Base Rates ADIT Calc p.3 '!I44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>'9.4 Base Rates ADIT Calc p.2 '!AF44+'9.4 Base Rates ADIT Calc p.3 '!AF44</f>
        <v>0</v>
      </c>
      <c r="AH44" s="4"/>
      <c r="AI44" s="4"/>
      <c r="AJ44" s="4"/>
      <c r="AK44" s="4"/>
    </row>
    <row r="45" spans="1:37" ht="11.25">
      <c r="A45" s="69">
        <f t="shared" si="2"/>
        <v>28</v>
      </c>
      <c r="D45" s="17">
        <f>SUM(D20:D42)</f>
        <v>0</v>
      </c>
      <c r="E45" s="17">
        <f>SUM(E20:E42)</f>
        <v>0</v>
      </c>
      <c r="F45" s="17">
        <f>SUM(F20:F42)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4" ref="J45:AF45">SUM(J20:J44)</f>
        <v>0</v>
      </c>
      <c r="K45" s="17">
        <f t="shared" si="4"/>
        <v>0</v>
      </c>
      <c r="L45" s="17">
        <f t="shared" si="4"/>
        <v>0</v>
      </c>
      <c r="M45" s="17">
        <f t="shared" si="4"/>
        <v>0</v>
      </c>
      <c r="N45" s="17">
        <f t="shared" si="4"/>
        <v>0</v>
      </c>
      <c r="O45" s="17">
        <f t="shared" si="4"/>
        <v>0</v>
      </c>
      <c r="P45" s="17">
        <f t="shared" si="4"/>
        <v>0</v>
      </c>
      <c r="Q45" s="17">
        <f t="shared" si="4"/>
        <v>0</v>
      </c>
      <c r="R45" s="17">
        <f t="shared" si="4"/>
        <v>0</v>
      </c>
      <c r="S45" s="17">
        <f t="shared" si="4"/>
        <v>0</v>
      </c>
      <c r="T45" s="17">
        <f t="shared" si="4"/>
        <v>0</v>
      </c>
      <c r="U45" s="17">
        <f t="shared" si="4"/>
        <v>0</v>
      </c>
      <c r="V45" s="17">
        <f t="shared" si="4"/>
        <v>0</v>
      </c>
      <c r="W45" s="17">
        <f t="shared" si="4"/>
        <v>0</v>
      </c>
      <c r="X45" s="17">
        <f t="shared" si="4"/>
        <v>0</v>
      </c>
      <c r="Y45" s="17">
        <f t="shared" si="4"/>
        <v>0</v>
      </c>
      <c r="Z45" s="17">
        <f t="shared" si="4"/>
        <v>0</v>
      </c>
      <c r="AA45" s="17">
        <f t="shared" si="4"/>
        <v>0</v>
      </c>
      <c r="AB45" s="17">
        <f t="shared" si="4"/>
        <v>0</v>
      </c>
      <c r="AC45" s="17">
        <f t="shared" si="4"/>
        <v>0</v>
      </c>
      <c r="AD45" s="17">
        <f t="shared" si="4"/>
        <v>0</v>
      </c>
      <c r="AE45" s="17">
        <f t="shared" si="4"/>
        <v>0</v>
      </c>
      <c r="AF45" s="17">
        <f t="shared" si="4"/>
        <v>0</v>
      </c>
      <c r="AG45" s="17">
        <f>SUM(AG20:AG43)</f>
        <v>0</v>
      </c>
      <c r="AH45" s="17">
        <f>SUM(AH20:AH43)</f>
        <v>0</v>
      </c>
      <c r="AI45" s="4"/>
      <c r="AJ45" s="4"/>
      <c r="AK45" s="4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4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76"/>
    </row>
    <row r="48" spans="1:37" ht="11.25">
      <c r="A48" s="16" t="s">
        <v>117</v>
      </c>
      <c r="AH48" s="17"/>
      <c r="AI48" s="4"/>
      <c r="AJ48" s="4"/>
      <c r="AK48" s="4"/>
    </row>
    <row r="49" spans="1:37" ht="11.25">
      <c r="A49" s="16" t="s">
        <v>101</v>
      </c>
      <c r="AH49" s="17"/>
      <c r="AI49" s="4"/>
      <c r="AJ49" s="4"/>
      <c r="AK49" s="4"/>
    </row>
    <row r="50" spans="4:6" ht="11.25">
      <c r="D50" s="77"/>
      <c r="E50" s="77"/>
      <c r="F50" s="77"/>
    </row>
    <row r="51" spans="4:6" ht="11.25">
      <c r="D51" s="77"/>
      <c r="E51" s="77"/>
      <c r="F51" s="77"/>
    </row>
    <row r="56" ht="11.25">
      <c r="AF56" s="17"/>
    </row>
    <row r="57" ht="11.25">
      <c r="AF57" s="17"/>
    </row>
    <row r="58" ht="11.25">
      <c r="AF58" s="17"/>
    </row>
    <row r="59" ht="11.25">
      <c r="AF59" s="17"/>
    </row>
    <row r="60" spans="7:32" ht="11.25">
      <c r="G60" s="4"/>
      <c r="AF60" s="17"/>
    </row>
    <row r="61" spans="7:32" ht="11.25">
      <c r="G61" s="4"/>
      <c r="H61" s="4"/>
      <c r="AF61" s="17"/>
    </row>
    <row r="62" spans="7:32" ht="11.25">
      <c r="G62" s="4"/>
      <c r="H62" s="4"/>
      <c r="I62" s="4"/>
      <c r="AF62" s="17"/>
    </row>
    <row r="63" spans="7:32" ht="11.25">
      <c r="G63" s="4"/>
      <c r="H63" s="4"/>
      <c r="I63" s="4"/>
      <c r="J63" s="4"/>
      <c r="AF63" s="17"/>
    </row>
    <row r="64" spans="7:32" ht="11.25">
      <c r="G64" s="4"/>
      <c r="H64" s="4"/>
      <c r="I64" s="4"/>
      <c r="J64" s="4"/>
      <c r="K64" s="4"/>
      <c r="AF64" s="17"/>
    </row>
    <row r="65" spans="7:32" ht="11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7"/>
    </row>
    <row r="66" spans="7:33" ht="11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7"/>
      <c r="AG66" s="17"/>
    </row>
    <row r="67" spans="7:33" ht="11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7"/>
      <c r="AG67" s="17"/>
    </row>
    <row r="68" spans="7:33" ht="11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7"/>
      <c r="AG68" s="17"/>
    </row>
    <row r="69" spans="7:31" ht="11.2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8:31" ht="11.2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9:31" ht="11.25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0:31" ht="11.25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1:31" ht="11.25"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2:31" ht="11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</sheetData>
  <sheetProtection/>
  <mergeCells count="5">
    <mergeCell ref="A5:AK5"/>
    <mergeCell ref="A6:AK6"/>
    <mergeCell ref="A7:AK7"/>
    <mergeCell ref="D17:AG17"/>
    <mergeCell ref="A8:AK8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106"/>
  <sheetViews>
    <sheetView zoomScale="90" zoomScaleNormal="90" zoomScaleSheetLayoutView="100" zoomScalePageLayoutView="0" workbookViewId="0" topLeftCell="A15">
      <selection activeCell="AK1" sqref="AK1:AK3"/>
    </sheetView>
  </sheetViews>
  <sheetFormatPr defaultColWidth="9.140625" defaultRowHeight="12.75"/>
  <cols>
    <col min="1" max="1" width="3.8515625" style="69" customWidth="1"/>
    <col min="2" max="2" width="14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2.00390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1" width="12.8515625" style="5" hidden="1" customWidth="1"/>
    <col min="32" max="32" width="12.00390625" style="5" bestFit="1" customWidth="1"/>
    <col min="33" max="33" width="10.00390625" style="5" bestFit="1" customWidth="1"/>
    <col min="34" max="34" width="12.57421875" style="5" bestFit="1" customWidth="1"/>
    <col min="35" max="35" width="11.00390625" style="5" bestFit="1" customWidth="1"/>
    <col min="36" max="37" width="12.28125" style="5" bestFit="1" customWidth="1"/>
    <col min="38" max="16384" width="9.140625" style="5" customWidth="1"/>
  </cols>
  <sheetData>
    <row r="1" spans="2:37" ht="12.75">
      <c r="B1" s="70"/>
      <c r="S1" s="15"/>
      <c r="AK1" s="120" t="str">
        <f>+'9.4 Base Rates ADIT Calc.1 '!AK1</f>
        <v> PSC Set 1 No. 1 2022-00342</v>
      </c>
    </row>
    <row r="2" spans="2:37" ht="12.75">
      <c r="B2" s="70"/>
      <c r="S2" s="15"/>
      <c r="AK2" s="120" t="str">
        <f>+'9.4 Base Rates ADIT Calc.1 '!AK2</f>
        <v>Attachment JTG-1</v>
      </c>
    </row>
    <row r="3" spans="2:37" ht="12.75">
      <c r="B3" s="70"/>
      <c r="S3" s="15"/>
      <c r="AK3" s="120" t="str">
        <f>+'9.4 Base Rates ADIT Calc.1 '!AK3</f>
        <v>SMRP Form 9.4</v>
      </c>
    </row>
    <row r="4" spans="8:37" ht="11.25">
      <c r="H4" s="15"/>
      <c r="R4" s="38"/>
      <c r="S4" s="38"/>
      <c r="AK4" s="15" t="s">
        <v>262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3.5">
      <c r="A7" s="167" t="s">
        <v>272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ht="11.25">
      <c r="B8" s="14"/>
    </row>
    <row r="9" spans="2:36" ht="12.75" customHeight="1">
      <c r="B9" s="7"/>
      <c r="AJ9" s="18"/>
    </row>
    <row r="10" spans="9:37" ht="11.25">
      <c r="I10" s="18"/>
      <c r="J10" s="18">
        <f aca="true" t="shared" si="0" ref="J10:AE10">+I10+1</f>
        <v>1</v>
      </c>
      <c r="K10" s="18">
        <f t="shared" si="0"/>
        <v>2</v>
      </c>
      <c r="L10" s="18">
        <f t="shared" si="0"/>
        <v>3</v>
      </c>
      <c r="M10" s="18">
        <f t="shared" si="0"/>
        <v>4</v>
      </c>
      <c r="N10" s="18">
        <f t="shared" si="0"/>
        <v>5</v>
      </c>
      <c r="O10" s="18">
        <f t="shared" si="0"/>
        <v>6</v>
      </c>
      <c r="P10" s="18">
        <f t="shared" si="0"/>
        <v>7</v>
      </c>
      <c r="Q10" s="18">
        <f t="shared" si="0"/>
        <v>8</v>
      </c>
      <c r="R10" s="18">
        <f>+Q10+1</f>
        <v>9</v>
      </c>
      <c r="S10" s="18">
        <f t="shared" si="0"/>
        <v>10</v>
      </c>
      <c r="T10" s="18">
        <f t="shared" si="0"/>
        <v>11</v>
      </c>
      <c r="U10" s="18">
        <f t="shared" si="0"/>
        <v>12</v>
      </c>
      <c r="V10" s="18">
        <f t="shared" si="0"/>
        <v>13</v>
      </c>
      <c r="W10" s="18">
        <f t="shared" si="0"/>
        <v>14</v>
      </c>
      <c r="X10" s="18">
        <f t="shared" si="0"/>
        <v>15</v>
      </c>
      <c r="Y10" s="18">
        <f t="shared" si="0"/>
        <v>16</v>
      </c>
      <c r="Z10" s="18">
        <f t="shared" si="0"/>
        <v>17</v>
      </c>
      <c r="AA10" s="18">
        <f t="shared" si="0"/>
        <v>18</v>
      </c>
      <c r="AB10" s="18">
        <f t="shared" si="0"/>
        <v>19</v>
      </c>
      <c r="AC10" s="18">
        <f t="shared" si="0"/>
        <v>20</v>
      </c>
      <c r="AD10" s="18">
        <f t="shared" si="0"/>
        <v>21</v>
      </c>
      <c r="AE10" s="18">
        <f t="shared" si="0"/>
        <v>22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f>+'9.4 Base Rates ADIT Calc.1 '!D11</f>
        <v>2022</v>
      </c>
      <c r="E11" s="18">
        <f>+'9.4 Base Rates ADIT Calc.1 '!E11</f>
        <v>2023</v>
      </c>
      <c r="F11" s="18">
        <f>+'9.4 Base Rates ADIT Calc.1 '!F11</f>
        <v>2024</v>
      </c>
      <c r="G11" s="18">
        <f>+'9.4 Base Rates ADIT Calc.1 '!G11</f>
        <v>2025</v>
      </c>
      <c r="H11" s="18">
        <f>+'9.4 Base Rates ADIT Calc.1 '!H11</f>
        <v>2026</v>
      </c>
      <c r="I11" s="18">
        <f>+'9.4 Base Rates ADIT Calc.1 '!I11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83" t="s">
        <v>102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5" t="s">
        <v>183</v>
      </c>
      <c r="C16" s="74"/>
      <c r="D16" s="6">
        <f>+'9.0 Base Rates Plant in Svc'!P14+'9.0 Base Rates Plant in Svc'!P16</f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 t="e">
        <f>#REF!+#REF!</f>
        <v>#REF!</v>
      </c>
      <c r="K16" s="6" t="e">
        <f>#REF!+#REF!</f>
        <v>#REF!</v>
      </c>
      <c r="L16" s="6" t="e">
        <f>#REF!+#REF!</f>
        <v>#REF!</v>
      </c>
      <c r="M16" s="6" t="e">
        <f>#REF!+#REF!</f>
        <v>#REF!</v>
      </c>
      <c r="N16" s="6" t="e">
        <f>#REF!+#REF!</f>
        <v>#REF!</v>
      </c>
      <c r="O16" s="6" t="e">
        <f>#REF!+#REF!</f>
        <v>#REF!</v>
      </c>
      <c r="P16" s="6" t="e">
        <f>#REF!+#REF!</f>
        <v>#REF!</v>
      </c>
      <c r="Q16" s="6" t="e">
        <f>#REF!+#REF!</f>
        <v>#REF!</v>
      </c>
      <c r="R16" s="6" t="e">
        <f>#REF!+#REF!</f>
        <v>#REF!</v>
      </c>
      <c r="S16" s="6" t="e">
        <f>#REF!+#REF!</f>
        <v>#REF!</v>
      </c>
      <c r="T16" s="6" t="e">
        <f>#REF!+#REF!</f>
        <v>#REF!</v>
      </c>
      <c r="U16" s="6" t="e">
        <f>#REF!+#REF!</f>
        <v>#REF!</v>
      </c>
      <c r="V16" s="6" t="e">
        <f>#REF!+#REF!</f>
        <v>#REF!</v>
      </c>
      <c r="W16" s="6" t="e">
        <f>#REF!+#REF!</f>
        <v>#REF!</v>
      </c>
      <c r="X16" s="6" t="e">
        <f>#REF!+#REF!</f>
        <v>#REF!</v>
      </c>
      <c r="Y16" s="6" t="e">
        <f>#REF!+#REF!</f>
        <v>#REF!</v>
      </c>
      <c r="Z16" s="6" t="e">
        <f>#REF!+#REF!</f>
        <v>#REF!</v>
      </c>
      <c r="AA16" s="6" t="e">
        <f>#REF!+#REF!</f>
        <v>#REF!</v>
      </c>
      <c r="AB16" s="6" t="e">
        <f>#REF!+#REF!</f>
        <v>#REF!</v>
      </c>
      <c r="AC16" s="6" t="e">
        <f>#REF!+#REF!</f>
        <v>#REF!</v>
      </c>
      <c r="AD16" s="6" t="e">
        <f>#REF!+#REF!</f>
        <v>#REF!</v>
      </c>
      <c r="AE16" s="6" t="e">
        <f>#REF!+#REF!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13.5" customHeight="1">
      <c r="A18" s="69">
        <f>A16+1</f>
        <v>2</v>
      </c>
      <c r="B18" s="75" t="s">
        <v>97</v>
      </c>
      <c r="C18" s="74"/>
      <c r="D18" s="8">
        <f aca="true" t="shared" si="2" ref="D18:I18">D56+D55</f>
        <v>0.35897878</v>
      </c>
      <c r="E18" s="8">
        <f t="shared" si="2"/>
        <v>0.35897878</v>
      </c>
      <c r="F18" s="8">
        <f t="shared" si="2"/>
        <v>0.35897878</v>
      </c>
      <c r="G18" s="8">
        <f t="shared" si="2"/>
        <v>0.35897878</v>
      </c>
      <c r="H18" s="8">
        <f t="shared" si="2"/>
        <v>0.35897878</v>
      </c>
      <c r="I18" s="8">
        <f t="shared" si="2"/>
        <v>0.35897878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ROUND((D$16)*$D$18,0)+ROUND(($D$16-($D$16*$D$18))*B20,0)</f>
        <v>0</v>
      </c>
      <c r="E20" s="4"/>
      <c r="AF20" s="4">
        <f>SUM(D20:G20)</f>
        <v>0</v>
      </c>
      <c r="AG20" s="4">
        <f>+'9.1 Base Rates Acc Depr '!P31+'9.1 Base Rates Acc Depr '!P33</f>
        <v>0</v>
      </c>
      <c r="AH20" s="4">
        <f>+'9.2 Base Rates Depr Exp'!Q20+'9.2 Base Rates Depr Exp'!Q40</f>
        <v>0</v>
      </c>
      <c r="AI20" s="17">
        <f>AF20+AG20-AH20</f>
        <v>0</v>
      </c>
      <c r="AJ20" s="4">
        <f>ROUND(0.2495*AI20,0)</f>
        <v>0</v>
      </c>
      <c r="AK20" s="4">
        <f>+AJ20</f>
        <v>0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 aca="true" t="shared" si="3" ref="D21:D40">ROUND(($D$16-($D$16*$D$18))*B21,0)</f>
        <v>0</v>
      </c>
      <c r="E21" s="4"/>
      <c r="F21" s="4"/>
      <c r="AF21" s="4">
        <f>SUM(D21:G21)</f>
        <v>0</v>
      </c>
      <c r="AG21" s="4">
        <v>0</v>
      </c>
      <c r="AH21" s="4">
        <v>0</v>
      </c>
      <c r="AI21" s="17">
        <v>0</v>
      </c>
      <c r="AJ21" s="4">
        <f>ROUND(0.2495*AI21,0)</f>
        <v>0</v>
      </c>
      <c r="AK21" s="4">
        <v>0</v>
      </c>
    </row>
    <row r="22" spans="1:37" ht="11.25">
      <c r="A22" s="69">
        <f aca="true" t="shared" si="4" ref="A22:A45">A21+1</f>
        <v>5</v>
      </c>
      <c r="B22" s="79">
        <v>0.06677</v>
      </c>
      <c r="C22" s="69">
        <f aca="true" t="shared" si="5" ref="C22:C43">+C21+1</f>
        <v>3</v>
      </c>
      <c r="D22" s="4">
        <f t="shared" si="3"/>
        <v>0</v>
      </c>
      <c r="E22" s="4"/>
      <c r="F22" s="4"/>
      <c r="G22" s="4"/>
      <c r="AF22" s="4">
        <f>SUM(D22:G22)</f>
        <v>0</v>
      </c>
      <c r="AG22" s="4">
        <v>0</v>
      </c>
      <c r="AH22" s="4">
        <v>0</v>
      </c>
      <c r="AI22" s="17">
        <v>0</v>
      </c>
      <c r="AJ22" s="4">
        <f>ROUND(0.2495*AI22,0)</f>
        <v>0</v>
      </c>
      <c r="AK22" s="4">
        <v>0</v>
      </c>
    </row>
    <row r="23" spans="1:37" ht="11.25">
      <c r="A23" s="69">
        <f t="shared" si="4"/>
        <v>6</v>
      </c>
      <c r="B23" s="79">
        <v>0.06177</v>
      </c>
      <c r="C23" s="69">
        <f t="shared" si="5"/>
        <v>4</v>
      </c>
      <c r="D23" s="4">
        <f t="shared" si="3"/>
        <v>0</v>
      </c>
      <c r="E23" s="4"/>
      <c r="F23" s="4"/>
      <c r="G23" s="4"/>
      <c r="H23" s="4">
        <f>ROUND((H$16)*H$18,0)+ROUND((H$16-(H$16*H$18))*$B20,0)</f>
        <v>0</v>
      </c>
      <c r="AF23" s="4">
        <f>SUM(D23:H23)</f>
        <v>0</v>
      </c>
      <c r="AG23" s="4">
        <v>0</v>
      </c>
      <c r="AH23" s="4"/>
      <c r="AI23" s="17"/>
      <c r="AJ23" s="4"/>
      <c r="AK23" s="4"/>
    </row>
    <row r="24" spans="1:37" ht="11.25">
      <c r="A24" s="69">
        <f t="shared" si="4"/>
        <v>7</v>
      </c>
      <c r="B24" s="79">
        <v>0.05713</v>
      </c>
      <c r="C24" s="69">
        <f t="shared" si="5"/>
        <v>5</v>
      </c>
      <c r="D24" s="4">
        <f t="shared" si="3"/>
        <v>0</v>
      </c>
      <c r="E24" s="4"/>
      <c r="F24" s="4"/>
      <c r="G24" s="4"/>
      <c r="H24" s="4">
        <f>ROUND((H$16-(H$16*H$18))*$B21,0)</f>
        <v>0</v>
      </c>
      <c r="I24" s="4">
        <f>ROUND((I$16)*I$18,0)+ROUND((I$16-(I$16*I$18))*$B20,0)</f>
        <v>0</v>
      </c>
      <c r="AF24" s="4">
        <f>SUM(D24:I24)</f>
        <v>0</v>
      </c>
      <c r="AG24" s="4">
        <v>0</v>
      </c>
      <c r="AH24" s="4"/>
      <c r="AI24" s="17"/>
      <c r="AJ24" s="4"/>
      <c r="AK24" s="4"/>
    </row>
    <row r="25" spans="1:37" ht="11.25">
      <c r="A25" s="69">
        <f t="shared" si="4"/>
        <v>8</v>
      </c>
      <c r="B25" s="79">
        <v>0.05285</v>
      </c>
      <c r="C25" s="69">
        <f t="shared" si="5"/>
        <v>6</v>
      </c>
      <c r="D25" s="4">
        <f t="shared" si="3"/>
        <v>0</v>
      </c>
      <c r="E25" s="4"/>
      <c r="F25" s="4"/>
      <c r="G25" s="4"/>
      <c r="H25" s="4">
        <f aca="true" t="shared" si="6" ref="H25:H43">ROUND((H$16-(H$16*H$18))*$B22,0)</f>
        <v>0</v>
      </c>
      <c r="I25" s="4">
        <f>ROUND((I$16-(I$16*I$18))*$B21,0)</f>
        <v>0</v>
      </c>
      <c r="AF25" s="4">
        <f aca="true" t="shared" si="7" ref="AF25:AF44">SUM(D25:I25)</f>
        <v>0</v>
      </c>
      <c r="AG25" s="4"/>
      <c r="AH25" s="4"/>
      <c r="AI25" s="17"/>
      <c r="AJ25" s="4"/>
      <c r="AK25" s="4"/>
    </row>
    <row r="26" spans="1:37" ht="11.25">
      <c r="A26" s="69">
        <f t="shared" si="4"/>
        <v>9</v>
      </c>
      <c r="B26" s="79">
        <v>0.04888</v>
      </c>
      <c r="C26" s="69">
        <f t="shared" si="5"/>
        <v>7</v>
      </c>
      <c r="D26" s="4">
        <f t="shared" si="3"/>
        <v>0</v>
      </c>
      <c r="E26" s="4"/>
      <c r="F26" s="4"/>
      <c r="G26" s="4"/>
      <c r="H26" s="4">
        <f t="shared" si="6"/>
        <v>0</v>
      </c>
      <c r="I26" s="4">
        <f aca="true" t="shared" si="8" ref="I26:I44">ROUND((I$16-(I$16*I$18))*$B22,0)</f>
        <v>0</v>
      </c>
      <c r="AF26" s="4">
        <f t="shared" si="7"/>
        <v>0</v>
      </c>
      <c r="AG26" s="4"/>
      <c r="AH26" s="4"/>
      <c r="AI26" s="17"/>
      <c r="AJ26" s="4"/>
      <c r="AK26" s="4"/>
    </row>
    <row r="27" spans="1:37" ht="11.25">
      <c r="A27" s="69">
        <f t="shared" si="4"/>
        <v>10</v>
      </c>
      <c r="B27" s="79">
        <v>0.04522</v>
      </c>
      <c r="C27" s="69">
        <f t="shared" si="5"/>
        <v>8</v>
      </c>
      <c r="D27" s="4">
        <f t="shared" si="3"/>
        <v>0</v>
      </c>
      <c r="E27" s="4"/>
      <c r="F27" s="4"/>
      <c r="G27" s="4"/>
      <c r="H27" s="4">
        <f t="shared" si="6"/>
        <v>0</v>
      </c>
      <c r="I27" s="4">
        <f t="shared" si="8"/>
        <v>0</v>
      </c>
      <c r="AF27" s="4">
        <f t="shared" si="7"/>
        <v>0</v>
      </c>
      <c r="AG27" s="4"/>
      <c r="AH27" s="4"/>
      <c r="AI27" s="17"/>
      <c r="AJ27" s="4"/>
      <c r="AK27" s="4"/>
    </row>
    <row r="28" spans="1:37" ht="11.25">
      <c r="A28" s="69">
        <f t="shared" si="4"/>
        <v>11</v>
      </c>
      <c r="B28" s="79">
        <v>0.04462</v>
      </c>
      <c r="C28" s="69">
        <f t="shared" si="5"/>
        <v>9</v>
      </c>
      <c r="D28" s="4">
        <f t="shared" si="3"/>
        <v>0</v>
      </c>
      <c r="E28" s="4"/>
      <c r="F28" s="4"/>
      <c r="G28" s="4"/>
      <c r="H28" s="4">
        <f t="shared" si="6"/>
        <v>0</v>
      </c>
      <c r="I28" s="4">
        <f t="shared" si="8"/>
        <v>0</v>
      </c>
      <c r="J28" s="4"/>
      <c r="AF28" s="4">
        <f t="shared" si="7"/>
        <v>0</v>
      </c>
      <c r="AG28" s="4"/>
      <c r="AH28" s="4"/>
      <c r="AI28" s="17"/>
      <c r="AJ28" s="4"/>
      <c r="AK28" s="4"/>
    </row>
    <row r="29" spans="1:37" ht="11.25">
      <c r="A29" s="69">
        <f t="shared" si="4"/>
        <v>12</v>
      </c>
      <c r="B29" s="79">
        <v>0.04461</v>
      </c>
      <c r="C29" s="69">
        <f t="shared" si="5"/>
        <v>10</v>
      </c>
      <c r="D29" s="4">
        <f t="shared" si="3"/>
        <v>0</v>
      </c>
      <c r="E29" s="4"/>
      <c r="F29" s="4"/>
      <c r="G29" s="4"/>
      <c r="H29" s="4">
        <f t="shared" si="6"/>
        <v>0</v>
      </c>
      <c r="I29" s="4">
        <f t="shared" si="8"/>
        <v>0</v>
      </c>
      <c r="J29" s="4"/>
      <c r="K29" s="4"/>
      <c r="AF29" s="4">
        <f t="shared" si="7"/>
        <v>0</v>
      </c>
      <c r="AG29" s="4"/>
      <c r="AH29" s="4"/>
      <c r="AI29" s="17"/>
      <c r="AJ29" s="4"/>
      <c r="AK29" s="4"/>
    </row>
    <row r="30" spans="1:37" ht="11.25">
      <c r="A30" s="69">
        <f t="shared" si="4"/>
        <v>13</v>
      </c>
      <c r="B30" s="79">
        <v>0.04462</v>
      </c>
      <c r="C30" s="69">
        <f t="shared" si="5"/>
        <v>11</v>
      </c>
      <c r="D30" s="4">
        <f t="shared" si="3"/>
        <v>0</v>
      </c>
      <c r="E30" s="4"/>
      <c r="F30" s="4"/>
      <c r="G30" s="4"/>
      <c r="H30" s="4">
        <f t="shared" si="6"/>
        <v>0</v>
      </c>
      <c r="I30" s="4">
        <f t="shared" si="8"/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7"/>
        <v>0</v>
      </c>
      <c r="AG30" s="4"/>
      <c r="AH30" s="4"/>
      <c r="AI30" s="17"/>
      <c r="AJ30" s="4"/>
      <c r="AK30" s="4"/>
    </row>
    <row r="31" spans="1:37" ht="11.25">
      <c r="A31" s="69">
        <f t="shared" si="4"/>
        <v>14</v>
      </c>
      <c r="B31" s="79">
        <v>0.04461</v>
      </c>
      <c r="C31" s="69">
        <f t="shared" si="5"/>
        <v>12</v>
      </c>
      <c r="D31" s="4">
        <f t="shared" si="3"/>
        <v>0</v>
      </c>
      <c r="E31" s="4"/>
      <c r="F31" s="4"/>
      <c r="G31" s="4"/>
      <c r="H31" s="4">
        <f t="shared" si="6"/>
        <v>0</v>
      </c>
      <c r="I31" s="4">
        <f t="shared" si="8"/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t="shared" si="7"/>
        <v>0</v>
      </c>
      <c r="AG31" s="4"/>
      <c r="AH31" s="4"/>
      <c r="AI31" s="17"/>
      <c r="AJ31" s="4"/>
      <c r="AK31" s="4"/>
    </row>
    <row r="32" spans="1:37" ht="11.25">
      <c r="A32" s="69">
        <f t="shared" si="4"/>
        <v>15</v>
      </c>
      <c r="B32" s="79">
        <v>0.04462</v>
      </c>
      <c r="C32" s="69">
        <f t="shared" si="5"/>
        <v>13</v>
      </c>
      <c r="D32" s="4">
        <f t="shared" si="3"/>
        <v>0</v>
      </c>
      <c r="E32" s="4"/>
      <c r="F32" s="4"/>
      <c r="G32" s="4"/>
      <c r="H32" s="4">
        <f t="shared" si="6"/>
        <v>0</v>
      </c>
      <c r="I32" s="4">
        <f t="shared" si="8"/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 t="shared" si="7"/>
        <v>0</v>
      </c>
      <c r="AG32" s="4"/>
      <c r="AH32" s="4"/>
      <c r="AI32" s="17"/>
      <c r="AJ32" s="4"/>
      <c r="AK32" s="4"/>
    </row>
    <row r="33" spans="1:37" ht="11.25">
      <c r="A33" s="69">
        <f t="shared" si="4"/>
        <v>16</v>
      </c>
      <c r="B33" s="79">
        <v>0.04461</v>
      </c>
      <c r="C33" s="69">
        <f t="shared" si="5"/>
        <v>14</v>
      </c>
      <c r="D33" s="4">
        <f t="shared" si="3"/>
        <v>0</v>
      </c>
      <c r="E33" s="4"/>
      <c r="F33" s="4"/>
      <c r="G33" s="4"/>
      <c r="H33" s="4">
        <f t="shared" si="6"/>
        <v>0</v>
      </c>
      <c r="I33" s="4">
        <f t="shared" si="8"/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7"/>
        <v>0</v>
      </c>
      <c r="AG33" s="4"/>
      <c r="AH33" s="4"/>
      <c r="AI33" s="17"/>
      <c r="AJ33" s="4"/>
      <c r="AK33" s="4"/>
    </row>
    <row r="34" spans="1:37" ht="11.25">
      <c r="A34" s="69">
        <f t="shared" si="4"/>
        <v>17</v>
      </c>
      <c r="B34" s="79">
        <v>0.04462</v>
      </c>
      <c r="C34" s="69">
        <f t="shared" si="5"/>
        <v>15</v>
      </c>
      <c r="D34" s="4">
        <f t="shared" si="3"/>
        <v>0</v>
      </c>
      <c r="E34" s="4"/>
      <c r="F34" s="4"/>
      <c r="G34" s="4"/>
      <c r="H34" s="4">
        <f t="shared" si="6"/>
        <v>0</v>
      </c>
      <c r="I34" s="4">
        <f t="shared" si="8"/>
        <v>0</v>
      </c>
      <c r="J34" s="4"/>
      <c r="K34" s="4"/>
      <c r="L34" s="4"/>
      <c r="M34" s="4"/>
      <c r="N34" s="4"/>
      <c r="O34" s="4"/>
      <c r="P34" s="4"/>
      <c r="AF34" s="4">
        <f t="shared" si="7"/>
        <v>0</v>
      </c>
      <c r="AG34" s="4"/>
      <c r="AH34" s="4"/>
      <c r="AI34" s="17"/>
      <c r="AJ34" s="4"/>
      <c r="AK34" s="4"/>
    </row>
    <row r="35" spans="1:37" ht="11.25">
      <c r="A35" s="69">
        <f t="shared" si="4"/>
        <v>18</v>
      </c>
      <c r="B35" s="79">
        <v>0.04461</v>
      </c>
      <c r="C35" s="69">
        <f t="shared" si="5"/>
        <v>16</v>
      </c>
      <c r="D35" s="4">
        <f t="shared" si="3"/>
        <v>0</v>
      </c>
      <c r="E35" s="4"/>
      <c r="F35" s="4"/>
      <c r="G35" s="4"/>
      <c r="H35" s="4">
        <f t="shared" si="6"/>
        <v>0</v>
      </c>
      <c r="I35" s="4">
        <f t="shared" si="8"/>
        <v>0</v>
      </c>
      <c r="J35" s="4"/>
      <c r="K35" s="4"/>
      <c r="L35" s="4"/>
      <c r="M35" s="4"/>
      <c r="N35" s="4"/>
      <c r="O35" s="4"/>
      <c r="P35" s="4"/>
      <c r="Q35" s="4"/>
      <c r="AF35" s="4">
        <f t="shared" si="7"/>
        <v>0</v>
      </c>
      <c r="AG35" s="4"/>
      <c r="AH35" s="4"/>
      <c r="AI35" s="17"/>
      <c r="AJ35" s="4"/>
      <c r="AK35" s="4"/>
    </row>
    <row r="36" spans="1:37" ht="11.25">
      <c r="A36" s="69">
        <f t="shared" si="4"/>
        <v>19</v>
      </c>
      <c r="B36" s="79">
        <v>0.04462</v>
      </c>
      <c r="C36" s="69">
        <f t="shared" si="5"/>
        <v>17</v>
      </c>
      <c r="D36" s="4">
        <f t="shared" si="3"/>
        <v>0</v>
      </c>
      <c r="E36" s="4"/>
      <c r="F36" s="4"/>
      <c r="G36" s="4"/>
      <c r="H36" s="4">
        <f t="shared" si="6"/>
        <v>0</v>
      </c>
      <c r="I36" s="4">
        <f t="shared" si="8"/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 t="shared" si="7"/>
        <v>0</v>
      </c>
      <c r="AG36" s="4"/>
      <c r="AH36" s="4"/>
      <c r="AI36" s="17"/>
      <c r="AJ36" s="4"/>
      <c r="AK36" s="4"/>
    </row>
    <row r="37" spans="1:37" ht="11.25">
      <c r="A37" s="69">
        <f t="shared" si="4"/>
        <v>20</v>
      </c>
      <c r="B37" s="79">
        <v>0.04461</v>
      </c>
      <c r="C37" s="69">
        <f t="shared" si="5"/>
        <v>18</v>
      </c>
      <c r="D37" s="4">
        <f t="shared" si="3"/>
        <v>0</v>
      </c>
      <c r="E37" s="4"/>
      <c r="F37" s="4"/>
      <c r="G37" s="4"/>
      <c r="H37" s="4">
        <f t="shared" si="6"/>
        <v>0</v>
      </c>
      <c r="I37" s="4">
        <f t="shared" si="8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 t="shared" si="7"/>
        <v>0</v>
      </c>
      <c r="AG37" s="4"/>
      <c r="AH37" s="4"/>
      <c r="AI37" s="17"/>
      <c r="AJ37" s="4"/>
      <c r="AK37" s="4"/>
    </row>
    <row r="38" spans="1:37" ht="11.25">
      <c r="A38" s="69">
        <f t="shared" si="4"/>
        <v>21</v>
      </c>
      <c r="B38" s="79">
        <v>0.04462</v>
      </c>
      <c r="C38" s="69">
        <f t="shared" si="5"/>
        <v>19</v>
      </c>
      <c r="D38" s="4">
        <f t="shared" si="3"/>
        <v>0</v>
      </c>
      <c r="E38" s="4"/>
      <c r="F38" s="4"/>
      <c r="G38" s="4"/>
      <c r="H38" s="4">
        <f t="shared" si="6"/>
        <v>0</v>
      </c>
      <c r="I38" s="4">
        <f t="shared" si="8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 t="shared" si="7"/>
        <v>0</v>
      </c>
      <c r="AG38" s="4"/>
      <c r="AH38" s="4"/>
      <c r="AI38" s="17"/>
      <c r="AJ38" s="4"/>
      <c r="AK38" s="4"/>
    </row>
    <row r="39" spans="1:37" ht="11.25">
      <c r="A39" s="69">
        <f t="shared" si="4"/>
        <v>22</v>
      </c>
      <c r="B39" s="79">
        <v>0.04461</v>
      </c>
      <c r="C39" s="69">
        <f t="shared" si="5"/>
        <v>20</v>
      </c>
      <c r="D39" s="4">
        <f t="shared" si="3"/>
        <v>0</v>
      </c>
      <c r="E39" s="4"/>
      <c r="F39" s="4"/>
      <c r="G39" s="4"/>
      <c r="H39" s="4">
        <f t="shared" si="6"/>
        <v>0</v>
      </c>
      <c r="I39" s="4">
        <f t="shared" si="8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7"/>
        <v>0</v>
      </c>
      <c r="AG39" s="4"/>
      <c r="AH39" s="4"/>
      <c r="AI39" s="17"/>
      <c r="AJ39" s="4"/>
      <c r="AK39" s="4"/>
    </row>
    <row r="40" spans="1:37" ht="11.25">
      <c r="A40" s="69">
        <f t="shared" si="4"/>
        <v>23</v>
      </c>
      <c r="B40" s="79">
        <v>0.02231</v>
      </c>
      <c r="C40" s="69">
        <f t="shared" si="5"/>
        <v>21</v>
      </c>
      <c r="D40" s="4">
        <f t="shared" si="3"/>
        <v>0</v>
      </c>
      <c r="E40" s="4"/>
      <c r="F40" s="4"/>
      <c r="G40" s="4"/>
      <c r="H40" s="4">
        <f t="shared" si="6"/>
        <v>0</v>
      </c>
      <c r="I40" s="4">
        <f t="shared" si="8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7"/>
        <v>0</v>
      </c>
      <c r="AG40" s="4"/>
      <c r="AH40" s="4"/>
      <c r="AI40" s="17"/>
      <c r="AJ40" s="4"/>
      <c r="AK40" s="4"/>
    </row>
    <row r="41" spans="1:37" ht="11.25">
      <c r="A41" s="69">
        <f t="shared" si="4"/>
        <v>24</v>
      </c>
      <c r="B41" s="79"/>
      <c r="C41" s="69">
        <f t="shared" si="5"/>
        <v>22</v>
      </c>
      <c r="E41" s="4"/>
      <c r="F41" s="4"/>
      <c r="G41" s="4"/>
      <c r="H41" s="4">
        <f t="shared" si="6"/>
        <v>0</v>
      </c>
      <c r="I41" s="4">
        <f t="shared" si="8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7"/>
        <v>0</v>
      </c>
      <c r="AH41" s="4"/>
      <c r="AI41" s="17"/>
      <c r="AJ41" s="4"/>
      <c r="AK41" s="4"/>
    </row>
    <row r="42" spans="1:37" ht="11.25">
      <c r="A42" s="69">
        <f t="shared" si="4"/>
        <v>25</v>
      </c>
      <c r="B42" s="79"/>
      <c r="C42" s="69">
        <f t="shared" si="5"/>
        <v>23</v>
      </c>
      <c r="F42" s="4"/>
      <c r="G42" s="4"/>
      <c r="H42" s="4">
        <f t="shared" si="6"/>
        <v>0</v>
      </c>
      <c r="I42" s="4">
        <f t="shared" si="8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7"/>
        <v>0</v>
      </c>
      <c r="AH42" s="4"/>
      <c r="AI42" s="17"/>
      <c r="AJ42" s="4"/>
      <c r="AK42" s="4"/>
    </row>
    <row r="43" spans="1:37" ht="11.25">
      <c r="A43" s="69">
        <f t="shared" si="4"/>
        <v>26</v>
      </c>
      <c r="B43" s="79"/>
      <c r="C43" s="69">
        <f t="shared" si="5"/>
        <v>24</v>
      </c>
      <c r="F43" s="4"/>
      <c r="G43" s="4"/>
      <c r="H43" s="4">
        <f t="shared" si="6"/>
        <v>0</v>
      </c>
      <c r="I43" s="4">
        <f t="shared" si="8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7"/>
        <v>0</v>
      </c>
      <c r="AH43" s="4">
        <f>AH42</f>
        <v>0</v>
      </c>
      <c r="AI43" s="17">
        <f>AF43+AG43-AH43</f>
        <v>0</v>
      </c>
      <c r="AJ43" s="4">
        <f>ROUND(0.2495*AH43,0)</f>
        <v>0</v>
      </c>
      <c r="AK43" s="4">
        <f>ROUND(0.2495*AI43,0)</f>
        <v>0</v>
      </c>
    </row>
    <row r="44" spans="1:37" ht="11.25">
      <c r="A44" s="69">
        <f t="shared" si="4"/>
        <v>27</v>
      </c>
      <c r="B44" s="79"/>
      <c r="C44" s="69"/>
      <c r="F44" s="4"/>
      <c r="G44" s="4"/>
      <c r="H44" s="4"/>
      <c r="I44" s="4">
        <f t="shared" si="8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7"/>
        <v>0</v>
      </c>
      <c r="AH44" s="4"/>
      <c r="AI44" s="17"/>
      <c r="AJ44" s="4"/>
      <c r="AK44" s="4"/>
    </row>
    <row r="45" spans="1:37" ht="11.25">
      <c r="A45" s="69">
        <f t="shared" si="4"/>
        <v>28</v>
      </c>
      <c r="D45" s="17">
        <f>SUM(D20:D41)-2</f>
        <v>-2</v>
      </c>
      <c r="E45" s="17">
        <f>SUM(E20:E41)</f>
        <v>0</v>
      </c>
      <c r="F45" s="17">
        <f>SUM(F20:F41)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9" ref="J45:AE45">SUM(J20:J42)</f>
        <v>0</v>
      </c>
      <c r="K45" s="17">
        <f t="shared" si="9"/>
        <v>0</v>
      </c>
      <c r="L45" s="17">
        <f t="shared" si="9"/>
        <v>0</v>
      </c>
      <c r="M45" s="17">
        <f t="shared" si="9"/>
        <v>0</v>
      </c>
      <c r="N45" s="17">
        <f t="shared" si="9"/>
        <v>0</v>
      </c>
      <c r="O45" s="17">
        <f t="shared" si="9"/>
        <v>0</v>
      </c>
      <c r="P45" s="17">
        <f t="shared" si="9"/>
        <v>0</v>
      </c>
      <c r="Q45" s="17">
        <f t="shared" si="9"/>
        <v>0</v>
      </c>
      <c r="R45" s="17">
        <f t="shared" si="9"/>
        <v>0</v>
      </c>
      <c r="S45" s="17">
        <f t="shared" si="9"/>
        <v>0</v>
      </c>
      <c r="T45" s="17">
        <f t="shared" si="9"/>
        <v>0</v>
      </c>
      <c r="U45" s="17">
        <f t="shared" si="9"/>
        <v>0</v>
      </c>
      <c r="V45" s="17">
        <f t="shared" si="9"/>
        <v>0</v>
      </c>
      <c r="W45" s="17">
        <f t="shared" si="9"/>
        <v>0</v>
      </c>
      <c r="X45" s="17">
        <f t="shared" si="9"/>
        <v>0</v>
      </c>
      <c r="Y45" s="17">
        <f t="shared" si="9"/>
        <v>0</v>
      </c>
      <c r="Z45" s="17">
        <f t="shared" si="9"/>
        <v>0</v>
      </c>
      <c r="AA45" s="17">
        <f t="shared" si="9"/>
        <v>0</v>
      </c>
      <c r="AB45" s="17">
        <f t="shared" si="9"/>
        <v>0</v>
      </c>
      <c r="AC45" s="17">
        <f t="shared" si="9"/>
        <v>0</v>
      </c>
      <c r="AD45" s="17">
        <f t="shared" si="9"/>
        <v>0</v>
      </c>
      <c r="AE45" s="17">
        <f t="shared" si="9"/>
        <v>0</v>
      </c>
      <c r="AF45" s="17">
        <f>SUM(AF20:AF43)</f>
        <v>0</v>
      </c>
      <c r="AG45" s="17">
        <f>SUM(AG20:AG43)</f>
        <v>0</v>
      </c>
      <c r="AH45" s="17">
        <f>SUM(AH20:AH43)</f>
        <v>0</v>
      </c>
      <c r="AI45" s="4"/>
      <c r="AJ45" s="4"/>
      <c r="AK45" s="4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4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76"/>
    </row>
    <row r="48" spans="1:37" ht="11.25">
      <c r="A48" s="16" t="s">
        <v>93</v>
      </c>
      <c r="AH48" s="17"/>
      <c r="AI48" s="4"/>
      <c r="AJ48" s="4"/>
      <c r="AK48" s="4"/>
    </row>
    <row r="49" spans="1:37" ht="11.25">
      <c r="A49" s="16" t="s">
        <v>186</v>
      </c>
      <c r="AH49" s="17"/>
      <c r="AI49" s="4"/>
      <c r="AJ49" s="4"/>
      <c r="AK49" s="4"/>
    </row>
    <row r="50" spans="1:37" ht="11.25">
      <c r="A50" s="16" t="s">
        <v>185</v>
      </c>
      <c r="AH50" s="17"/>
      <c r="AI50" s="4"/>
      <c r="AJ50" s="4"/>
      <c r="AK50" s="4"/>
    </row>
    <row r="51" spans="4:37" ht="11.25">
      <c r="D51" s="80">
        <v>2022</v>
      </c>
      <c r="E51" s="80">
        <f>+D51+1</f>
        <v>2023</v>
      </c>
      <c r="F51" s="80">
        <f>+E51+1</f>
        <v>2024</v>
      </c>
      <c r="G51" s="80">
        <f>+F51+1</f>
        <v>2025</v>
      </c>
      <c r="H51" s="80">
        <f>+G51+1</f>
        <v>2026</v>
      </c>
      <c r="I51" s="80">
        <f>+H51+1</f>
        <v>2027</v>
      </c>
      <c r="AH51" s="17"/>
      <c r="AI51" s="4"/>
      <c r="AJ51" s="4"/>
      <c r="AK51" s="4"/>
    </row>
    <row r="52" spans="2:37" ht="11.25">
      <c r="B52" s="40" t="s">
        <v>74</v>
      </c>
      <c r="D52" s="84">
        <v>0.3322</v>
      </c>
      <c r="E52" s="84">
        <f>+D52</f>
        <v>0.3322</v>
      </c>
      <c r="F52" s="84">
        <f>+E52</f>
        <v>0.3322</v>
      </c>
      <c r="G52" s="84">
        <f>+F52</f>
        <v>0.3322</v>
      </c>
      <c r="H52" s="84">
        <f>+G52</f>
        <v>0.3322</v>
      </c>
      <c r="I52" s="84">
        <v>0.3322</v>
      </c>
      <c r="AH52" s="17"/>
      <c r="AI52" s="4"/>
      <c r="AJ52" s="4"/>
      <c r="AK52" s="4"/>
    </row>
    <row r="53" spans="2:33" ht="11.25">
      <c r="B53" s="40" t="s">
        <v>75</v>
      </c>
      <c r="D53" s="84">
        <v>0.0401</v>
      </c>
      <c r="E53" s="84">
        <v>0.0401</v>
      </c>
      <c r="F53" s="84">
        <v>0.0401</v>
      </c>
      <c r="G53" s="84">
        <v>0.0401</v>
      </c>
      <c r="H53" s="84">
        <v>0.0401</v>
      </c>
      <c r="I53" s="84">
        <v>0.0401</v>
      </c>
      <c r="AG53" s="70"/>
    </row>
    <row r="54" spans="4:37" ht="11.25">
      <c r="D54" s="41">
        <f>(1-D52)*D53</f>
        <v>0.026778779999999995</v>
      </c>
      <c r="E54" s="41">
        <f>(1-E52)*E53</f>
        <v>0.026778779999999995</v>
      </c>
      <c r="F54" s="41">
        <f aca="true" t="shared" si="10" ref="F54:AE54">(1-F52)*F53</f>
        <v>0.026778779999999995</v>
      </c>
      <c r="G54" s="41">
        <f t="shared" si="10"/>
        <v>0.026778779999999995</v>
      </c>
      <c r="H54" s="41">
        <f>(1-H52)*H53</f>
        <v>0.026778779999999995</v>
      </c>
      <c r="I54" s="41">
        <f>(1-I52)*I53</f>
        <v>0.026778779999999995</v>
      </c>
      <c r="J54" s="41">
        <f t="shared" si="10"/>
        <v>0</v>
      </c>
      <c r="K54" s="41">
        <f t="shared" si="10"/>
        <v>0</v>
      </c>
      <c r="L54" s="41">
        <f t="shared" si="10"/>
        <v>0</v>
      </c>
      <c r="M54" s="41">
        <f t="shared" si="10"/>
        <v>0</v>
      </c>
      <c r="N54" s="41">
        <f t="shared" si="10"/>
        <v>0</v>
      </c>
      <c r="O54" s="41">
        <f t="shared" si="10"/>
        <v>0</v>
      </c>
      <c r="P54" s="41">
        <f t="shared" si="10"/>
        <v>0</v>
      </c>
      <c r="Q54" s="41">
        <f t="shared" si="10"/>
        <v>0</v>
      </c>
      <c r="R54" s="41">
        <f t="shared" si="10"/>
        <v>0</v>
      </c>
      <c r="S54" s="41">
        <f t="shared" si="10"/>
        <v>0</v>
      </c>
      <c r="T54" s="41">
        <f t="shared" si="10"/>
        <v>0</v>
      </c>
      <c r="U54" s="41">
        <f t="shared" si="10"/>
        <v>0</v>
      </c>
      <c r="V54" s="41">
        <f t="shared" si="10"/>
        <v>0</v>
      </c>
      <c r="W54" s="41">
        <f t="shared" si="10"/>
        <v>0</v>
      </c>
      <c r="X54" s="41">
        <f t="shared" si="10"/>
        <v>0</v>
      </c>
      <c r="Y54" s="41">
        <f t="shared" si="10"/>
        <v>0</v>
      </c>
      <c r="Z54" s="41">
        <f t="shared" si="10"/>
        <v>0</v>
      </c>
      <c r="AA54" s="41">
        <f t="shared" si="10"/>
        <v>0</v>
      </c>
      <c r="AB54" s="41">
        <f t="shared" si="10"/>
        <v>0</v>
      </c>
      <c r="AC54" s="41">
        <f t="shared" si="10"/>
        <v>0</v>
      </c>
      <c r="AD54" s="41">
        <f t="shared" si="10"/>
        <v>0</v>
      </c>
      <c r="AE54" s="41">
        <f t="shared" si="10"/>
        <v>0</v>
      </c>
      <c r="AJ54" s="69"/>
      <c r="AK54" s="69"/>
    </row>
    <row r="55" spans="2:37" ht="11.25">
      <c r="B55" s="40" t="s">
        <v>99</v>
      </c>
      <c r="D55" s="41">
        <v>0</v>
      </c>
      <c r="E55" s="41">
        <f>+D55</f>
        <v>0</v>
      </c>
      <c r="F55" s="41">
        <f>(1-F52-F54)*0</f>
        <v>0</v>
      </c>
      <c r="G55" s="41">
        <f>(1-G52-G54)*0</f>
        <v>0</v>
      </c>
      <c r="H55" s="41">
        <f>(1-H52-H54)*0</f>
        <v>0</v>
      </c>
      <c r="I55" s="41">
        <f>(1-I52-I54)*0</f>
        <v>0</v>
      </c>
      <c r="AG55" s="69"/>
      <c r="AH55" s="69"/>
      <c r="AI55" s="69"/>
      <c r="AJ55" s="69"/>
      <c r="AK55" s="69"/>
    </row>
    <row r="56" spans="2:37" ht="11.25">
      <c r="B56" s="42"/>
      <c r="D56" s="41">
        <f aca="true" t="shared" si="11" ref="D56:I56">D52+D54</f>
        <v>0.35897878</v>
      </c>
      <c r="E56" s="41">
        <f t="shared" si="11"/>
        <v>0.35897878</v>
      </c>
      <c r="F56" s="41">
        <f t="shared" si="11"/>
        <v>0.35897878</v>
      </c>
      <c r="G56" s="41">
        <f t="shared" si="11"/>
        <v>0.35897878</v>
      </c>
      <c r="H56" s="41">
        <f t="shared" si="11"/>
        <v>0.35897878</v>
      </c>
      <c r="I56" s="41">
        <f t="shared" si="11"/>
        <v>0.35897878</v>
      </c>
      <c r="AG56" s="82"/>
      <c r="AH56" s="82"/>
      <c r="AI56" s="82"/>
      <c r="AJ56" s="82"/>
      <c r="AK56" s="82"/>
    </row>
    <row r="57" spans="4:37" ht="11.25">
      <c r="D57" s="77"/>
      <c r="E57" s="77"/>
      <c r="F57" s="77"/>
      <c r="AH57" s="4"/>
      <c r="AI57" s="17"/>
      <c r="AJ57" s="4"/>
      <c r="AK57" s="4"/>
    </row>
    <row r="58" spans="4:37" ht="11.25">
      <c r="D58" s="77"/>
      <c r="E58" s="77"/>
      <c r="F58" s="77"/>
      <c r="AH58" s="4"/>
      <c r="AI58" s="17"/>
      <c r="AJ58" s="4"/>
      <c r="AK58" s="4"/>
    </row>
    <row r="59" spans="34:37" ht="11.25">
      <c r="AH59" s="4"/>
      <c r="AI59" s="17"/>
      <c r="AJ59" s="4"/>
      <c r="AK59" s="4"/>
    </row>
    <row r="60" spans="34:37" ht="11.25">
      <c r="AH60" s="4"/>
      <c r="AI60" s="17"/>
      <c r="AJ60" s="4"/>
      <c r="AK60" s="4"/>
    </row>
    <row r="61" spans="34:37" ht="11.25">
      <c r="AH61" s="4"/>
      <c r="AI61" s="17"/>
      <c r="AJ61" s="4"/>
      <c r="AK61" s="4"/>
    </row>
    <row r="62" spans="34:37" ht="11.25">
      <c r="AH62" s="4"/>
      <c r="AI62" s="17"/>
      <c r="AJ62" s="4"/>
      <c r="AK62" s="4"/>
    </row>
    <row r="63" spans="32:37" ht="11.25">
      <c r="AF63" s="17"/>
      <c r="AH63" s="4"/>
      <c r="AI63" s="17"/>
      <c r="AJ63" s="4"/>
      <c r="AK63" s="4"/>
    </row>
    <row r="64" spans="32:37" ht="11.25">
      <c r="AF64" s="17"/>
      <c r="AH64" s="4"/>
      <c r="AI64" s="17"/>
      <c r="AJ64" s="4"/>
      <c r="AK64" s="4"/>
    </row>
    <row r="65" spans="32:37" ht="11.25">
      <c r="AF65" s="17"/>
      <c r="AH65" s="4"/>
      <c r="AI65" s="17"/>
      <c r="AJ65" s="4"/>
      <c r="AK65" s="4"/>
    </row>
    <row r="66" spans="32:37" ht="11.25">
      <c r="AF66" s="17"/>
      <c r="AH66" s="4"/>
      <c r="AI66" s="17"/>
      <c r="AJ66" s="4"/>
      <c r="AK66" s="4"/>
    </row>
    <row r="67" spans="7:37" ht="11.25">
      <c r="G67" s="4"/>
      <c r="AF67" s="17"/>
      <c r="AH67" s="4"/>
      <c r="AI67" s="17"/>
      <c r="AJ67" s="4"/>
      <c r="AK67" s="4"/>
    </row>
    <row r="68" spans="7:37" ht="11.25">
      <c r="G68" s="4"/>
      <c r="H68" s="4"/>
      <c r="AF68" s="17"/>
      <c r="AH68" s="4"/>
      <c r="AI68" s="17"/>
      <c r="AJ68" s="4"/>
      <c r="AK68" s="4"/>
    </row>
    <row r="69" spans="7:37" ht="11.25">
      <c r="G69" s="4"/>
      <c r="H69" s="4"/>
      <c r="I69" s="4"/>
      <c r="AF69" s="17"/>
      <c r="AH69" s="4"/>
      <c r="AI69" s="17"/>
      <c r="AJ69" s="4"/>
      <c r="AK69" s="4"/>
    </row>
    <row r="70" spans="7:37" ht="11.25">
      <c r="G70" s="4"/>
      <c r="H70" s="4"/>
      <c r="I70" s="4"/>
      <c r="J70" s="4"/>
      <c r="AF70" s="17"/>
      <c r="AH70" s="4"/>
      <c r="AI70" s="17"/>
      <c r="AJ70" s="4"/>
      <c r="AK70" s="4"/>
    </row>
    <row r="71" spans="7:37" ht="11.25">
      <c r="G71" s="4"/>
      <c r="H71" s="4"/>
      <c r="I71" s="4"/>
      <c r="J71" s="4"/>
      <c r="K71" s="4"/>
      <c r="AF71" s="17"/>
      <c r="AH71" s="4"/>
      <c r="AI71" s="17"/>
      <c r="AJ71" s="4"/>
      <c r="AK71" s="4"/>
    </row>
    <row r="72" spans="7:37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/>
      <c r="AH72" s="4"/>
      <c r="AI72" s="17"/>
      <c r="AJ72" s="4"/>
      <c r="AK72" s="4"/>
    </row>
    <row r="73" spans="7:37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/>
      <c r="AH73" s="4"/>
      <c r="AI73" s="17"/>
      <c r="AJ73" s="4"/>
      <c r="AK73" s="4"/>
    </row>
    <row r="74" spans="7:37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/>
      <c r="AH74" s="4"/>
      <c r="AI74" s="17"/>
      <c r="AJ74" s="4"/>
      <c r="AK74" s="4"/>
    </row>
    <row r="75" spans="7:37" ht="11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H75" s="4"/>
      <c r="AI75" s="17"/>
      <c r="AJ75" s="4"/>
      <c r="AK75" s="4"/>
    </row>
    <row r="76" spans="7:37" ht="11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H76" s="4"/>
      <c r="AI76" s="17"/>
      <c r="AJ76" s="4"/>
      <c r="AK76" s="4"/>
    </row>
    <row r="77" spans="8:37" ht="11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H77" s="4"/>
      <c r="AI77" s="17"/>
      <c r="AJ77" s="4"/>
      <c r="AK77" s="4"/>
    </row>
    <row r="78" spans="9:37" ht="11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H78" s="17"/>
      <c r="AI78" s="17"/>
      <c r="AJ78" s="17"/>
      <c r="AK78" s="17"/>
    </row>
    <row r="79" spans="10:31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1:31" ht="11.2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2:33" ht="11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G81" s="70"/>
    </row>
    <row r="82" spans="36:37" ht="11.25">
      <c r="AJ82" s="69"/>
      <c r="AK82" s="69"/>
    </row>
    <row r="83" spans="33:37" ht="11.25">
      <c r="AG83" s="69"/>
      <c r="AH83" s="69"/>
      <c r="AI83" s="69"/>
      <c r="AJ83" s="69"/>
      <c r="AK83" s="69"/>
    </row>
    <row r="84" spans="33:37" ht="11.25">
      <c r="AG84" s="82"/>
      <c r="AH84" s="82"/>
      <c r="AI84" s="82"/>
      <c r="AJ84" s="82"/>
      <c r="AK84" s="82"/>
    </row>
    <row r="85" spans="34:37" ht="11.25">
      <c r="AH85" s="4"/>
      <c r="AI85" s="17"/>
      <c r="AJ85" s="4"/>
      <c r="AK85" s="4"/>
    </row>
    <row r="86" spans="34:37" ht="11.25">
      <c r="AH86" s="4"/>
      <c r="AI86" s="17"/>
      <c r="AJ86" s="4"/>
      <c r="AK86" s="4"/>
    </row>
    <row r="87" spans="34:37" ht="11.25">
      <c r="AH87" s="4"/>
      <c r="AI87" s="17"/>
      <c r="AJ87" s="4"/>
      <c r="AK87" s="4"/>
    </row>
    <row r="88" spans="34:37" ht="11.25">
      <c r="AH88" s="4"/>
      <c r="AI88" s="17"/>
      <c r="AJ88" s="4"/>
      <c r="AK88" s="4"/>
    </row>
    <row r="89" spans="34:37" ht="11.25">
      <c r="AH89" s="4"/>
      <c r="AI89" s="17"/>
      <c r="AJ89" s="4"/>
      <c r="AK89" s="4"/>
    </row>
    <row r="90" spans="34:37" ht="11.25">
      <c r="AH90" s="4"/>
      <c r="AI90" s="17"/>
      <c r="AJ90" s="4"/>
      <c r="AK90" s="4"/>
    </row>
    <row r="91" spans="34:37" ht="11.25">
      <c r="AH91" s="4"/>
      <c r="AI91" s="17"/>
      <c r="AJ91" s="4"/>
      <c r="AK91" s="4"/>
    </row>
    <row r="92" spans="34:37" ht="11.25">
      <c r="AH92" s="4"/>
      <c r="AI92" s="17"/>
      <c r="AJ92" s="4"/>
      <c r="AK92" s="4"/>
    </row>
    <row r="93" spans="34:37" ht="11.25">
      <c r="AH93" s="4"/>
      <c r="AI93" s="17"/>
      <c r="AJ93" s="4"/>
      <c r="AK93" s="4"/>
    </row>
    <row r="94" spans="34:37" ht="11.25">
      <c r="AH94" s="4"/>
      <c r="AI94" s="17"/>
      <c r="AJ94" s="4"/>
      <c r="AK94" s="4"/>
    </row>
    <row r="95" spans="34:37" ht="11.25">
      <c r="AH95" s="4"/>
      <c r="AI95" s="17"/>
      <c r="AJ95" s="4"/>
      <c r="AK95" s="4"/>
    </row>
    <row r="96" spans="34:37" ht="11.25">
      <c r="AH96" s="4"/>
      <c r="AI96" s="17"/>
      <c r="AJ96" s="4"/>
      <c r="AK96" s="4"/>
    </row>
    <row r="97" spans="34:37" ht="11.25">
      <c r="AH97" s="4"/>
      <c r="AI97" s="17"/>
      <c r="AJ97" s="4"/>
      <c r="AK97" s="4"/>
    </row>
    <row r="98" spans="34:37" ht="11.25">
      <c r="AH98" s="4"/>
      <c r="AI98" s="17"/>
      <c r="AJ98" s="4"/>
      <c r="AK98" s="4"/>
    </row>
    <row r="99" spans="34:37" ht="11.25">
      <c r="AH99" s="4"/>
      <c r="AI99" s="17"/>
      <c r="AJ99" s="4"/>
      <c r="AK99" s="4"/>
    </row>
    <row r="100" spans="34:37" ht="11.25">
      <c r="AH100" s="4"/>
      <c r="AI100" s="17"/>
      <c r="AJ100" s="4"/>
      <c r="AK100" s="4"/>
    </row>
    <row r="101" spans="34:37" ht="11.25">
      <c r="AH101" s="4"/>
      <c r="AI101" s="17"/>
      <c r="AJ101" s="4"/>
      <c r="AK101" s="4"/>
    </row>
    <row r="102" spans="34:37" ht="11.25">
      <c r="AH102" s="4"/>
      <c r="AI102" s="17"/>
      <c r="AJ102" s="4"/>
      <c r="AK102" s="4"/>
    </row>
    <row r="103" spans="34:37" ht="11.25">
      <c r="AH103" s="4"/>
      <c r="AI103" s="17"/>
      <c r="AJ103" s="4"/>
      <c r="AK103" s="4"/>
    </row>
    <row r="104" spans="34:37" ht="11.25">
      <c r="AH104" s="4"/>
      <c r="AI104" s="17"/>
      <c r="AJ104" s="4"/>
      <c r="AK104" s="4"/>
    </row>
    <row r="105" spans="34:37" ht="11.25">
      <c r="AH105" s="4"/>
      <c r="AI105" s="17"/>
      <c r="AJ105" s="4"/>
      <c r="AK105" s="4"/>
    </row>
    <row r="106" spans="34:37" ht="11.25">
      <c r="AH106" s="17"/>
      <c r="AI106" s="17"/>
      <c r="AJ106" s="17"/>
      <c r="AK106" s="17"/>
    </row>
  </sheetData>
  <sheetProtection/>
  <mergeCells count="4">
    <mergeCell ref="A5:AK5"/>
    <mergeCell ref="A6:AK6"/>
    <mergeCell ref="A7:AK7"/>
    <mergeCell ref="D17:AG17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106"/>
  <sheetViews>
    <sheetView zoomScale="90" zoomScaleNormal="90" zoomScaleSheetLayoutView="118" zoomScalePageLayoutView="0" workbookViewId="0" topLeftCell="A1">
      <selection activeCell="AI3" sqref="AI3"/>
    </sheetView>
  </sheetViews>
  <sheetFormatPr defaultColWidth="9.140625" defaultRowHeight="12.75"/>
  <cols>
    <col min="1" max="1" width="3.8515625" style="69" customWidth="1"/>
    <col min="2" max="2" width="14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2.00390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1" width="12.8515625" style="5" hidden="1" customWidth="1"/>
    <col min="32" max="32" width="11.28125" style="5" bestFit="1" customWidth="1"/>
    <col min="33" max="33" width="10.00390625" style="5" bestFit="1" customWidth="1"/>
    <col min="34" max="34" width="11.28125" style="5" bestFit="1" customWidth="1"/>
    <col min="35" max="35" width="11.00390625" style="5" bestFit="1" customWidth="1"/>
    <col min="36" max="36" width="10.00390625" style="5" bestFit="1" customWidth="1"/>
    <col min="37" max="37" width="13.421875" style="5" bestFit="1" customWidth="1"/>
    <col min="38" max="16384" width="9.140625" style="5" customWidth="1"/>
  </cols>
  <sheetData>
    <row r="1" spans="2:37" ht="12.75">
      <c r="B1" s="70"/>
      <c r="S1" s="15"/>
      <c r="AK1" s="120" t="str">
        <f>+'9.4 Base Rates ADIT Calc p.2 '!AK1</f>
        <v> PSC Set 1 No. 1 2022-00342</v>
      </c>
    </row>
    <row r="2" spans="2:37" ht="12.75">
      <c r="B2" s="70"/>
      <c r="S2" s="15"/>
      <c r="AK2" s="120" t="str">
        <f>+'9.4 Base Rates ADIT Calc p.2 '!AK2</f>
        <v>Attachment JTG-1</v>
      </c>
    </row>
    <row r="3" spans="2:37" ht="12.75">
      <c r="B3" s="70"/>
      <c r="S3" s="15"/>
      <c r="AK3" s="120" t="str">
        <f>+'9.4 Base Rates ADIT Calc p.2 '!AK3</f>
        <v>SMRP Form 9.4</v>
      </c>
    </row>
    <row r="4" spans="8:37" ht="11.25">
      <c r="H4" s="15"/>
      <c r="R4" s="38"/>
      <c r="S4" s="38"/>
      <c r="AK4" s="15" t="s">
        <v>261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1.25">
      <c r="A7" s="167" t="s">
        <v>271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ht="11.25">
      <c r="B8" s="14"/>
    </row>
    <row r="9" spans="2:36" ht="12.75" customHeight="1">
      <c r="B9" s="7"/>
      <c r="AJ9" s="18"/>
    </row>
    <row r="10" spans="9:37" ht="11.25">
      <c r="I10" s="18"/>
      <c r="J10" s="18">
        <v>2022</v>
      </c>
      <c r="K10" s="18">
        <f aca="true" t="shared" si="0" ref="K10:AE10">+J10+1</f>
        <v>2023</v>
      </c>
      <c r="L10" s="18">
        <f t="shared" si="0"/>
        <v>2024</v>
      </c>
      <c r="M10" s="18">
        <f t="shared" si="0"/>
        <v>2025</v>
      </c>
      <c r="N10" s="18">
        <f t="shared" si="0"/>
        <v>2026</v>
      </c>
      <c r="O10" s="18">
        <f t="shared" si="0"/>
        <v>2027</v>
      </c>
      <c r="P10" s="18">
        <f t="shared" si="0"/>
        <v>2028</v>
      </c>
      <c r="Q10" s="18">
        <f t="shared" si="0"/>
        <v>2029</v>
      </c>
      <c r="R10" s="18">
        <f>+Q10+1</f>
        <v>2030</v>
      </c>
      <c r="S10" s="18">
        <f t="shared" si="0"/>
        <v>2031</v>
      </c>
      <c r="T10" s="18">
        <f t="shared" si="0"/>
        <v>2032</v>
      </c>
      <c r="U10" s="18">
        <f t="shared" si="0"/>
        <v>2033</v>
      </c>
      <c r="V10" s="18">
        <f t="shared" si="0"/>
        <v>2034</v>
      </c>
      <c r="W10" s="18">
        <f t="shared" si="0"/>
        <v>2035</v>
      </c>
      <c r="X10" s="18">
        <f t="shared" si="0"/>
        <v>2036</v>
      </c>
      <c r="Y10" s="18">
        <f t="shared" si="0"/>
        <v>2037</v>
      </c>
      <c r="Z10" s="18">
        <f t="shared" si="0"/>
        <v>2038</v>
      </c>
      <c r="AA10" s="18">
        <f t="shared" si="0"/>
        <v>2039</v>
      </c>
      <c r="AB10" s="18">
        <f t="shared" si="0"/>
        <v>2040</v>
      </c>
      <c r="AC10" s="18">
        <f t="shared" si="0"/>
        <v>2041</v>
      </c>
      <c r="AD10" s="18">
        <f t="shared" si="0"/>
        <v>2042</v>
      </c>
      <c r="AE10" s="18">
        <f t="shared" si="0"/>
        <v>2043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f>+'9.4 Base Rates ADIT Calc p.2 '!D11</f>
        <v>2022</v>
      </c>
      <c r="E11" s="18">
        <f>+'9.4 Base Rates ADIT Calc p.2 '!E11</f>
        <v>2023</v>
      </c>
      <c r="F11" s="18">
        <f>+'9.4 Base Rates ADIT Calc p.2 '!F11</f>
        <v>2024</v>
      </c>
      <c r="G11" s="18">
        <f>+'9.4 Base Rates ADIT Calc p.2 '!G11</f>
        <v>2025</v>
      </c>
      <c r="H11" s="18">
        <f>+'9.4 Base Rates ADIT Calc p.2 '!H11</f>
        <v>2026</v>
      </c>
      <c r="I11" s="18">
        <f>+'9.4 Base Rates ADIT Calc p.2 '!I11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83" t="s">
        <v>102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5" t="s">
        <v>96</v>
      </c>
      <c r="C16" s="74"/>
      <c r="D16" s="6">
        <f>+'9.0 Base Rates Plant in Svc'!P15+'9.0 Base Rates Plant in Svc'!P17+'9.0 Base Rates Plant in Svc'!P18</f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 t="e">
        <f>#REF!+#REF!</f>
        <v>#REF!</v>
      </c>
      <c r="K16" s="6" t="e">
        <f>#REF!+#REF!</f>
        <v>#REF!</v>
      </c>
      <c r="L16" s="6" t="e">
        <f>#REF!+#REF!</f>
        <v>#REF!</v>
      </c>
      <c r="M16" s="6" t="e">
        <f>#REF!+#REF!</f>
        <v>#REF!</v>
      </c>
      <c r="N16" s="6" t="e">
        <f>#REF!+#REF!</f>
        <v>#REF!</v>
      </c>
      <c r="O16" s="6" t="e">
        <f>#REF!+#REF!</f>
        <v>#REF!</v>
      </c>
      <c r="P16" s="6" t="e">
        <f>#REF!+#REF!</f>
        <v>#REF!</v>
      </c>
      <c r="Q16" s="6" t="e">
        <f>#REF!+#REF!</f>
        <v>#REF!</v>
      </c>
      <c r="R16" s="6" t="e">
        <f>#REF!+#REF!</f>
        <v>#REF!</v>
      </c>
      <c r="S16" s="6" t="e">
        <f>#REF!+#REF!</f>
        <v>#REF!</v>
      </c>
      <c r="T16" s="6" t="e">
        <f>#REF!+#REF!</f>
        <v>#REF!</v>
      </c>
      <c r="U16" s="6" t="e">
        <f>#REF!+#REF!</f>
        <v>#REF!</v>
      </c>
      <c r="V16" s="6" t="e">
        <f>#REF!+#REF!</f>
        <v>#REF!</v>
      </c>
      <c r="W16" s="6" t="e">
        <f>#REF!+#REF!</f>
        <v>#REF!</v>
      </c>
      <c r="X16" s="6" t="e">
        <f>#REF!+#REF!</f>
        <v>#REF!</v>
      </c>
      <c r="Y16" s="6" t="e">
        <f>#REF!+#REF!</f>
        <v>#REF!</v>
      </c>
      <c r="Z16" s="6" t="e">
        <f>#REF!+#REF!</f>
        <v>#REF!</v>
      </c>
      <c r="AA16" s="6" t="e">
        <f>#REF!+#REF!</f>
        <v>#REF!</v>
      </c>
      <c r="AB16" s="6" t="e">
        <f>#REF!+#REF!</f>
        <v>#REF!</v>
      </c>
      <c r="AC16" s="6" t="e">
        <f>#REF!+#REF!</f>
        <v>#REF!</v>
      </c>
      <c r="AD16" s="6" t="e">
        <f>#REF!+#REF!</f>
        <v>#REF!</v>
      </c>
      <c r="AE16" s="6" t="e">
        <f>#REF!+#REF!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13.5" customHeight="1">
      <c r="A18" s="69">
        <f>A16+1</f>
        <v>2</v>
      </c>
      <c r="B18" s="75" t="s">
        <v>97</v>
      </c>
      <c r="C18" s="74"/>
      <c r="D18" s="8">
        <f aca="true" t="shared" si="2" ref="D18:I18">D56+D55</f>
        <v>0.0401</v>
      </c>
      <c r="E18" s="8">
        <f t="shared" si="2"/>
        <v>0.0401</v>
      </c>
      <c r="F18" s="8">
        <f t="shared" si="2"/>
        <v>0.0401</v>
      </c>
      <c r="G18" s="8">
        <f t="shared" si="2"/>
        <v>0.0401</v>
      </c>
      <c r="H18" s="8">
        <f t="shared" si="2"/>
        <v>0.0401</v>
      </c>
      <c r="I18" s="8">
        <f t="shared" si="2"/>
        <v>0.0401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ROUND((D$16)*$D$18,0)+ROUND(($D$16-($D$16*$D$18))*B20,0)</f>
        <v>0</v>
      </c>
      <c r="AF20" s="4">
        <f>SUM(D20:G20)</f>
        <v>0</v>
      </c>
      <c r="AG20" s="4">
        <f>+'9.1 Base Rates Acc Depr '!P32+'9.1 Base Rates Acc Depr '!P34+'9.1 Base Rates Acc Depr '!P35</f>
        <v>0</v>
      </c>
      <c r="AH20" s="4">
        <f>+'9.2 Base Rates Depr Exp'!Q30+'9.2 Base Rates Depr Exp'!Q50+'9.2 Base Rates Depr Exp'!Q60</f>
        <v>0</v>
      </c>
      <c r="AI20" s="114">
        <f>AF20+AG20-AH20</f>
        <v>0</v>
      </c>
      <c r="AJ20" s="4">
        <f>ROUND(0.2495*AI20,0)</f>
        <v>0</v>
      </c>
      <c r="AK20" s="4">
        <f>+AJ20</f>
        <v>0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 aca="true" t="shared" si="3" ref="D21:D40">ROUND(($D$16-($D$16*$D$18))*B21,0)</f>
        <v>0</v>
      </c>
      <c r="E21" s="4">
        <f>ROUND((E$16)*$E$18,0)+ROUND(($E$16-($E$16*$E$18))*B20,0)</f>
        <v>0</v>
      </c>
      <c r="AF21" s="4">
        <f>SUM(D21:G21)</f>
        <v>0</v>
      </c>
      <c r="AG21" s="4">
        <v>0</v>
      </c>
      <c r="AH21" s="4">
        <v>0</v>
      </c>
      <c r="AI21" s="17">
        <v>0</v>
      </c>
      <c r="AJ21" s="4">
        <f>ROUND(0.2495*AI21,0)</f>
        <v>0</v>
      </c>
      <c r="AK21" s="4">
        <v>0</v>
      </c>
    </row>
    <row r="22" spans="1:37" ht="11.25">
      <c r="A22" s="69">
        <f aca="true" t="shared" si="4" ref="A22:A45">A21+1</f>
        <v>5</v>
      </c>
      <c r="B22" s="79">
        <v>0.06677</v>
      </c>
      <c r="C22" s="69">
        <f aca="true" t="shared" si="5" ref="C22:C43">+C21+1</f>
        <v>3</v>
      </c>
      <c r="D22" s="4">
        <f t="shared" si="3"/>
        <v>0</v>
      </c>
      <c r="E22" s="4">
        <f aca="true" t="shared" si="6" ref="E22:E41">ROUND(($E$16-($E$16*$E$18))*B21,0)</f>
        <v>0</v>
      </c>
      <c r="F22" s="4">
        <f>ROUND((F$16)*F$18,0)+ROUND((F$16-(F$16*F$18))*$B20,0)</f>
        <v>0</v>
      </c>
      <c r="G22" s="4">
        <f>ROUND((G$16)*G$18,0)+ROUND((G$16-(G$16*G$18))*$B20,0)</f>
        <v>0</v>
      </c>
      <c r="AF22" s="4">
        <f>SUM(D22:G22)</f>
        <v>0</v>
      </c>
      <c r="AG22" s="4">
        <v>0</v>
      </c>
      <c r="AH22" s="4">
        <v>0</v>
      </c>
      <c r="AI22" s="17">
        <v>0</v>
      </c>
      <c r="AJ22" s="4">
        <f>ROUND(0.2495*AI22,0)</f>
        <v>0</v>
      </c>
      <c r="AK22" s="4">
        <v>0</v>
      </c>
    </row>
    <row r="23" spans="1:37" ht="11.25">
      <c r="A23" s="69">
        <f t="shared" si="4"/>
        <v>6</v>
      </c>
      <c r="B23" s="79">
        <v>0.06177</v>
      </c>
      <c r="C23" s="69">
        <f t="shared" si="5"/>
        <v>4</v>
      </c>
      <c r="D23" s="4">
        <f t="shared" si="3"/>
        <v>0</v>
      </c>
      <c r="E23" s="4">
        <f t="shared" si="6"/>
        <v>0</v>
      </c>
      <c r="F23" s="4">
        <f>ROUND((F$16-(F$16*F$18))*$B21,0)</f>
        <v>0</v>
      </c>
      <c r="G23" s="4">
        <f>ROUND((G$16-(G$16*G$18))*$B21,0)</f>
        <v>0</v>
      </c>
      <c r="H23" s="4">
        <f>ROUND((H$16)*H$18,0)+ROUND((H$16-(H$16*H$18))*$B20,0)</f>
        <v>0</v>
      </c>
      <c r="AF23" s="4">
        <f>SUM(D23:H23)</f>
        <v>0</v>
      </c>
      <c r="AG23" s="4">
        <v>0</v>
      </c>
      <c r="AH23" s="4"/>
      <c r="AI23" s="17"/>
      <c r="AJ23" s="4"/>
      <c r="AK23" s="4"/>
    </row>
    <row r="24" spans="1:37" ht="11.25">
      <c r="A24" s="69">
        <f t="shared" si="4"/>
        <v>7</v>
      </c>
      <c r="B24" s="79">
        <v>0.05713</v>
      </c>
      <c r="C24" s="69">
        <f t="shared" si="5"/>
        <v>5</v>
      </c>
      <c r="D24" s="4">
        <f t="shared" si="3"/>
        <v>0</v>
      </c>
      <c r="E24" s="4">
        <f t="shared" si="6"/>
        <v>0</v>
      </c>
      <c r="F24" s="4">
        <f aca="true" t="shared" si="7" ref="F24:F42">ROUND(($F$16-($F$16*$F$18))*B22,0)</f>
        <v>0</v>
      </c>
      <c r="G24" s="4">
        <f aca="true" t="shared" si="8" ref="G24:G42">ROUND((G$16-(G$16*G$18))*$B22,0)</f>
        <v>0</v>
      </c>
      <c r="H24" s="4">
        <f>ROUND((H$16-(H$16*H$18))*$B21,0)</f>
        <v>0</v>
      </c>
      <c r="I24" s="4">
        <f>ROUND((I$16)*I$18,0)+ROUND((I$16-(I$16*I$18))*$B20,0)</f>
        <v>0</v>
      </c>
      <c r="AF24" s="4">
        <f>SUM(D24:I24)</f>
        <v>0</v>
      </c>
      <c r="AG24" s="4">
        <v>0</v>
      </c>
      <c r="AH24" s="4"/>
      <c r="AI24" s="17"/>
      <c r="AJ24" s="4"/>
      <c r="AK24" s="4"/>
    </row>
    <row r="25" spans="1:37" ht="11.25">
      <c r="A25" s="69">
        <f t="shared" si="4"/>
        <v>8</v>
      </c>
      <c r="B25" s="79">
        <v>0.05285</v>
      </c>
      <c r="C25" s="69">
        <f t="shared" si="5"/>
        <v>6</v>
      </c>
      <c r="D25" s="4">
        <f t="shared" si="3"/>
        <v>0</v>
      </c>
      <c r="E25" s="4">
        <f t="shared" si="6"/>
        <v>0</v>
      </c>
      <c r="F25" s="4">
        <f t="shared" si="7"/>
        <v>0</v>
      </c>
      <c r="G25" s="4">
        <f t="shared" si="8"/>
        <v>0</v>
      </c>
      <c r="H25" s="4">
        <f aca="true" t="shared" si="9" ref="H25:H43">ROUND((H$16-(H$16*H$18))*$B22,0)</f>
        <v>0</v>
      </c>
      <c r="I25" s="4">
        <f>ROUND((I$16-(I$16*I$18))*$B21,0)</f>
        <v>0</v>
      </c>
      <c r="AF25" s="4">
        <f aca="true" t="shared" si="10" ref="AF25:AF44">SUM(D25:I25)</f>
        <v>0</v>
      </c>
      <c r="AG25" s="4"/>
      <c r="AH25" s="4"/>
      <c r="AI25" s="17"/>
      <c r="AJ25" s="4"/>
      <c r="AK25" s="4"/>
    </row>
    <row r="26" spans="1:37" ht="11.25">
      <c r="A26" s="69">
        <f t="shared" si="4"/>
        <v>9</v>
      </c>
      <c r="B26" s="79">
        <v>0.04888</v>
      </c>
      <c r="C26" s="69">
        <f t="shared" si="5"/>
        <v>7</v>
      </c>
      <c r="D26" s="4">
        <f t="shared" si="3"/>
        <v>0</v>
      </c>
      <c r="E26" s="4">
        <f t="shared" si="6"/>
        <v>0</v>
      </c>
      <c r="F26" s="4">
        <f t="shared" si="7"/>
        <v>0</v>
      </c>
      <c r="G26" s="4">
        <f t="shared" si="8"/>
        <v>0</v>
      </c>
      <c r="H26" s="4">
        <f t="shared" si="9"/>
        <v>0</v>
      </c>
      <c r="I26" s="4">
        <f aca="true" t="shared" si="11" ref="I26:I44">ROUND((I$16-(I$16*I$18))*$B22,0)</f>
        <v>0</v>
      </c>
      <c r="AF26" s="4">
        <f t="shared" si="10"/>
        <v>0</v>
      </c>
      <c r="AG26" s="4"/>
      <c r="AH26" s="4"/>
      <c r="AI26" s="17"/>
      <c r="AJ26" s="4"/>
      <c r="AK26" s="4"/>
    </row>
    <row r="27" spans="1:37" ht="11.25">
      <c r="A27" s="69">
        <f t="shared" si="4"/>
        <v>10</v>
      </c>
      <c r="B27" s="79">
        <v>0.04522</v>
      </c>
      <c r="C27" s="69">
        <f t="shared" si="5"/>
        <v>8</v>
      </c>
      <c r="D27" s="4">
        <f t="shared" si="3"/>
        <v>0</v>
      </c>
      <c r="E27" s="4">
        <f t="shared" si="6"/>
        <v>0</v>
      </c>
      <c r="F27" s="4">
        <f t="shared" si="7"/>
        <v>0</v>
      </c>
      <c r="G27" s="4">
        <f t="shared" si="8"/>
        <v>0</v>
      </c>
      <c r="H27" s="4">
        <f t="shared" si="9"/>
        <v>0</v>
      </c>
      <c r="I27" s="4">
        <f t="shared" si="11"/>
        <v>0</v>
      </c>
      <c r="AF27" s="4">
        <f t="shared" si="10"/>
        <v>0</v>
      </c>
      <c r="AG27" s="4"/>
      <c r="AH27" s="4"/>
      <c r="AI27" s="17"/>
      <c r="AJ27" s="4"/>
      <c r="AK27" s="4"/>
    </row>
    <row r="28" spans="1:37" ht="11.25">
      <c r="A28" s="69">
        <f t="shared" si="4"/>
        <v>11</v>
      </c>
      <c r="B28" s="79">
        <v>0.04462</v>
      </c>
      <c r="C28" s="69">
        <f t="shared" si="5"/>
        <v>9</v>
      </c>
      <c r="D28" s="4">
        <f t="shared" si="3"/>
        <v>0</v>
      </c>
      <c r="E28" s="4">
        <f t="shared" si="6"/>
        <v>0</v>
      </c>
      <c r="F28" s="4">
        <f t="shared" si="7"/>
        <v>0</v>
      </c>
      <c r="G28" s="4">
        <f t="shared" si="8"/>
        <v>0</v>
      </c>
      <c r="H28" s="4">
        <f t="shared" si="9"/>
        <v>0</v>
      </c>
      <c r="I28" s="4">
        <f t="shared" si="11"/>
        <v>0</v>
      </c>
      <c r="J28" s="4"/>
      <c r="AF28" s="4">
        <f t="shared" si="10"/>
        <v>0</v>
      </c>
      <c r="AG28" s="4"/>
      <c r="AH28" s="4"/>
      <c r="AI28" s="17"/>
      <c r="AJ28" s="4"/>
      <c r="AK28" s="4"/>
    </row>
    <row r="29" spans="1:37" ht="11.25">
      <c r="A29" s="69">
        <f t="shared" si="4"/>
        <v>12</v>
      </c>
      <c r="B29" s="79">
        <v>0.04461</v>
      </c>
      <c r="C29" s="69">
        <f t="shared" si="5"/>
        <v>10</v>
      </c>
      <c r="D29" s="4">
        <f t="shared" si="3"/>
        <v>0</v>
      </c>
      <c r="E29" s="4">
        <f t="shared" si="6"/>
        <v>0</v>
      </c>
      <c r="F29" s="4">
        <f t="shared" si="7"/>
        <v>0</v>
      </c>
      <c r="G29" s="4">
        <f t="shared" si="8"/>
        <v>0</v>
      </c>
      <c r="H29" s="4">
        <f t="shared" si="9"/>
        <v>0</v>
      </c>
      <c r="I29" s="4">
        <f t="shared" si="11"/>
        <v>0</v>
      </c>
      <c r="J29" s="4"/>
      <c r="K29" s="4"/>
      <c r="AF29" s="4">
        <f t="shared" si="10"/>
        <v>0</v>
      </c>
      <c r="AG29" s="4"/>
      <c r="AH29" s="4"/>
      <c r="AI29" s="17"/>
      <c r="AJ29" s="4"/>
      <c r="AK29" s="4"/>
    </row>
    <row r="30" spans="1:37" ht="11.25">
      <c r="A30" s="69">
        <f t="shared" si="4"/>
        <v>13</v>
      </c>
      <c r="B30" s="79">
        <v>0.04462</v>
      </c>
      <c r="C30" s="69">
        <f t="shared" si="5"/>
        <v>11</v>
      </c>
      <c r="D30" s="4">
        <f t="shared" si="3"/>
        <v>0</v>
      </c>
      <c r="E30" s="4">
        <f t="shared" si="6"/>
        <v>0</v>
      </c>
      <c r="F30" s="4">
        <f t="shared" si="7"/>
        <v>0</v>
      </c>
      <c r="G30" s="4">
        <f t="shared" si="8"/>
        <v>0</v>
      </c>
      <c r="H30" s="4">
        <f t="shared" si="9"/>
        <v>0</v>
      </c>
      <c r="I30" s="4">
        <f t="shared" si="11"/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10"/>
        <v>0</v>
      </c>
      <c r="AG30" s="4"/>
      <c r="AH30" s="4"/>
      <c r="AI30" s="17"/>
      <c r="AJ30" s="4"/>
      <c r="AK30" s="4"/>
    </row>
    <row r="31" spans="1:37" ht="11.25">
      <c r="A31" s="69">
        <f t="shared" si="4"/>
        <v>14</v>
      </c>
      <c r="B31" s="79">
        <v>0.04461</v>
      </c>
      <c r="C31" s="69">
        <f t="shared" si="5"/>
        <v>12</v>
      </c>
      <c r="D31" s="4">
        <f t="shared" si="3"/>
        <v>0</v>
      </c>
      <c r="E31" s="4">
        <f t="shared" si="6"/>
        <v>0</v>
      </c>
      <c r="F31" s="4">
        <f t="shared" si="7"/>
        <v>0</v>
      </c>
      <c r="G31" s="4">
        <f t="shared" si="8"/>
        <v>0</v>
      </c>
      <c r="H31" s="4">
        <f t="shared" si="9"/>
        <v>0</v>
      </c>
      <c r="I31" s="4">
        <f t="shared" si="11"/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t="shared" si="10"/>
        <v>0</v>
      </c>
      <c r="AG31" s="4"/>
      <c r="AH31" s="4"/>
      <c r="AI31" s="17"/>
      <c r="AJ31" s="4"/>
      <c r="AK31" s="4"/>
    </row>
    <row r="32" spans="1:37" ht="11.25">
      <c r="A32" s="69">
        <f t="shared" si="4"/>
        <v>15</v>
      </c>
      <c r="B32" s="79">
        <v>0.04462</v>
      </c>
      <c r="C32" s="69">
        <f t="shared" si="5"/>
        <v>13</v>
      </c>
      <c r="D32" s="4">
        <f t="shared" si="3"/>
        <v>0</v>
      </c>
      <c r="E32" s="4">
        <f t="shared" si="6"/>
        <v>0</v>
      </c>
      <c r="F32" s="4">
        <f t="shared" si="7"/>
        <v>0</v>
      </c>
      <c r="G32" s="4">
        <f t="shared" si="8"/>
        <v>0</v>
      </c>
      <c r="H32" s="4">
        <f t="shared" si="9"/>
        <v>0</v>
      </c>
      <c r="I32" s="4">
        <f t="shared" si="11"/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 t="shared" si="10"/>
        <v>0</v>
      </c>
      <c r="AG32" s="4"/>
      <c r="AH32" s="4"/>
      <c r="AI32" s="17"/>
      <c r="AJ32" s="4"/>
      <c r="AK32" s="4"/>
    </row>
    <row r="33" spans="1:37" ht="11.25">
      <c r="A33" s="69">
        <f t="shared" si="4"/>
        <v>16</v>
      </c>
      <c r="B33" s="79">
        <v>0.04461</v>
      </c>
      <c r="C33" s="69">
        <f t="shared" si="5"/>
        <v>14</v>
      </c>
      <c r="D33" s="4">
        <f t="shared" si="3"/>
        <v>0</v>
      </c>
      <c r="E33" s="4">
        <f t="shared" si="6"/>
        <v>0</v>
      </c>
      <c r="F33" s="4">
        <f t="shared" si="7"/>
        <v>0</v>
      </c>
      <c r="G33" s="4">
        <f t="shared" si="8"/>
        <v>0</v>
      </c>
      <c r="H33" s="4">
        <f t="shared" si="9"/>
        <v>0</v>
      </c>
      <c r="I33" s="4">
        <f t="shared" si="11"/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10"/>
        <v>0</v>
      </c>
      <c r="AG33" s="4"/>
      <c r="AH33" s="4"/>
      <c r="AI33" s="17"/>
      <c r="AJ33" s="4"/>
      <c r="AK33" s="4"/>
    </row>
    <row r="34" spans="1:37" ht="11.25">
      <c r="A34" s="69">
        <f t="shared" si="4"/>
        <v>17</v>
      </c>
      <c r="B34" s="79">
        <v>0.04462</v>
      </c>
      <c r="C34" s="69">
        <f t="shared" si="5"/>
        <v>15</v>
      </c>
      <c r="D34" s="4">
        <f t="shared" si="3"/>
        <v>0</v>
      </c>
      <c r="E34" s="4">
        <f t="shared" si="6"/>
        <v>0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1"/>
        <v>0</v>
      </c>
      <c r="J34" s="4"/>
      <c r="K34" s="4"/>
      <c r="L34" s="4"/>
      <c r="M34" s="4"/>
      <c r="N34" s="4"/>
      <c r="O34" s="4"/>
      <c r="P34" s="4"/>
      <c r="AF34" s="4">
        <f t="shared" si="10"/>
        <v>0</v>
      </c>
      <c r="AG34" s="4"/>
      <c r="AH34" s="4"/>
      <c r="AI34" s="17"/>
      <c r="AJ34" s="4"/>
      <c r="AK34" s="4"/>
    </row>
    <row r="35" spans="1:37" ht="11.25">
      <c r="A35" s="69">
        <f t="shared" si="4"/>
        <v>18</v>
      </c>
      <c r="B35" s="79">
        <v>0.04461</v>
      </c>
      <c r="C35" s="69">
        <f t="shared" si="5"/>
        <v>16</v>
      </c>
      <c r="D35" s="4">
        <f t="shared" si="3"/>
        <v>0</v>
      </c>
      <c r="E35" s="4">
        <f t="shared" si="6"/>
        <v>0</v>
      </c>
      <c r="F35" s="4">
        <f t="shared" si="7"/>
        <v>0</v>
      </c>
      <c r="G35" s="4">
        <f t="shared" si="8"/>
        <v>0</v>
      </c>
      <c r="H35" s="4">
        <f t="shared" si="9"/>
        <v>0</v>
      </c>
      <c r="I35" s="4">
        <f t="shared" si="11"/>
        <v>0</v>
      </c>
      <c r="J35" s="4"/>
      <c r="K35" s="4"/>
      <c r="L35" s="4"/>
      <c r="M35" s="4"/>
      <c r="N35" s="4"/>
      <c r="O35" s="4"/>
      <c r="P35" s="4"/>
      <c r="Q35" s="4"/>
      <c r="AF35" s="4">
        <f t="shared" si="10"/>
        <v>0</v>
      </c>
      <c r="AG35" s="4"/>
      <c r="AH35" s="4"/>
      <c r="AI35" s="17"/>
      <c r="AJ35" s="4"/>
      <c r="AK35" s="4"/>
    </row>
    <row r="36" spans="1:37" ht="11.25">
      <c r="A36" s="69">
        <f t="shared" si="4"/>
        <v>19</v>
      </c>
      <c r="B36" s="79">
        <v>0.04462</v>
      </c>
      <c r="C36" s="69">
        <f t="shared" si="5"/>
        <v>17</v>
      </c>
      <c r="D36" s="4">
        <f t="shared" si="3"/>
        <v>0</v>
      </c>
      <c r="E36" s="4">
        <f t="shared" si="6"/>
        <v>0</v>
      </c>
      <c r="F36" s="4">
        <f t="shared" si="7"/>
        <v>0</v>
      </c>
      <c r="G36" s="4">
        <f t="shared" si="8"/>
        <v>0</v>
      </c>
      <c r="H36" s="4">
        <f t="shared" si="9"/>
        <v>0</v>
      </c>
      <c r="I36" s="4">
        <f t="shared" si="11"/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 t="shared" si="10"/>
        <v>0</v>
      </c>
      <c r="AG36" s="4"/>
      <c r="AH36" s="4"/>
      <c r="AI36" s="17"/>
      <c r="AJ36" s="4"/>
      <c r="AK36" s="4"/>
    </row>
    <row r="37" spans="1:37" ht="11.25">
      <c r="A37" s="69">
        <f t="shared" si="4"/>
        <v>20</v>
      </c>
      <c r="B37" s="79">
        <v>0.04461</v>
      </c>
      <c r="C37" s="69">
        <f t="shared" si="5"/>
        <v>18</v>
      </c>
      <c r="D37" s="4">
        <f t="shared" si="3"/>
        <v>0</v>
      </c>
      <c r="E37" s="4">
        <f t="shared" si="6"/>
        <v>0</v>
      </c>
      <c r="F37" s="4">
        <f t="shared" si="7"/>
        <v>0</v>
      </c>
      <c r="G37" s="4">
        <f t="shared" si="8"/>
        <v>0</v>
      </c>
      <c r="H37" s="4">
        <f t="shared" si="9"/>
        <v>0</v>
      </c>
      <c r="I37" s="4">
        <f t="shared" si="11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 t="shared" si="10"/>
        <v>0</v>
      </c>
      <c r="AG37" s="4"/>
      <c r="AH37" s="4"/>
      <c r="AI37" s="17"/>
      <c r="AJ37" s="4"/>
      <c r="AK37" s="4"/>
    </row>
    <row r="38" spans="1:37" ht="11.25">
      <c r="A38" s="69">
        <f t="shared" si="4"/>
        <v>21</v>
      </c>
      <c r="B38" s="79">
        <v>0.04462</v>
      </c>
      <c r="C38" s="69">
        <f t="shared" si="5"/>
        <v>19</v>
      </c>
      <c r="D38" s="4">
        <f t="shared" si="3"/>
        <v>0</v>
      </c>
      <c r="E38" s="4">
        <f t="shared" si="6"/>
        <v>0</v>
      </c>
      <c r="F38" s="4">
        <f t="shared" si="7"/>
        <v>0</v>
      </c>
      <c r="G38" s="4">
        <f t="shared" si="8"/>
        <v>0</v>
      </c>
      <c r="H38" s="4">
        <f t="shared" si="9"/>
        <v>0</v>
      </c>
      <c r="I38" s="4">
        <f t="shared" si="11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 t="shared" si="10"/>
        <v>0</v>
      </c>
      <c r="AG38" s="4"/>
      <c r="AH38" s="4"/>
      <c r="AI38" s="17"/>
      <c r="AJ38" s="4"/>
      <c r="AK38" s="4"/>
    </row>
    <row r="39" spans="1:37" ht="11.25">
      <c r="A39" s="69">
        <f t="shared" si="4"/>
        <v>22</v>
      </c>
      <c r="B39" s="79">
        <v>0.04461</v>
      </c>
      <c r="C39" s="69">
        <f t="shared" si="5"/>
        <v>20</v>
      </c>
      <c r="D39" s="4">
        <f t="shared" si="3"/>
        <v>0</v>
      </c>
      <c r="E39" s="4">
        <f t="shared" si="6"/>
        <v>0</v>
      </c>
      <c r="F39" s="4">
        <f t="shared" si="7"/>
        <v>0</v>
      </c>
      <c r="G39" s="4">
        <f t="shared" si="8"/>
        <v>0</v>
      </c>
      <c r="H39" s="4">
        <f t="shared" si="9"/>
        <v>0</v>
      </c>
      <c r="I39" s="4">
        <f t="shared" si="11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10"/>
        <v>0</v>
      </c>
      <c r="AG39" s="4"/>
      <c r="AH39" s="4"/>
      <c r="AI39" s="17"/>
      <c r="AJ39" s="4"/>
      <c r="AK39" s="4"/>
    </row>
    <row r="40" spans="1:37" ht="11.25">
      <c r="A40" s="69">
        <f t="shared" si="4"/>
        <v>23</v>
      </c>
      <c r="B40" s="79">
        <v>0.02231</v>
      </c>
      <c r="C40" s="69">
        <f t="shared" si="5"/>
        <v>21</v>
      </c>
      <c r="D40" s="4">
        <f t="shared" si="3"/>
        <v>0</v>
      </c>
      <c r="E40" s="4">
        <f t="shared" si="6"/>
        <v>0</v>
      </c>
      <c r="F40" s="4">
        <f t="shared" si="7"/>
        <v>0</v>
      </c>
      <c r="G40" s="4">
        <f t="shared" si="8"/>
        <v>0</v>
      </c>
      <c r="H40" s="4">
        <f t="shared" si="9"/>
        <v>0</v>
      </c>
      <c r="I40" s="4">
        <f t="shared" si="11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10"/>
        <v>0</v>
      </c>
      <c r="AG40" s="4"/>
      <c r="AH40" s="4"/>
      <c r="AI40" s="17"/>
      <c r="AJ40" s="4"/>
      <c r="AK40" s="4"/>
    </row>
    <row r="41" spans="1:37" ht="11.25">
      <c r="A41" s="69">
        <f t="shared" si="4"/>
        <v>24</v>
      </c>
      <c r="B41" s="79"/>
      <c r="C41" s="69">
        <f t="shared" si="5"/>
        <v>22</v>
      </c>
      <c r="E41" s="4">
        <f t="shared" si="6"/>
        <v>0</v>
      </c>
      <c r="F41" s="4">
        <f t="shared" si="7"/>
        <v>0</v>
      </c>
      <c r="G41" s="4">
        <f t="shared" si="8"/>
        <v>0</v>
      </c>
      <c r="H41" s="4">
        <f t="shared" si="9"/>
        <v>0</v>
      </c>
      <c r="I41" s="4">
        <f t="shared" si="11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10"/>
        <v>0</v>
      </c>
      <c r="AH41" s="4"/>
      <c r="AI41" s="17"/>
      <c r="AJ41" s="4"/>
      <c r="AK41" s="4"/>
    </row>
    <row r="42" spans="1:37" ht="11.25">
      <c r="A42" s="69">
        <f t="shared" si="4"/>
        <v>25</v>
      </c>
      <c r="B42" s="79"/>
      <c r="C42" s="69">
        <f t="shared" si="5"/>
        <v>23</v>
      </c>
      <c r="F42" s="4">
        <f t="shared" si="7"/>
        <v>0</v>
      </c>
      <c r="G42" s="4">
        <f t="shared" si="8"/>
        <v>0</v>
      </c>
      <c r="H42" s="4">
        <f t="shared" si="9"/>
        <v>0</v>
      </c>
      <c r="I42" s="4">
        <f t="shared" si="11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10"/>
        <v>0</v>
      </c>
      <c r="AH42" s="4"/>
      <c r="AI42" s="17"/>
      <c r="AJ42" s="4"/>
      <c r="AK42" s="4"/>
    </row>
    <row r="43" spans="1:37" ht="11.25">
      <c r="A43" s="69">
        <f t="shared" si="4"/>
        <v>26</v>
      </c>
      <c r="B43" s="79"/>
      <c r="C43" s="69">
        <f t="shared" si="5"/>
        <v>24</v>
      </c>
      <c r="F43" s="4"/>
      <c r="G43" s="4"/>
      <c r="H43" s="4">
        <f t="shared" si="9"/>
        <v>0</v>
      </c>
      <c r="I43" s="4">
        <f t="shared" si="11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10"/>
        <v>0</v>
      </c>
      <c r="AH43" s="4"/>
      <c r="AI43" s="17"/>
      <c r="AJ43" s="4"/>
      <c r="AK43" s="4"/>
    </row>
    <row r="44" spans="1:37" ht="11.25">
      <c r="A44" s="69">
        <f t="shared" si="4"/>
        <v>27</v>
      </c>
      <c r="B44" s="79"/>
      <c r="C44" s="69"/>
      <c r="F44" s="4"/>
      <c r="G44" s="4"/>
      <c r="H44" s="4"/>
      <c r="I44" s="4">
        <f t="shared" si="11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10"/>
        <v>0</v>
      </c>
      <c r="AH44" s="4"/>
      <c r="AI44" s="17"/>
      <c r="AJ44" s="4"/>
      <c r="AK44" s="4"/>
    </row>
    <row r="45" spans="1:37" ht="11.25">
      <c r="A45" s="69">
        <f t="shared" si="4"/>
        <v>28</v>
      </c>
      <c r="D45" s="17">
        <f>SUM(D20:D41)</f>
        <v>0</v>
      </c>
      <c r="E45" s="17">
        <f>SUM(E21:E41)</f>
        <v>0</v>
      </c>
      <c r="F45" s="17">
        <f>SUM(F20:F42)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12" ref="J45:AE45">SUM(J20:J41)</f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  <c r="S45" s="17">
        <f t="shared" si="12"/>
        <v>0</v>
      </c>
      <c r="T45" s="17">
        <f t="shared" si="12"/>
        <v>0</v>
      </c>
      <c r="U45" s="17">
        <f t="shared" si="12"/>
        <v>0</v>
      </c>
      <c r="V45" s="17">
        <f t="shared" si="12"/>
        <v>0</v>
      </c>
      <c r="W45" s="17">
        <f t="shared" si="12"/>
        <v>0</v>
      </c>
      <c r="X45" s="17">
        <f t="shared" si="12"/>
        <v>0</v>
      </c>
      <c r="Y45" s="17">
        <f t="shared" si="12"/>
        <v>0</v>
      </c>
      <c r="Z45" s="17">
        <f t="shared" si="12"/>
        <v>0</v>
      </c>
      <c r="AA45" s="17">
        <f t="shared" si="12"/>
        <v>0</v>
      </c>
      <c r="AB45" s="17">
        <f t="shared" si="12"/>
        <v>0</v>
      </c>
      <c r="AC45" s="17">
        <f t="shared" si="12"/>
        <v>0</v>
      </c>
      <c r="AD45" s="17">
        <f t="shared" si="12"/>
        <v>0</v>
      </c>
      <c r="AE45" s="17">
        <f t="shared" si="12"/>
        <v>0</v>
      </c>
      <c r="AF45" s="17">
        <f>SUM(AF20:AF43)</f>
        <v>0</v>
      </c>
      <c r="AG45" s="17">
        <f>SUM(AG20:AG43)</f>
        <v>0</v>
      </c>
      <c r="AH45" s="17">
        <f>SUM(AH20:AH43)</f>
        <v>0</v>
      </c>
      <c r="AI45" s="4"/>
      <c r="AJ45" s="4"/>
      <c r="AK45" s="17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17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17"/>
    </row>
    <row r="48" spans="1:36" ht="11.25">
      <c r="A48" s="16" t="s">
        <v>98</v>
      </c>
      <c r="AH48" s="17"/>
      <c r="AI48" s="4"/>
      <c r="AJ48" s="4"/>
    </row>
    <row r="49" spans="1:36" ht="11.25">
      <c r="A49" s="16" t="s">
        <v>184</v>
      </c>
      <c r="AH49" s="17"/>
      <c r="AI49" s="4"/>
      <c r="AJ49" s="4"/>
    </row>
    <row r="50" spans="1:36" ht="11.25">
      <c r="A50" s="16" t="s">
        <v>185</v>
      </c>
      <c r="AH50" s="17"/>
      <c r="AI50" s="4"/>
      <c r="AJ50" s="4"/>
    </row>
    <row r="51" spans="4:37" ht="11.25">
      <c r="D51" s="80">
        <f>+'9.4 Base Rates ADIT Calc p.2 '!D51</f>
        <v>2022</v>
      </c>
      <c r="E51" s="80">
        <f>+'9.4 Base Rates ADIT Calc p.2 '!E51</f>
        <v>2023</v>
      </c>
      <c r="F51" s="80">
        <f>+'9.4 Base Rates ADIT Calc p.2 '!F51</f>
        <v>2024</v>
      </c>
      <c r="G51" s="80">
        <f>+'9.4 Base Rates ADIT Calc p.2 '!G51</f>
        <v>2025</v>
      </c>
      <c r="H51" s="80">
        <f>+'9.4 Base Rates ADIT Calc p.2 '!H51</f>
        <v>2026</v>
      </c>
      <c r="I51" s="80">
        <f>+'9.4 Base Rates ADIT Calc p.2 '!I51</f>
        <v>2027</v>
      </c>
      <c r="AH51" s="17"/>
      <c r="AI51" s="4"/>
      <c r="AJ51" s="4"/>
      <c r="AK51" s="81"/>
    </row>
    <row r="52" spans="2:37" ht="11.25">
      <c r="B52" s="40" t="s">
        <v>74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AH52" s="17"/>
      <c r="AI52" s="4"/>
      <c r="AJ52" s="4"/>
      <c r="AK52" s="81"/>
    </row>
    <row r="53" spans="2:37" ht="11.25">
      <c r="B53" s="40" t="s">
        <v>75</v>
      </c>
      <c r="D53" s="84">
        <f>+'9.4 Base Rates ADIT Calc p.2 '!D53</f>
        <v>0.0401</v>
      </c>
      <c r="E53" s="84">
        <f>+'9.4 Base Rates ADIT Calc p.2 '!E53</f>
        <v>0.0401</v>
      </c>
      <c r="F53" s="84">
        <f>+'9.4 Base Rates ADIT Calc p.2 '!F53</f>
        <v>0.0401</v>
      </c>
      <c r="G53" s="84">
        <f>+'9.4 Base Rates ADIT Calc p.2 '!G53</f>
        <v>0.0401</v>
      </c>
      <c r="H53" s="84">
        <f>+'9.4 Base Rates ADIT Calc p.2 '!H53</f>
        <v>0.0401</v>
      </c>
      <c r="I53" s="84">
        <f>+'9.4 Base Rates ADIT Calc p.2 '!I53</f>
        <v>0.0401</v>
      </c>
      <c r="AG53" s="70"/>
      <c r="AK53" s="17"/>
    </row>
    <row r="54" spans="2:37" ht="11.25">
      <c r="B54" s="85"/>
      <c r="D54" s="9">
        <f>(1-D52)*D53</f>
        <v>0.0401</v>
      </c>
      <c r="E54" s="9">
        <f>(1-E52)*E53</f>
        <v>0.0401</v>
      </c>
      <c r="F54" s="9">
        <f aca="true" t="shared" si="13" ref="F54:AE54">(1-F52)*F53</f>
        <v>0.0401</v>
      </c>
      <c r="G54" s="9">
        <f>(1-G52)*G53</f>
        <v>0.0401</v>
      </c>
      <c r="H54" s="9">
        <f>(1-H52)*H53</f>
        <v>0.0401</v>
      </c>
      <c r="I54" s="9">
        <f>(1-I52)*I53</f>
        <v>0.0401</v>
      </c>
      <c r="J54" s="9">
        <f t="shared" si="13"/>
        <v>0</v>
      </c>
      <c r="K54" s="9">
        <f t="shared" si="13"/>
        <v>0</v>
      </c>
      <c r="L54" s="9">
        <f t="shared" si="13"/>
        <v>0</v>
      </c>
      <c r="M54" s="9">
        <f t="shared" si="13"/>
        <v>0</v>
      </c>
      <c r="N54" s="9">
        <f t="shared" si="13"/>
        <v>0</v>
      </c>
      <c r="O54" s="9">
        <f t="shared" si="13"/>
        <v>0</v>
      </c>
      <c r="P54" s="9">
        <f t="shared" si="13"/>
        <v>0</v>
      </c>
      <c r="Q54" s="9">
        <f t="shared" si="13"/>
        <v>0</v>
      </c>
      <c r="R54" s="9">
        <f t="shared" si="13"/>
        <v>0</v>
      </c>
      <c r="S54" s="9">
        <f t="shared" si="13"/>
        <v>0</v>
      </c>
      <c r="T54" s="9">
        <f t="shared" si="13"/>
        <v>0</v>
      </c>
      <c r="U54" s="9">
        <f t="shared" si="13"/>
        <v>0</v>
      </c>
      <c r="V54" s="9">
        <f t="shared" si="13"/>
        <v>0</v>
      </c>
      <c r="W54" s="9">
        <f t="shared" si="13"/>
        <v>0</v>
      </c>
      <c r="X54" s="9">
        <f t="shared" si="13"/>
        <v>0</v>
      </c>
      <c r="Y54" s="9">
        <f t="shared" si="13"/>
        <v>0</v>
      </c>
      <c r="Z54" s="9">
        <f t="shared" si="13"/>
        <v>0</v>
      </c>
      <c r="AA54" s="9">
        <f t="shared" si="13"/>
        <v>0</v>
      </c>
      <c r="AB54" s="9">
        <f t="shared" si="13"/>
        <v>0</v>
      </c>
      <c r="AC54" s="9">
        <f t="shared" si="13"/>
        <v>0</v>
      </c>
      <c r="AD54" s="9">
        <f t="shared" si="13"/>
        <v>0</v>
      </c>
      <c r="AE54" s="9">
        <f t="shared" si="13"/>
        <v>0</v>
      </c>
      <c r="AJ54" s="69"/>
      <c r="AK54" s="17"/>
    </row>
    <row r="55" spans="2:37" ht="11.25">
      <c r="B55" s="86" t="s">
        <v>99</v>
      </c>
      <c r="D55" s="84">
        <f>+'9.4 Base Rates ADIT Calc p.2 '!D55</f>
        <v>0</v>
      </c>
      <c r="E55" s="84">
        <f>+'9.4 Base Rates ADIT Calc p.2 '!E55</f>
        <v>0</v>
      </c>
      <c r="F55" s="84">
        <f>+'9.4 Base Rates ADIT Calc p.2 '!F55</f>
        <v>0</v>
      </c>
      <c r="G55" s="84">
        <f>+'9.4 Base Rates ADIT Calc p.2 '!G55</f>
        <v>0</v>
      </c>
      <c r="H55" s="84">
        <f>+'9.4 Base Rates ADIT Calc p.2 '!H55</f>
        <v>0</v>
      </c>
      <c r="I55" s="84">
        <f>+'9.4 Base Rates ADIT Calc p.2 '!I55</f>
        <v>0</v>
      </c>
      <c r="AG55" s="69"/>
      <c r="AH55" s="69"/>
      <c r="AI55" s="69"/>
      <c r="AJ55" s="69"/>
      <c r="AK55" s="69"/>
    </row>
    <row r="56" spans="2:37" ht="11.25">
      <c r="B56" s="87"/>
      <c r="D56" s="9">
        <f aca="true" t="shared" si="14" ref="D56:I56">D52+D54</f>
        <v>0.0401</v>
      </c>
      <c r="E56" s="9">
        <f t="shared" si="14"/>
        <v>0.0401</v>
      </c>
      <c r="F56" s="9">
        <f t="shared" si="14"/>
        <v>0.0401</v>
      </c>
      <c r="G56" s="9">
        <f t="shared" si="14"/>
        <v>0.0401</v>
      </c>
      <c r="H56" s="9">
        <f t="shared" si="14"/>
        <v>0.0401</v>
      </c>
      <c r="I56" s="9">
        <f t="shared" si="14"/>
        <v>0.0401</v>
      </c>
      <c r="AG56" s="82"/>
      <c r="AH56" s="82"/>
      <c r="AI56" s="82"/>
      <c r="AJ56" s="82"/>
      <c r="AK56" s="82"/>
    </row>
    <row r="57" spans="4:37" ht="11.25">
      <c r="D57" s="77"/>
      <c r="E57" s="77"/>
      <c r="F57" s="77"/>
      <c r="AH57" s="4"/>
      <c r="AI57" s="17"/>
      <c r="AJ57" s="4"/>
      <c r="AK57" s="17"/>
    </row>
    <row r="58" spans="4:37" ht="11.25">
      <c r="D58" s="77"/>
      <c r="E58" s="77"/>
      <c r="F58" s="77"/>
      <c r="AH58" s="4"/>
      <c r="AI58" s="17"/>
      <c r="AJ58" s="4"/>
      <c r="AK58" s="17"/>
    </row>
    <row r="59" spans="34:37" ht="11.25">
      <c r="AH59" s="4"/>
      <c r="AI59" s="17"/>
      <c r="AJ59" s="4"/>
      <c r="AK59" s="17"/>
    </row>
    <row r="60" spans="34:37" ht="11.25">
      <c r="AH60" s="4"/>
      <c r="AI60" s="17"/>
      <c r="AJ60" s="4"/>
      <c r="AK60" s="17"/>
    </row>
    <row r="61" spans="34:37" ht="11.25">
      <c r="AH61" s="4"/>
      <c r="AI61" s="17"/>
      <c r="AJ61" s="4"/>
      <c r="AK61" s="17"/>
    </row>
    <row r="62" spans="34:37" ht="11.25">
      <c r="AH62" s="4"/>
      <c r="AI62" s="17"/>
      <c r="AJ62" s="4"/>
      <c r="AK62" s="17"/>
    </row>
    <row r="63" spans="32:37" ht="11.25">
      <c r="AF63" s="17"/>
      <c r="AH63" s="4"/>
      <c r="AI63" s="17"/>
      <c r="AJ63" s="4"/>
      <c r="AK63" s="17"/>
    </row>
    <row r="64" spans="32:37" ht="11.25">
      <c r="AF64" s="17"/>
      <c r="AH64" s="4"/>
      <c r="AI64" s="17"/>
      <c r="AJ64" s="4"/>
      <c r="AK64" s="17"/>
    </row>
    <row r="65" spans="32:37" ht="11.25">
      <c r="AF65" s="17"/>
      <c r="AH65" s="4"/>
      <c r="AI65" s="17"/>
      <c r="AJ65" s="4"/>
      <c r="AK65" s="17"/>
    </row>
    <row r="66" spans="32:37" ht="11.25">
      <c r="AF66" s="17"/>
      <c r="AH66" s="4"/>
      <c r="AI66" s="17"/>
      <c r="AJ66" s="4"/>
      <c r="AK66" s="17"/>
    </row>
    <row r="67" spans="7:37" ht="11.25">
      <c r="G67" s="4"/>
      <c r="AF67" s="17"/>
      <c r="AH67" s="4"/>
      <c r="AI67" s="17"/>
      <c r="AJ67" s="4"/>
      <c r="AK67" s="17"/>
    </row>
    <row r="68" spans="7:37" ht="11.25">
      <c r="G68" s="4"/>
      <c r="H68" s="4"/>
      <c r="AF68" s="17"/>
      <c r="AH68" s="4"/>
      <c r="AI68" s="17"/>
      <c r="AJ68" s="4"/>
      <c r="AK68" s="17"/>
    </row>
    <row r="69" spans="7:37" ht="11.25">
      <c r="G69" s="4"/>
      <c r="H69" s="4"/>
      <c r="I69" s="4"/>
      <c r="AF69" s="17"/>
      <c r="AH69" s="4"/>
      <c r="AI69" s="17"/>
      <c r="AJ69" s="4"/>
      <c r="AK69" s="17"/>
    </row>
    <row r="70" spans="7:37" ht="11.25">
      <c r="G70" s="4"/>
      <c r="H70" s="4"/>
      <c r="I70" s="4"/>
      <c r="J70" s="4"/>
      <c r="AF70" s="17"/>
      <c r="AH70" s="4"/>
      <c r="AI70" s="17"/>
      <c r="AJ70" s="4"/>
      <c r="AK70" s="17"/>
    </row>
    <row r="71" spans="7:37" ht="11.25">
      <c r="G71" s="4"/>
      <c r="H71" s="4"/>
      <c r="I71" s="4"/>
      <c r="J71" s="4"/>
      <c r="K71" s="4"/>
      <c r="AF71" s="17"/>
      <c r="AH71" s="4"/>
      <c r="AI71" s="17"/>
      <c r="AJ71" s="4"/>
      <c r="AK71" s="17"/>
    </row>
    <row r="72" spans="7:37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/>
      <c r="AH72" s="4"/>
      <c r="AI72" s="17"/>
      <c r="AJ72" s="4"/>
      <c r="AK72" s="17"/>
    </row>
    <row r="73" spans="7:37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/>
      <c r="AH73" s="4"/>
      <c r="AI73" s="17"/>
      <c r="AJ73" s="4"/>
      <c r="AK73" s="17"/>
    </row>
    <row r="74" spans="7:37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/>
      <c r="AH74" s="4"/>
      <c r="AI74" s="17"/>
      <c r="AJ74" s="4"/>
      <c r="AK74" s="17"/>
    </row>
    <row r="75" spans="7:37" ht="11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H75" s="4"/>
      <c r="AI75" s="17"/>
      <c r="AJ75" s="4"/>
      <c r="AK75" s="17"/>
    </row>
    <row r="76" spans="7:37" ht="11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H76" s="4"/>
      <c r="AI76" s="17"/>
      <c r="AJ76" s="4"/>
      <c r="AK76" s="17"/>
    </row>
    <row r="77" spans="8:37" ht="11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H77" s="4"/>
      <c r="AI77" s="17"/>
      <c r="AJ77" s="4"/>
      <c r="AK77" s="17"/>
    </row>
    <row r="78" spans="9:37" ht="11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H78" s="17"/>
      <c r="AI78" s="17"/>
      <c r="AJ78" s="17"/>
      <c r="AK78" s="17"/>
    </row>
    <row r="79" spans="10:31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1:31" ht="11.2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2:37" ht="11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G81" s="70"/>
      <c r="AK81" s="17"/>
    </row>
    <row r="82" spans="36:37" ht="11.25">
      <c r="AJ82" s="69"/>
      <c r="AK82" s="17"/>
    </row>
    <row r="83" spans="33:37" ht="11.25">
      <c r="AG83" s="69"/>
      <c r="AH83" s="69"/>
      <c r="AI83" s="69"/>
      <c r="AJ83" s="69"/>
      <c r="AK83" s="69"/>
    </row>
    <row r="84" spans="33:37" ht="11.25">
      <c r="AG84" s="82"/>
      <c r="AH84" s="82"/>
      <c r="AI84" s="82"/>
      <c r="AJ84" s="82"/>
      <c r="AK84" s="82"/>
    </row>
    <row r="85" spans="34:37" ht="11.25">
      <c r="AH85" s="4"/>
      <c r="AI85" s="17"/>
      <c r="AJ85" s="4"/>
      <c r="AK85" s="17"/>
    </row>
    <row r="86" spans="34:37" ht="11.25">
      <c r="AH86" s="4"/>
      <c r="AI86" s="17"/>
      <c r="AJ86" s="4"/>
      <c r="AK86" s="17"/>
    </row>
    <row r="87" spans="34:37" ht="11.25">
      <c r="AH87" s="4"/>
      <c r="AI87" s="17"/>
      <c r="AJ87" s="4"/>
      <c r="AK87" s="17"/>
    </row>
    <row r="88" spans="34:37" ht="11.25">
      <c r="AH88" s="4"/>
      <c r="AI88" s="17"/>
      <c r="AJ88" s="4"/>
      <c r="AK88" s="17"/>
    </row>
    <row r="89" spans="34:37" ht="11.25">
      <c r="AH89" s="4"/>
      <c r="AI89" s="17"/>
      <c r="AJ89" s="4"/>
      <c r="AK89" s="17"/>
    </row>
    <row r="90" spans="34:37" ht="11.25">
      <c r="AH90" s="4"/>
      <c r="AI90" s="17"/>
      <c r="AJ90" s="4"/>
      <c r="AK90" s="17"/>
    </row>
    <row r="91" spans="34:37" ht="11.25">
      <c r="AH91" s="4"/>
      <c r="AI91" s="17"/>
      <c r="AJ91" s="4"/>
      <c r="AK91" s="17"/>
    </row>
    <row r="92" spans="34:37" ht="11.25">
      <c r="AH92" s="4"/>
      <c r="AI92" s="17"/>
      <c r="AJ92" s="4"/>
      <c r="AK92" s="17"/>
    </row>
    <row r="93" spans="34:37" ht="11.25">
      <c r="AH93" s="4"/>
      <c r="AI93" s="17"/>
      <c r="AJ93" s="4"/>
      <c r="AK93" s="17"/>
    </row>
    <row r="94" spans="34:37" ht="11.25">
      <c r="AH94" s="4"/>
      <c r="AI94" s="17"/>
      <c r="AJ94" s="4"/>
      <c r="AK94" s="17"/>
    </row>
    <row r="95" spans="34:37" ht="11.25">
      <c r="AH95" s="4"/>
      <c r="AI95" s="17"/>
      <c r="AJ95" s="4"/>
      <c r="AK95" s="17"/>
    </row>
    <row r="96" spans="34:37" ht="11.25">
      <c r="AH96" s="4"/>
      <c r="AI96" s="17"/>
      <c r="AJ96" s="4"/>
      <c r="AK96" s="17"/>
    </row>
    <row r="97" spans="34:37" ht="11.25">
      <c r="AH97" s="4"/>
      <c r="AI97" s="17"/>
      <c r="AJ97" s="4"/>
      <c r="AK97" s="17"/>
    </row>
    <row r="98" spans="34:37" ht="11.25">
      <c r="AH98" s="4"/>
      <c r="AI98" s="17"/>
      <c r="AJ98" s="4"/>
      <c r="AK98" s="17"/>
    </row>
    <row r="99" spans="34:37" ht="11.25">
      <c r="AH99" s="4"/>
      <c r="AI99" s="17"/>
      <c r="AJ99" s="4"/>
      <c r="AK99" s="17"/>
    </row>
    <row r="100" spans="34:37" ht="11.25">
      <c r="AH100" s="4"/>
      <c r="AI100" s="17"/>
      <c r="AJ100" s="4"/>
      <c r="AK100" s="17"/>
    </row>
    <row r="101" spans="34:37" ht="11.25">
      <c r="AH101" s="4"/>
      <c r="AI101" s="17"/>
      <c r="AJ101" s="4"/>
      <c r="AK101" s="17"/>
    </row>
    <row r="102" spans="34:37" ht="11.25">
      <c r="AH102" s="4"/>
      <c r="AI102" s="17"/>
      <c r="AJ102" s="4"/>
      <c r="AK102" s="17"/>
    </row>
    <row r="103" spans="34:37" ht="11.25">
      <c r="AH103" s="4"/>
      <c r="AI103" s="17"/>
      <c r="AJ103" s="4"/>
      <c r="AK103" s="17"/>
    </row>
    <row r="104" spans="34:37" ht="11.25">
      <c r="AH104" s="4"/>
      <c r="AI104" s="17"/>
      <c r="AJ104" s="4"/>
      <c r="AK104" s="17"/>
    </row>
    <row r="105" spans="34:37" ht="11.25">
      <c r="AH105" s="4"/>
      <c r="AI105" s="17"/>
      <c r="AJ105" s="4"/>
      <c r="AK105" s="17"/>
    </row>
    <row r="106" spans="34:37" ht="11.25">
      <c r="AH106" s="17"/>
      <c r="AI106" s="17"/>
      <c r="AJ106" s="17"/>
      <c r="AK106" s="17"/>
    </row>
  </sheetData>
  <sheetProtection/>
  <mergeCells count="4">
    <mergeCell ref="A5:AK5"/>
    <mergeCell ref="A6:AK6"/>
    <mergeCell ref="A7:AK7"/>
    <mergeCell ref="D17:AG17"/>
  </mergeCells>
  <printOptions horizontalCentered="1"/>
  <pageMargins left="0" right="0" top="0.5" bottom="0" header="0.5" footer="0.5"/>
  <pageSetup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C1" sqref="C1"/>
    </sheetView>
  </sheetViews>
  <sheetFormatPr defaultColWidth="8.8515625" defaultRowHeight="12.75"/>
  <cols>
    <col min="1" max="1" width="8.8515625" style="10" customWidth="1"/>
    <col min="2" max="2" width="59.57421875" style="10" customWidth="1"/>
    <col min="3" max="3" width="20.8515625" style="10" customWidth="1"/>
    <col min="4" max="4" width="8.8515625" style="10" customWidth="1"/>
    <col min="5" max="5" width="10.28125" style="10" bestFit="1" customWidth="1"/>
    <col min="6" max="16384" width="8.8515625" style="10" customWidth="1"/>
  </cols>
  <sheetData>
    <row r="1" ht="12.75">
      <c r="C1" s="43" t="str">
        <f>+'1.0 SMRP Rider Calc '!H1</f>
        <v> PSC Set 1 No. 1 2022-00342</v>
      </c>
    </row>
    <row r="2" ht="12.75">
      <c r="C2" s="43" t="str">
        <f>+'1.0 SMRP Rider Calc '!H2</f>
        <v>Attachment JTG-1</v>
      </c>
    </row>
    <row r="3" ht="12.75">
      <c r="C3" s="43" t="s">
        <v>200</v>
      </c>
    </row>
    <row r="4" ht="12.75">
      <c r="C4" s="43"/>
    </row>
    <row r="5" ht="12.75">
      <c r="B5" s="35" t="s">
        <v>66</v>
      </c>
    </row>
    <row r="6" spans="2:3" ht="12.75">
      <c r="B6" s="35" t="s">
        <v>112</v>
      </c>
      <c r="C6" s="43"/>
    </row>
    <row r="7" spans="2:3" ht="12.75">
      <c r="B7" s="35" t="s">
        <v>213</v>
      </c>
      <c r="C7" s="62"/>
    </row>
    <row r="8" spans="2:3" ht="12.75">
      <c r="B8" s="35" t="s">
        <v>220</v>
      </c>
      <c r="C8" s="62"/>
    </row>
    <row r="9" ht="12.75">
      <c r="B9" s="35"/>
    </row>
    <row r="13" spans="2:3" ht="12.75">
      <c r="B13" s="88" t="s">
        <v>53</v>
      </c>
      <c r="C13" s="34" t="s">
        <v>312</v>
      </c>
    </row>
    <row r="14" spans="2:3" ht="12.75">
      <c r="B14" s="88"/>
      <c r="C14" s="34"/>
    </row>
    <row r="15" spans="2:3" ht="12.75">
      <c r="B15" s="35" t="s">
        <v>280</v>
      </c>
      <c r="C15" s="35" t="s">
        <v>281</v>
      </c>
    </row>
    <row r="16" spans="2:3" ht="12.75">
      <c r="B16" s="35"/>
      <c r="C16" s="35"/>
    </row>
    <row r="17" ht="12.75">
      <c r="B17" s="89"/>
    </row>
    <row r="18" spans="2:3" s="21" customFormat="1" ht="12">
      <c r="B18" s="90" t="s">
        <v>310</v>
      </c>
      <c r="C18" s="139">
        <v>8279217.4</v>
      </c>
    </row>
    <row r="19" spans="2:3" s="21" customFormat="1" ht="12">
      <c r="B19" s="90" t="s">
        <v>311</v>
      </c>
      <c r="C19" s="139">
        <v>5989222.2</v>
      </c>
    </row>
    <row r="20" spans="2:3" s="21" customFormat="1" ht="12">
      <c r="B20" s="90" t="s">
        <v>67</v>
      </c>
      <c r="C20" s="139">
        <v>11251.2</v>
      </c>
    </row>
    <row r="21" spans="2:3" s="21" customFormat="1" ht="12">
      <c r="B21" s="90" t="s">
        <v>68</v>
      </c>
      <c r="C21" s="139">
        <v>8691352.8</v>
      </c>
    </row>
    <row r="22" spans="2:3" s="21" customFormat="1" ht="12.75" thickBot="1">
      <c r="B22" s="90" t="s">
        <v>313</v>
      </c>
      <c r="C22" s="140">
        <f>SUM(C18:C21)</f>
        <v>22971043.6</v>
      </c>
    </row>
    <row r="23" s="21" customFormat="1" ht="12.75" thickTop="1">
      <c r="B23" s="90"/>
    </row>
    <row r="24" s="21" customFormat="1" ht="12">
      <c r="B24" s="90"/>
    </row>
    <row r="25" spans="2:3" ht="12">
      <c r="B25" s="90"/>
      <c r="C25" s="21"/>
    </row>
    <row r="26" ht="12">
      <c r="B26" s="90"/>
    </row>
  </sheetData>
  <sheetProtection/>
  <printOptions horizontalCentered="1"/>
  <pageMargins left="0.7" right="0.7" top="0.75" bottom="0.75" header="0.3" footer="0.3"/>
  <pageSetup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SheetLayoutView="112" zoomScalePageLayoutView="0" workbookViewId="0" topLeftCell="A1">
      <selection activeCell="I20" sqref="I20"/>
    </sheetView>
  </sheetViews>
  <sheetFormatPr defaultColWidth="8.8515625" defaultRowHeight="12.75"/>
  <cols>
    <col min="1" max="1" width="5.28125" style="10" customWidth="1"/>
    <col min="2" max="2" width="3.421875" style="10" customWidth="1"/>
    <col min="3" max="3" width="1.7109375" style="10" customWidth="1"/>
    <col min="4" max="4" width="8.8515625" style="10" customWidth="1"/>
    <col min="5" max="5" width="35.8515625" style="10" customWidth="1"/>
    <col min="6" max="6" width="1.8515625" style="10" customWidth="1"/>
    <col min="7" max="7" width="18.8515625" style="10" customWidth="1"/>
    <col min="8" max="8" width="1.421875" style="10" customWidth="1"/>
    <col min="9" max="9" width="21.140625" style="10" bestFit="1" customWidth="1"/>
    <col min="10" max="10" width="1.1484375" style="10" customWidth="1"/>
    <col min="11" max="11" width="14.28125" style="10" bestFit="1" customWidth="1"/>
    <col min="12" max="12" width="1.57421875" style="10" customWidth="1"/>
    <col min="13" max="13" width="20.7109375" style="10" bestFit="1" customWidth="1"/>
    <col min="14" max="14" width="2.28125" style="10" customWidth="1"/>
    <col min="15" max="15" width="19.8515625" style="10" bestFit="1" customWidth="1"/>
    <col min="16" max="16" width="11.28125" style="10" customWidth="1"/>
    <col min="17" max="17" width="12.8515625" style="10" bestFit="1" customWidth="1"/>
    <col min="18" max="18" width="8.8515625" style="10" customWidth="1"/>
    <col min="19" max="19" width="12.421875" style="10" bestFit="1" customWidth="1"/>
    <col min="20" max="20" width="19.00390625" style="10" customWidth="1"/>
    <col min="21" max="16384" width="8.8515625" style="10" customWidth="1"/>
  </cols>
  <sheetData>
    <row r="1" ht="12.75">
      <c r="O1" s="154" t="str">
        <f>+'1.1 Projected Volumes'!C1</f>
        <v> PSC Set 1 No. 1 2022-00342</v>
      </c>
    </row>
    <row r="2" ht="12.75">
      <c r="O2" s="154" t="str">
        <f>+'1.1 Projected Volumes'!C2</f>
        <v>Attachment JTG-1</v>
      </c>
    </row>
    <row r="3" ht="12.75">
      <c r="O3" s="154" t="s">
        <v>189</v>
      </c>
    </row>
    <row r="4" spans="1:15" ht="12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2.75">
      <c r="A6" s="166" t="s">
        <v>264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2.75">
      <c r="A7" s="3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ht="12.75">
      <c r="F8" s="23"/>
    </row>
    <row r="9" spans="1:22" ht="12.75">
      <c r="A9" s="35" t="s">
        <v>49</v>
      </c>
      <c r="F9" s="23"/>
      <c r="G9" s="35" t="s">
        <v>114</v>
      </c>
      <c r="H9" s="54"/>
      <c r="I9" s="35" t="s">
        <v>114</v>
      </c>
      <c r="J9" s="54"/>
      <c r="K9" s="35" t="s">
        <v>123</v>
      </c>
      <c r="L9" s="35"/>
      <c r="M9" s="35" t="s">
        <v>88</v>
      </c>
      <c r="N9" s="35"/>
      <c r="O9" s="54"/>
      <c r="P9" s="54"/>
      <c r="Q9" s="54"/>
      <c r="R9" s="54"/>
      <c r="S9" s="54"/>
      <c r="T9" s="54"/>
      <c r="U9" s="54"/>
      <c r="V9" s="54"/>
    </row>
    <row r="10" spans="1:22" ht="12.75">
      <c r="A10" s="34" t="s">
        <v>50</v>
      </c>
      <c r="E10" s="37"/>
      <c r="F10" s="59"/>
      <c r="G10" s="60">
        <v>45291</v>
      </c>
      <c r="H10" s="54"/>
      <c r="I10" s="60" t="s">
        <v>122</v>
      </c>
      <c r="J10" s="54"/>
      <c r="K10" s="54" t="s">
        <v>137</v>
      </c>
      <c r="L10" s="54"/>
      <c r="M10" s="34" t="s">
        <v>124</v>
      </c>
      <c r="N10" s="34"/>
      <c r="O10" s="34" t="s">
        <v>51</v>
      </c>
      <c r="P10" s="54"/>
      <c r="Q10" s="54"/>
      <c r="R10" s="54"/>
      <c r="S10" s="54"/>
      <c r="T10" s="54"/>
      <c r="U10" s="54"/>
      <c r="V10" s="54"/>
    </row>
    <row r="11" spans="1:30" ht="12.75">
      <c r="A11" s="35"/>
      <c r="E11" s="37"/>
      <c r="F11" s="24"/>
      <c r="G11" s="36" t="s">
        <v>280</v>
      </c>
      <c r="H11" s="36"/>
      <c r="I11" s="36" t="s">
        <v>281</v>
      </c>
      <c r="J11" s="36"/>
      <c r="K11" s="36" t="s">
        <v>282</v>
      </c>
      <c r="L11" s="36"/>
      <c r="M11" s="36" t="s">
        <v>283</v>
      </c>
      <c r="N11" s="36"/>
      <c r="O11" s="36" t="s">
        <v>284</v>
      </c>
      <c r="P11" s="54"/>
      <c r="Q11" s="54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6:12" ht="12.75">
      <c r="F12" s="25"/>
      <c r="K12" s="35" t="s">
        <v>294</v>
      </c>
      <c r="L12" s="35"/>
    </row>
    <row r="13" spans="1:8" ht="12">
      <c r="A13" s="37"/>
      <c r="F13" s="25"/>
      <c r="G13" s="25"/>
      <c r="H13" s="25"/>
    </row>
    <row r="14" spans="1:6" ht="12">
      <c r="A14" s="37"/>
      <c r="F14" s="25"/>
    </row>
    <row r="15" spans="1:15" ht="18" customHeight="1">
      <c r="A15" s="37">
        <v>1</v>
      </c>
      <c r="C15" s="10" t="s">
        <v>146</v>
      </c>
      <c r="F15" s="27"/>
      <c r="G15" s="28">
        <f>+'3.0 Plant in Service'!Q85</f>
        <v>13307364.665401723</v>
      </c>
      <c r="I15" s="28">
        <f>+'9.0 Base Rates Plant in Svc'!Q38</f>
        <v>0</v>
      </c>
      <c r="K15" s="56">
        <f>+G15-I15</f>
        <v>13307364.665401723</v>
      </c>
      <c r="L15" s="56"/>
      <c r="O15" s="10" t="s">
        <v>214</v>
      </c>
    </row>
    <row r="16" spans="1:15" ht="18" customHeight="1">
      <c r="A16" s="37">
        <f>A15+1</f>
        <v>2</v>
      </c>
      <c r="C16" s="10" t="s">
        <v>182</v>
      </c>
      <c r="F16" s="27"/>
      <c r="G16" s="28">
        <f>+'4.0 Accumulated Depr'!Q106</f>
        <v>3311230.048648995</v>
      </c>
      <c r="I16" s="28">
        <f>+'9.1 Base Rates Acc Depr '!Q46</f>
        <v>0</v>
      </c>
      <c r="K16" s="56">
        <f>+G16-I16</f>
        <v>3311230.048648995</v>
      </c>
      <c r="L16" s="56"/>
      <c r="O16" s="10" t="s">
        <v>215</v>
      </c>
    </row>
    <row r="17" spans="1:15" ht="18" customHeight="1">
      <c r="A17" s="37">
        <v>3</v>
      </c>
      <c r="C17" s="10" t="s">
        <v>119</v>
      </c>
      <c r="F17" s="27"/>
      <c r="G17" s="93">
        <f>+'6.0 ADIT Normalized '!Q27</f>
        <v>-1585218</v>
      </c>
      <c r="I17" s="93">
        <f>+'9.3 Base Rates ADIT Normalized'!Q18</f>
        <v>0</v>
      </c>
      <c r="K17" s="56">
        <f>+G17-I17</f>
        <v>-1585218</v>
      </c>
      <c r="L17" s="56"/>
      <c r="O17" s="10" t="s">
        <v>216</v>
      </c>
    </row>
    <row r="18" spans="1:15" ht="18" customHeight="1">
      <c r="A18" s="37">
        <v>4</v>
      </c>
      <c r="D18" s="10" t="s">
        <v>120</v>
      </c>
      <c r="F18" s="27"/>
      <c r="G18" s="28">
        <f>SUM(G15:G17)</f>
        <v>15033376.714050718</v>
      </c>
      <c r="I18" s="28">
        <f>SUM(I15:I17)</f>
        <v>0</v>
      </c>
      <c r="K18" s="99">
        <f>SUM(K15:K17)</f>
        <v>15033376.714050718</v>
      </c>
      <c r="L18" s="30"/>
      <c r="M18" s="56">
        <f>+G18-I18</f>
        <v>15033376.714050718</v>
      </c>
      <c r="N18" s="56"/>
      <c r="O18" s="10" t="s">
        <v>139</v>
      </c>
    </row>
    <row r="19" spans="1:7" ht="18" customHeight="1">
      <c r="A19" s="37"/>
      <c r="F19" s="27"/>
      <c r="G19" s="28"/>
    </row>
    <row r="20" spans="1:15" ht="18" customHeight="1">
      <c r="A20" s="37">
        <v>5</v>
      </c>
      <c r="C20" s="10" t="s">
        <v>121</v>
      </c>
      <c r="F20" s="27"/>
      <c r="G20" s="28"/>
      <c r="H20" s="56"/>
      <c r="M20" s="55">
        <f>+'2.1 ROR '!F21</f>
        <v>0.0848</v>
      </c>
      <c r="N20" s="55"/>
      <c r="O20" s="10" t="s">
        <v>217</v>
      </c>
    </row>
    <row r="21" spans="1:14" ht="18" customHeight="1">
      <c r="A21" s="37"/>
      <c r="F21" s="27"/>
      <c r="G21" s="28"/>
      <c r="H21" s="56"/>
      <c r="M21" s="55"/>
      <c r="N21" s="55"/>
    </row>
    <row r="22" spans="1:15" ht="18" customHeight="1">
      <c r="A22" s="37">
        <v>6</v>
      </c>
      <c r="C22" s="10" t="s">
        <v>126</v>
      </c>
      <c r="F22" s="27"/>
      <c r="G22" s="28"/>
      <c r="H22" s="56"/>
      <c r="M22" s="98">
        <f>ROUND(M18*M20,0)</f>
        <v>1274830</v>
      </c>
      <c r="N22" s="27"/>
      <c r="O22" s="10" t="s">
        <v>138</v>
      </c>
    </row>
    <row r="23" spans="1:8" ht="18" customHeight="1">
      <c r="A23" s="37"/>
      <c r="F23" s="27"/>
      <c r="G23" s="28"/>
      <c r="H23" s="56"/>
    </row>
    <row r="24" spans="1:14" ht="18" customHeight="1">
      <c r="A24" s="37">
        <v>7</v>
      </c>
      <c r="C24" s="10" t="s">
        <v>125</v>
      </c>
      <c r="F24" s="27"/>
      <c r="G24" s="28">
        <f>+'5.0 Depr Expense'!Q138</f>
        <v>295323.475</v>
      </c>
      <c r="H24" s="56"/>
      <c r="I24" s="28">
        <f>+'9.2 Base Rates Depr Exp'!Q62</f>
        <v>0</v>
      </c>
      <c r="K24" s="56">
        <f>+G24-I24</f>
        <v>295323.475</v>
      </c>
      <c r="L24" s="56"/>
      <c r="M24" s="56"/>
      <c r="N24" s="56"/>
    </row>
    <row r="25" spans="1:14" ht="18" customHeight="1">
      <c r="A25" s="37">
        <v>8</v>
      </c>
      <c r="C25" s="10" t="s">
        <v>127</v>
      </c>
      <c r="F25" s="27"/>
      <c r="G25" s="28">
        <f>'7.0 Property Tax'!G18</f>
        <v>0</v>
      </c>
      <c r="H25" s="56"/>
      <c r="I25" s="10">
        <v>0</v>
      </c>
      <c r="K25" s="56">
        <f>+G25-I25</f>
        <v>0</v>
      </c>
      <c r="L25" s="56"/>
      <c r="M25" s="56"/>
      <c r="N25" s="56"/>
    </row>
    <row r="26" spans="1:14" ht="18" customHeight="1">
      <c r="A26" s="37">
        <f>+A25+1</f>
        <v>9</v>
      </c>
      <c r="C26" s="10" t="s">
        <v>90</v>
      </c>
      <c r="F26" s="27"/>
      <c r="G26" s="28">
        <f>+'8.0 O&amp;M Savings '!E14</f>
        <v>0</v>
      </c>
      <c r="H26" s="56"/>
      <c r="I26" s="10">
        <v>0</v>
      </c>
      <c r="K26" s="56">
        <f>+G26-I26</f>
        <v>0</v>
      </c>
      <c r="L26" s="56"/>
      <c r="M26" s="56"/>
      <c r="N26" s="56"/>
    </row>
    <row r="27" spans="1:14" ht="18" customHeight="1">
      <c r="A27" s="37">
        <f>+A26+1</f>
        <v>10</v>
      </c>
      <c r="D27" s="10" t="s">
        <v>212</v>
      </c>
      <c r="F27" s="27"/>
      <c r="G27" s="98">
        <f>SUM(G24:G26)</f>
        <v>295323.475</v>
      </c>
      <c r="H27" s="56"/>
      <c r="I27" s="98">
        <f>SUM(I24:I26)</f>
        <v>0</v>
      </c>
      <c r="K27" s="98">
        <f>SUM(K24:K26)</f>
        <v>295323.475</v>
      </c>
      <c r="L27" s="30"/>
      <c r="M27" s="56">
        <f>+K27</f>
        <v>295323.475</v>
      </c>
      <c r="N27" s="56"/>
    </row>
    <row r="28" spans="1:14" ht="18" customHeight="1">
      <c r="A28" s="37"/>
      <c r="F28" s="27"/>
      <c r="G28" s="27"/>
      <c r="H28" s="56"/>
      <c r="I28" s="30"/>
      <c r="K28" s="30"/>
      <c r="L28" s="30"/>
      <c r="M28" s="56"/>
      <c r="N28" s="56"/>
    </row>
    <row r="29" spans="1:15" ht="18" customHeight="1">
      <c r="A29" s="37">
        <f>+A27+1</f>
        <v>11</v>
      </c>
      <c r="C29" s="10" t="s">
        <v>140</v>
      </c>
      <c r="F29" s="27"/>
      <c r="G29" s="28"/>
      <c r="H29" s="56"/>
      <c r="M29" s="99">
        <f>+M22+M27</f>
        <v>1570153.475</v>
      </c>
      <c r="N29" s="30"/>
      <c r="O29" s="10" t="s">
        <v>267</v>
      </c>
    </row>
    <row r="30" spans="1:14" ht="18" customHeight="1">
      <c r="A30" s="37"/>
      <c r="F30" s="27"/>
      <c r="G30" s="28"/>
      <c r="H30" s="56"/>
      <c r="M30" s="56"/>
      <c r="N30" s="56"/>
    </row>
    <row r="31" spans="1:15" ht="18" customHeight="1">
      <c r="A31" s="37">
        <f>+A29+1</f>
        <v>12</v>
      </c>
      <c r="C31" s="10" t="s">
        <v>136</v>
      </c>
      <c r="F31" s="27"/>
      <c r="G31" s="28"/>
      <c r="H31" s="56"/>
      <c r="M31" s="100">
        <f>+'2.2 Conversion Factor '!E21</f>
        <v>1.002004</v>
      </c>
      <c r="N31" s="100"/>
      <c r="O31" s="10" t="s">
        <v>218</v>
      </c>
    </row>
    <row r="32" spans="1:17" ht="12">
      <c r="A32" s="37"/>
      <c r="F32" s="27"/>
      <c r="G32" s="28"/>
      <c r="P32" s="56"/>
      <c r="Q32" s="56"/>
    </row>
    <row r="33" spans="1:17" ht="16.5" customHeight="1" thickBot="1">
      <c r="A33" s="37">
        <f>+A31+1</f>
        <v>13</v>
      </c>
      <c r="C33" s="54" t="s">
        <v>113</v>
      </c>
      <c r="F33" s="29"/>
      <c r="G33" s="28"/>
      <c r="M33" s="108">
        <f>ROUND(M29*M31,0)</f>
        <v>1573300</v>
      </c>
      <c r="N33" s="150"/>
      <c r="O33" s="10" t="s">
        <v>268</v>
      </c>
      <c r="Q33" s="32"/>
    </row>
    <row r="34" spans="6:7" ht="12.75" thickTop="1">
      <c r="F34" s="56"/>
      <c r="G34" s="56"/>
    </row>
    <row r="35" ht="12">
      <c r="E35" s="57"/>
    </row>
    <row r="36" spans="6:14" ht="12">
      <c r="F36" s="37"/>
      <c r="H36" s="37"/>
      <c r="I36" s="37"/>
      <c r="J36" s="37"/>
      <c r="K36" s="37"/>
      <c r="L36" s="37"/>
      <c r="M36" s="37"/>
      <c r="N36" s="37"/>
    </row>
    <row r="37" spans="6:16" ht="12">
      <c r="F37" s="37"/>
      <c r="G37" s="37"/>
      <c r="H37" s="37"/>
      <c r="I37" s="37"/>
      <c r="J37" s="37"/>
      <c r="K37" s="37"/>
      <c r="L37" s="37"/>
      <c r="M37" s="151"/>
      <c r="N37" s="37"/>
      <c r="O37" s="37"/>
      <c r="P37" s="37"/>
    </row>
    <row r="39" spans="6:16" ht="12">
      <c r="F39" s="58"/>
      <c r="G39" s="58"/>
      <c r="H39" s="55"/>
      <c r="I39" s="55"/>
      <c r="J39" s="55"/>
      <c r="K39" s="55"/>
      <c r="L39" s="55"/>
      <c r="M39" s="55"/>
      <c r="N39" s="55"/>
      <c r="P39" s="55"/>
    </row>
    <row r="40" spans="6:16" ht="12">
      <c r="F40" s="58"/>
      <c r="G40" s="58"/>
      <c r="H40" s="55"/>
      <c r="I40" s="55"/>
      <c r="J40" s="55"/>
      <c r="K40" s="55"/>
      <c r="L40" s="55"/>
      <c r="M40" s="55"/>
      <c r="N40" s="55"/>
      <c r="O40" s="58"/>
      <c r="P40" s="55"/>
    </row>
    <row r="42" spans="8:16" ht="12">
      <c r="H42" s="55"/>
      <c r="I42" s="55"/>
      <c r="J42" s="55"/>
      <c r="K42" s="55"/>
      <c r="L42" s="55"/>
      <c r="M42" s="55"/>
      <c r="N42" s="55"/>
      <c r="P42" s="61"/>
    </row>
  </sheetData>
  <sheetProtection/>
  <mergeCells count="3">
    <mergeCell ref="A4:O4"/>
    <mergeCell ref="A5:O5"/>
    <mergeCell ref="A6:O6"/>
  </mergeCells>
  <printOptions/>
  <pageMargins left="0.5" right="0.5" top="0.75" bottom="0.75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98" zoomScalePageLayoutView="0" workbookViewId="0" topLeftCell="A1">
      <selection activeCell="H1" sqref="H1:H3"/>
    </sheetView>
  </sheetViews>
  <sheetFormatPr defaultColWidth="8.8515625" defaultRowHeight="12.75"/>
  <cols>
    <col min="1" max="1" width="5.57421875" style="10" customWidth="1"/>
    <col min="2" max="2" width="19.57421875" style="10" customWidth="1"/>
    <col min="3" max="3" width="11.00390625" style="10" customWidth="1"/>
    <col min="4" max="4" width="11.7109375" style="10" customWidth="1"/>
    <col min="5" max="5" width="13.8515625" style="10" customWidth="1"/>
    <col min="6" max="6" width="15.28125" style="10" customWidth="1"/>
    <col min="7" max="16384" width="8.8515625" style="10" customWidth="1"/>
  </cols>
  <sheetData>
    <row r="1" ht="12.75">
      <c r="H1" s="43" t="str">
        <f>+'2.0 Revenue Req.'!O1</f>
        <v> PSC Set 1 No. 1 2022-00342</v>
      </c>
    </row>
    <row r="2" ht="12.75">
      <c r="H2" s="43" t="str">
        <f>+'2.0 Revenue Req.'!O2</f>
        <v>Attachment JTG-1</v>
      </c>
    </row>
    <row r="3" ht="12.75">
      <c r="H3" s="43" t="s">
        <v>116</v>
      </c>
    </row>
    <row r="4" ht="12.75">
      <c r="F4" s="43"/>
    </row>
    <row r="5" spans="1:13" ht="12.75">
      <c r="A5" s="166" t="s">
        <v>12</v>
      </c>
      <c r="B5" s="166"/>
      <c r="C5" s="166"/>
      <c r="D5" s="166"/>
      <c r="E5" s="166"/>
      <c r="F5" s="166"/>
      <c r="G5" s="62"/>
      <c r="H5" s="62"/>
      <c r="I5" s="62"/>
      <c r="J5" s="62"/>
      <c r="K5" s="62"/>
      <c r="L5" s="62"/>
      <c r="M5" s="62"/>
    </row>
    <row r="6" spans="1:13" ht="12.75">
      <c r="A6" s="166" t="s">
        <v>115</v>
      </c>
      <c r="B6" s="166"/>
      <c r="C6" s="166"/>
      <c r="D6" s="166"/>
      <c r="E6" s="166"/>
      <c r="F6" s="166"/>
      <c r="G6" s="62"/>
      <c r="H6" s="62"/>
      <c r="I6" s="62"/>
      <c r="J6" s="62"/>
      <c r="K6" s="62"/>
      <c r="L6" s="62"/>
      <c r="M6" s="62"/>
    </row>
    <row r="7" spans="1:13" ht="12.75">
      <c r="A7" s="166" t="s">
        <v>86</v>
      </c>
      <c r="B7" s="166"/>
      <c r="C7" s="166"/>
      <c r="D7" s="166"/>
      <c r="E7" s="166"/>
      <c r="F7" s="166"/>
      <c r="G7" s="62"/>
      <c r="H7" s="62"/>
      <c r="I7" s="62"/>
      <c r="J7" s="62"/>
      <c r="K7" s="62"/>
      <c r="L7" s="62"/>
      <c r="M7" s="62"/>
    </row>
    <row r="11" spans="3:6" ht="12.75">
      <c r="C11" s="35"/>
      <c r="D11" s="35"/>
      <c r="F11" s="35" t="s">
        <v>11</v>
      </c>
    </row>
    <row r="12" spans="1:6" ht="12.75">
      <c r="A12" s="35" t="s">
        <v>49</v>
      </c>
      <c r="C12" s="35"/>
      <c r="D12" s="35"/>
      <c r="E12" s="35" t="s">
        <v>10</v>
      </c>
      <c r="F12" s="35" t="s">
        <v>36</v>
      </c>
    </row>
    <row r="13" spans="1:6" ht="12.75">
      <c r="A13" s="34" t="s">
        <v>50</v>
      </c>
      <c r="B13" s="34" t="s">
        <v>3</v>
      </c>
      <c r="C13" s="34" t="s">
        <v>7</v>
      </c>
      <c r="D13" s="34" t="s">
        <v>8</v>
      </c>
      <c r="E13" s="34" t="s">
        <v>8</v>
      </c>
      <c r="F13" s="63">
        <v>0.2495</v>
      </c>
    </row>
    <row r="14" spans="1:6" ht="12.75">
      <c r="A14" s="35"/>
      <c r="B14" s="36" t="s">
        <v>280</v>
      </c>
      <c r="C14" s="33" t="s">
        <v>281</v>
      </c>
      <c r="D14" s="33" t="s">
        <v>282</v>
      </c>
      <c r="E14" s="33" t="s">
        <v>283</v>
      </c>
      <c r="F14" s="33" t="s">
        <v>284</v>
      </c>
    </row>
    <row r="15" spans="1:6" ht="12.75">
      <c r="A15" s="35"/>
      <c r="B15" s="26"/>
      <c r="C15" s="34"/>
      <c r="D15" s="34"/>
      <c r="E15" s="34"/>
      <c r="F15" s="63"/>
    </row>
    <row r="17" spans="1:6" ht="12">
      <c r="A17" s="37">
        <v>1</v>
      </c>
      <c r="B17" s="10" t="s">
        <v>6</v>
      </c>
      <c r="C17" s="94">
        <v>0.0311</v>
      </c>
      <c r="D17" s="95">
        <v>0.013</v>
      </c>
      <c r="E17" s="58">
        <f>C17*D17</f>
        <v>0.00040429999999999996</v>
      </c>
      <c r="F17" s="55">
        <f>E17</f>
        <v>0.00040429999999999996</v>
      </c>
    </row>
    <row r="18" spans="1:6" ht="12">
      <c r="A18" s="37">
        <f>+A17+1</f>
        <v>2</v>
      </c>
      <c r="B18" s="10" t="s">
        <v>5</v>
      </c>
      <c r="C18" s="94">
        <v>0.44249</v>
      </c>
      <c r="D18" s="58">
        <v>0.0437</v>
      </c>
      <c r="E18" s="58">
        <f>C18*D18</f>
        <v>0.019336813</v>
      </c>
      <c r="F18" s="55">
        <f>E18</f>
        <v>0.019336813</v>
      </c>
    </row>
    <row r="19" spans="1:6" ht="12">
      <c r="A19" s="37">
        <f>+A18+1</f>
        <v>3</v>
      </c>
      <c r="B19" s="10" t="s">
        <v>4</v>
      </c>
      <c r="C19" s="96">
        <v>0.52641</v>
      </c>
      <c r="D19" s="22">
        <v>0.09275</v>
      </c>
      <c r="E19" s="97">
        <f>C19*D19</f>
        <v>0.048824527500000006</v>
      </c>
      <c r="F19" s="64">
        <f>ROUND(E19/(1-F13),7)</f>
        <v>0.065056</v>
      </c>
    </row>
    <row r="20" spans="1:6" ht="12">
      <c r="A20" s="37"/>
      <c r="C20" s="68"/>
      <c r="D20" s="58"/>
      <c r="E20" s="64"/>
      <c r="F20" s="64"/>
    </row>
    <row r="21" spans="1:6" ht="12">
      <c r="A21" s="37">
        <f>A19+1</f>
        <v>4</v>
      </c>
      <c r="B21" s="10" t="s">
        <v>9</v>
      </c>
      <c r="C21" s="55">
        <f>SUM(C17:C19)</f>
        <v>1</v>
      </c>
      <c r="E21" s="58">
        <f>SUM(E17:E19)</f>
        <v>0.06856564050000001</v>
      </c>
      <c r="F21" s="94">
        <f>ROUND(SUM(F17:F19),4)</f>
        <v>0.0848</v>
      </c>
    </row>
    <row r="22" ht="12">
      <c r="F22" s="65"/>
    </row>
    <row r="23" ht="12">
      <c r="F23" s="66"/>
    </row>
    <row r="24" ht="12">
      <c r="F24" s="67"/>
    </row>
    <row r="25" ht="12">
      <c r="F25" s="67"/>
    </row>
    <row r="26" ht="12">
      <c r="F26" s="67"/>
    </row>
    <row r="27" ht="12">
      <c r="F27" s="67"/>
    </row>
    <row r="28" ht="12">
      <c r="F28" s="67"/>
    </row>
    <row r="29" ht="12">
      <c r="F29" s="67"/>
    </row>
    <row r="30" ht="12">
      <c r="F30" s="67"/>
    </row>
    <row r="31" ht="12">
      <c r="F31" s="67"/>
    </row>
    <row r="32" ht="12">
      <c r="F32" s="67"/>
    </row>
    <row r="33" ht="12">
      <c r="F33" s="67"/>
    </row>
    <row r="34" ht="12">
      <c r="F34" s="67"/>
    </row>
    <row r="35" ht="12">
      <c r="F35" s="67"/>
    </row>
    <row r="36" ht="12">
      <c r="F36" s="67"/>
    </row>
    <row r="37" ht="12">
      <c r="F37" s="67"/>
    </row>
  </sheetData>
  <sheetProtection/>
  <mergeCells count="3">
    <mergeCell ref="A5:F5"/>
    <mergeCell ref="A6:F6"/>
    <mergeCell ref="A7:F7"/>
  </mergeCells>
  <printOptions horizontalCentered="1"/>
  <pageMargins left="1" right="1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4.140625" style="0" customWidth="1"/>
    <col min="3" max="3" width="8.140625" style="0" bestFit="1" customWidth="1"/>
    <col min="4" max="4" width="41.00390625" style="0" bestFit="1" customWidth="1"/>
    <col min="5" max="5" width="16.57421875" style="0" bestFit="1" customWidth="1"/>
  </cols>
  <sheetData>
    <row r="1" ht="12.75">
      <c r="I1" s="120" t="str">
        <f>+'2.1 ROR '!H1</f>
        <v> PSC Set 1 No. 1 2022-00342</v>
      </c>
    </row>
    <row r="2" ht="12.75">
      <c r="I2" s="120" t="str">
        <f>+'2.1 ROR '!H2</f>
        <v>Attachment JTG-1</v>
      </c>
    </row>
    <row r="3" ht="12.75">
      <c r="I3" s="43" t="s">
        <v>190</v>
      </c>
    </row>
    <row r="4" spans="2:4" ht="12">
      <c r="B4" s="10"/>
      <c r="C4" s="10"/>
      <c r="D4" s="10"/>
    </row>
    <row r="5" spans="3:6" ht="12.75">
      <c r="C5" s="166" t="s">
        <v>12</v>
      </c>
      <c r="D5" s="166"/>
      <c r="E5" s="166"/>
      <c r="F5" s="62"/>
    </row>
    <row r="6" spans="3:6" ht="12.75">
      <c r="C6" s="166" t="s">
        <v>115</v>
      </c>
      <c r="D6" s="166"/>
      <c r="E6" s="166"/>
      <c r="F6" s="62"/>
    </row>
    <row r="7" spans="3:6" ht="12.75">
      <c r="C7" s="166" t="s">
        <v>315</v>
      </c>
      <c r="D7" s="166"/>
      <c r="E7" s="166"/>
      <c r="F7" s="62"/>
    </row>
    <row r="10" spans="2:5" ht="12">
      <c r="B10" s="155"/>
      <c r="C10" s="156"/>
      <c r="D10" s="157"/>
      <c r="E10" s="155"/>
    </row>
    <row r="11" spans="3:5" ht="12.75">
      <c r="C11" s="159"/>
      <c r="D11" s="159"/>
      <c r="E11" s="158" t="s">
        <v>128</v>
      </c>
    </row>
    <row r="12" spans="3:5" ht="12.75">
      <c r="C12" s="159"/>
      <c r="D12" s="159"/>
      <c r="E12" s="158" t="s">
        <v>129</v>
      </c>
    </row>
    <row r="13" spans="3:5" ht="12.75">
      <c r="C13" s="159" t="s">
        <v>80</v>
      </c>
      <c r="D13" s="159" t="s">
        <v>130</v>
      </c>
      <c r="E13" s="159" t="s">
        <v>131</v>
      </c>
    </row>
    <row r="14" spans="3:5" ht="12">
      <c r="C14" s="101"/>
      <c r="D14" s="102"/>
      <c r="E14" s="103"/>
    </row>
    <row r="15" spans="3:5" ht="12">
      <c r="C15" s="101">
        <v>1</v>
      </c>
      <c r="D15" s="104" t="s">
        <v>132</v>
      </c>
      <c r="E15" s="105">
        <v>1</v>
      </c>
    </row>
    <row r="16" spans="3:5" ht="12">
      <c r="C16" s="101"/>
      <c r="D16" s="104"/>
      <c r="E16" s="103"/>
    </row>
    <row r="17" spans="3:5" ht="12">
      <c r="C17" s="101">
        <f>+C15+1</f>
        <v>2</v>
      </c>
      <c r="D17" s="104" t="s">
        <v>133</v>
      </c>
      <c r="E17" s="106">
        <v>0.002</v>
      </c>
    </row>
    <row r="18" spans="3:5" ht="12">
      <c r="C18" s="101"/>
      <c r="D18" s="104"/>
      <c r="E18" s="103"/>
    </row>
    <row r="19" spans="3:5" ht="12">
      <c r="C19" s="101">
        <f>+C17+1</f>
        <v>3</v>
      </c>
      <c r="D19" s="104" t="s">
        <v>134</v>
      </c>
      <c r="E19" s="105">
        <f>E15-E17</f>
        <v>0.998</v>
      </c>
    </row>
    <row r="20" spans="3:5" ht="12">
      <c r="C20" s="101"/>
      <c r="D20" s="104"/>
      <c r="E20" s="103"/>
    </row>
    <row r="21" spans="3:5" ht="12">
      <c r="C21" s="101">
        <f>+C19+1</f>
        <v>4</v>
      </c>
      <c r="D21" s="104" t="s">
        <v>135</v>
      </c>
      <c r="E21" s="107">
        <f>ROUND(1/$E$19,6)</f>
        <v>1.002004</v>
      </c>
    </row>
    <row r="22" spans="3:5" ht="12">
      <c r="C22" s="103"/>
      <c r="D22" s="103"/>
      <c r="E22" s="103"/>
    </row>
  </sheetData>
  <sheetProtection/>
  <mergeCells count="3">
    <mergeCell ref="C6:E6"/>
    <mergeCell ref="C7:E7"/>
    <mergeCell ref="C5:E5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="98" zoomScaleNormal="98" workbookViewId="0" topLeftCell="A13">
      <selection activeCell="A50" sqref="A50:Q50"/>
    </sheetView>
  </sheetViews>
  <sheetFormatPr defaultColWidth="9.140625" defaultRowHeight="12.75"/>
  <cols>
    <col min="1" max="1" width="3.28125" style="141" customWidth="1"/>
    <col min="2" max="2" width="33.8515625" style="141" bestFit="1" customWidth="1"/>
    <col min="3" max="3" width="12.140625" style="141" bestFit="1" customWidth="1"/>
    <col min="4" max="4" width="12.00390625" style="141" bestFit="1" customWidth="1"/>
    <col min="5" max="9" width="12.8515625" style="141" bestFit="1" customWidth="1"/>
    <col min="10" max="11" width="13.8515625" style="141" bestFit="1" customWidth="1"/>
    <col min="12" max="12" width="12.8515625" style="141" bestFit="1" customWidth="1"/>
    <col min="13" max="15" width="13.8515625" style="141" bestFit="1" customWidth="1"/>
    <col min="16" max="16" width="16.140625" style="141" bestFit="1" customWidth="1"/>
    <col min="17" max="17" width="17.57421875" style="141" customWidth="1"/>
    <col min="18" max="16384" width="8.7109375" style="141" customWidth="1"/>
  </cols>
  <sheetData>
    <row r="1" ht="12.75">
      <c r="Q1" s="43" t="str">
        <f>+'2.2 Conversion Factor '!I1</f>
        <v> PSC Set 1 No. 1 2022-00342</v>
      </c>
    </row>
    <row r="2" ht="12.75">
      <c r="Q2" s="43" t="str">
        <f>+'2.2 Conversion Factor '!I2</f>
        <v>Attachment JTG-1</v>
      </c>
    </row>
    <row r="3" spans="14:17" s="10" customFormat="1" ht="12.75">
      <c r="N3" s="43"/>
      <c r="Q3" s="43" t="s">
        <v>221</v>
      </c>
    </row>
    <row r="4" spans="14:17" s="10" customFormat="1" ht="12.75">
      <c r="N4" s="43"/>
      <c r="Q4" s="43" t="s">
        <v>232</v>
      </c>
    </row>
    <row r="5" spans="1:17" s="10" customFormat="1" ht="12.75">
      <c r="A5" s="166" t="s">
        <v>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112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10" customFormat="1" ht="12.75">
      <c r="A7" s="166" t="s">
        <v>234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s="10" customFormat="1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62"/>
    </row>
    <row r="9" ht="12">
      <c r="P9" s="152"/>
    </row>
    <row r="10" ht="12">
      <c r="P10" s="153"/>
    </row>
    <row r="11" spans="3:17" ht="12.75">
      <c r="C11" s="35">
        <v>2021</v>
      </c>
      <c r="D11" s="35">
        <f>+C11+1</f>
        <v>2022</v>
      </c>
      <c r="E11" s="35">
        <f>+D11</f>
        <v>2022</v>
      </c>
      <c r="F11" s="35">
        <f aca="true" t="shared" si="0" ref="F11:Q11">+E11</f>
        <v>2022</v>
      </c>
      <c r="G11" s="35">
        <f t="shared" si="0"/>
        <v>2022</v>
      </c>
      <c r="H11" s="35">
        <f t="shared" si="0"/>
        <v>2022</v>
      </c>
      <c r="I11" s="35">
        <f t="shared" si="0"/>
        <v>2022</v>
      </c>
      <c r="J11" s="35">
        <f t="shared" si="0"/>
        <v>2022</v>
      </c>
      <c r="K11" s="35">
        <f t="shared" si="0"/>
        <v>2022</v>
      </c>
      <c r="L11" s="35">
        <f t="shared" si="0"/>
        <v>2022</v>
      </c>
      <c r="M11" s="35">
        <f t="shared" si="0"/>
        <v>2022</v>
      </c>
      <c r="N11" s="35">
        <f t="shared" si="0"/>
        <v>2022</v>
      </c>
      <c r="O11" s="35">
        <f t="shared" si="0"/>
        <v>2022</v>
      </c>
      <c r="P11" s="35">
        <f t="shared" si="0"/>
        <v>2022</v>
      </c>
      <c r="Q11" s="35">
        <f t="shared" si="0"/>
        <v>2022</v>
      </c>
    </row>
    <row r="12" spans="3:17" ht="12.75">
      <c r="C12" s="35" t="s">
        <v>148</v>
      </c>
      <c r="D12" s="35" t="s">
        <v>149</v>
      </c>
      <c r="E12" s="35" t="s">
        <v>150</v>
      </c>
      <c r="F12" s="35" t="s">
        <v>151</v>
      </c>
      <c r="G12" s="35" t="s">
        <v>152</v>
      </c>
      <c r="H12" s="35" t="s">
        <v>81</v>
      </c>
      <c r="I12" s="35" t="s">
        <v>153</v>
      </c>
      <c r="J12" s="35" t="s">
        <v>154</v>
      </c>
      <c r="K12" s="35" t="s">
        <v>155</v>
      </c>
      <c r="L12" s="35" t="s">
        <v>156</v>
      </c>
      <c r="M12" s="35" t="s">
        <v>157</v>
      </c>
      <c r="N12" s="35" t="s">
        <v>158</v>
      </c>
      <c r="O12" s="35" t="s">
        <v>148</v>
      </c>
      <c r="P12" s="35" t="s">
        <v>159</v>
      </c>
      <c r="Q12" s="35" t="s">
        <v>160</v>
      </c>
    </row>
    <row r="13" spans="3:17" ht="12.75">
      <c r="C13" s="35" t="s">
        <v>92</v>
      </c>
      <c r="D13" s="35"/>
      <c r="E13" s="35"/>
      <c r="F13" s="35"/>
      <c r="G13" s="35"/>
      <c r="H13" s="35"/>
      <c r="I13" s="35"/>
      <c r="J13" s="35"/>
      <c r="K13" s="35"/>
      <c r="L13" s="35" t="s">
        <v>229</v>
      </c>
      <c r="M13" s="35" t="s">
        <v>229</v>
      </c>
      <c r="N13" s="35" t="s">
        <v>229</v>
      </c>
      <c r="O13" s="35" t="s">
        <v>229</v>
      </c>
      <c r="P13" s="54"/>
      <c r="Q13" s="54"/>
    </row>
    <row r="14" spans="3:17" ht="12.75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ht="12">
      <c r="B15" s="143" t="s">
        <v>22</v>
      </c>
    </row>
    <row r="16" spans="2:16" ht="12">
      <c r="B16" s="10" t="s">
        <v>141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56">
        <f>SUM(C16:O16)</f>
        <v>0</v>
      </c>
    </row>
    <row r="17" spans="2:16" ht="12">
      <c r="B17" s="10" t="s">
        <v>142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56">
        <f>SUM(C17:O17)</f>
        <v>0</v>
      </c>
    </row>
    <row r="18" spans="2:16" ht="12">
      <c r="B18" s="10" t="s">
        <v>279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56">
        <f>SUM(C18:O18)</f>
        <v>0</v>
      </c>
    </row>
    <row r="19" spans="2:16" ht="12">
      <c r="B19" s="10" t="s">
        <v>144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56">
        <f>SUM(C19:O19)</f>
        <v>0</v>
      </c>
    </row>
    <row r="20" spans="2:16" ht="12">
      <c r="B20" s="10" t="s">
        <v>145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56">
        <f>SUM(C20:O20)</f>
        <v>0</v>
      </c>
    </row>
    <row r="21" spans="2:16" ht="12">
      <c r="B21" s="10" t="s">
        <v>161</v>
      </c>
      <c r="C21" s="98">
        <f>SUM(C16:C20)</f>
        <v>0</v>
      </c>
      <c r="D21" s="98">
        <f>SUM(D16:D20)</f>
        <v>0</v>
      </c>
      <c r="E21" s="98">
        <f aca="true" t="shared" si="1" ref="E21:O21">SUM(E16:E20)</f>
        <v>0</v>
      </c>
      <c r="F21" s="98">
        <f t="shared" si="1"/>
        <v>0</v>
      </c>
      <c r="G21" s="98">
        <f t="shared" si="1"/>
        <v>0</v>
      </c>
      <c r="H21" s="98">
        <f t="shared" si="1"/>
        <v>0</v>
      </c>
      <c r="I21" s="98">
        <f t="shared" si="1"/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98">
        <f t="shared" si="1"/>
        <v>0</v>
      </c>
      <c r="N21" s="98">
        <f t="shared" si="1"/>
        <v>0</v>
      </c>
      <c r="O21" s="98">
        <f t="shared" si="1"/>
        <v>0</v>
      </c>
      <c r="P21" s="98"/>
    </row>
    <row r="22" spans="2:17" ht="12">
      <c r="B22" s="10" t="s">
        <v>162</v>
      </c>
      <c r="C22" s="27">
        <f>+C21</f>
        <v>0</v>
      </c>
      <c r="D22" s="27">
        <f>+D21+C22</f>
        <v>0</v>
      </c>
      <c r="E22" s="27">
        <f aca="true" t="shared" si="2" ref="E22:O22">+E21+D22</f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7">
        <f t="shared" si="2"/>
        <v>0</v>
      </c>
      <c r="L22" s="27">
        <f t="shared" si="2"/>
        <v>0</v>
      </c>
      <c r="M22" s="27">
        <f t="shared" si="2"/>
        <v>0</v>
      </c>
      <c r="N22" s="27">
        <f t="shared" si="2"/>
        <v>0</v>
      </c>
      <c r="O22" s="27">
        <f t="shared" si="2"/>
        <v>0</v>
      </c>
      <c r="P22" s="27">
        <f>SUM(P16:P20)</f>
        <v>0</v>
      </c>
      <c r="Q22" s="146">
        <f>AVERAGE(C22:O22)</f>
        <v>0</v>
      </c>
    </row>
    <row r="23" spans="2:16" ht="1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36"/>
    </row>
    <row r="24" spans="2:16" ht="12">
      <c r="B24" s="143" t="s">
        <v>62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2">
      <c r="B25" s="10" t="s">
        <v>141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56">
        <f>SUM(C25:O25)</f>
        <v>0</v>
      </c>
    </row>
    <row r="26" spans="2:16" ht="12">
      <c r="B26" s="10" t="s">
        <v>142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56">
        <f>SUM(C26:O26)</f>
        <v>0</v>
      </c>
    </row>
    <row r="27" spans="2:16" ht="12">
      <c r="B27" s="10" t="s">
        <v>279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56">
        <f>SUM(C27:O27)</f>
        <v>0</v>
      </c>
    </row>
    <row r="28" spans="2:16" ht="12">
      <c r="B28" s="10" t="s">
        <v>144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56">
        <f>SUM(C28:O28)</f>
        <v>0</v>
      </c>
    </row>
    <row r="29" spans="2:16" ht="12">
      <c r="B29" s="10" t="s">
        <v>145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56">
        <f>SUM(C29:O29)</f>
        <v>0</v>
      </c>
    </row>
    <row r="30" spans="2:16" ht="12">
      <c r="B30" s="10" t="s">
        <v>163</v>
      </c>
      <c r="C30" s="98">
        <f aca="true" t="shared" si="3" ref="C30:O30">SUM(C25:C29)</f>
        <v>0</v>
      </c>
      <c r="D30" s="98">
        <f t="shared" si="3"/>
        <v>0</v>
      </c>
      <c r="E30" s="98">
        <f t="shared" si="3"/>
        <v>0</v>
      </c>
      <c r="F30" s="98">
        <f t="shared" si="3"/>
        <v>0</v>
      </c>
      <c r="G30" s="98">
        <f t="shared" si="3"/>
        <v>0</v>
      </c>
      <c r="H30" s="98">
        <f t="shared" si="3"/>
        <v>0</v>
      </c>
      <c r="I30" s="98">
        <f t="shared" si="3"/>
        <v>0</v>
      </c>
      <c r="J30" s="98">
        <f t="shared" si="3"/>
        <v>0</v>
      </c>
      <c r="K30" s="98">
        <f t="shared" si="3"/>
        <v>0</v>
      </c>
      <c r="L30" s="98">
        <f t="shared" si="3"/>
        <v>0</v>
      </c>
      <c r="M30" s="98">
        <f t="shared" si="3"/>
        <v>0</v>
      </c>
      <c r="N30" s="98">
        <f t="shared" si="3"/>
        <v>0</v>
      </c>
      <c r="O30" s="98">
        <f t="shared" si="3"/>
        <v>0</v>
      </c>
      <c r="P30" s="98"/>
    </row>
    <row r="31" spans="2:17" ht="12">
      <c r="B31" s="10" t="s">
        <v>164</v>
      </c>
      <c r="C31" s="148">
        <f>+C30</f>
        <v>0</v>
      </c>
      <c r="D31" s="148">
        <f aca="true" t="shared" si="4" ref="D31:O31">+D30+C31</f>
        <v>0</v>
      </c>
      <c r="E31" s="148">
        <f t="shared" si="4"/>
        <v>0</v>
      </c>
      <c r="F31" s="148">
        <f t="shared" si="4"/>
        <v>0</v>
      </c>
      <c r="G31" s="148">
        <f t="shared" si="4"/>
        <v>0</v>
      </c>
      <c r="H31" s="148">
        <f t="shared" si="4"/>
        <v>0</v>
      </c>
      <c r="I31" s="148">
        <f t="shared" si="4"/>
        <v>0</v>
      </c>
      <c r="J31" s="148">
        <f t="shared" si="4"/>
        <v>0</v>
      </c>
      <c r="K31" s="148">
        <f t="shared" si="4"/>
        <v>0</v>
      </c>
      <c r="L31" s="148">
        <f t="shared" si="4"/>
        <v>0</v>
      </c>
      <c r="M31" s="148">
        <f t="shared" si="4"/>
        <v>0</v>
      </c>
      <c r="N31" s="148">
        <f t="shared" si="4"/>
        <v>0</v>
      </c>
      <c r="O31" s="148">
        <f t="shared" si="4"/>
        <v>0</v>
      </c>
      <c r="P31" s="148">
        <f>SUM(P25:P29)</f>
        <v>0</v>
      </c>
      <c r="Q31" s="146">
        <f>AVERAGE(C31:O31)</f>
        <v>0</v>
      </c>
    </row>
    <row r="33" ht="12">
      <c r="B33" s="143" t="s">
        <v>147</v>
      </c>
    </row>
    <row r="34" spans="2:16" ht="12">
      <c r="B34" s="10" t="s">
        <v>141</v>
      </c>
      <c r="C34" s="144">
        <v>0</v>
      </c>
      <c r="D34" s="149">
        <f aca="true" t="shared" si="5" ref="D34:O34">+D16+D25</f>
        <v>0</v>
      </c>
      <c r="E34" s="149">
        <f t="shared" si="5"/>
        <v>0</v>
      </c>
      <c r="F34" s="149">
        <f t="shared" si="5"/>
        <v>0</v>
      </c>
      <c r="G34" s="149">
        <f t="shared" si="5"/>
        <v>0</v>
      </c>
      <c r="H34" s="149">
        <f t="shared" si="5"/>
        <v>0</v>
      </c>
      <c r="I34" s="149">
        <f t="shared" si="5"/>
        <v>0</v>
      </c>
      <c r="J34" s="149">
        <f t="shared" si="5"/>
        <v>0</v>
      </c>
      <c r="K34" s="149">
        <f t="shared" si="5"/>
        <v>0</v>
      </c>
      <c r="L34" s="149">
        <f t="shared" si="5"/>
        <v>0</v>
      </c>
      <c r="M34" s="149">
        <f t="shared" si="5"/>
        <v>0</v>
      </c>
      <c r="N34" s="149">
        <f t="shared" si="5"/>
        <v>0</v>
      </c>
      <c r="O34" s="149">
        <f t="shared" si="5"/>
        <v>0</v>
      </c>
      <c r="P34" s="146">
        <f>SUM(C34:O34)</f>
        <v>0</v>
      </c>
    </row>
    <row r="35" spans="2:16" ht="12">
      <c r="B35" s="10" t="s">
        <v>142</v>
      </c>
      <c r="C35" s="144">
        <v>0</v>
      </c>
      <c r="D35" s="149">
        <f aca="true" t="shared" si="6" ref="D35:O35">+D17+D26</f>
        <v>0</v>
      </c>
      <c r="E35" s="149">
        <f t="shared" si="6"/>
        <v>0</v>
      </c>
      <c r="F35" s="149">
        <f t="shared" si="6"/>
        <v>0</v>
      </c>
      <c r="G35" s="149">
        <f t="shared" si="6"/>
        <v>0</v>
      </c>
      <c r="H35" s="149">
        <f t="shared" si="6"/>
        <v>0</v>
      </c>
      <c r="I35" s="149">
        <f t="shared" si="6"/>
        <v>0</v>
      </c>
      <c r="J35" s="149">
        <f t="shared" si="6"/>
        <v>0</v>
      </c>
      <c r="K35" s="149">
        <f t="shared" si="6"/>
        <v>0</v>
      </c>
      <c r="L35" s="149">
        <f t="shared" si="6"/>
        <v>0</v>
      </c>
      <c r="M35" s="149">
        <f t="shared" si="6"/>
        <v>0</v>
      </c>
      <c r="N35" s="149">
        <f t="shared" si="6"/>
        <v>0</v>
      </c>
      <c r="O35" s="149">
        <f t="shared" si="6"/>
        <v>0</v>
      </c>
      <c r="P35" s="146">
        <f>SUM(C35:O35)</f>
        <v>0</v>
      </c>
    </row>
    <row r="36" spans="2:16" ht="12">
      <c r="B36" s="10" t="s">
        <v>143</v>
      </c>
      <c r="C36" s="144">
        <v>0</v>
      </c>
      <c r="D36" s="149">
        <f aca="true" t="shared" si="7" ref="D36:O36">+D18+D27</f>
        <v>0</v>
      </c>
      <c r="E36" s="149">
        <f t="shared" si="7"/>
        <v>0</v>
      </c>
      <c r="F36" s="149">
        <f t="shared" si="7"/>
        <v>0</v>
      </c>
      <c r="G36" s="149">
        <f t="shared" si="7"/>
        <v>0</v>
      </c>
      <c r="H36" s="149">
        <f t="shared" si="7"/>
        <v>0</v>
      </c>
      <c r="I36" s="149">
        <f t="shared" si="7"/>
        <v>0</v>
      </c>
      <c r="J36" s="149">
        <f t="shared" si="7"/>
        <v>0</v>
      </c>
      <c r="K36" s="149">
        <f t="shared" si="7"/>
        <v>0</v>
      </c>
      <c r="L36" s="149">
        <f t="shared" si="7"/>
        <v>0</v>
      </c>
      <c r="M36" s="149">
        <f t="shared" si="7"/>
        <v>0</v>
      </c>
      <c r="N36" s="149">
        <f t="shared" si="7"/>
        <v>0</v>
      </c>
      <c r="O36" s="149">
        <f t="shared" si="7"/>
        <v>0</v>
      </c>
      <c r="P36" s="146">
        <f>SUM(C36:O36)</f>
        <v>0</v>
      </c>
    </row>
    <row r="37" spans="2:16" ht="12">
      <c r="B37" s="10" t="s">
        <v>144</v>
      </c>
      <c r="C37" s="144">
        <v>0</v>
      </c>
      <c r="D37" s="149">
        <f aca="true" t="shared" si="8" ref="D37:O37">+D19+D28</f>
        <v>0</v>
      </c>
      <c r="E37" s="149">
        <f t="shared" si="8"/>
        <v>0</v>
      </c>
      <c r="F37" s="149">
        <f t="shared" si="8"/>
        <v>0</v>
      </c>
      <c r="G37" s="149">
        <f t="shared" si="8"/>
        <v>0</v>
      </c>
      <c r="H37" s="149">
        <f t="shared" si="8"/>
        <v>0</v>
      </c>
      <c r="I37" s="149">
        <f t="shared" si="8"/>
        <v>0</v>
      </c>
      <c r="J37" s="149">
        <f t="shared" si="8"/>
        <v>0</v>
      </c>
      <c r="K37" s="149">
        <f t="shared" si="8"/>
        <v>0</v>
      </c>
      <c r="L37" s="149">
        <f t="shared" si="8"/>
        <v>0</v>
      </c>
      <c r="M37" s="149">
        <f t="shared" si="8"/>
        <v>0</v>
      </c>
      <c r="N37" s="149">
        <f t="shared" si="8"/>
        <v>0</v>
      </c>
      <c r="O37" s="149">
        <f t="shared" si="8"/>
        <v>0</v>
      </c>
      <c r="P37" s="146">
        <f>SUM(C37:O37)</f>
        <v>0</v>
      </c>
    </row>
    <row r="38" spans="2:16" ht="12">
      <c r="B38" s="10" t="s">
        <v>145</v>
      </c>
      <c r="C38" s="144">
        <v>0</v>
      </c>
      <c r="D38" s="149">
        <f aca="true" t="shared" si="9" ref="D38:O38">+D20+D29</f>
        <v>0</v>
      </c>
      <c r="E38" s="149">
        <f t="shared" si="9"/>
        <v>0</v>
      </c>
      <c r="F38" s="149">
        <f t="shared" si="9"/>
        <v>0</v>
      </c>
      <c r="G38" s="149">
        <f t="shared" si="9"/>
        <v>0</v>
      </c>
      <c r="H38" s="149">
        <f t="shared" si="9"/>
        <v>0</v>
      </c>
      <c r="I38" s="149">
        <f t="shared" si="9"/>
        <v>0</v>
      </c>
      <c r="J38" s="149">
        <f t="shared" si="9"/>
        <v>0</v>
      </c>
      <c r="K38" s="149">
        <f t="shared" si="9"/>
        <v>0</v>
      </c>
      <c r="L38" s="149">
        <f t="shared" si="9"/>
        <v>0</v>
      </c>
      <c r="M38" s="149">
        <f t="shared" si="9"/>
        <v>0</v>
      </c>
      <c r="N38" s="149">
        <f t="shared" si="9"/>
        <v>0</v>
      </c>
      <c r="O38" s="149">
        <f t="shared" si="9"/>
        <v>0</v>
      </c>
      <c r="P38" s="146">
        <f>SUM(C38:O38)</f>
        <v>0</v>
      </c>
    </row>
    <row r="39" spans="2:16" ht="12">
      <c r="B39" s="10" t="s">
        <v>165</v>
      </c>
      <c r="C39" s="147">
        <f aca="true" t="shared" si="10" ref="C39:O39">SUM(C34:C38)</f>
        <v>0</v>
      </c>
      <c r="D39" s="147">
        <f t="shared" si="10"/>
        <v>0</v>
      </c>
      <c r="E39" s="147">
        <f t="shared" si="10"/>
        <v>0</v>
      </c>
      <c r="F39" s="147">
        <f t="shared" si="10"/>
        <v>0</v>
      </c>
      <c r="G39" s="147">
        <f t="shared" si="10"/>
        <v>0</v>
      </c>
      <c r="H39" s="147">
        <f t="shared" si="10"/>
        <v>0</v>
      </c>
      <c r="I39" s="147">
        <f t="shared" si="10"/>
        <v>0</v>
      </c>
      <c r="J39" s="147">
        <f t="shared" si="10"/>
        <v>0</v>
      </c>
      <c r="K39" s="147">
        <f t="shared" si="10"/>
        <v>0</v>
      </c>
      <c r="L39" s="147">
        <f t="shared" si="10"/>
        <v>0</v>
      </c>
      <c r="M39" s="147">
        <f t="shared" si="10"/>
        <v>0</v>
      </c>
      <c r="N39" s="147">
        <f t="shared" si="10"/>
        <v>0</v>
      </c>
      <c r="O39" s="147">
        <f t="shared" si="10"/>
        <v>0</v>
      </c>
      <c r="P39" s="147"/>
    </row>
    <row r="40" spans="2:17" ht="12">
      <c r="B40" s="10" t="s">
        <v>266</v>
      </c>
      <c r="C40" s="148">
        <f>+C39</f>
        <v>0</v>
      </c>
      <c r="D40" s="148">
        <f aca="true" t="shared" si="11" ref="D40:O40">+D39+C40</f>
        <v>0</v>
      </c>
      <c r="E40" s="148">
        <f t="shared" si="11"/>
        <v>0</v>
      </c>
      <c r="F40" s="148">
        <f t="shared" si="11"/>
        <v>0</v>
      </c>
      <c r="G40" s="148">
        <f t="shared" si="11"/>
        <v>0</v>
      </c>
      <c r="H40" s="148">
        <f t="shared" si="11"/>
        <v>0</v>
      </c>
      <c r="I40" s="148">
        <f t="shared" si="11"/>
        <v>0</v>
      </c>
      <c r="J40" s="148">
        <f t="shared" si="11"/>
        <v>0</v>
      </c>
      <c r="K40" s="148">
        <f t="shared" si="11"/>
        <v>0</v>
      </c>
      <c r="L40" s="148">
        <f t="shared" si="11"/>
        <v>0</v>
      </c>
      <c r="M40" s="148">
        <f t="shared" si="11"/>
        <v>0</v>
      </c>
      <c r="N40" s="148">
        <f t="shared" si="11"/>
        <v>0</v>
      </c>
      <c r="O40" s="148">
        <f t="shared" si="11"/>
        <v>0</v>
      </c>
      <c r="P40" s="148">
        <f>SUM(P34:P38)</f>
        <v>0</v>
      </c>
      <c r="Q40" s="146">
        <f>AVERAGE(C40:O40)</f>
        <v>0</v>
      </c>
    </row>
    <row r="46" ht="12.75">
      <c r="Q46" s="43" t="str">
        <f>+Q1</f>
        <v> PSC Set 1 No. 1 2022-00342</v>
      </c>
    </row>
    <row r="47" ht="12.75">
      <c r="Q47" s="43" t="str">
        <f>+Q2</f>
        <v>Attachment JTG-1</v>
      </c>
    </row>
    <row r="48" spans="14:17" s="10" customFormat="1" ht="12.75">
      <c r="N48" s="43"/>
      <c r="Q48" s="43" t="s">
        <v>221</v>
      </c>
    </row>
    <row r="49" spans="14:17" s="10" customFormat="1" ht="12.75">
      <c r="N49" s="43"/>
      <c r="Q49" s="43" t="s">
        <v>233</v>
      </c>
    </row>
    <row r="50" spans="1:17" s="10" customFormat="1" ht="12.75">
      <c r="A50" s="166" t="s">
        <v>12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</row>
    <row r="51" spans="1:17" s="10" customFormat="1" ht="12.75">
      <c r="A51" s="166" t="s">
        <v>112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</row>
    <row r="52" spans="1:17" s="10" customFormat="1" ht="12.75">
      <c r="A52" s="166" t="s">
        <v>235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</row>
    <row r="56" spans="3:17" ht="12.75">
      <c r="C56" s="35">
        <f>+Q11</f>
        <v>2022</v>
      </c>
      <c r="D56" s="35">
        <f>+C56+1</f>
        <v>2023</v>
      </c>
      <c r="E56" s="35">
        <f>+D56</f>
        <v>2023</v>
      </c>
      <c r="F56" s="35">
        <f aca="true" t="shared" si="12" ref="F56:Q56">+E56</f>
        <v>2023</v>
      </c>
      <c r="G56" s="35">
        <f t="shared" si="12"/>
        <v>2023</v>
      </c>
      <c r="H56" s="35">
        <f t="shared" si="12"/>
        <v>2023</v>
      </c>
      <c r="I56" s="35">
        <f t="shared" si="12"/>
        <v>2023</v>
      </c>
      <c r="J56" s="35">
        <f t="shared" si="12"/>
        <v>2023</v>
      </c>
      <c r="K56" s="35">
        <f t="shared" si="12"/>
        <v>2023</v>
      </c>
      <c r="L56" s="35">
        <f t="shared" si="12"/>
        <v>2023</v>
      </c>
      <c r="M56" s="35">
        <f t="shared" si="12"/>
        <v>2023</v>
      </c>
      <c r="N56" s="35">
        <f t="shared" si="12"/>
        <v>2023</v>
      </c>
      <c r="O56" s="35">
        <f t="shared" si="12"/>
        <v>2023</v>
      </c>
      <c r="P56" s="35">
        <f t="shared" si="12"/>
        <v>2023</v>
      </c>
      <c r="Q56" s="35">
        <f t="shared" si="12"/>
        <v>2023</v>
      </c>
    </row>
    <row r="57" spans="3:17" ht="12.75">
      <c r="C57" s="35" t="s">
        <v>148</v>
      </c>
      <c r="D57" s="35" t="s">
        <v>149</v>
      </c>
      <c r="E57" s="35" t="s">
        <v>150</v>
      </c>
      <c r="F57" s="35" t="s">
        <v>151</v>
      </c>
      <c r="G57" s="35" t="s">
        <v>152</v>
      </c>
      <c r="H57" s="35" t="s">
        <v>81</v>
      </c>
      <c r="I57" s="35" t="s">
        <v>153</v>
      </c>
      <c r="J57" s="35" t="s">
        <v>154</v>
      </c>
      <c r="K57" s="35" t="s">
        <v>155</v>
      </c>
      <c r="L57" s="35" t="s">
        <v>156</v>
      </c>
      <c r="M57" s="35" t="s">
        <v>157</v>
      </c>
      <c r="N57" s="35" t="s">
        <v>158</v>
      </c>
      <c r="O57" s="35" t="s">
        <v>148</v>
      </c>
      <c r="P57" s="35" t="s">
        <v>159</v>
      </c>
      <c r="Q57" s="35" t="s">
        <v>160</v>
      </c>
    </row>
    <row r="58" spans="3:17" ht="12.75">
      <c r="C58" s="35" t="s">
        <v>92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54"/>
      <c r="Q58" s="54"/>
    </row>
    <row r="60" ht="12">
      <c r="B60" s="143" t="s">
        <v>22</v>
      </c>
    </row>
    <row r="61" spans="2:16" ht="12">
      <c r="B61" s="10" t="s">
        <v>141</v>
      </c>
      <c r="C61" s="144">
        <f>+P16</f>
        <v>0</v>
      </c>
      <c r="D61" s="28">
        <v>739397.0624285896</v>
      </c>
      <c r="E61" s="28">
        <v>1802860.7569600036</v>
      </c>
      <c r="F61" s="28">
        <v>1927513.3481448865</v>
      </c>
      <c r="G61" s="28">
        <v>1509520.3992005445</v>
      </c>
      <c r="H61" s="28">
        <v>1360997.5949975976</v>
      </c>
      <c r="I61" s="28">
        <v>1533970.6048641603</v>
      </c>
      <c r="J61" s="28">
        <v>1727675.1107367566</v>
      </c>
      <c r="K61" s="28">
        <v>2516774.363494861</v>
      </c>
      <c r="L61" s="28">
        <v>1855226.5828115884</v>
      </c>
      <c r="M61" s="28">
        <v>2972482.2377306903</v>
      </c>
      <c r="N61" s="28">
        <v>4602806.782664564</v>
      </c>
      <c r="O61" s="28">
        <v>5413523.15596576</v>
      </c>
      <c r="P61" s="56">
        <f>SUM(C61:O61)</f>
        <v>27962748.000000004</v>
      </c>
    </row>
    <row r="62" spans="2:16" ht="12">
      <c r="B62" s="10" t="s">
        <v>142</v>
      </c>
      <c r="C62" s="144">
        <f>+P17</f>
        <v>0</v>
      </c>
      <c r="D62" s="28">
        <v>34988.13055959344</v>
      </c>
      <c r="E62" s="28">
        <v>85311.03347651743</v>
      </c>
      <c r="F62" s="28">
        <v>91209.5707531509</v>
      </c>
      <c r="G62" s="28">
        <v>71430.2226683503</v>
      </c>
      <c r="H62" s="28">
        <v>64402.15138083215</v>
      </c>
      <c r="I62" s="28">
        <v>72587.20182263268</v>
      </c>
      <c r="J62" s="28">
        <v>81753.26277395879</v>
      </c>
      <c r="K62" s="28">
        <v>119093.29167439094</v>
      </c>
      <c r="L62" s="28">
        <v>87788.97455155807</v>
      </c>
      <c r="M62" s="28">
        <v>140657.3029627613</v>
      </c>
      <c r="N62" s="28">
        <v>217803.9551895075</v>
      </c>
      <c r="O62" s="28">
        <v>256166.90218674668</v>
      </c>
      <c r="P62" s="56">
        <f>SUM(C62:O62)</f>
        <v>1323192</v>
      </c>
    </row>
    <row r="63" spans="2:16" ht="12">
      <c r="B63" s="10" t="s">
        <v>143</v>
      </c>
      <c r="C63" s="144">
        <f>+P18</f>
        <v>0</v>
      </c>
      <c r="D63" s="28">
        <v>322196.8063536372</v>
      </c>
      <c r="E63" s="28">
        <v>785607.6358822627</v>
      </c>
      <c r="F63" s="28">
        <v>839925.7672683388</v>
      </c>
      <c r="G63" s="28">
        <v>657782.7752663753</v>
      </c>
      <c r="H63" s="28">
        <v>593063.0521074836</v>
      </c>
      <c r="I63" s="28">
        <v>668437.1023929013</v>
      </c>
      <c r="J63" s="28">
        <v>752845.0292562671</v>
      </c>
      <c r="K63" s="28">
        <v>1096699.8699823318</v>
      </c>
      <c r="L63" s="28">
        <v>808426.3657755544</v>
      </c>
      <c r="M63" s="28">
        <v>1295277.3720712985</v>
      </c>
      <c r="N63" s="28">
        <v>2005701.2950069848</v>
      </c>
      <c r="O63" s="28">
        <v>2358975.928636566</v>
      </c>
      <c r="P63" s="56">
        <f>SUM(C63:O63)</f>
        <v>12184939.000000002</v>
      </c>
    </row>
    <row r="64" spans="2:16" ht="12">
      <c r="B64" s="10" t="s">
        <v>144</v>
      </c>
      <c r="C64" s="144">
        <f>+P19</f>
        <v>0</v>
      </c>
      <c r="D64" s="28">
        <v>2083.488079819562</v>
      </c>
      <c r="E64" s="28">
        <v>5080.137706204931</v>
      </c>
      <c r="F64" s="28">
        <v>5431.386312737511</v>
      </c>
      <c r="G64" s="28">
        <v>4253.557280372004</v>
      </c>
      <c r="H64" s="28">
        <v>3835.0467021424615</v>
      </c>
      <c r="I64" s="28">
        <v>4322.453567141064</v>
      </c>
      <c r="J64" s="28">
        <v>4868.278063207235</v>
      </c>
      <c r="K64" s="28">
        <v>7091.817985743535</v>
      </c>
      <c r="L64" s="28">
        <v>5227.6951952668</v>
      </c>
      <c r="M64" s="28">
        <v>8375.920901613534</v>
      </c>
      <c r="N64" s="28">
        <v>12969.882560657905</v>
      </c>
      <c r="O64" s="28">
        <v>15254.33564509347</v>
      </c>
      <c r="P64" s="56">
        <f>SUM(C64:O64)</f>
        <v>78794.00000000001</v>
      </c>
    </row>
    <row r="65" spans="2:16" ht="12">
      <c r="B65" s="10" t="s">
        <v>145</v>
      </c>
      <c r="C65" s="144">
        <f>+P20</f>
        <v>0</v>
      </c>
      <c r="D65" s="28">
        <v>2455.1863301688722</v>
      </c>
      <c r="E65" s="28">
        <v>5986.443969830622</v>
      </c>
      <c r="F65" s="28">
        <v>6400.355998223095</v>
      </c>
      <c r="G65" s="28">
        <v>5012.400018273232</v>
      </c>
      <c r="H65" s="28">
        <v>4519.226354045101</v>
      </c>
      <c r="I65" s="28">
        <v>5093.587534109386</v>
      </c>
      <c r="J65" s="28">
        <v>5736.788162129795</v>
      </c>
      <c r="K65" s="28">
        <v>8357.011851083496</v>
      </c>
      <c r="L65" s="28">
        <v>6160.325996595141</v>
      </c>
      <c r="M65" s="28">
        <v>9870.201178207963</v>
      </c>
      <c r="N65" s="28">
        <v>15283.734366064004</v>
      </c>
      <c r="O65" s="28">
        <v>17975.738241269308</v>
      </c>
      <c r="P65" s="56">
        <f>SUM(C65:O65)</f>
        <v>92851.00000000003</v>
      </c>
    </row>
    <row r="66" spans="2:16" ht="12">
      <c r="B66" s="10" t="s">
        <v>161</v>
      </c>
      <c r="C66" s="147"/>
      <c r="D66" s="98">
        <f aca="true" t="shared" si="13" ref="D66:O66">SUM(D61:D65)</f>
        <v>1101120.6737518087</v>
      </c>
      <c r="E66" s="98">
        <f t="shared" si="13"/>
        <v>2684846.007994819</v>
      </c>
      <c r="F66" s="98">
        <f t="shared" si="13"/>
        <v>2870480.428477337</v>
      </c>
      <c r="G66" s="98">
        <f t="shared" si="13"/>
        <v>2247999.354433915</v>
      </c>
      <c r="H66" s="98">
        <f t="shared" si="13"/>
        <v>2026817.071542101</v>
      </c>
      <c r="I66" s="98">
        <f t="shared" si="13"/>
        <v>2284410.950180945</v>
      </c>
      <c r="J66" s="98">
        <f t="shared" si="13"/>
        <v>2572878.46899232</v>
      </c>
      <c r="K66" s="98">
        <f t="shared" si="13"/>
        <v>3748016.3549884106</v>
      </c>
      <c r="L66" s="98">
        <f t="shared" si="13"/>
        <v>2762829.944330563</v>
      </c>
      <c r="M66" s="98">
        <f t="shared" si="13"/>
        <v>4426663.034844572</v>
      </c>
      <c r="N66" s="98">
        <f t="shared" si="13"/>
        <v>6854565.649787779</v>
      </c>
      <c r="O66" s="98">
        <f t="shared" si="13"/>
        <v>8061896.060675436</v>
      </c>
      <c r="P66" s="98"/>
    </row>
    <row r="67" spans="2:17" ht="12">
      <c r="B67" s="10" t="s">
        <v>162</v>
      </c>
      <c r="C67" s="148">
        <f>SUM(C61:C65)</f>
        <v>0</v>
      </c>
      <c r="D67" s="27">
        <f aca="true" t="shared" si="14" ref="D67:O67">+D66+C67</f>
        <v>1101120.6737518087</v>
      </c>
      <c r="E67" s="27">
        <f t="shared" si="14"/>
        <v>3785966.6817466277</v>
      </c>
      <c r="F67" s="27">
        <f t="shared" si="14"/>
        <v>6656447.110223965</v>
      </c>
      <c r="G67" s="27">
        <f t="shared" si="14"/>
        <v>8904446.46465788</v>
      </c>
      <c r="H67" s="27">
        <f t="shared" si="14"/>
        <v>10931263.536199981</v>
      </c>
      <c r="I67" s="27">
        <f t="shared" si="14"/>
        <v>13215674.486380927</v>
      </c>
      <c r="J67" s="27">
        <f t="shared" si="14"/>
        <v>15788552.955373246</v>
      </c>
      <c r="K67" s="27">
        <f t="shared" si="14"/>
        <v>19536569.310361657</v>
      </c>
      <c r="L67" s="27">
        <f t="shared" si="14"/>
        <v>22299399.25469222</v>
      </c>
      <c r="M67" s="27">
        <f t="shared" si="14"/>
        <v>26726062.28953679</v>
      </c>
      <c r="N67" s="27">
        <f t="shared" si="14"/>
        <v>33580627.939324565</v>
      </c>
      <c r="O67" s="27">
        <f t="shared" si="14"/>
        <v>41642524</v>
      </c>
      <c r="P67" s="27">
        <f>SUM(P61:P65)</f>
        <v>41642524.00000001</v>
      </c>
      <c r="Q67" s="146">
        <f>AVERAGE(C67:O67)</f>
        <v>15705281.130942283</v>
      </c>
    </row>
    <row r="68" spans="4:16" ht="12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2">
      <c r="B69" s="143" t="s">
        <v>62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2">
      <c r="B70" s="10" t="s">
        <v>141</v>
      </c>
      <c r="C70" s="144">
        <f>+P25</f>
        <v>0</v>
      </c>
      <c r="D70" s="28">
        <v>-68407.93187210248</v>
      </c>
      <c r="E70" s="28">
        <v>-94061.21492392741</v>
      </c>
      <c r="F70" s="28">
        <v>-171020.2411466382</v>
      </c>
      <c r="G70" s="28">
        <v>-188122.42984785483</v>
      </c>
      <c r="H70" s="28">
        <v>-205224.20708268945</v>
      </c>
      <c r="I70" s="28">
        <v>-213775.30143329775</v>
      </c>
      <c r="J70" s="28">
        <v>-171020.2411466382</v>
      </c>
      <c r="K70" s="28">
        <v>-158193.59962072573</v>
      </c>
      <c r="L70" s="28">
        <v>-183846.88267255065</v>
      </c>
      <c r="M70" s="28">
        <v>-153918.05244542158</v>
      </c>
      <c r="N70" s="28">
        <v>-68407.93187210248</v>
      </c>
      <c r="O70" s="28">
        <v>-34203.96593605124</v>
      </c>
      <c r="P70" s="56">
        <f>SUM(C70:O70)</f>
        <v>-1710202</v>
      </c>
    </row>
    <row r="71" spans="2:16" ht="12">
      <c r="B71" s="10" t="s">
        <v>142</v>
      </c>
      <c r="C71" s="144">
        <f>+P26</f>
        <v>0</v>
      </c>
      <c r="D71" s="28">
        <v>-4549.750148146491</v>
      </c>
      <c r="E71" s="28">
        <v>-6255.926978396235</v>
      </c>
      <c r="F71" s="28">
        <v>-11374.402736625974</v>
      </c>
      <c r="G71" s="28">
        <v>-12511.85395679247</v>
      </c>
      <c r="H71" s="28">
        <v>-13649.277810699221</v>
      </c>
      <c r="I71" s="28">
        <v>-14218.003420782468</v>
      </c>
      <c r="J71" s="28">
        <v>-11374.402736625974</v>
      </c>
      <c r="K71" s="28">
        <v>-10521.314321501102</v>
      </c>
      <c r="L71" s="28">
        <v>-12227.491151750846</v>
      </c>
      <c r="M71" s="28">
        <v>-10236.951516459478</v>
      </c>
      <c r="N71" s="28">
        <v>-4549.750148146491</v>
      </c>
      <c r="O71" s="28">
        <v>-2274.8750740732453</v>
      </c>
      <c r="P71" s="56">
        <f>SUM(C71:O71)</f>
        <v>-113743.99999999999</v>
      </c>
    </row>
    <row r="72" spans="2:16" ht="12">
      <c r="B72" s="10" t="s">
        <v>143</v>
      </c>
      <c r="C72" s="144">
        <f>+P27</f>
        <v>0</v>
      </c>
      <c r="D72" s="28">
        <v>-110019.48176805708</v>
      </c>
      <c r="E72" s="28">
        <v>-151277.28374762624</v>
      </c>
      <c r="F72" s="28">
        <v>-275049.3661755397</v>
      </c>
      <c r="G72" s="28">
        <v>-302554.5674952525</v>
      </c>
      <c r="H72" s="28">
        <v>-330059.1070595682</v>
      </c>
      <c r="I72" s="28">
        <v>-343811.7077194246</v>
      </c>
      <c r="J72" s="28">
        <v>-275049.3661755397</v>
      </c>
      <c r="K72" s="28">
        <v>-254420.4651857551</v>
      </c>
      <c r="L72" s="28">
        <v>-295678.26716532424</v>
      </c>
      <c r="M72" s="28">
        <v>-247544.16485582694</v>
      </c>
      <c r="N72" s="28">
        <v>-110019.48176805708</v>
      </c>
      <c r="O72" s="28">
        <v>-55009.74088402854</v>
      </c>
      <c r="P72" s="56">
        <f>SUM(C72:O72)</f>
        <v>-2750493.0000000005</v>
      </c>
    </row>
    <row r="73" spans="2:16" ht="12">
      <c r="B73" s="10" t="s">
        <v>144</v>
      </c>
      <c r="C73" s="144">
        <f>+P28</f>
        <v>0</v>
      </c>
      <c r="D73" s="28">
        <v>-1023.5177837140632</v>
      </c>
      <c r="E73" s="28">
        <v>-1407.3415698692052</v>
      </c>
      <c r="F73" s="28">
        <v>-2558.8006156349825</v>
      </c>
      <c r="G73" s="28">
        <v>-2814.6831397384103</v>
      </c>
      <c r="H73" s="28">
        <v>-3070.5595074920143</v>
      </c>
      <c r="I73" s="28">
        <v>-3198.500769543728</v>
      </c>
      <c r="J73" s="28">
        <v>-2558.8006156349825</v>
      </c>
      <c r="K73" s="28">
        <v>-2366.8887225574113</v>
      </c>
      <c r="L73" s="28">
        <v>-2750.7125087125532</v>
      </c>
      <c r="M73" s="28">
        <v>-2302.9180915315546</v>
      </c>
      <c r="N73" s="28">
        <v>-1023.5177837140632</v>
      </c>
      <c r="O73" s="28">
        <v>-511.7588918570316</v>
      </c>
      <c r="P73" s="56">
        <f>SUM(C73:O73)</f>
        <v>-25588</v>
      </c>
    </row>
    <row r="74" spans="2:16" ht="12">
      <c r="B74" s="10" t="s">
        <v>145</v>
      </c>
      <c r="C74" s="144">
        <f>+P29</f>
        <v>0</v>
      </c>
      <c r="D74" s="28">
        <v>-113.55975410208791</v>
      </c>
      <c r="E74" s="28">
        <v>-156.14517417768772</v>
      </c>
      <c r="F74" s="28">
        <v>-283.90006830497555</v>
      </c>
      <c r="G74" s="28">
        <v>-312.29034835537544</v>
      </c>
      <c r="H74" s="28">
        <v>-340.6799453560195</v>
      </c>
      <c r="I74" s="28">
        <v>-354.8750853812195</v>
      </c>
      <c r="J74" s="28">
        <v>-283.90006830497555</v>
      </c>
      <c r="K74" s="28">
        <v>-262.60735826717564</v>
      </c>
      <c r="L74" s="28">
        <v>-305.19277834277545</v>
      </c>
      <c r="M74" s="28">
        <v>-255.5097882545757</v>
      </c>
      <c r="N74" s="28">
        <v>-113.55975410208791</v>
      </c>
      <c r="O74" s="28">
        <v>-56.779877051043954</v>
      </c>
      <c r="P74" s="56">
        <f>SUM(C74:O74)</f>
        <v>-2839</v>
      </c>
    </row>
    <row r="75" spans="2:16" ht="12">
      <c r="B75" s="10" t="s">
        <v>163</v>
      </c>
      <c r="C75" s="147"/>
      <c r="D75" s="147">
        <f aca="true" t="shared" si="15" ref="D75:O75">SUM(D70:D74)</f>
        <v>-184114.2413261222</v>
      </c>
      <c r="E75" s="147">
        <f t="shared" si="15"/>
        <v>-253157.91239399675</v>
      </c>
      <c r="F75" s="147">
        <f t="shared" si="15"/>
        <v>-460286.7107427438</v>
      </c>
      <c r="G75" s="147">
        <f t="shared" si="15"/>
        <v>-506315.8247879935</v>
      </c>
      <c r="H75" s="147">
        <f t="shared" si="15"/>
        <v>-552343.8314058048</v>
      </c>
      <c r="I75" s="147">
        <f t="shared" si="15"/>
        <v>-575358.3884284297</v>
      </c>
      <c r="J75" s="147">
        <f t="shared" si="15"/>
        <v>-460286.7107427438</v>
      </c>
      <c r="K75" s="147">
        <f t="shared" si="15"/>
        <v>-425764.87520880654</v>
      </c>
      <c r="L75" s="147">
        <f t="shared" si="15"/>
        <v>-494808.546276681</v>
      </c>
      <c r="M75" s="147">
        <f t="shared" si="15"/>
        <v>-414257.5966974941</v>
      </c>
      <c r="N75" s="147">
        <f t="shared" si="15"/>
        <v>-184114.2413261222</v>
      </c>
      <c r="O75" s="147">
        <f t="shared" si="15"/>
        <v>-92057.1206630611</v>
      </c>
      <c r="P75" s="147"/>
    </row>
    <row r="76" spans="2:17" ht="12">
      <c r="B76" s="10" t="s">
        <v>164</v>
      </c>
      <c r="C76" s="148">
        <f>SUM(C70:C74)</f>
        <v>0</v>
      </c>
      <c r="D76" s="148">
        <f aca="true" t="shared" si="16" ref="D76:O76">+D75+C76</f>
        <v>-184114.2413261222</v>
      </c>
      <c r="E76" s="148">
        <f t="shared" si="16"/>
        <v>-437272.1537201189</v>
      </c>
      <c r="F76" s="148">
        <f t="shared" si="16"/>
        <v>-897558.8644628627</v>
      </c>
      <c r="G76" s="148">
        <f t="shared" si="16"/>
        <v>-1403874.6892508562</v>
      </c>
      <c r="H76" s="148">
        <f t="shared" si="16"/>
        <v>-1956218.5206566611</v>
      </c>
      <c r="I76" s="148">
        <f t="shared" si="16"/>
        <v>-2531576.9090850907</v>
      </c>
      <c r="J76" s="148">
        <f t="shared" si="16"/>
        <v>-2991863.6198278344</v>
      </c>
      <c r="K76" s="148">
        <f t="shared" si="16"/>
        <v>-3417628.495036641</v>
      </c>
      <c r="L76" s="148">
        <f t="shared" si="16"/>
        <v>-3912437.0413133223</v>
      </c>
      <c r="M76" s="148">
        <f t="shared" si="16"/>
        <v>-4326694.638010817</v>
      </c>
      <c r="N76" s="148">
        <f t="shared" si="16"/>
        <v>-4510808.879336939</v>
      </c>
      <c r="O76" s="148">
        <f t="shared" si="16"/>
        <v>-4602866</v>
      </c>
      <c r="P76" s="148">
        <f>SUM(P70:P74)</f>
        <v>-4602866</v>
      </c>
      <c r="Q76" s="146">
        <f>AVERAGE(C76:O76)</f>
        <v>-2397916.4655405586</v>
      </c>
    </row>
    <row r="78" ht="12">
      <c r="B78" s="143" t="s">
        <v>147</v>
      </c>
    </row>
    <row r="79" spans="2:16" ht="12">
      <c r="B79" s="10" t="s">
        <v>141</v>
      </c>
      <c r="C79" s="144">
        <f>+P34</f>
        <v>0</v>
      </c>
      <c r="D79" s="149">
        <f aca="true" t="shared" si="17" ref="D79:O79">+D61+D70</f>
        <v>670989.1305564871</v>
      </c>
      <c r="E79" s="149">
        <f t="shared" si="17"/>
        <v>1708799.5420360763</v>
      </c>
      <c r="F79" s="149">
        <f t="shared" si="17"/>
        <v>1756493.1069982483</v>
      </c>
      <c r="G79" s="149">
        <f t="shared" si="17"/>
        <v>1321397.9693526896</v>
      </c>
      <c r="H79" s="149">
        <f t="shared" si="17"/>
        <v>1155773.3879149081</v>
      </c>
      <c r="I79" s="149">
        <f t="shared" si="17"/>
        <v>1320195.3034308625</v>
      </c>
      <c r="J79" s="149">
        <f t="shared" si="17"/>
        <v>1556654.8695901183</v>
      </c>
      <c r="K79" s="149">
        <f t="shared" si="17"/>
        <v>2358580.763874135</v>
      </c>
      <c r="L79" s="149">
        <f t="shared" si="17"/>
        <v>1671379.7001390378</v>
      </c>
      <c r="M79" s="149">
        <f t="shared" si="17"/>
        <v>2818564.185285269</v>
      </c>
      <c r="N79" s="149">
        <f t="shared" si="17"/>
        <v>4534398.850792462</v>
      </c>
      <c r="O79" s="149">
        <f t="shared" si="17"/>
        <v>5379319.190029709</v>
      </c>
      <c r="P79" s="146">
        <f>SUM(C79:O79)</f>
        <v>26252546</v>
      </c>
    </row>
    <row r="80" spans="2:16" ht="12">
      <c r="B80" s="10" t="s">
        <v>142</v>
      </c>
      <c r="C80" s="144">
        <f>+P35</f>
        <v>0</v>
      </c>
      <c r="D80" s="149">
        <f aca="true" t="shared" si="18" ref="D80:O80">+D62+D71</f>
        <v>30438.38041144695</v>
      </c>
      <c r="E80" s="149">
        <f t="shared" si="18"/>
        <v>79055.1064981212</v>
      </c>
      <c r="F80" s="149">
        <f t="shared" si="18"/>
        <v>79835.16801652493</v>
      </c>
      <c r="G80" s="149">
        <f t="shared" si="18"/>
        <v>58918.36871155782</v>
      </c>
      <c r="H80" s="149">
        <f t="shared" si="18"/>
        <v>50752.87357013293</v>
      </c>
      <c r="I80" s="149">
        <f t="shared" si="18"/>
        <v>58369.19840185021</v>
      </c>
      <c r="J80" s="149">
        <f t="shared" si="18"/>
        <v>70378.86003733282</v>
      </c>
      <c r="K80" s="149">
        <f t="shared" si="18"/>
        <v>108571.97735288984</v>
      </c>
      <c r="L80" s="149">
        <f t="shared" si="18"/>
        <v>75561.48339980723</v>
      </c>
      <c r="M80" s="149">
        <f t="shared" si="18"/>
        <v>130420.35144630184</v>
      </c>
      <c r="N80" s="149">
        <f t="shared" si="18"/>
        <v>213254.205041361</v>
      </c>
      <c r="O80" s="149">
        <f t="shared" si="18"/>
        <v>253892.02711267344</v>
      </c>
      <c r="P80" s="146">
        <f>SUM(C80:O80)</f>
        <v>1209448.0000000002</v>
      </c>
    </row>
    <row r="81" spans="2:16" ht="12">
      <c r="B81" s="10" t="s">
        <v>143</v>
      </c>
      <c r="C81" s="144">
        <f>+P36</f>
        <v>0</v>
      </c>
      <c r="D81" s="149">
        <f aca="true" t="shared" si="19" ref="D81:O81">+D63+D72</f>
        <v>212177.3245855801</v>
      </c>
      <c r="E81" s="149">
        <f t="shared" si="19"/>
        <v>634330.3521346365</v>
      </c>
      <c r="F81" s="149">
        <f t="shared" si="19"/>
        <v>564876.4010927991</v>
      </c>
      <c r="G81" s="149">
        <f t="shared" si="19"/>
        <v>355228.2077711228</v>
      </c>
      <c r="H81" s="149">
        <f t="shared" si="19"/>
        <v>263003.9450479154</v>
      </c>
      <c r="I81" s="149">
        <f t="shared" si="19"/>
        <v>324625.3946734767</v>
      </c>
      <c r="J81" s="149">
        <f t="shared" si="19"/>
        <v>477795.66308072745</v>
      </c>
      <c r="K81" s="149">
        <f t="shared" si="19"/>
        <v>842279.4047965766</v>
      </c>
      <c r="L81" s="149">
        <f t="shared" si="19"/>
        <v>512748.0986102302</v>
      </c>
      <c r="M81" s="149">
        <f t="shared" si="19"/>
        <v>1047733.2072154717</v>
      </c>
      <c r="N81" s="149">
        <f t="shared" si="19"/>
        <v>1895681.8132389279</v>
      </c>
      <c r="O81" s="149">
        <f t="shared" si="19"/>
        <v>2303966.1877525374</v>
      </c>
      <c r="P81" s="146">
        <f>SUM(C81:O81)</f>
        <v>9434446.000000002</v>
      </c>
    </row>
    <row r="82" spans="2:16" ht="12">
      <c r="B82" s="10" t="s">
        <v>144</v>
      </c>
      <c r="C82" s="144">
        <f>+P37</f>
        <v>0</v>
      </c>
      <c r="D82" s="149">
        <f aca="true" t="shared" si="20" ref="D82:O82">+D64+D73</f>
        <v>1059.9702961054986</v>
      </c>
      <c r="E82" s="149">
        <f t="shared" si="20"/>
        <v>3672.7961363357263</v>
      </c>
      <c r="F82" s="149">
        <f t="shared" si="20"/>
        <v>2872.5856971025282</v>
      </c>
      <c r="G82" s="149">
        <f t="shared" si="20"/>
        <v>1438.874140633594</v>
      </c>
      <c r="H82" s="149">
        <f t="shared" si="20"/>
        <v>764.4871946504472</v>
      </c>
      <c r="I82" s="149">
        <f t="shared" si="20"/>
        <v>1123.952797597336</v>
      </c>
      <c r="J82" s="149">
        <f t="shared" si="20"/>
        <v>2309.477447572253</v>
      </c>
      <c r="K82" s="149">
        <f t="shared" si="20"/>
        <v>4724.929263186124</v>
      </c>
      <c r="L82" s="149">
        <f t="shared" si="20"/>
        <v>2476.9826865542464</v>
      </c>
      <c r="M82" s="149">
        <f t="shared" si="20"/>
        <v>6073.002810081979</v>
      </c>
      <c r="N82" s="149">
        <f t="shared" si="20"/>
        <v>11946.364776943841</v>
      </c>
      <c r="O82" s="149">
        <f t="shared" si="20"/>
        <v>14742.576753236439</v>
      </c>
      <c r="P82" s="146">
        <f>SUM(C82:O82)</f>
        <v>53206.000000000015</v>
      </c>
    </row>
    <row r="83" spans="2:16" ht="12">
      <c r="B83" s="10" t="s">
        <v>145</v>
      </c>
      <c r="C83" s="144">
        <f>+P38</f>
        <v>0</v>
      </c>
      <c r="D83" s="149">
        <f aca="true" t="shared" si="21" ref="D83:O83">+D65+D74</f>
        <v>2341.6265760667843</v>
      </c>
      <c r="E83" s="149">
        <f t="shared" si="21"/>
        <v>5830.298795652935</v>
      </c>
      <c r="F83" s="149">
        <f t="shared" si="21"/>
        <v>6116.45592991812</v>
      </c>
      <c r="G83" s="149">
        <f t="shared" si="21"/>
        <v>4700.109669917856</v>
      </c>
      <c r="H83" s="149">
        <f t="shared" si="21"/>
        <v>4178.5464086890815</v>
      </c>
      <c r="I83" s="149">
        <f t="shared" si="21"/>
        <v>4738.712448728166</v>
      </c>
      <c r="J83" s="149">
        <f t="shared" si="21"/>
        <v>5452.888093824819</v>
      </c>
      <c r="K83" s="149">
        <f t="shared" si="21"/>
        <v>8094.40449281632</v>
      </c>
      <c r="L83" s="149">
        <f t="shared" si="21"/>
        <v>5855.133218252366</v>
      </c>
      <c r="M83" s="149">
        <f t="shared" si="21"/>
        <v>9614.691389953387</v>
      </c>
      <c r="N83" s="149">
        <f t="shared" si="21"/>
        <v>15170.174611961917</v>
      </c>
      <c r="O83" s="149">
        <f t="shared" si="21"/>
        <v>17918.958364218262</v>
      </c>
      <c r="P83" s="146">
        <f>SUM(C83:O83)</f>
        <v>90012</v>
      </c>
    </row>
    <row r="84" spans="2:16" ht="12">
      <c r="B84" s="10" t="s">
        <v>165</v>
      </c>
      <c r="C84" s="147"/>
      <c r="D84" s="147">
        <f aca="true" t="shared" si="22" ref="D84:O84">SUM(D79:D83)</f>
        <v>917006.4324256864</v>
      </c>
      <c r="E84" s="147">
        <f t="shared" si="22"/>
        <v>2431688.095600823</v>
      </c>
      <c r="F84" s="147">
        <f t="shared" si="22"/>
        <v>2410193.717734593</v>
      </c>
      <c r="G84" s="147">
        <f t="shared" si="22"/>
        <v>1741683.5296459217</v>
      </c>
      <c r="H84" s="147">
        <f t="shared" si="22"/>
        <v>1474473.240136296</v>
      </c>
      <c r="I84" s="147">
        <f t="shared" si="22"/>
        <v>1709052.561752515</v>
      </c>
      <c r="J84" s="147">
        <f t="shared" si="22"/>
        <v>2112591.7582495757</v>
      </c>
      <c r="K84" s="147">
        <f t="shared" si="22"/>
        <v>3322251.479779604</v>
      </c>
      <c r="L84" s="147">
        <f t="shared" si="22"/>
        <v>2268021.3980538817</v>
      </c>
      <c r="M84" s="147">
        <f t="shared" si="22"/>
        <v>4012405.4381470773</v>
      </c>
      <c r="N84" s="147">
        <f t="shared" si="22"/>
        <v>6670451.408461656</v>
      </c>
      <c r="O84" s="147">
        <f t="shared" si="22"/>
        <v>7969838.940012374</v>
      </c>
      <c r="P84" s="147"/>
    </row>
    <row r="85" spans="2:17" ht="12">
      <c r="B85" s="10" t="s">
        <v>266</v>
      </c>
      <c r="C85" s="148">
        <f>SUM(C79:C83)</f>
        <v>0</v>
      </c>
      <c r="D85" s="148">
        <f aca="true" t="shared" si="23" ref="D85:O85">+D84+C85</f>
        <v>917006.4324256864</v>
      </c>
      <c r="E85" s="148">
        <f t="shared" si="23"/>
        <v>3348694.528026509</v>
      </c>
      <c r="F85" s="148">
        <f t="shared" si="23"/>
        <v>5758888.245761102</v>
      </c>
      <c r="G85" s="148">
        <f t="shared" si="23"/>
        <v>7500571.775407024</v>
      </c>
      <c r="H85" s="148">
        <f t="shared" si="23"/>
        <v>8975045.01554332</v>
      </c>
      <c r="I85" s="148">
        <f t="shared" si="23"/>
        <v>10684097.577295834</v>
      </c>
      <c r="J85" s="148">
        <f t="shared" si="23"/>
        <v>12796689.33554541</v>
      </c>
      <c r="K85" s="148">
        <f t="shared" si="23"/>
        <v>16118940.815325014</v>
      </c>
      <c r="L85" s="148">
        <f t="shared" si="23"/>
        <v>18386962.213378895</v>
      </c>
      <c r="M85" s="148">
        <f t="shared" si="23"/>
        <v>22399367.651525974</v>
      </c>
      <c r="N85" s="148">
        <f t="shared" si="23"/>
        <v>29069819.05998763</v>
      </c>
      <c r="O85" s="148">
        <f t="shared" si="23"/>
        <v>37039658.00000001</v>
      </c>
      <c r="P85" s="148">
        <f>SUM(P79:P83)</f>
        <v>37039658</v>
      </c>
      <c r="Q85" s="146">
        <f>AVERAGE(C85:O85)</f>
        <v>13307364.665401723</v>
      </c>
    </row>
  </sheetData>
  <sheetProtection/>
  <mergeCells count="6">
    <mergeCell ref="A51:Q51"/>
    <mergeCell ref="A52:Q52"/>
    <mergeCell ref="A5:Q5"/>
    <mergeCell ref="A6:Q6"/>
    <mergeCell ref="A7:Q7"/>
    <mergeCell ref="A50:Q50"/>
  </mergeCells>
  <printOptions/>
  <pageMargins left="0.7" right="0.7" top="0.75" bottom="0.75" header="0.3" footer="0.3"/>
  <pageSetup fitToHeight="2" horizontalDpi="1200" verticalDpi="1200" orientation="landscape" scale="51" r:id="rId1"/>
  <rowBreaks count="1" manualBreakCount="1">
    <brk id="4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73">
      <selection activeCell="E35" sqref="E35:O39"/>
    </sheetView>
  </sheetViews>
  <sheetFormatPr defaultColWidth="9.140625" defaultRowHeight="12.75"/>
  <cols>
    <col min="1" max="1" width="2.00390625" style="141" customWidth="1"/>
    <col min="2" max="2" width="38.421875" style="141" customWidth="1"/>
    <col min="3" max="3" width="12.8515625" style="141" customWidth="1"/>
    <col min="4" max="4" width="12.00390625" style="141" bestFit="1" customWidth="1"/>
    <col min="5" max="9" width="12.8515625" style="141" bestFit="1" customWidth="1"/>
    <col min="10" max="11" width="13.8515625" style="141" bestFit="1" customWidth="1"/>
    <col min="12" max="12" width="11.8515625" style="141" customWidth="1"/>
    <col min="13" max="15" width="13.8515625" style="141" bestFit="1" customWidth="1"/>
    <col min="16" max="16" width="18.421875" style="141" customWidth="1"/>
    <col min="17" max="17" width="15.57421875" style="141" bestFit="1" customWidth="1"/>
    <col min="18" max="16384" width="8.7109375" style="141" customWidth="1"/>
  </cols>
  <sheetData>
    <row r="1" ht="12.75">
      <c r="Q1" s="43" t="str">
        <f>+'3.0 Plant in Service'!Q1</f>
        <v> PSC Set 1 No. 1 2022-00342</v>
      </c>
    </row>
    <row r="2" ht="12.75">
      <c r="Q2" s="43" t="str">
        <f>+'3.0 Plant in Service'!Q2</f>
        <v>Attachment JTG-1</v>
      </c>
    </row>
    <row r="3" spans="14:17" s="10" customFormat="1" ht="12.75">
      <c r="N3" s="43"/>
      <c r="Q3" s="43" t="s">
        <v>230</v>
      </c>
    </row>
    <row r="4" spans="14:17" s="10" customFormat="1" ht="12.75">
      <c r="N4" s="43"/>
      <c r="Q4" s="43" t="s">
        <v>232</v>
      </c>
    </row>
    <row r="5" spans="1:17" s="10" customFormat="1" ht="12.75">
      <c r="A5" s="166" t="s">
        <v>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112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10" customFormat="1" ht="12.75">
      <c r="A7" s="166" t="s">
        <v>231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s="10" customFormat="1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10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1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ht="12">
      <c r="Q11" s="146"/>
    </row>
    <row r="12" spans="3:17" ht="12">
      <c r="C12" s="37">
        <v>2021</v>
      </c>
      <c r="D12" s="37">
        <f>+C12+1</f>
        <v>2022</v>
      </c>
      <c r="E12" s="37">
        <f>+D12</f>
        <v>2022</v>
      </c>
      <c r="F12" s="37">
        <f aca="true" t="shared" si="0" ref="F12:P12">+E12</f>
        <v>2022</v>
      </c>
      <c r="G12" s="37">
        <f t="shared" si="0"/>
        <v>2022</v>
      </c>
      <c r="H12" s="37">
        <f t="shared" si="0"/>
        <v>2022</v>
      </c>
      <c r="I12" s="37">
        <f t="shared" si="0"/>
        <v>2022</v>
      </c>
      <c r="J12" s="37">
        <f t="shared" si="0"/>
        <v>2022</v>
      </c>
      <c r="K12" s="37">
        <f t="shared" si="0"/>
        <v>2022</v>
      </c>
      <c r="L12" s="37">
        <f t="shared" si="0"/>
        <v>2022</v>
      </c>
      <c r="M12" s="37">
        <f t="shared" si="0"/>
        <v>2022</v>
      </c>
      <c r="N12" s="37">
        <f t="shared" si="0"/>
        <v>2022</v>
      </c>
      <c r="O12" s="37">
        <f t="shared" si="0"/>
        <v>2022</v>
      </c>
      <c r="P12" s="37">
        <f t="shared" si="0"/>
        <v>2022</v>
      </c>
      <c r="Q12" s="37">
        <f>+P12</f>
        <v>2022</v>
      </c>
    </row>
    <row r="13" spans="3:17" ht="12">
      <c r="C13" s="37" t="s">
        <v>148</v>
      </c>
      <c r="D13" s="37" t="s">
        <v>149</v>
      </c>
      <c r="E13" s="37" t="s">
        <v>150</v>
      </c>
      <c r="F13" s="37" t="s">
        <v>151</v>
      </c>
      <c r="G13" s="37" t="s">
        <v>152</v>
      </c>
      <c r="H13" s="37" t="s">
        <v>81</v>
      </c>
      <c r="I13" s="37" t="s">
        <v>153</v>
      </c>
      <c r="J13" s="37" t="s">
        <v>154</v>
      </c>
      <c r="K13" s="37" t="s">
        <v>155</v>
      </c>
      <c r="L13" s="37" t="s">
        <v>156</v>
      </c>
      <c r="M13" s="37" t="s">
        <v>157</v>
      </c>
      <c r="N13" s="37" t="s">
        <v>158</v>
      </c>
      <c r="O13" s="37" t="s">
        <v>148</v>
      </c>
      <c r="P13" s="37" t="s">
        <v>159</v>
      </c>
      <c r="Q13" s="37" t="s">
        <v>160</v>
      </c>
    </row>
    <row r="14" spans="3:17" ht="12">
      <c r="C14" s="37" t="s">
        <v>92</v>
      </c>
      <c r="D14" s="37"/>
      <c r="E14" s="37"/>
      <c r="F14" s="37"/>
      <c r="G14" s="37"/>
      <c r="H14" s="37"/>
      <c r="I14" s="37"/>
      <c r="J14" s="37"/>
      <c r="K14" s="37"/>
      <c r="L14" s="37" t="s">
        <v>229</v>
      </c>
      <c r="M14" s="37" t="s">
        <v>229</v>
      </c>
      <c r="N14" s="37" t="s">
        <v>229</v>
      </c>
      <c r="O14" s="37" t="s">
        <v>229</v>
      </c>
      <c r="P14" s="10"/>
      <c r="Q14" s="10"/>
    </row>
    <row r="16" ht="12">
      <c r="B16" s="143" t="s">
        <v>125</v>
      </c>
    </row>
    <row r="17" spans="2:16" ht="12">
      <c r="B17" s="10" t="s">
        <v>141</v>
      </c>
      <c r="C17" s="144">
        <v>0</v>
      </c>
      <c r="D17" s="28">
        <f>+'5.0 Depr Expense'!E21*-1</f>
        <v>0</v>
      </c>
      <c r="E17" s="28">
        <f>+'5.0 Depr Expense'!F21*-1</f>
        <v>0</v>
      </c>
      <c r="F17" s="28">
        <f>+'5.0 Depr Expense'!G21*-1</f>
        <v>0</v>
      </c>
      <c r="G17" s="28">
        <f>+'5.0 Depr Expense'!H21*-1</f>
        <v>0</v>
      </c>
      <c r="H17" s="28">
        <f>+'5.0 Depr Expense'!I21*-1</f>
        <v>0</v>
      </c>
      <c r="I17" s="28">
        <f>+'5.0 Depr Expense'!J21*-1</f>
        <v>0</v>
      </c>
      <c r="J17" s="28">
        <f>+'5.0 Depr Expense'!K21*-1</f>
        <v>0</v>
      </c>
      <c r="K17" s="28">
        <f>+'5.0 Depr Expense'!L21*-1</f>
        <v>0</v>
      </c>
      <c r="L17" s="28">
        <f>+'5.0 Depr Expense'!M21*-1</f>
        <v>0</v>
      </c>
      <c r="M17" s="28">
        <f>+'5.0 Depr Expense'!N21*-1</f>
        <v>0</v>
      </c>
      <c r="N17" s="28">
        <f>+'5.0 Depr Expense'!O21*-1</f>
        <v>0</v>
      </c>
      <c r="O17" s="28">
        <f>+'5.0 Depr Expense'!P21*-1</f>
        <v>0</v>
      </c>
      <c r="P17" s="146">
        <f>SUM(C17:O17)</f>
        <v>0</v>
      </c>
    </row>
    <row r="18" spans="2:16" ht="12">
      <c r="B18" s="10" t="s">
        <v>142</v>
      </c>
      <c r="C18" s="144">
        <v>0</v>
      </c>
      <c r="D18" s="28">
        <f>+'5.0 Depr Expense'!E31*-1</f>
        <v>0</v>
      </c>
      <c r="E18" s="28">
        <f>+'5.0 Depr Expense'!F31*-1</f>
        <v>0</v>
      </c>
      <c r="F18" s="28">
        <f>+'5.0 Depr Expense'!G31*-1</f>
        <v>0</v>
      </c>
      <c r="G18" s="28">
        <f>+'5.0 Depr Expense'!H31*-1</f>
        <v>0</v>
      </c>
      <c r="H18" s="28">
        <f>+'5.0 Depr Expense'!I31*-1</f>
        <v>0</v>
      </c>
      <c r="I18" s="28">
        <f>+'5.0 Depr Expense'!J31*-1</f>
        <v>0</v>
      </c>
      <c r="J18" s="28">
        <f>+'5.0 Depr Expense'!K31*-1</f>
        <v>0</v>
      </c>
      <c r="K18" s="28">
        <f>+'5.0 Depr Expense'!L31*-1</f>
        <v>0</v>
      </c>
      <c r="L18" s="28">
        <f>+'5.0 Depr Expense'!M31*-1</f>
        <v>0</v>
      </c>
      <c r="M18" s="28">
        <f>+'5.0 Depr Expense'!N31*-1</f>
        <v>0</v>
      </c>
      <c r="N18" s="28">
        <f>+'5.0 Depr Expense'!O31*-1</f>
        <v>0</v>
      </c>
      <c r="O18" s="28">
        <f>+'5.0 Depr Expense'!P31*-1</f>
        <v>0</v>
      </c>
      <c r="P18" s="146">
        <f>SUM(C18:O18)</f>
        <v>0</v>
      </c>
    </row>
    <row r="19" spans="2:16" ht="12">
      <c r="B19" s="10" t="s">
        <v>143</v>
      </c>
      <c r="C19" s="144">
        <v>0</v>
      </c>
      <c r="D19" s="28">
        <f>+'5.0 Depr Expense'!E41*-1</f>
        <v>0</v>
      </c>
      <c r="E19" s="28">
        <f>+'5.0 Depr Expense'!F41*-1</f>
        <v>0</v>
      </c>
      <c r="F19" s="28">
        <f>+'5.0 Depr Expense'!G41*-1</f>
        <v>0</v>
      </c>
      <c r="G19" s="28">
        <f>+'5.0 Depr Expense'!H41*-1</f>
        <v>0</v>
      </c>
      <c r="H19" s="28">
        <f>+'5.0 Depr Expense'!I41*-1</f>
        <v>0</v>
      </c>
      <c r="I19" s="28">
        <f>+'5.0 Depr Expense'!J41*-1</f>
        <v>0</v>
      </c>
      <c r="J19" s="28">
        <f>+'5.0 Depr Expense'!K41*-1</f>
        <v>0</v>
      </c>
      <c r="K19" s="28">
        <f>+'5.0 Depr Expense'!L41*-1</f>
        <v>0</v>
      </c>
      <c r="L19" s="28">
        <f>+'5.0 Depr Expense'!M41*-1</f>
        <v>0</v>
      </c>
      <c r="M19" s="28">
        <f>+'5.0 Depr Expense'!N41*-1</f>
        <v>0</v>
      </c>
      <c r="N19" s="28">
        <f>+'5.0 Depr Expense'!O41*-1</f>
        <v>0</v>
      </c>
      <c r="O19" s="28">
        <f>+'5.0 Depr Expense'!P41*-1</f>
        <v>0</v>
      </c>
      <c r="P19" s="146">
        <f>SUM(C19:O19)</f>
        <v>0</v>
      </c>
    </row>
    <row r="20" spans="2:16" ht="12">
      <c r="B20" s="10" t="s">
        <v>144</v>
      </c>
      <c r="C20" s="144">
        <v>0</v>
      </c>
      <c r="D20" s="28">
        <f>+'5.0 Depr Expense'!E51*-1</f>
        <v>0</v>
      </c>
      <c r="E20" s="28">
        <f>+'5.0 Depr Expense'!F51*-1</f>
        <v>0</v>
      </c>
      <c r="F20" s="28">
        <f>+'5.0 Depr Expense'!G51*-1</f>
        <v>0</v>
      </c>
      <c r="G20" s="28">
        <f>+'5.0 Depr Expense'!H51*-1</f>
        <v>0</v>
      </c>
      <c r="H20" s="28">
        <f>+'5.0 Depr Expense'!I51*-1</f>
        <v>0</v>
      </c>
      <c r="I20" s="28">
        <f>+'5.0 Depr Expense'!J51*-1</f>
        <v>0</v>
      </c>
      <c r="J20" s="28">
        <f>+'5.0 Depr Expense'!K51*-1</f>
        <v>0</v>
      </c>
      <c r="K20" s="28">
        <f>+'5.0 Depr Expense'!L51*-1</f>
        <v>0</v>
      </c>
      <c r="L20" s="28">
        <f>+'5.0 Depr Expense'!M51*-1</f>
        <v>0</v>
      </c>
      <c r="M20" s="28">
        <f>+'5.0 Depr Expense'!N51*-1</f>
        <v>0</v>
      </c>
      <c r="N20" s="28">
        <f>+'5.0 Depr Expense'!O51*-1</f>
        <v>0</v>
      </c>
      <c r="O20" s="28">
        <f>+'5.0 Depr Expense'!P51*-1</f>
        <v>0</v>
      </c>
      <c r="P20" s="146">
        <f>SUM(C20:O20)</f>
        <v>0</v>
      </c>
    </row>
    <row r="21" spans="2:16" ht="12">
      <c r="B21" s="10" t="s">
        <v>145</v>
      </c>
      <c r="C21" s="144">
        <v>0</v>
      </c>
      <c r="D21" s="28">
        <f>+'5.0 Depr Expense'!E61*-1</f>
        <v>0</v>
      </c>
      <c r="E21" s="28">
        <f>+'5.0 Depr Expense'!F61*-1</f>
        <v>0</v>
      </c>
      <c r="F21" s="28">
        <f>+'5.0 Depr Expense'!G61*-1</f>
        <v>0</v>
      </c>
      <c r="G21" s="28">
        <f>+'5.0 Depr Expense'!H61*-1</f>
        <v>0</v>
      </c>
      <c r="H21" s="28">
        <f>+'5.0 Depr Expense'!I61*-1</f>
        <v>0</v>
      </c>
      <c r="I21" s="28">
        <f>+'5.0 Depr Expense'!J61*-1</f>
        <v>0</v>
      </c>
      <c r="J21" s="28">
        <f>+'5.0 Depr Expense'!K61*-1</f>
        <v>0</v>
      </c>
      <c r="K21" s="28">
        <f>+'5.0 Depr Expense'!L61*-1</f>
        <v>0</v>
      </c>
      <c r="L21" s="28">
        <f>+'5.0 Depr Expense'!M61*-1</f>
        <v>0</v>
      </c>
      <c r="M21" s="28">
        <f>+'5.0 Depr Expense'!N61*-1</f>
        <v>0</v>
      </c>
      <c r="N21" s="28">
        <f>+'5.0 Depr Expense'!O61*-1</f>
        <v>0</v>
      </c>
      <c r="O21" s="28">
        <f>+'5.0 Depr Expense'!P61*-1</f>
        <v>0</v>
      </c>
      <c r="P21" s="146">
        <f>SUM(C21:O21)</f>
        <v>0</v>
      </c>
    </row>
    <row r="22" spans="2:16" ht="12">
      <c r="B22" s="10" t="s">
        <v>166</v>
      </c>
      <c r="C22" s="147"/>
      <c r="D22" s="147">
        <f>SUM(D17:D21)</f>
        <v>0</v>
      </c>
      <c r="E22" s="147">
        <f aca="true" t="shared" si="1" ref="E22:P22">SUM(E17:E21)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  <c r="K22" s="147">
        <f t="shared" si="1"/>
        <v>0</v>
      </c>
      <c r="L22" s="147">
        <f t="shared" si="1"/>
        <v>0</v>
      </c>
      <c r="M22" s="147">
        <f t="shared" si="1"/>
        <v>0</v>
      </c>
      <c r="N22" s="147">
        <f t="shared" si="1"/>
        <v>0</v>
      </c>
      <c r="O22" s="147">
        <f t="shared" si="1"/>
        <v>0</v>
      </c>
      <c r="P22" s="147">
        <f t="shared" si="1"/>
        <v>0</v>
      </c>
    </row>
    <row r="23" spans="2:16" ht="12">
      <c r="B23" s="10" t="s">
        <v>167</v>
      </c>
      <c r="C23" s="148">
        <f>SUM(C17:C22)</f>
        <v>0</v>
      </c>
      <c r="D23" s="148">
        <f>+D22+C23</f>
        <v>0</v>
      </c>
      <c r="E23" s="148">
        <f aca="true" t="shared" si="2" ref="E23:O23">+E22+D23</f>
        <v>0</v>
      </c>
      <c r="F23" s="148">
        <f t="shared" si="2"/>
        <v>0</v>
      </c>
      <c r="G23" s="148">
        <f t="shared" si="2"/>
        <v>0</v>
      </c>
      <c r="H23" s="148">
        <f t="shared" si="2"/>
        <v>0</v>
      </c>
      <c r="I23" s="148">
        <f t="shared" si="2"/>
        <v>0</v>
      </c>
      <c r="J23" s="148">
        <f t="shared" si="2"/>
        <v>0</v>
      </c>
      <c r="K23" s="148">
        <f t="shared" si="2"/>
        <v>0</v>
      </c>
      <c r="L23" s="148">
        <f t="shared" si="2"/>
        <v>0</v>
      </c>
      <c r="M23" s="148">
        <f t="shared" si="2"/>
        <v>0</v>
      </c>
      <c r="N23" s="148">
        <f t="shared" si="2"/>
        <v>0</v>
      </c>
      <c r="O23" s="148">
        <f t="shared" si="2"/>
        <v>0</v>
      </c>
      <c r="P23" s="148"/>
    </row>
    <row r="24" spans="2:16" ht="12">
      <c r="B24" s="10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ht="12">
      <c r="B25" s="143" t="s">
        <v>62</v>
      </c>
    </row>
    <row r="26" spans="2:16" ht="12">
      <c r="B26" s="10" t="s">
        <v>141</v>
      </c>
      <c r="C26" s="144">
        <v>0</v>
      </c>
      <c r="D26" s="28">
        <f>-'3.0 Plant in Service'!D25</f>
        <v>0</v>
      </c>
      <c r="E26" s="28">
        <f>-'3.0 Plant in Service'!E25</f>
        <v>0</v>
      </c>
      <c r="F26" s="28">
        <f>-'3.0 Plant in Service'!F25</f>
        <v>0</v>
      </c>
      <c r="G26" s="28">
        <f>-'3.0 Plant in Service'!G25</f>
        <v>0</v>
      </c>
      <c r="H26" s="28">
        <f>-'3.0 Plant in Service'!H25</f>
        <v>0</v>
      </c>
      <c r="I26" s="28">
        <f>-'3.0 Plant in Service'!I25</f>
        <v>0</v>
      </c>
      <c r="J26" s="28">
        <f>-'3.0 Plant in Service'!J25</f>
        <v>0</v>
      </c>
      <c r="K26" s="28">
        <f>-'3.0 Plant in Service'!K25</f>
        <v>0</v>
      </c>
      <c r="L26" s="28">
        <f>-'3.0 Plant in Service'!L25</f>
        <v>0</v>
      </c>
      <c r="M26" s="28">
        <f>-'3.0 Plant in Service'!M25</f>
        <v>0</v>
      </c>
      <c r="N26" s="28">
        <f>-'3.0 Plant in Service'!N25</f>
        <v>0</v>
      </c>
      <c r="O26" s="28">
        <f>-'3.0 Plant in Service'!O25</f>
        <v>0</v>
      </c>
      <c r="P26" s="146">
        <f>SUM(C26:O26)</f>
        <v>0</v>
      </c>
    </row>
    <row r="27" spans="2:16" ht="12">
      <c r="B27" s="10" t="s">
        <v>142</v>
      </c>
      <c r="C27" s="144">
        <v>0</v>
      </c>
      <c r="D27" s="28">
        <f>-'3.0 Plant in Service'!D26</f>
        <v>0</v>
      </c>
      <c r="E27" s="28">
        <f>-'3.0 Plant in Service'!E26</f>
        <v>0</v>
      </c>
      <c r="F27" s="28">
        <f>-'3.0 Plant in Service'!F26</f>
        <v>0</v>
      </c>
      <c r="G27" s="28">
        <f>-'3.0 Plant in Service'!G26</f>
        <v>0</v>
      </c>
      <c r="H27" s="28">
        <f>-'3.0 Plant in Service'!H26</f>
        <v>0</v>
      </c>
      <c r="I27" s="28">
        <f>-'3.0 Plant in Service'!I26</f>
        <v>0</v>
      </c>
      <c r="J27" s="28">
        <f>-'3.0 Plant in Service'!J26</f>
        <v>0</v>
      </c>
      <c r="K27" s="28">
        <f>-'3.0 Plant in Service'!K26</f>
        <v>0</v>
      </c>
      <c r="L27" s="28">
        <f>-'3.0 Plant in Service'!L26</f>
        <v>0</v>
      </c>
      <c r="M27" s="28">
        <f>-'3.0 Plant in Service'!M26</f>
        <v>0</v>
      </c>
      <c r="N27" s="28">
        <f>-'3.0 Plant in Service'!N26</f>
        <v>0</v>
      </c>
      <c r="O27" s="28">
        <f>-'3.0 Plant in Service'!O26</f>
        <v>0</v>
      </c>
      <c r="P27" s="146">
        <f>SUM(C27:O27)</f>
        <v>0</v>
      </c>
    </row>
    <row r="28" spans="2:16" ht="12">
      <c r="B28" s="10" t="s">
        <v>143</v>
      </c>
      <c r="C28" s="144">
        <v>0</v>
      </c>
      <c r="D28" s="28">
        <f>-'3.0 Plant in Service'!D27</f>
        <v>0</v>
      </c>
      <c r="E28" s="28">
        <f>-'3.0 Plant in Service'!E27</f>
        <v>0</v>
      </c>
      <c r="F28" s="28">
        <f>-'3.0 Plant in Service'!F27</f>
        <v>0</v>
      </c>
      <c r="G28" s="28">
        <f>-'3.0 Plant in Service'!G27</f>
        <v>0</v>
      </c>
      <c r="H28" s="28">
        <f>-'3.0 Plant in Service'!H27</f>
        <v>0</v>
      </c>
      <c r="I28" s="28">
        <f>-'3.0 Plant in Service'!I27</f>
        <v>0</v>
      </c>
      <c r="J28" s="28">
        <f>-'3.0 Plant in Service'!J27</f>
        <v>0</v>
      </c>
      <c r="K28" s="28">
        <f>-'3.0 Plant in Service'!K27</f>
        <v>0</v>
      </c>
      <c r="L28" s="28">
        <f>-'3.0 Plant in Service'!L27</f>
        <v>0</v>
      </c>
      <c r="M28" s="28">
        <f>-'3.0 Plant in Service'!M27</f>
        <v>0</v>
      </c>
      <c r="N28" s="28">
        <f>-'3.0 Plant in Service'!N27</f>
        <v>0</v>
      </c>
      <c r="O28" s="28">
        <f>-'3.0 Plant in Service'!O27</f>
        <v>0</v>
      </c>
      <c r="P28" s="146">
        <f>SUM(C28:O28)</f>
        <v>0</v>
      </c>
    </row>
    <row r="29" spans="2:16" ht="12">
      <c r="B29" s="10" t="s">
        <v>144</v>
      </c>
      <c r="C29" s="144">
        <v>0</v>
      </c>
      <c r="D29" s="28">
        <f>-'3.0 Plant in Service'!D28</f>
        <v>0</v>
      </c>
      <c r="E29" s="28">
        <f>-'3.0 Plant in Service'!E28</f>
        <v>0</v>
      </c>
      <c r="F29" s="28">
        <f>-'3.0 Plant in Service'!F28</f>
        <v>0</v>
      </c>
      <c r="G29" s="28">
        <f>-'3.0 Plant in Service'!G28</f>
        <v>0</v>
      </c>
      <c r="H29" s="28">
        <f>-'3.0 Plant in Service'!H28</f>
        <v>0</v>
      </c>
      <c r="I29" s="28">
        <f>-'3.0 Plant in Service'!I28</f>
        <v>0</v>
      </c>
      <c r="J29" s="28">
        <f>-'3.0 Plant in Service'!J28</f>
        <v>0</v>
      </c>
      <c r="K29" s="28">
        <f>-'3.0 Plant in Service'!K28</f>
        <v>0</v>
      </c>
      <c r="L29" s="28">
        <f>-'3.0 Plant in Service'!L28</f>
        <v>0</v>
      </c>
      <c r="M29" s="28">
        <f>-'3.0 Plant in Service'!M28</f>
        <v>0</v>
      </c>
      <c r="N29" s="28">
        <f>-'3.0 Plant in Service'!N28</f>
        <v>0</v>
      </c>
      <c r="O29" s="28">
        <f>-'3.0 Plant in Service'!O28</f>
        <v>0</v>
      </c>
      <c r="P29" s="146">
        <f>SUM(C29:O29)</f>
        <v>0</v>
      </c>
    </row>
    <row r="30" spans="2:16" ht="12">
      <c r="B30" s="10" t="s">
        <v>145</v>
      </c>
      <c r="C30" s="144">
        <v>0</v>
      </c>
      <c r="D30" s="28">
        <f>-'3.0 Plant in Service'!D29</f>
        <v>0</v>
      </c>
      <c r="E30" s="28">
        <f>-'3.0 Plant in Service'!E29</f>
        <v>0</v>
      </c>
      <c r="F30" s="28">
        <f>-'3.0 Plant in Service'!F29</f>
        <v>0</v>
      </c>
      <c r="G30" s="28">
        <f>-'3.0 Plant in Service'!G29</f>
        <v>0</v>
      </c>
      <c r="H30" s="28">
        <f>-'3.0 Plant in Service'!H29</f>
        <v>0</v>
      </c>
      <c r="I30" s="28">
        <f>-'3.0 Plant in Service'!I29</f>
        <v>0</v>
      </c>
      <c r="J30" s="28">
        <f>-'3.0 Plant in Service'!J29</f>
        <v>0</v>
      </c>
      <c r="K30" s="28">
        <f>-'3.0 Plant in Service'!K29</f>
        <v>0</v>
      </c>
      <c r="L30" s="28">
        <f>-'3.0 Plant in Service'!L29</f>
        <v>0</v>
      </c>
      <c r="M30" s="28">
        <f>-'3.0 Plant in Service'!M29</f>
        <v>0</v>
      </c>
      <c r="N30" s="28">
        <f>-'3.0 Plant in Service'!N29</f>
        <v>0</v>
      </c>
      <c r="O30" s="28">
        <f>-'3.0 Plant in Service'!O29</f>
        <v>0</v>
      </c>
      <c r="P30" s="146">
        <f>SUM(C30:O30)</f>
        <v>0</v>
      </c>
    </row>
    <row r="31" spans="2:16" ht="12">
      <c r="B31" s="10" t="s">
        <v>163</v>
      </c>
      <c r="C31" s="147"/>
      <c r="D31" s="147">
        <f aca="true" t="shared" si="3" ref="D31:P31">SUM(D26:D30)</f>
        <v>0</v>
      </c>
      <c r="E31" s="147">
        <f t="shared" si="3"/>
        <v>0</v>
      </c>
      <c r="F31" s="147">
        <f t="shared" si="3"/>
        <v>0</v>
      </c>
      <c r="G31" s="147">
        <f t="shared" si="3"/>
        <v>0</v>
      </c>
      <c r="H31" s="147">
        <f t="shared" si="3"/>
        <v>0</v>
      </c>
      <c r="I31" s="147">
        <f t="shared" si="3"/>
        <v>0</v>
      </c>
      <c r="J31" s="147">
        <f t="shared" si="3"/>
        <v>0</v>
      </c>
      <c r="K31" s="147">
        <f t="shared" si="3"/>
        <v>0</v>
      </c>
      <c r="L31" s="147">
        <f t="shared" si="3"/>
        <v>0</v>
      </c>
      <c r="M31" s="147">
        <f t="shared" si="3"/>
        <v>0</v>
      </c>
      <c r="N31" s="147">
        <f t="shared" si="3"/>
        <v>0</v>
      </c>
      <c r="O31" s="147">
        <f t="shared" si="3"/>
        <v>0</v>
      </c>
      <c r="P31" s="147">
        <f t="shared" si="3"/>
        <v>0</v>
      </c>
    </row>
    <row r="32" spans="2:16" ht="12">
      <c r="B32" s="10" t="s">
        <v>164</v>
      </c>
      <c r="C32" s="148">
        <f>SUM(C26:C31)</f>
        <v>0</v>
      </c>
      <c r="D32" s="148">
        <f aca="true" t="shared" si="4" ref="D32:O32">+D31+C32</f>
        <v>0</v>
      </c>
      <c r="E32" s="148">
        <f t="shared" si="4"/>
        <v>0</v>
      </c>
      <c r="F32" s="148">
        <f t="shared" si="4"/>
        <v>0</v>
      </c>
      <c r="G32" s="148">
        <f t="shared" si="4"/>
        <v>0</v>
      </c>
      <c r="H32" s="148">
        <f t="shared" si="4"/>
        <v>0</v>
      </c>
      <c r="I32" s="148">
        <f t="shared" si="4"/>
        <v>0</v>
      </c>
      <c r="J32" s="148">
        <f t="shared" si="4"/>
        <v>0</v>
      </c>
      <c r="K32" s="148">
        <f t="shared" si="4"/>
        <v>0</v>
      </c>
      <c r="L32" s="148">
        <f t="shared" si="4"/>
        <v>0</v>
      </c>
      <c r="M32" s="148">
        <f t="shared" si="4"/>
        <v>0</v>
      </c>
      <c r="N32" s="148">
        <f t="shared" si="4"/>
        <v>0</v>
      </c>
      <c r="O32" s="148">
        <f t="shared" si="4"/>
        <v>0</v>
      </c>
      <c r="P32" s="148"/>
    </row>
    <row r="34" ht="12">
      <c r="B34" s="143" t="s">
        <v>52</v>
      </c>
    </row>
    <row r="35" spans="2:16" ht="12">
      <c r="B35" s="10" t="s">
        <v>305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146">
        <f>SUM(C35:O35)</f>
        <v>0</v>
      </c>
    </row>
    <row r="36" spans="2:16" ht="12">
      <c r="B36" s="10" t="s">
        <v>306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146">
        <f>SUM(C36:O36)</f>
        <v>0</v>
      </c>
    </row>
    <row r="37" spans="2:16" ht="12">
      <c r="B37" s="10" t="s">
        <v>279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146">
        <f>SUM(C37:O37)</f>
        <v>0</v>
      </c>
    </row>
    <row r="38" spans="2:16" ht="12">
      <c r="B38" s="10" t="s">
        <v>144</v>
      </c>
      <c r="C38" s="144">
        <v>0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28">
        <v>0</v>
      </c>
      <c r="M38" s="28">
        <v>0</v>
      </c>
      <c r="N38" s="28">
        <v>0</v>
      </c>
      <c r="O38" s="28">
        <v>0</v>
      </c>
      <c r="P38" s="146">
        <f>SUM(C38:O38)</f>
        <v>0</v>
      </c>
    </row>
    <row r="39" spans="2:16" ht="12">
      <c r="B39" s="10" t="s">
        <v>145</v>
      </c>
      <c r="C39" s="144">
        <v>0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28">
        <v>0</v>
      </c>
      <c r="M39" s="28">
        <v>0</v>
      </c>
      <c r="N39" s="28">
        <v>0</v>
      </c>
      <c r="O39" s="28">
        <v>0</v>
      </c>
      <c r="P39" s="146">
        <f>SUM(C39:O39)</f>
        <v>0</v>
      </c>
    </row>
    <row r="40" spans="2:16" ht="12">
      <c r="B40" s="10" t="s">
        <v>168</v>
      </c>
      <c r="C40" s="147"/>
      <c r="D40" s="147">
        <f aca="true" t="shared" si="5" ref="D40:P40">SUM(D35:D39)</f>
        <v>0</v>
      </c>
      <c r="E40" s="147">
        <f t="shared" si="5"/>
        <v>0</v>
      </c>
      <c r="F40" s="147">
        <f t="shared" si="5"/>
        <v>0</v>
      </c>
      <c r="G40" s="147">
        <f t="shared" si="5"/>
        <v>0</v>
      </c>
      <c r="H40" s="147">
        <f t="shared" si="5"/>
        <v>0</v>
      </c>
      <c r="I40" s="147">
        <f t="shared" si="5"/>
        <v>0</v>
      </c>
      <c r="J40" s="147">
        <f t="shared" si="5"/>
        <v>0</v>
      </c>
      <c r="K40" s="147">
        <f t="shared" si="5"/>
        <v>0</v>
      </c>
      <c r="L40" s="147">
        <f t="shared" si="5"/>
        <v>0</v>
      </c>
      <c r="M40" s="147">
        <f t="shared" si="5"/>
        <v>0</v>
      </c>
      <c r="N40" s="147">
        <f t="shared" si="5"/>
        <v>0</v>
      </c>
      <c r="O40" s="147">
        <f t="shared" si="5"/>
        <v>0</v>
      </c>
      <c r="P40" s="147">
        <f t="shared" si="5"/>
        <v>0</v>
      </c>
    </row>
    <row r="41" spans="2:16" ht="12">
      <c r="B41" s="10" t="s">
        <v>169</v>
      </c>
      <c r="C41" s="148">
        <f>SUM(C35:C40)</f>
        <v>0</v>
      </c>
      <c r="D41" s="148">
        <f aca="true" t="shared" si="6" ref="D41:O41">+D40+C41</f>
        <v>0</v>
      </c>
      <c r="E41" s="148">
        <f t="shared" si="6"/>
        <v>0</v>
      </c>
      <c r="F41" s="148">
        <f t="shared" si="6"/>
        <v>0</v>
      </c>
      <c r="G41" s="148">
        <f t="shared" si="6"/>
        <v>0</v>
      </c>
      <c r="H41" s="148">
        <f t="shared" si="6"/>
        <v>0</v>
      </c>
      <c r="I41" s="148">
        <f t="shared" si="6"/>
        <v>0</v>
      </c>
      <c r="J41" s="148">
        <f t="shared" si="6"/>
        <v>0</v>
      </c>
      <c r="K41" s="148">
        <f t="shared" si="6"/>
        <v>0</v>
      </c>
      <c r="L41" s="148">
        <f t="shared" si="6"/>
        <v>0</v>
      </c>
      <c r="M41" s="148">
        <f t="shared" si="6"/>
        <v>0</v>
      </c>
      <c r="N41" s="148">
        <f t="shared" si="6"/>
        <v>0</v>
      </c>
      <c r="O41" s="148">
        <f t="shared" si="6"/>
        <v>0</v>
      </c>
      <c r="P41" s="148"/>
    </row>
    <row r="43" ht="12">
      <c r="B43" s="143" t="s">
        <v>179</v>
      </c>
    </row>
    <row r="44" spans="2:16" ht="12">
      <c r="B44" s="10" t="s">
        <v>141</v>
      </c>
      <c r="C44" s="144">
        <v>0</v>
      </c>
      <c r="D44" s="149">
        <f>+D17+D26+D35</f>
        <v>0</v>
      </c>
      <c r="E44" s="149">
        <f aca="true" t="shared" si="7" ref="E44:O44">+E17+E26+E35</f>
        <v>0</v>
      </c>
      <c r="F44" s="149">
        <f t="shared" si="7"/>
        <v>0</v>
      </c>
      <c r="G44" s="149">
        <f t="shared" si="7"/>
        <v>0</v>
      </c>
      <c r="H44" s="149">
        <f t="shared" si="7"/>
        <v>0</v>
      </c>
      <c r="I44" s="149">
        <f t="shared" si="7"/>
        <v>0</v>
      </c>
      <c r="J44" s="149">
        <f t="shared" si="7"/>
        <v>0</v>
      </c>
      <c r="K44" s="149">
        <f t="shared" si="7"/>
        <v>0</v>
      </c>
      <c r="L44" s="149">
        <f t="shared" si="7"/>
        <v>0</v>
      </c>
      <c r="M44" s="149">
        <f t="shared" si="7"/>
        <v>0</v>
      </c>
      <c r="N44" s="149">
        <f t="shared" si="7"/>
        <v>0</v>
      </c>
      <c r="O44" s="149">
        <f t="shared" si="7"/>
        <v>0</v>
      </c>
      <c r="P44" s="146">
        <f>SUM(C44:O44)</f>
        <v>0</v>
      </c>
    </row>
    <row r="45" spans="2:16" ht="12">
      <c r="B45" s="10" t="s">
        <v>142</v>
      </c>
      <c r="C45" s="144">
        <v>0</v>
      </c>
      <c r="D45" s="149">
        <f aca="true" t="shared" si="8" ref="D45:O45">+D18+D27+D36</f>
        <v>0</v>
      </c>
      <c r="E45" s="149">
        <f t="shared" si="8"/>
        <v>0</v>
      </c>
      <c r="F45" s="149">
        <f t="shared" si="8"/>
        <v>0</v>
      </c>
      <c r="G45" s="149">
        <f t="shared" si="8"/>
        <v>0</v>
      </c>
      <c r="H45" s="149">
        <f t="shared" si="8"/>
        <v>0</v>
      </c>
      <c r="I45" s="149">
        <f t="shared" si="8"/>
        <v>0</v>
      </c>
      <c r="J45" s="149">
        <f t="shared" si="8"/>
        <v>0</v>
      </c>
      <c r="K45" s="149">
        <f t="shared" si="8"/>
        <v>0</v>
      </c>
      <c r="L45" s="149">
        <f t="shared" si="8"/>
        <v>0</v>
      </c>
      <c r="M45" s="149">
        <f t="shared" si="8"/>
        <v>0</v>
      </c>
      <c r="N45" s="149">
        <f t="shared" si="8"/>
        <v>0</v>
      </c>
      <c r="O45" s="149">
        <f t="shared" si="8"/>
        <v>0</v>
      </c>
      <c r="P45" s="146">
        <f>SUM(C45:O45)</f>
        <v>0</v>
      </c>
    </row>
    <row r="46" spans="2:16" ht="12">
      <c r="B46" s="10" t="s">
        <v>143</v>
      </c>
      <c r="C46" s="144">
        <v>0</v>
      </c>
      <c r="D46" s="149">
        <f aca="true" t="shared" si="9" ref="D46:O46">+D19+D28+D37</f>
        <v>0</v>
      </c>
      <c r="E46" s="149">
        <f t="shared" si="9"/>
        <v>0</v>
      </c>
      <c r="F46" s="149">
        <f t="shared" si="9"/>
        <v>0</v>
      </c>
      <c r="G46" s="149">
        <f t="shared" si="9"/>
        <v>0</v>
      </c>
      <c r="H46" s="149">
        <f t="shared" si="9"/>
        <v>0</v>
      </c>
      <c r="I46" s="149">
        <f t="shared" si="9"/>
        <v>0</v>
      </c>
      <c r="J46" s="149">
        <f t="shared" si="9"/>
        <v>0</v>
      </c>
      <c r="K46" s="149">
        <f t="shared" si="9"/>
        <v>0</v>
      </c>
      <c r="L46" s="149">
        <f t="shared" si="9"/>
        <v>0</v>
      </c>
      <c r="M46" s="149">
        <f t="shared" si="9"/>
        <v>0</v>
      </c>
      <c r="N46" s="149">
        <f t="shared" si="9"/>
        <v>0</v>
      </c>
      <c r="O46" s="149">
        <f t="shared" si="9"/>
        <v>0</v>
      </c>
      <c r="P46" s="146">
        <f>SUM(C46:O46)</f>
        <v>0</v>
      </c>
    </row>
    <row r="47" spans="2:16" ht="12">
      <c r="B47" s="10" t="s">
        <v>144</v>
      </c>
      <c r="C47" s="144">
        <v>0</v>
      </c>
      <c r="D47" s="149">
        <f aca="true" t="shared" si="10" ref="D47:O47">+D20+D29+D38</f>
        <v>0</v>
      </c>
      <c r="E47" s="149">
        <f t="shared" si="10"/>
        <v>0</v>
      </c>
      <c r="F47" s="149">
        <f t="shared" si="10"/>
        <v>0</v>
      </c>
      <c r="G47" s="149">
        <f t="shared" si="10"/>
        <v>0</v>
      </c>
      <c r="H47" s="149">
        <f t="shared" si="10"/>
        <v>0</v>
      </c>
      <c r="I47" s="149">
        <f t="shared" si="10"/>
        <v>0</v>
      </c>
      <c r="J47" s="149">
        <f t="shared" si="10"/>
        <v>0</v>
      </c>
      <c r="K47" s="149">
        <f t="shared" si="10"/>
        <v>0</v>
      </c>
      <c r="L47" s="149">
        <f t="shared" si="10"/>
        <v>0</v>
      </c>
      <c r="M47" s="149">
        <f t="shared" si="10"/>
        <v>0</v>
      </c>
      <c r="N47" s="149">
        <f t="shared" si="10"/>
        <v>0</v>
      </c>
      <c r="O47" s="149">
        <f t="shared" si="10"/>
        <v>0</v>
      </c>
      <c r="P47" s="146">
        <f>SUM(C47:O47)</f>
        <v>0</v>
      </c>
    </row>
    <row r="48" spans="2:16" ht="12">
      <c r="B48" s="10" t="s">
        <v>145</v>
      </c>
      <c r="C48" s="144">
        <v>0</v>
      </c>
      <c r="D48" s="149">
        <f aca="true" t="shared" si="11" ref="D48:O48">+D21+D30+D39</f>
        <v>0</v>
      </c>
      <c r="E48" s="149">
        <f t="shared" si="11"/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149">
        <f t="shared" si="11"/>
        <v>0</v>
      </c>
      <c r="P48" s="146">
        <f>SUM(C48:O48)</f>
        <v>0</v>
      </c>
    </row>
    <row r="49" spans="2:16" ht="12">
      <c r="B49" s="10" t="s">
        <v>180</v>
      </c>
      <c r="C49" s="147"/>
      <c r="D49" s="147">
        <f aca="true" t="shared" si="12" ref="D49:P49">SUM(D44:D48)</f>
        <v>0</v>
      </c>
      <c r="E49" s="147">
        <f t="shared" si="12"/>
        <v>0</v>
      </c>
      <c r="F49" s="147">
        <f t="shared" si="12"/>
        <v>0</v>
      </c>
      <c r="G49" s="147">
        <f t="shared" si="12"/>
        <v>0</v>
      </c>
      <c r="H49" s="147">
        <f t="shared" si="12"/>
        <v>0</v>
      </c>
      <c r="I49" s="147">
        <f t="shared" si="12"/>
        <v>0</v>
      </c>
      <c r="J49" s="147">
        <f t="shared" si="12"/>
        <v>0</v>
      </c>
      <c r="K49" s="147">
        <f t="shared" si="12"/>
        <v>0</v>
      </c>
      <c r="L49" s="147">
        <f t="shared" si="12"/>
        <v>0</v>
      </c>
      <c r="M49" s="147">
        <f t="shared" si="12"/>
        <v>0</v>
      </c>
      <c r="N49" s="147">
        <f t="shared" si="12"/>
        <v>0</v>
      </c>
      <c r="O49" s="147">
        <f t="shared" si="12"/>
        <v>0</v>
      </c>
      <c r="P49" s="147">
        <f t="shared" si="12"/>
        <v>0</v>
      </c>
    </row>
    <row r="50" spans="2:17" ht="12">
      <c r="B50" s="10" t="s">
        <v>181</v>
      </c>
      <c r="C50" s="148">
        <f>SUM(C44:C49)</f>
        <v>0</v>
      </c>
      <c r="D50" s="148">
        <f aca="true" t="shared" si="13" ref="D50:O50">+D49+C50</f>
        <v>0</v>
      </c>
      <c r="E50" s="148">
        <f t="shared" si="13"/>
        <v>0</v>
      </c>
      <c r="F50" s="148">
        <f t="shared" si="13"/>
        <v>0</v>
      </c>
      <c r="G50" s="148">
        <f t="shared" si="13"/>
        <v>0</v>
      </c>
      <c r="H50" s="148">
        <f t="shared" si="13"/>
        <v>0</v>
      </c>
      <c r="I50" s="148">
        <f t="shared" si="13"/>
        <v>0</v>
      </c>
      <c r="J50" s="148">
        <f t="shared" si="13"/>
        <v>0</v>
      </c>
      <c r="K50" s="148">
        <f t="shared" si="13"/>
        <v>0</v>
      </c>
      <c r="L50" s="148">
        <f t="shared" si="13"/>
        <v>0</v>
      </c>
      <c r="M50" s="148">
        <f t="shared" si="13"/>
        <v>0</v>
      </c>
      <c r="N50" s="148">
        <f t="shared" si="13"/>
        <v>0</v>
      </c>
      <c r="O50" s="148">
        <f t="shared" si="13"/>
        <v>0</v>
      </c>
      <c r="P50" s="148"/>
      <c r="Q50" s="146">
        <f>AVERAGE(C50:O50)</f>
        <v>0</v>
      </c>
    </row>
    <row r="57" ht="12.75">
      <c r="Q57" s="43" t="str">
        <f>+Q1</f>
        <v> PSC Set 1 No. 1 2022-00342</v>
      </c>
    </row>
    <row r="58" spans="14:17" s="10" customFormat="1" ht="12.75">
      <c r="N58" s="43"/>
      <c r="Q58" s="43" t="str">
        <f>+Q2</f>
        <v>Attachment JTG-1</v>
      </c>
    </row>
    <row r="59" spans="14:17" s="10" customFormat="1" ht="12.75">
      <c r="N59" s="43"/>
      <c r="Q59" s="43" t="str">
        <f>+Q3</f>
        <v>SMRP Form 4.0</v>
      </c>
    </row>
    <row r="60" spans="14:17" s="10" customFormat="1" ht="12.75">
      <c r="N60" s="43"/>
      <c r="Q60" s="43" t="s">
        <v>233</v>
      </c>
    </row>
    <row r="61" spans="1:17" s="10" customFormat="1" ht="12.75">
      <c r="A61" s="166" t="s">
        <v>12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1:17" s="10" customFormat="1" ht="12.75">
      <c r="A62" s="166" t="s">
        <v>112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  <row r="63" spans="1:17" s="10" customFormat="1" ht="12.75">
      <c r="A63" s="166" t="s">
        <v>236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</row>
    <row r="68" spans="3:17" ht="12">
      <c r="C68" s="142">
        <f>+P12</f>
        <v>2022</v>
      </c>
      <c r="D68" s="142">
        <f>+C68+1</f>
        <v>2023</v>
      </c>
      <c r="E68" s="142">
        <f>+D68</f>
        <v>2023</v>
      </c>
      <c r="F68" s="142">
        <f aca="true" t="shared" si="14" ref="F68:P68">+E68</f>
        <v>2023</v>
      </c>
      <c r="G68" s="142">
        <f t="shared" si="14"/>
        <v>2023</v>
      </c>
      <c r="H68" s="142">
        <f t="shared" si="14"/>
        <v>2023</v>
      </c>
      <c r="I68" s="142">
        <f t="shared" si="14"/>
        <v>2023</v>
      </c>
      <c r="J68" s="142">
        <f t="shared" si="14"/>
        <v>2023</v>
      </c>
      <c r="K68" s="142">
        <f t="shared" si="14"/>
        <v>2023</v>
      </c>
      <c r="L68" s="142">
        <f t="shared" si="14"/>
        <v>2023</v>
      </c>
      <c r="M68" s="142">
        <f t="shared" si="14"/>
        <v>2023</v>
      </c>
      <c r="N68" s="142">
        <f t="shared" si="14"/>
        <v>2023</v>
      </c>
      <c r="O68" s="142">
        <f t="shared" si="14"/>
        <v>2023</v>
      </c>
      <c r="P68" s="142">
        <f t="shared" si="14"/>
        <v>2023</v>
      </c>
      <c r="Q68" s="142">
        <f>+P68</f>
        <v>2023</v>
      </c>
    </row>
    <row r="69" spans="3:17" ht="12">
      <c r="C69" s="37" t="s">
        <v>148</v>
      </c>
      <c r="D69" s="37" t="s">
        <v>149</v>
      </c>
      <c r="E69" s="37" t="s">
        <v>150</v>
      </c>
      <c r="F69" s="37" t="s">
        <v>151</v>
      </c>
      <c r="G69" s="37" t="s">
        <v>152</v>
      </c>
      <c r="H69" s="37" t="s">
        <v>81</v>
      </c>
      <c r="I69" s="37" t="s">
        <v>153</v>
      </c>
      <c r="J69" s="37" t="s">
        <v>154</v>
      </c>
      <c r="K69" s="37" t="s">
        <v>155</v>
      </c>
      <c r="L69" s="37" t="s">
        <v>156</v>
      </c>
      <c r="M69" s="37" t="s">
        <v>157</v>
      </c>
      <c r="N69" s="37" t="s">
        <v>158</v>
      </c>
      <c r="O69" s="37" t="s">
        <v>148</v>
      </c>
      <c r="P69" s="37" t="s">
        <v>159</v>
      </c>
      <c r="Q69" s="37" t="s">
        <v>160</v>
      </c>
    </row>
    <row r="70" spans="3:15" ht="12">
      <c r="C70" s="37" t="s">
        <v>92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2" ht="12">
      <c r="B72" s="143" t="s">
        <v>125</v>
      </c>
    </row>
    <row r="73" spans="2:16" ht="12">
      <c r="B73" s="10" t="s">
        <v>141</v>
      </c>
      <c r="C73" s="144">
        <f>+P17</f>
        <v>0</v>
      </c>
      <c r="D73" s="28">
        <f>'5.0 Depr Expense'!E96*-1</f>
        <v>-486.467</v>
      </c>
      <c r="E73" s="28">
        <f>'5.0 Depr Expense'!F96*-1</f>
        <v>-2211.88</v>
      </c>
      <c r="F73" s="28">
        <f>'5.0 Depr Expense'!G96*-1</f>
        <v>-4724.4580000000005</v>
      </c>
      <c r="G73" s="28">
        <f>'5.0 Depr Expense'!H96*-1</f>
        <v>-6956.014</v>
      </c>
      <c r="H73" s="28">
        <f>'5.0 Depr Expense'!I96*-1</f>
        <v>-8751.936</v>
      </c>
      <c r="I73" s="28">
        <f>'5.0 Depr Expense'!J96*-1</f>
        <v>-10547.142</v>
      </c>
      <c r="J73" s="28">
        <f>'5.0 Depr Expense'!K96*-1</f>
        <v>-12632.575</v>
      </c>
      <c r="K73" s="28">
        <f>'5.0 Depr Expense'!L96*-1</f>
        <v>-15470.971</v>
      </c>
      <c r="L73" s="28">
        <f>'5.0 Depr Expense'!M96*-1</f>
        <v>-18392.75</v>
      </c>
      <c r="M73" s="28">
        <f>'5.0 Depr Expense'!N96*-1</f>
        <v>-21647.459</v>
      </c>
      <c r="N73" s="28">
        <f>'5.0 Depr Expense'!O96*-1</f>
        <v>-26978.439</v>
      </c>
      <c r="O73" s="28">
        <f>'5.0 Depr Expense'!P96*-1</f>
        <v>-34166.006</v>
      </c>
      <c r="P73" s="146">
        <f>SUM(C73:O73)</f>
        <v>-162966.097</v>
      </c>
    </row>
    <row r="74" spans="2:16" ht="12">
      <c r="B74" s="10" t="s">
        <v>142</v>
      </c>
      <c r="C74" s="144">
        <f>+P18</f>
        <v>0</v>
      </c>
      <c r="D74" s="28">
        <f>'5.0 Depr Expense'!E106*-1</f>
        <v>-31.96</v>
      </c>
      <c r="E74" s="28">
        <f>'5.0 Depr Expense'!F106*-1</f>
        <v>-147.00799999999998</v>
      </c>
      <c r="F74" s="28">
        <f>'5.0 Depr Expense'!G106*-1</f>
        <v>-313.827</v>
      </c>
      <c r="G74" s="28">
        <f>'5.0 Depr Expense'!H106*-1</f>
        <v>-459.864</v>
      </c>
      <c r="H74" s="28">
        <f>'5.0 Depr Expense'!I106*-1</f>
        <v>-574.2909999999999</v>
      </c>
      <c r="I74" s="28">
        <f>'5.0 Depr Expense'!J106*-1</f>
        <v>-689.288</v>
      </c>
      <c r="J74" s="28">
        <f>'5.0 Depr Expense'!K106*-1</f>
        <v>-823.898</v>
      </c>
      <c r="K74" s="28">
        <f>'5.0 Depr Expense'!L106*-1</f>
        <v>-1012.001</v>
      </c>
      <c r="L74" s="28">
        <f>'5.0 Depr Expense'!M106*-1</f>
        <v>-1205.34</v>
      </c>
      <c r="M74" s="28">
        <f>'5.0 Depr Expense'!N106*-1</f>
        <v>-1421.941</v>
      </c>
      <c r="N74" s="28">
        <f>'5.0 Depr Expense'!O106*-1</f>
        <v>-1782.917</v>
      </c>
      <c r="O74" s="28">
        <f>'5.0 Depr Expense'!P106*-1</f>
        <v>-2273.587</v>
      </c>
      <c r="P74" s="146">
        <f>SUM(C74:O74)</f>
        <v>-10735.921999999999</v>
      </c>
    </row>
    <row r="75" spans="2:16" ht="12">
      <c r="B75" s="10" t="s">
        <v>143</v>
      </c>
      <c r="C75" s="144">
        <f>+P19</f>
        <v>0</v>
      </c>
      <c r="D75" s="28">
        <f>'5.0 Depr Expense'!E116*-1</f>
        <v>-351.861</v>
      </c>
      <c r="E75" s="28">
        <f>'5.0 Depr Expense'!F116*-1</f>
        <v>-1755.931</v>
      </c>
      <c r="F75" s="28">
        <f>'5.0 Depr Expense'!G116*-1</f>
        <v>-3744.753</v>
      </c>
      <c r="G75" s="28">
        <f>'5.0 Depr Expense'!H116*-1</f>
        <v>-5270.0869999999995</v>
      </c>
      <c r="H75" s="28">
        <f>'5.0 Depr Expense'!I116*-1</f>
        <v>-6295.148</v>
      </c>
      <c r="I75" s="28">
        <f>'5.0 Depr Expense'!J116*-1</f>
        <v>-7270.3369999999995</v>
      </c>
      <c r="J75" s="28">
        <f>'5.0 Depr Expense'!K116*-1</f>
        <v>-8600.344000000001</v>
      </c>
      <c r="K75" s="28">
        <f>'5.0 Depr Expense'!L116*-1</f>
        <v>-10789.78</v>
      </c>
      <c r="L75" s="28">
        <f>'5.0 Depr Expense'!M116*-1</f>
        <v>-13036.307</v>
      </c>
      <c r="M75" s="28">
        <f>'5.0 Depr Expense'!N116*-1</f>
        <v>-15624.491</v>
      </c>
      <c r="N75" s="28">
        <f>'5.0 Depr Expense'!O116*-1</f>
        <v>-20505.672</v>
      </c>
      <c r="O75" s="28">
        <f>'5.0 Depr Expense'!P116*-1</f>
        <v>-27469.744</v>
      </c>
      <c r="P75" s="146">
        <f>SUM(C75:O75)</f>
        <v>-120714.45499999999</v>
      </c>
    </row>
    <row r="76" spans="2:16" ht="12">
      <c r="B76" s="10" t="s">
        <v>144</v>
      </c>
      <c r="C76" s="144">
        <f>+P20</f>
        <v>0</v>
      </c>
      <c r="D76" s="28">
        <f>'5.0 Depr Expense'!E126*-1</f>
        <v>-0.782</v>
      </c>
      <c r="E76" s="28">
        <f>'5.0 Depr Expense'!F126*-1</f>
        <v>-4.709</v>
      </c>
      <c r="F76" s="28">
        <f>'5.0 Depr Expense'!G126*-1</f>
        <v>-9.119</v>
      </c>
      <c r="G76" s="28">
        <f>'5.0 Depr Expense'!H126*-1</f>
        <v>-12.061</v>
      </c>
      <c r="H76" s="28">
        <f>'5.0 Depr Expense'!I126*-1</f>
        <v>-13.564</v>
      </c>
      <c r="I76" s="28">
        <f>'5.0 Depr Expense'!J126*-1</f>
        <v>-14.829</v>
      </c>
      <c r="J76" s="28">
        <f>'5.0 Depr Expense'!K126*-1</f>
        <v>-17.703</v>
      </c>
      <c r="K76" s="28">
        <f>'5.0 Depr Expense'!L126*-1</f>
        <v>-23.485</v>
      </c>
      <c r="L76" s="28">
        <f>'5.0 Depr Expense'!M126*-1</f>
        <v>-28.826999999999998</v>
      </c>
      <c r="M76" s="28">
        <f>'5.0 Depr Expense'!N126*-1</f>
        <v>-34.479</v>
      </c>
      <c r="N76" s="28">
        <f>'5.0 Depr Expense'!O126*-1</f>
        <v>-47.81</v>
      </c>
      <c r="O76" s="28">
        <f>'5.0 Depr Expense'!P126*-1</f>
        <v>-67.873</v>
      </c>
      <c r="P76" s="146">
        <f>SUM(C76:O76)</f>
        <v>-275.241</v>
      </c>
    </row>
    <row r="77" spans="2:16" ht="12">
      <c r="B77" s="10" t="s">
        <v>145</v>
      </c>
      <c r="C77" s="144">
        <f>+P21</f>
        <v>0</v>
      </c>
      <c r="D77" s="28">
        <f>'5.0 Depr Expense'!E136*-1</f>
        <v>-1.893</v>
      </c>
      <c r="E77" s="28">
        <f>'5.0 Depr Expense'!F136*-1</f>
        <v>-8.713000000000001</v>
      </c>
      <c r="F77" s="28">
        <f>'5.0 Depr Expense'!G136*-1</f>
        <v>-17.944</v>
      </c>
      <c r="G77" s="28">
        <f>'5.0 Depr Expense'!H136*-1</f>
        <v>-26.799</v>
      </c>
      <c r="H77" s="28">
        <f>'5.0 Depr Expense'!I136*-1</f>
        <v>-34.378</v>
      </c>
      <c r="I77" s="28">
        <f>'5.0 Depr Expense'!J136*-1</f>
        <v>-40.83</v>
      </c>
      <c r="J77" s="28">
        <f>'5.0 Depr Expense'!K136*-1</f>
        <v>-49.408</v>
      </c>
      <c r="K77" s="28">
        <f>'5.0 Depr Expense'!L136*-1</f>
        <v>-60.543</v>
      </c>
      <c r="L77" s="28">
        <f>'5.0 Depr Expense'!M136*-1</f>
        <v>-71.733</v>
      </c>
      <c r="M77" s="28">
        <f>'5.0 Depr Expense'!N136*-1</f>
        <v>-83.772</v>
      </c>
      <c r="N77" s="28">
        <f>'5.0 Depr Expense'!O136*-1</f>
        <v>-104.263</v>
      </c>
      <c r="O77" s="28">
        <f>'5.0 Depr Expense'!P136*-1</f>
        <v>-131.484</v>
      </c>
      <c r="P77" s="146">
        <f>SUM(C77:O77)</f>
        <v>-631.7600000000001</v>
      </c>
    </row>
    <row r="78" spans="2:16" ht="12">
      <c r="B78" s="10" t="s">
        <v>166</v>
      </c>
      <c r="C78" s="147"/>
      <c r="D78" s="147">
        <f aca="true" t="shared" si="15" ref="D78:P78">SUM(D73:D77)</f>
        <v>-872.9630000000001</v>
      </c>
      <c r="E78" s="147">
        <f t="shared" si="15"/>
        <v>-4128.240999999999</v>
      </c>
      <c r="F78" s="147">
        <f t="shared" si="15"/>
        <v>-8810.101</v>
      </c>
      <c r="G78" s="147">
        <f t="shared" si="15"/>
        <v>-12724.825</v>
      </c>
      <c r="H78" s="147">
        <f t="shared" si="15"/>
        <v>-15669.317000000001</v>
      </c>
      <c r="I78" s="147">
        <f t="shared" si="15"/>
        <v>-18562.426000000003</v>
      </c>
      <c r="J78" s="147">
        <f t="shared" si="15"/>
        <v>-22123.928000000004</v>
      </c>
      <c r="K78" s="147">
        <f t="shared" si="15"/>
        <v>-27356.780000000002</v>
      </c>
      <c r="L78" s="147">
        <f t="shared" si="15"/>
        <v>-32734.957000000002</v>
      </c>
      <c r="M78" s="147">
        <f t="shared" si="15"/>
        <v>-38812.14199999999</v>
      </c>
      <c r="N78" s="147">
        <f t="shared" si="15"/>
        <v>-49419.100999999995</v>
      </c>
      <c r="O78" s="147">
        <f t="shared" si="15"/>
        <v>-64108.693999999996</v>
      </c>
      <c r="P78" s="147">
        <f t="shared" si="15"/>
        <v>-295323.475</v>
      </c>
    </row>
    <row r="79" spans="2:16" ht="12">
      <c r="B79" s="10" t="s">
        <v>167</v>
      </c>
      <c r="C79" s="148">
        <f>SUM(C73:C78)</f>
        <v>0</v>
      </c>
      <c r="D79" s="148">
        <f aca="true" t="shared" si="16" ref="D79:O79">+D78+C79</f>
        <v>-872.9630000000001</v>
      </c>
      <c r="E79" s="148">
        <f t="shared" si="16"/>
        <v>-5001.203999999999</v>
      </c>
      <c r="F79" s="148">
        <f t="shared" si="16"/>
        <v>-13811.305</v>
      </c>
      <c r="G79" s="148">
        <f t="shared" si="16"/>
        <v>-26536.13</v>
      </c>
      <c r="H79" s="148">
        <f t="shared" si="16"/>
        <v>-42205.447</v>
      </c>
      <c r="I79" s="148">
        <f t="shared" si="16"/>
        <v>-60767.87300000001</v>
      </c>
      <c r="J79" s="148">
        <f t="shared" si="16"/>
        <v>-82891.801</v>
      </c>
      <c r="K79" s="148">
        <f t="shared" si="16"/>
        <v>-110248.581</v>
      </c>
      <c r="L79" s="148">
        <f t="shared" si="16"/>
        <v>-142983.538</v>
      </c>
      <c r="M79" s="148">
        <f t="shared" si="16"/>
        <v>-181795.68</v>
      </c>
      <c r="N79" s="148">
        <f t="shared" si="16"/>
        <v>-231214.781</v>
      </c>
      <c r="O79" s="148">
        <f t="shared" si="16"/>
        <v>-295323.475</v>
      </c>
      <c r="P79" s="148"/>
    </row>
    <row r="80" spans="2:16" ht="12">
      <c r="B80" s="10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</row>
    <row r="81" ht="12">
      <c r="B81" s="143" t="s">
        <v>62</v>
      </c>
    </row>
    <row r="82" spans="2:16" ht="12">
      <c r="B82" s="10" t="s">
        <v>141</v>
      </c>
      <c r="C82" s="144">
        <f>+P26</f>
        <v>0</v>
      </c>
      <c r="D82" s="28">
        <f>-'3.0 Plant in Service'!D70</f>
        <v>68407.93187210248</v>
      </c>
      <c r="E82" s="28">
        <f>-'3.0 Plant in Service'!E70</f>
        <v>94061.21492392741</v>
      </c>
      <c r="F82" s="28">
        <f>-'3.0 Plant in Service'!F70</f>
        <v>171020.2411466382</v>
      </c>
      <c r="G82" s="28">
        <f>-'3.0 Plant in Service'!G70</f>
        <v>188122.42984785483</v>
      </c>
      <c r="H82" s="28">
        <f>-'3.0 Plant in Service'!H70</f>
        <v>205224.20708268945</v>
      </c>
      <c r="I82" s="28">
        <f>-'3.0 Plant in Service'!I70</f>
        <v>213775.30143329775</v>
      </c>
      <c r="J82" s="28">
        <f>-'3.0 Plant in Service'!J70</f>
        <v>171020.2411466382</v>
      </c>
      <c r="K82" s="28">
        <f>-'3.0 Plant in Service'!K70</f>
        <v>158193.59962072573</v>
      </c>
      <c r="L82" s="28">
        <f>-'3.0 Plant in Service'!L70</f>
        <v>183846.88267255065</v>
      </c>
      <c r="M82" s="28">
        <f>-'3.0 Plant in Service'!M70</f>
        <v>153918.05244542158</v>
      </c>
      <c r="N82" s="28">
        <f>-'3.0 Plant in Service'!N70</f>
        <v>68407.93187210248</v>
      </c>
      <c r="O82" s="28">
        <f>-'3.0 Plant in Service'!O70</f>
        <v>34203.96593605124</v>
      </c>
      <c r="P82" s="146">
        <f>SUM(C82:O82)</f>
        <v>1710202</v>
      </c>
    </row>
    <row r="83" spans="2:16" ht="12">
      <c r="B83" s="10" t="s">
        <v>142</v>
      </c>
      <c r="C83" s="144">
        <f>+P27</f>
        <v>0</v>
      </c>
      <c r="D83" s="28">
        <f>-'3.0 Plant in Service'!D71</f>
        <v>4549.750148146491</v>
      </c>
      <c r="E83" s="28">
        <f>-'3.0 Plant in Service'!E71</f>
        <v>6255.926978396235</v>
      </c>
      <c r="F83" s="28">
        <f>-'3.0 Plant in Service'!F71</f>
        <v>11374.402736625974</v>
      </c>
      <c r="G83" s="28">
        <f>-'3.0 Plant in Service'!G71</f>
        <v>12511.85395679247</v>
      </c>
      <c r="H83" s="28">
        <f>-'3.0 Plant in Service'!H71</f>
        <v>13649.277810699221</v>
      </c>
      <c r="I83" s="28">
        <f>-'3.0 Plant in Service'!I71</f>
        <v>14218.003420782468</v>
      </c>
      <c r="J83" s="28">
        <f>-'3.0 Plant in Service'!J71</f>
        <v>11374.402736625974</v>
      </c>
      <c r="K83" s="28">
        <f>-'3.0 Plant in Service'!K71</f>
        <v>10521.314321501102</v>
      </c>
      <c r="L83" s="28">
        <f>-'3.0 Plant in Service'!L71</f>
        <v>12227.491151750846</v>
      </c>
      <c r="M83" s="28">
        <f>-'3.0 Plant in Service'!M71</f>
        <v>10236.951516459478</v>
      </c>
      <c r="N83" s="28">
        <f>-'3.0 Plant in Service'!N71</f>
        <v>4549.750148146491</v>
      </c>
      <c r="O83" s="28">
        <f>-'3.0 Plant in Service'!O71</f>
        <v>2274.8750740732453</v>
      </c>
      <c r="P83" s="146">
        <f>SUM(C83:O83)</f>
        <v>113743.99999999999</v>
      </c>
    </row>
    <row r="84" spans="2:16" ht="12">
      <c r="B84" s="10" t="s">
        <v>143</v>
      </c>
      <c r="C84" s="144">
        <f>+P28</f>
        <v>0</v>
      </c>
      <c r="D84" s="28">
        <f>-'3.0 Plant in Service'!D72</f>
        <v>110019.48176805708</v>
      </c>
      <c r="E84" s="28">
        <f>-'3.0 Plant in Service'!E72</f>
        <v>151277.28374762624</v>
      </c>
      <c r="F84" s="28">
        <f>-'3.0 Plant in Service'!F72</f>
        <v>275049.3661755397</v>
      </c>
      <c r="G84" s="28">
        <f>-'3.0 Plant in Service'!G72</f>
        <v>302554.5674952525</v>
      </c>
      <c r="H84" s="28">
        <f>-'3.0 Plant in Service'!H72</f>
        <v>330059.1070595682</v>
      </c>
      <c r="I84" s="28">
        <f>-'3.0 Plant in Service'!I72</f>
        <v>343811.7077194246</v>
      </c>
      <c r="J84" s="28">
        <f>-'3.0 Plant in Service'!J72</f>
        <v>275049.3661755397</v>
      </c>
      <c r="K84" s="28">
        <f>-'3.0 Plant in Service'!K72</f>
        <v>254420.4651857551</v>
      </c>
      <c r="L84" s="28">
        <f>-'3.0 Plant in Service'!L72</f>
        <v>295678.26716532424</v>
      </c>
      <c r="M84" s="28">
        <f>-'3.0 Plant in Service'!M72</f>
        <v>247544.16485582694</v>
      </c>
      <c r="N84" s="28">
        <f>-'3.0 Plant in Service'!N72</f>
        <v>110019.48176805708</v>
      </c>
      <c r="O84" s="28">
        <f>-'3.0 Plant in Service'!O72</f>
        <v>55009.74088402854</v>
      </c>
      <c r="P84" s="146">
        <f>SUM(C84:O84)</f>
        <v>2750493.0000000005</v>
      </c>
    </row>
    <row r="85" spans="2:16" ht="12">
      <c r="B85" s="10" t="s">
        <v>144</v>
      </c>
      <c r="C85" s="144">
        <f>+P29</f>
        <v>0</v>
      </c>
      <c r="D85" s="28">
        <f>-'3.0 Plant in Service'!D73</f>
        <v>1023.5177837140632</v>
      </c>
      <c r="E85" s="28">
        <f>-'3.0 Plant in Service'!E73</f>
        <v>1407.3415698692052</v>
      </c>
      <c r="F85" s="28">
        <f>-'3.0 Plant in Service'!F73</f>
        <v>2558.8006156349825</v>
      </c>
      <c r="G85" s="28">
        <f>-'3.0 Plant in Service'!G73</f>
        <v>2814.6831397384103</v>
      </c>
      <c r="H85" s="28">
        <f>-'3.0 Plant in Service'!H73</f>
        <v>3070.5595074920143</v>
      </c>
      <c r="I85" s="28">
        <f>-'3.0 Plant in Service'!I73</f>
        <v>3198.500769543728</v>
      </c>
      <c r="J85" s="28">
        <f>-'3.0 Plant in Service'!J73</f>
        <v>2558.8006156349825</v>
      </c>
      <c r="K85" s="28">
        <f>-'3.0 Plant in Service'!K73</f>
        <v>2366.8887225574113</v>
      </c>
      <c r="L85" s="28">
        <f>-'3.0 Plant in Service'!L73</f>
        <v>2750.7125087125532</v>
      </c>
      <c r="M85" s="28">
        <f>-'3.0 Plant in Service'!M73</f>
        <v>2302.9180915315546</v>
      </c>
      <c r="N85" s="28">
        <f>-'3.0 Plant in Service'!N73</f>
        <v>1023.5177837140632</v>
      </c>
      <c r="O85" s="28">
        <f>-'3.0 Plant in Service'!O73</f>
        <v>511.7588918570316</v>
      </c>
      <c r="P85" s="146">
        <f>SUM(C85:O85)</f>
        <v>25588</v>
      </c>
    </row>
    <row r="86" spans="2:16" ht="12">
      <c r="B86" s="10" t="s">
        <v>145</v>
      </c>
      <c r="C86" s="144">
        <f>+P30</f>
        <v>0</v>
      </c>
      <c r="D86" s="28">
        <f>-'3.0 Plant in Service'!D74</f>
        <v>113.55975410208791</v>
      </c>
      <c r="E86" s="28">
        <f>-'3.0 Plant in Service'!E74</f>
        <v>156.14517417768772</v>
      </c>
      <c r="F86" s="28">
        <f>-'3.0 Plant in Service'!F74</f>
        <v>283.90006830497555</v>
      </c>
      <c r="G86" s="28">
        <f>-'3.0 Plant in Service'!G74</f>
        <v>312.29034835537544</v>
      </c>
      <c r="H86" s="28">
        <f>-'3.0 Plant in Service'!H74</f>
        <v>340.6799453560195</v>
      </c>
      <c r="I86" s="28">
        <f>-'3.0 Plant in Service'!I74</f>
        <v>354.8750853812195</v>
      </c>
      <c r="J86" s="28">
        <f>-'3.0 Plant in Service'!J74</f>
        <v>283.90006830497555</v>
      </c>
      <c r="K86" s="28">
        <f>-'3.0 Plant in Service'!K74</f>
        <v>262.60735826717564</v>
      </c>
      <c r="L86" s="28">
        <f>-'3.0 Plant in Service'!L74</f>
        <v>305.19277834277545</v>
      </c>
      <c r="M86" s="28">
        <f>-'3.0 Plant in Service'!M74</f>
        <v>255.5097882545757</v>
      </c>
      <c r="N86" s="28">
        <f>-'3.0 Plant in Service'!N74</f>
        <v>113.55975410208791</v>
      </c>
      <c r="O86" s="28">
        <f>-'3.0 Plant in Service'!O74</f>
        <v>56.779877051043954</v>
      </c>
      <c r="P86" s="146">
        <f>SUM(C86:O86)</f>
        <v>2839</v>
      </c>
    </row>
    <row r="87" spans="2:16" ht="12">
      <c r="B87" s="10" t="s">
        <v>163</v>
      </c>
      <c r="C87" s="147"/>
      <c r="D87" s="147">
        <f aca="true" t="shared" si="17" ref="D87:P87">SUM(D82:D86)</f>
        <v>184114.2413261222</v>
      </c>
      <c r="E87" s="147">
        <f t="shared" si="17"/>
        <v>253157.91239399675</v>
      </c>
      <c r="F87" s="147">
        <f t="shared" si="17"/>
        <v>460286.7107427438</v>
      </c>
      <c r="G87" s="147">
        <f t="shared" si="17"/>
        <v>506315.8247879935</v>
      </c>
      <c r="H87" s="147">
        <f t="shared" si="17"/>
        <v>552343.8314058048</v>
      </c>
      <c r="I87" s="147">
        <f t="shared" si="17"/>
        <v>575358.3884284297</v>
      </c>
      <c r="J87" s="147">
        <f t="shared" si="17"/>
        <v>460286.7107427438</v>
      </c>
      <c r="K87" s="147">
        <f t="shared" si="17"/>
        <v>425764.87520880654</v>
      </c>
      <c r="L87" s="147">
        <f t="shared" si="17"/>
        <v>494808.546276681</v>
      </c>
      <c r="M87" s="147">
        <f t="shared" si="17"/>
        <v>414257.5966974941</v>
      </c>
      <c r="N87" s="147">
        <f t="shared" si="17"/>
        <v>184114.2413261222</v>
      </c>
      <c r="O87" s="147">
        <f t="shared" si="17"/>
        <v>92057.1206630611</v>
      </c>
      <c r="P87" s="147">
        <f t="shared" si="17"/>
        <v>4602866</v>
      </c>
    </row>
    <row r="88" spans="2:16" ht="12">
      <c r="B88" s="10" t="s">
        <v>164</v>
      </c>
      <c r="C88" s="148">
        <f>SUM(C82:C87)</f>
        <v>0</v>
      </c>
      <c r="D88" s="148">
        <f aca="true" t="shared" si="18" ref="D88:O88">+D87+C88</f>
        <v>184114.2413261222</v>
      </c>
      <c r="E88" s="148">
        <f t="shared" si="18"/>
        <v>437272.1537201189</v>
      </c>
      <c r="F88" s="148">
        <f t="shared" si="18"/>
        <v>897558.8644628627</v>
      </c>
      <c r="G88" s="148">
        <f t="shared" si="18"/>
        <v>1403874.6892508562</v>
      </c>
      <c r="H88" s="148">
        <f t="shared" si="18"/>
        <v>1956218.5206566611</v>
      </c>
      <c r="I88" s="148">
        <f t="shared" si="18"/>
        <v>2531576.9090850907</v>
      </c>
      <c r="J88" s="148">
        <f t="shared" si="18"/>
        <v>2991863.6198278344</v>
      </c>
      <c r="K88" s="148">
        <f t="shared" si="18"/>
        <v>3417628.495036641</v>
      </c>
      <c r="L88" s="148">
        <f t="shared" si="18"/>
        <v>3912437.0413133223</v>
      </c>
      <c r="M88" s="148">
        <f t="shared" si="18"/>
        <v>4326694.638010817</v>
      </c>
      <c r="N88" s="148">
        <f t="shared" si="18"/>
        <v>4510808.879336939</v>
      </c>
      <c r="O88" s="148">
        <f t="shared" si="18"/>
        <v>4602866</v>
      </c>
      <c r="P88" s="148"/>
    </row>
    <row r="90" ht="12">
      <c r="B90" s="143" t="s">
        <v>52</v>
      </c>
    </row>
    <row r="91" spans="2:16" ht="12">
      <c r="B91" s="10" t="s">
        <v>141</v>
      </c>
      <c r="C91" s="144">
        <f>+P35</f>
        <v>0</v>
      </c>
      <c r="D91" s="28">
        <v>14080.512957934681</v>
      </c>
      <c r="E91" s="28">
        <v>17466.991827175065</v>
      </c>
      <c r="F91" s="28">
        <v>22623.239950114028</v>
      </c>
      <c r="G91" s="28">
        <v>25719.803071785387</v>
      </c>
      <c r="H91" s="28">
        <v>28393.508409801743</v>
      </c>
      <c r="I91" s="28">
        <v>26667.68610362659</v>
      </c>
      <c r="J91" s="28">
        <v>28971.600655756385</v>
      </c>
      <c r="K91" s="28">
        <v>28911.255882102192</v>
      </c>
      <c r="L91" s="28">
        <v>29001.228636334057</v>
      </c>
      <c r="M91" s="28">
        <v>32004.45691340398</v>
      </c>
      <c r="N91" s="28">
        <v>29056.343610545577</v>
      </c>
      <c r="O91" s="28">
        <v>19101.371981420332</v>
      </c>
      <c r="P91" s="146">
        <f>SUM(C91:O91)</f>
        <v>301998.00000000006</v>
      </c>
    </row>
    <row r="92" spans="2:16" ht="12">
      <c r="B92" s="10" t="s">
        <v>142</v>
      </c>
      <c r="C92" s="144">
        <f>+P36</f>
        <v>0</v>
      </c>
      <c r="D92" s="28">
        <v>1135.1672825211945</v>
      </c>
      <c r="E92" s="28">
        <v>1408.1843257777577</v>
      </c>
      <c r="F92" s="28">
        <v>1823.879704717999</v>
      </c>
      <c r="G92" s="28">
        <v>2073.5238160145395</v>
      </c>
      <c r="H92" s="28">
        <v>2289.0772430726133</v>
      </c>
      <c r="I92" s="28">
        <v>2149.941898837067</v>
      </c>
      <c r="J92" s="28">
        <v>2335.682889177083</v>
      </c>
      <c r="K92" s="28">
        <v>2330.8179092627834</v>
      </c>
      <c r="L92" s="28">
        <v>2338.0714892443834</v>
      </c>
      <c r="M92" s="28">
        <v>2580.1909697105502</v>
      </c>
      <c r="N92" s="28">
        <v>2342.5148440915277</v>
      </c>
      <c r="O92" s="28">
        <v>1539.947627572503</v>
      </c>
      <c r="P92" s="146">
        <f>SUM(C92:O92)</f>
        <v>24347.000000000004</v>
      </c>
    </row>
    <row r="93" spans="2:16" ht="12">
      <c r="B93" s="10" t="s">
        <v>143</v>
      </c>
      <c r="C93" s="144">
        <f>+P37</f>
        <v>0</v>
      </c>
      <c r="D93" s="28">
        <v>84763.05801341249</v>
      </c>
      <c r="E93" s="28">
        <v>105149.268779467</v>
      </c>
      <c r="F93" s="28">
        <v>136189.28558012852</v>
      </c>
      <c r="G93" s="28">
        <v>154830.23710714752</v>
      </c>
      <c r="H93" s="28">
        <v>170925.63372757667</v>
      </c>
      <c r="I93" s="28">
        <v>160536.38322965853</v>
      </c>
      <c r="J93" s="28">
        <v>174405.6821269032</v>
      </c>
      <c r="K93" s="28">
        <v>174042.41357515813</v>
      </c>
      <c r="L93" s="28">
        <v>174584.03914017597</v>
      </c>
      <c r="M93" s="28">
        <v>192663.12570735582</v>
      </c>
      <c r="N93" s="28">
        <v>174915.82490469003</v>
      </c>
      <c r="O93" s="28">
        <v>114988.04810832618</v>
      </c>
      <c r="P93" s="146">
        <f>SUM(C93:O93)</f>
        <v>1817993.0000000002</v>
      </c>
    </row>
    <row r="94" spans="2:16" ht="12">
      <c r="B94" s="10" t="s">
        <v>144</v>
      </c>
      <c r="C94" s="144">
        <f>+P38</f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146">
        <f>SUM(C94:O94)</f>
        <v>0</v>
      </c>
    </row>
    <row r="95" spans="2:16" ht="12">
      <c r="B95" s="10" t="s">
        <v>145</v>
      </c>
      <c r="C95" s="144">
        <f>+P39</f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146">
        <f>SUM(C95:O95)</f>
        <v>0</v>
      </c>
    </row>
    <row r="96" spans="2:16" ht="12">
      <c r="B96" s="10" t="s">
        <v>168</v>
      </c>
      <c r="C96" s="147"/>
      <c r="D96" s="147">
        <f aca="true" t="shared" si="19" ref="D96:P96">SUM(D91:D95)</f>
        <v>99978.73825386836</v>
      </c>
      <c r="E96" s="147">
        <f t="shared" si="19"/>
        <v>124024.44493241984</v>
      </c>
      <c r="F96" s="147">
        <f t="shared" si="19"/>
        <v>160636.40523496055</v>
      </c>
      <c r="G96" s="147">
        <f t="shared" si="19"/>
        <v>182623.56399494744</v>
      </c>
      <c r="H96" s="147">
        <f t="shared" si="19"/>
        <v>201608.21938045102</v>
      </c>
      <c r="I96" s="147">
        <f t="shared" si="19"/>
        <v>189354.0112321222</v>
      </c>
      <c r="J96" s="147">
        <f t="shared" si="19"/>
        <v>205712.9656718367</v>
      </c>
      <c r="K96" s="147">
        <f t="shared" si="19"/>
        <v>205284.4873665231</v>
      </c>
      <c r="L96" s="147">
        <f t="shared" si="19"/>
        <v>205923.33926575442</v>
      </c>
      <c r="M96" s="147">
        <f t="shared" si="19"/>
        <v>227247.77359047034</v>
      </c>
      <c r="N96" s="147">
        <f t="shared" si="19"/>
        <v>206314.68335932714</v>
      </c>
      <c r="O96" s="147">
        <f t="shared" si="19"/>
        <v>135629.36771731902</v>
      </c>
      <c r="P96" s="147">
        <f t="shared" si="19"/>
        <v>2144338.0000000005</v>
      </c>
    </row>
    <row r="97" spans="2:16" ht="12">
      <c r="B97" s="10" t="s">
        <v>169</v>
      </c>
      <c r="C97" s="148">
        <f>SUM(C91:C96)</f>
        <v>0</v>
      </c>
      <c r="D97" s="148">
        <f aca="true" t="shared" si="20" ref="D97:O97">+D96+C97</f>
        <v>99978.73825386836</v>
      </c>
      <c r="E97" s="148">
        <f t="shared" si="20"/>
        <v>224003.1831862882</v>
      </c>
      <c r="F97" s="148">
        <f t="shared" si="20"/>
        <v>384639.5884212487</v>
      </c>
      <c r="G97" s="148">
        <f t="shared" si="20"/>
        <v>567263.1524161962</v>
      </c>
      <c r="H97" s="148">
        <f t="shared" si="20"/>
        <v>768871.3717966472</v>
      </c>
      <c r="I97" s="148">
        <f t="shared" si="20"/>
        <v>958225.3830287694</v>
      </c>
      <c r="J97" s="148">
        <f t="shared" si="20"/>
        <v>1163938.348700606</v>
      </c>
      <c r="K97" s="148">
        <f t="shared" si="20"/>
        <v>1369222.8360671292</v>
      </c>
      <c r="L97" s="148">
        <f t="shared" si="20"/>
        <v>1575146.1753328836</v>
      </c>
      <c r="M97" s="148">
        <f t="shared" si="20"/>
        <v>1802393.948923354</v>
      </c>
      <c r="N97" s="148">
        <f t="shared" si="20"/>
        <v>2008708.6322826813</v>
      </c>
      <c r="O97" s="148">
        <f t="shared" si="20"/>
        <v>2144338.0000000005</v>
      </c>
      <c r="P97" s="148"/>
    </row>
    <row r="99" ht="12">
      <c r="B99" s="143" t="s">
        <v>179</v>
      </c>
    </row>
    <row r="100" spans="2:16" ht="12">
      <c r="B100" s="10" t="s">
        <v>141</v>
      </c>
      <c r="C100" s="149">
        <f>+C73+C82+C91</f>
        <v>0</v>
      </c>
      <c r="D100" s="149">
        <f>+D73+D82+D91</f>
        <v>82001.97783003715</v>
      </c>
      <c r="E100" s="149">
        <f aca="true" t="shared" si="21" ref="E100:O100">+E73+E82+E91</f>
        <v>109316.32675110248</v>
      </c>
      <c r="F100" s="149">
        <f t="shared" si="21"/>
        <v>188919.0230967522</v>
      </c>
      <c r="G100" s="149">
        <f t="shared" si="21"/>
        <v>206886.21891964023</v>
      </c>
      <c r="H100" s="149">
        <f t="shared" si="21"/>
        <v>224865.77949249122</v>
      </c>
      <c r="I100" s="149">
        <f t="shared" si="21"/>
        <v>229895.84553692435</v>
      </c>
      <c r="J100" s="149">
        <f t="shared" si="21"/>
        <v>187359.2668023946</v>
      </c>
      <c r="K100" s="149">
        <f t="shared" si="21"/>
        <v>171633.88450282792</v>
      </c>
      <c r="L100" s="149">
        <f t="shared" si="21"/>
        <v>194455.36130888472</v>
      </c>
      <c r="M100" s="149">
        <f t="shared" si="21"/>
        <v>164275.05035882557</v>
      </c>
      <c r="N100" s="149">
        <f t="shared" si="21"/>
        <v>70485.83648264805</v>
      </c>
      <c r="O100" s="149">
        <f t="shared" si="21"/>
        <v>19139.33191747157</v>
      </c>
      <c r="P100" s="146">
        <f>SUM(C100:O100)</f>
        <v>1849233.903</v>
      </c>
    </row>
    <row r="101" spans="2:16" ht="12">
      <c r="B101" s="10" t="s">
        <v>142</v>
      </c>
      <c r="C101" s="149">
        <f>+C74+C83+C92</f>
        <v>0</v>
      </c>
      <c r="D101" s="149">
        <f aca="true" t="shared" si="22" ref="D101:O101">+D74+D83+D92</f>
        <v>5652.957430667685</v>
      </c>
      <c r="E101" s="149">
        <f t="shared" si="22"/>
        <v>7517.103304173994</v>
      </c>
      <c r="F101" s="149">
        <f t="shared" si="22"/>
        <v>12884.455441343975</v>
      </c>
      <c r="G101" s="149">
        <f t="shared" si="22"/>
        <v>14125.513772807011</v>
      </c>
      <c r="H101" s="149">
        <f t="shared" si="22"/>
        <v>15364.064053771835</v>
      </c>
      <c r="I101" s="149">
        <f t="shared" si="22"/>
        <v>15678.657319619535</v>
      </c>
      <c r="J101" s="149">
        <f t="shared" si="22"/>
        <v>12886.187625803057</v>
      </c>
      <c r="K101" s="149">
        <f t="shared" si="22"/>
        <v>11840.131230763885</v>
      </c>
      <c r="L101" s="149">
        <f t="shared" si="22"/>
        <v>13360.222640995229</v>
      </c>
      <c r="M101" s="149">
        <f t="shared" si="22"/>
        <v>11395.201486170026</v>
      </c>
      <c r="N101" s="149">
        <f t="shared" si="22"/>
        <v>5109.347992238018</v>
      </c>
      <c r="O101" s="149">
        <f t="shared" si="22"/>
        <v>1541.2357016457483</v>
      </c>
      <c r="P101" s="146">
        <f>SUM(C101:O101)</f>
        <v>127355.07800000001</v>
      </c>
    </row>
    <row r="102" spans="2:16" ht="12">
      <c r="B102" s="10" t="s">
        <v>143</v>
      </c>
      <c r="C102" s="149">
        <f>+C75+C84+C93</f>
        <v>0</v>
      </c>
      <c r="D102" s="149">
        <f aca="true" t="shared" si="23" ref="D102:O102">+D75+D84+D93</f>
        <v>194430.67878146959</v>
      </c>
      <c r="E102" s="149">
        <f t="shared" si="23"/>
        <v>254670.62152709323</v>
      </c>
      <c r="F102" s="149">
        <f t="shared" si="23"/>
        <v>407493.8987556682</v>
      </c>
      <c r="G102" s="149">
        <f t="shared" si="23"/>
        <v>452114.7176024</v>
      </c>
      <c r="H102" s="149">
        <f t="shared" si="23"/>
        <v>494689.59278714494</v>
      </c>
      <c r="I102" s="149">
        <f t="shared" si="23"/>
        <v>497077.75394908316</v>
      </c>
      <c r="J102" s="149">
        <f t="shared" si="23"/>
        <v>440854.7043024429</v>
      </c>
      <c r="K102" s="149">
        <f t="shared" si="23"/>
        <v>417673.09876091324</v>
      </c>
      <c r="L102" s="149">
        <f t="shared" si="23"/>
        <v>457225.99930550024</v>
      </c>
      <c r="M102" s="149">
        <f t="shared" si="23"/>
        <v>424582.79956318275</v>
      </c>
      <c r="N102" s="149">
        <f t="shared" si="23"/>
        <v>264429.6346727471</v>
      </c>
      <c r="O102" s="149">
        <f t="shared" si="23"/>
        <v>142528.04499235473</v>
      </c>
      <c r="P102" s="146">
        <f>SUM(C102:O102)</f>
        <v>4447771.545</v>
      </c>
    </row>
    <row r="103" spans="2:16" ht="12">
      <c r="B103" s="10" t="s">
        <v>144</v>
      </c>
      <c r="C103" s="149">
        <f>+C76+C85+C94</f>
        <v>0</v>
      </c>
      <c r="D103" s="149">
        <f aca="true" t="shared" si="24" ref="D103:O103">+D76+D85+D94</f>
        <v>1022.7357837140631</v>
      </c>
      <c r="E103" s="149">
        <f t="shared" si="24"/>
        <v>1402.632569869205</v>
      </c>
      <c r="F103" s="149">
        <f t="shared" si="24"/>
        <v>2549.6816156349823</v>
      </c>
      <c r="G103" s="149">
        <f t="shared" si="24"/>
        <v>2802.62213973841</v>
      </c>
      <c r="H103" s="149">
        <f t="shared" si="24"/>
        <v>3056.9955074920144</v>
      </c>
      <c r="I103" s="149">
        <f t="shared" si="24"/>
        <v>3183.671769543728</v>
      </c>
      <c r="J103" s="149">
        <f t="shared" si="24"/>
        <v>2541.0976156349825</v>
      </c>
      <c r="K103" s="149">
        <f t="shared" si="24"/>
        <v>2343.403722557411</v>
      </c>
      <c r="L103" s="149">
        <f t="shared" si="24"/>
        <v>2721.885508712553</v>
      </c>
      <c r="M103" s="149">
        <f t="shared" si="24"/>
        <v>2268.439091531555</v>
      </c>
      <c r="N103" s="149">
        <f t="shared" si="24"/>
        <v>975.7077837140632</v>
      </c>
      <c r="O103" s="149">
        <f t="shared" si="24"/>
        <v>443.8858918570316</v>
      </c>
      <c r="P103" s="146">
        <f>SUM(C103:O103)</f>
        <v>25312.759000000002</v>
      </c>
    </row>
    <row r="104" spans="2:16" ht="12">
      <c r="B104" s="10" t="s">
        <v>145</v>
      </c>
      <c r="C104" s="149">
        <f>+C77+C86+C95</f>
        <v>0</v>
      </c>
      <c r="D104" s="149">
        <f aca="true" t="shared" si="25" ref="D104:O104">+D77+D86+D95</f>
        <v>111.6667541020879</v>
      </c>
      <c r="E104" s="149">
        <f t="shared" si="25"/>
        <v>147.43217417768773</v>
      </c>
      <c r="F104" s="149">
        <f t="shared" si="25"/>
        <v>265.95606830497553</v>
      </c>
      <c r="G104" s="149">
        <f t="shared" si="25"/>
        <v>285.49134835537546</v>
      </c>
      <c r="H104" s="149">
        <f t="shared" si="25"/>
        <v>306.30194535601953</v>
      </c>
      <c r="I104" s="149">
        <f t="shared" si="25"/>
        <v>314.0450853812195</v>
      </c>
      <c r="J104" s="149">
        <f t="shared" si="25"/>
        <v>234.49206830497553</v>
      </c>
      <c r="K104" s="149">
        <f t="shared" si="25"/>
        <v>202.06435826717563</v>
      </c>
      <c r="L104" s="149">
        <f t="shared" si="25"/>
        <v>233.45977834277545</v>
      </c>
      <c r="M104" s="149">
        <f t="shared" si="25"/>
        <v>171.73778825457572</v>
      </c>
      <c r="N104" s="149">
        <f t="shared" si="25"/>
        <v>9.296754102087903</v>
      </c>
      <c r="O104" s="149">
        <f t="shared" si="25"/>
        <v>-74.70412294895605</v>
      </c>
      <c r="P104" s="146">
        <f>SUM(C104:O104)</f>
        <v>2207.24</v>
      </c>
    </row>
    <row r="105" spans="2:16" ht="12">
      <c r="B105" s="10" t="s">
        <v>180</v>
      </c>
      <c r="C105" s="147"/>
      <c r="D105" s="147">
        <f aca="true" t="shared" si="26" ref="D105:P105">SUM(D100:D104)</f>
        <v>283220.01657999057</v>
      </c>
      <c r="E105" s="147">
        <f t="shared" si="26"/>
        <v>373054.1163264166</v>
      </c>
      <c r="F105" s="147">
        <f t="shared" si="26"/>
        <v>612113.0149777043</v>
      </c>
      <c r="G105" s="147">
        <f t="shared" si="26"/>
        <v>676214.5637829411</v>
      </c>
      <c r="H105" s="147">
        <f t="shared" si="26"/>
        <v>738282.733786256</v>
      </c>
      <c r="I105" s="147">
        <f t="shared" si="26"/>
        <v>746149.9736605521</v>
      </c>
      <c r="J105" s="147">
        <f t="shared" si="26"/>
        <v>643875.7484145806</v>
      </c>
      <c r="K105" s="147">
        <f t="shared" si="26"/>
        <v>603692.5825753296</v>
      </c>
      <c r="L105" s="147">
        <f t="shared" si="26"/>
        <v>667996.9285424354</v>
      </c>
      <c r="M105" s="147">
        <f t="shared" si="26"/>
        <v>602693.2282879646</v>
      </c>
      <c r="N105" s="147">
        <f t="shared" si="26"/>
        <v>341009.8236854493</v>
      </c>
      <c r="O105" s="147">
        <f t="shared" si="26"/>
        <v>163577.79438038013</v>
      </c>
      <c r="P105" s="147">
        <f t="shared" si="26"/>
        <v>6451880.524999999</v>
      </c>
    </row>
    <row r="106" spans="2:17" ht="12">
      <c r="B106" s="10" t="s">
        <v>181</v>
      </c>
      <c r="C106" s="148">
        <f>SUM(C100:C105)</f>
        <v>0</v>
      </c>
      <c r="D106" s="148">
        <f aca="true" t="shared" si="27" ref="D106:O106">+D105+C106</f>
        <v>283220.01657999057</v>
      </c>
      <c r="E106" s="148">
        <f t="shared" si="27"/>
        <v>656274.1329064071</v>
      </c>
      <c r="F106" s="148">
        <f t="shared" si="27"/>
        <v>1268387.1478841114</v>
      </c>
      <c r="G106" s="148">
        <f t="shared" si="27"/>
        <v>1944601.7116670525</v>
      </c>
      <c r="H106" s="148">
        <f t="shared" si="27"/>
        <v>2682884.4454533085</v>
      </c>
      <c r="I106" s="148">
        <f t="shared" si="27"/>
        <v>3429034.4191138605</v>
      </c>
      <c r="J106" s="148">
        <f t="shared" si="27"/>
        <v>4072910.167528441</v>
      </c>
      <c r="K106" s="148">
        <f t="shared" si="27"/>
        <v>4676602.750103771</v>
      </c>
      <c r="L106" s="148">
        <f t="shared" si="27"/>
        <v>5344599.678646206</v>
      </c>
      <c r="M106" s="148">
        <f t="shared" si="27"/>
        <v>5947292.90693417</v>
      </c>
      <c r="N106" s="148">
        <f t="shared" si="27"/>
        <v>6288302.73061962</v>
      </c>
      <c r="O106" s="148">
        <f t="shared" si="27"/>
        <v>6451880.524999999</v>
      </c>
      <c r="P106" s="148"/>
      <c r="Q106" s="146">
        <f>AVERAGE(C106:O106)</f>
        <v>3311230.048648995</v>
      </c>
    </row>
  </sheetData>
  <sheetProtection/>
  <mergeCells count="6">
    <mergeCell ref="A6:Q6"/>
    <mergeCell ref="A7:Q7"/>
    <mergeCell ref="A61:Q61"/>
    <mergeCell ref="A62:Q62"/>
    <mergeCell ref="A63:Q63"/>
    <mergeCell ref="A5:Q5"/>
  </mergeCells>
  <printOptions/>
  <pageMargins left="0.7" right="0.7" top="0.75" bottom="0.75" header="0.3" footer="0.3"/>
  <pageSetup horizontalDpi="1200" verticalDpi="1200" orientation="landscape" scale="51" r:id="rId1"/>
  <rowBreaks count="1" manualBreakCount="1">
    <brk id="5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39"/>
  <sheetViews>
    <sheetView workbookViewId="0" topLeftCell="A118">
      <selection activeCell="A82" sqref="A82:Q82"/>
    </sheetView>
  </sheetViews>
  <sheetFormatPr defaultColWidth="9.140625" defaultRowHeight="12.75"/>
  <cols>
    <col min="1" max="1" width="2.00390625" style="141" customWidth="1"/>
    <col min="2" max="2" width="40.7109375" style="141" bestFit="1" customWidth="1"/>
    <col min="3" max="3" width="11.421875" style="10" bestFit="1" customWidth="1"/>
    <col min="4" max="4" width="11.140625" style="141" bestFit="1" customWidth="1"/>
    <col min="5" max="5" width="12.00390625" style="141" bestFit="1" customWidth="1"/>
    <col min="6" max="10" width="12.8515625" style="141" bestFit="1" customWidth="1"/>
    <col min="11" max="12" width="13.8515625" style="141" bestFit="1" customWidth="1"/>
    <col min="13" max="13" width="11.8515625" style="141" customWidth="1"/>
    <col min="14" max="16" width="13.8515625" style="141" bestFit="1" customWidth="1"/>
    <col min="17" max="17" width="18.421875" style="141" customWidth="1"/>
    <col min="18" max="16384" width="8.7109375" style="141" customWidth="1"/>
  </cols>
  <sheetData>
    <row r="1" ht="12.75">
      <c r="Q1" s="43" t="str">
        <f>+'4.0 Accumulated Depr'!Q1</f>
        <v> PSC Set 1 No. 1 2022-00342</v>
      </c>
    </row>
    <row r="2" ht="12.75">
      <c r="Q2" s="43" t="str">
        <f>+'4.0 Accumulated Depr'!Q2</f>
        <v>Attachment JTG-1</v>
      </c>
    </row>
    <row r="3" spans="14:17" s="10" customFormat="1" ht="12.75">
      <c r="N3" s="43"/>
      <c r="Q3" s="43" t="s">
        <v>238</v>
      </c>
    </row>
    <row r="4" spans="14:17" s="10" customFormat="1" ht="12.75">
      <c r="N4" s="43"/>
      <c r="Q4" s="43" t="s">
        <v>232</v>
      </c>
    </row>
    <row r="5" spans="1:17" s="10" customFormat="1" ht="12.75">
      <c r="A5" s="166" t="s">
        <v>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112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10" customFormat="1" ht="12.75">
      <c r="A7" s="166" t="s">
        <v>237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9" spans="3:17" ht="12">
      <c r="C9" s="10" t="s">
        <v>60</v>
      </c>
      <c r="D9" s="142">
        <v>2021</v>
      </c>
      <c r="E9" s="142">
        <f>+D9+1</f>
        <v>2022</v>
      </c>
      <c r="F9" s="142">
        <f>+E9</f>
        <v>2022</v>
      </c>
      <c r="G9" s="142">
        <f aca="true" t="shared" si="0" ref="G9:Q9">+F9</f>
        <v>2022</v>
      </c>
      <c r="H9" s="142">
        <f t="shared" si="0"/>
        <v>2022</v>
      </c>
      <c r="I9" s="142">
        <f t="shared" si="0"/>
        <v>2022</v>
      </c>
      <c r="J9" s="142">
        <f t="shared" si="0"/>
        <v>2022</v>
      </c>
      <c r="K9" s="142">
        <f t="shared" si="0"/>
        <v>2022</v>
      </c>
      <c r="L9" s="142">
        <f t="shared" si="0"/>
        <v>2022</v>
      </c>
      <c r="M9" s="142">
        <f t="shared" si="0"/>
        <v>2022</v>
      </c>
      <c r="N9" s="142">
        <f t="shared" si="0"/>
        <v>2022</v>
      </c>
      <c r="O9" s="142">
        <f t="shared" si="0"/>
        <v>2022</v>
      </c>
      <c r="P9" s="142">
        <f t="shared" si="0"/>
        <v>2022</v>
      </c>
      <c r="Q9" s="142">
        <f t="shared" si="0"/>
        <v>2022</v>
      </c>
    </row>
    <row r="10" spans="3:17" ht="12">
      <c r="C10" s="10" t="s">
        <v>23</v>
      </c>
      <c r="D10" s="37" t="s">
        <v>148</v>
      </c>
      <c r="E10" s="37" t="s">
        <v>149</v>
      </c>
      <c r="F10" s="37" t="s">
        <v>150</v>
      </c>
      <c r="G10" s="37" t="s">
        <v>151</v>
      </c>
      <c r="H10" s="37" t="s">
        <v>152</v>
      </c>
      <c r="I10" s="37" t="s">
        <v>81</v>
      </c>
      <c r="J10" s="37" t="s">
        <v>153</v>
      </c>
      <c r="K10" s="37" t="s">
        <v>154</v>
      </c>
      <c r="L10" s="37" t="s">
        <v>155</v>
      </c>
      <c r="M10" s="37" t="s">
        <v>156</v>
      </c>
      <c r="N10" s="37" t="s">
        <v>157</v>
      </c>
      <c r="O10" s="37" t="s">
        <v>158</v>
      </c>
      <c r="P10" s="37" t="s">
        <v>148</v>
      </c>
      <c r="Q10" s="37" t="s">
        <v>159</v>
      </c>
    </row>
    <row r="11" spans="3:16" ht="12">
      <c r="C11" s="10" t="s">
        <v>170</v>
      </c>
      <c r="D11" s="37" t="s">
        <v>92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3" ht="12">
      <c r="B12" s="143"/>
      <c r="C12" s="143"/>
    </row>
    <row r="13" spans="2:17" ht="12">
      <c r="B13" s="10" t="s">
        <v>141</v>
      </c>
      <c r="C13" s="138">
        <f>1.74%/12</f>
        <v>0.00145</v>
      </c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2:17" ht="12">
      <c r="B14" s="10" t="s">
        <v>174</v>
      </c>
      <c r="C14" s="138"/>
      <c r="D14" s="144">
        <v>0</v>
      </c>
      <c r="E14" s="28">
        <f>+'3.0 Plant in Service'!D16</f>
        <v>0</v>
      </c>
      <c r="F14" s="28">
        <f>+'3.0 Plant in Service'!E16</f>
        <v>0</v>
      </c>
      <c r="G14" s="28">
        <f>+'3.0 Plant in Service'!F16</f>
        <v>0</v>
      </c>
      <c r="H14" s="28">
        <f>+'3.0 Plant in Service'!G16</f>
        <v>0</v>
      </c>
      <c r="I14" s="28">
        <f>+'3.0 Plant in Service'!H16</f>
        <v>0</v>
      </c>
      <c r="J14" s="28">
        <f>+'3.0 Plant in Service'!I16</f>
        <v>0</v>
      </c>
      <c r="K14" s="28">
        <f>+'3.0 Plant in Service'!J16</f>
        <v>0</v>
      </c>
      <c r="L14" s="28">
        <f>+'3.0 Plant in Service'!K16</f>
        <v>0</v>
      </c>
      <c r="M14" s="28">
        <f>+'3.0 Plant in Service'!L16</f>
        <v>0</v>
      </c>
      <c r="N14" s="28">
        <f>+'3.0 Plant in Service'!M16</f>
        <v>0</v>
      </c>
      <c r="O14" s="28">
        <f>+'3.0 Plant in Service'!N16</f>
        <v>0</v>
      </c>
      <c r="P14" s="28">
        <f>+'3.0 Plant in Service'!O16</f>
        <v>0</v>
      </c>
      <c r="Q14" s="146">
        <f>SUM(D14:P14)</f>
        <v>0</v>
      </c>
    </row>
    <row r="15" spans="2:17" ht="12">
      <c r="B15" s="10" t="s">
        <v>175</v>
      </c>
      <c r="C15" s="138"/>
      <c r="D15" s="144">
        <v>0</v>
      </c>
      <c r="E15" s="93">
        <f>+'3.0 Plant in Service'!D25</f>
        <v>0</v>
      </c>
      <c r="F15" s="93">
        <f>+'3.0 Plant in Service'!E25</f>
        <v>0</v>
      </c>
      <c r="G15" s="93">
        <f>+'3.0 Plant in Service'!F25</f>
        <v>0</v>
      </c>
      <c r="H15" s="93">
        <f>+'3.0 Plant in Service'!G25</f>
        <v>0</v>
      </c>
      <c r="I15" s="93">
        <f>+'3.0 Plant in Service'!H25</f>
        <v>0</v>
      </c>
      <c r="J15" s="93">
        <f>+'3.0 Plant in Service'!I25</f>
        <v>0</v>
      </c>
      <c r="K15" s="93">
        <f>+'3.0 Plant in Service'!J25</f>
        <v>0</v>
      </c>
      <c r="L15" s="93">
        <f>+'3.0 Plant in Service'!K25</f>
        <v>0</v>
      </c>
      <c r="M15" s="93">
        <f>+'3.0 Plant in Service'!L25</f>
        <v>0</v>
      </c>
      <c r="N15" s="93">
        <f>+'3.0 Plant in Service'!M25</f>
        <v>0</v>
      </c>
      <c r="O15" s="93">
        <f>+'3.0 Plant in Service'!N25</f>
        <v>0</v>
      </c>
      <c r="P15" s="93">
        <f>+'3.0 Plant in Service'!O25</f>
        <v>0</v>
      </c>
      <c r="Q15" s="146"/>
    </row>
    <row r="16" spans="2:17" ht="12">
      <c r="B16" s="10" t="s">
        <v>265</v>
      </c>
      <c r="C16" s="138"/>
      <c r="D16" s="144">
        <f>SUM(D14:D15)</f>
        <v>0</v>
      </c>
      <c r="E16" s="28">
        <f>SUM(E14:E15)</f>
        <v>0</v>
      </c>
      <c r="F16" s="28">
        <f aca="true" t="shared" si="1" ref="F16:P16">SUM(F14:F15)</f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146">
        <f>SUM(D16:P16)</f>
        <v>0</v>
      </c>
    </row>
    <row r="17" spans="2:17" ht="12">
      <c r="B17" s="10" t="s">
        <v>171</v>
      </c>
      <c r="C17" s="138"/>
      <c r="D17" s="144">
        <v>0</v>
      </c>
      <c r="E17" s="28">
        <f>+E16+D17</f>
        <v>0</v>
      </c>
      <c r="F17" s="28">
        <f aca="true" t="shared" si="2" ref="F17:P17">+F16+E17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146"/>
    </row>
    <row r="18" spans="2:17" ht="12">
      <c r="B18" s="10"/>
      <c r="C18" s="138"/>
      <c r="D18" s="14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46"/>
    </row>
    <row r="19" spans="2:17" ht="12">
      <c r="B19" s="10" t="s">
        <v>172</v>
      </c>
      <c r="C19" s="138"/>
      <c r="D19" s="144"/>
      <c r="E19" s="28">
        <f>ROUND($C13*D17,0)</f>
        <v>0</v>
      </c>
      <c r="F19" s="28">
        <f aca="true" t="shared" si="3" ref="F19:P19">ROUND($C13*E17,0)</f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3"/>
        <v>0</v>
      </c>
      <c r="M19" s="28">
        <f t="shared" si="3"/>
        <v>0</v>
      </c>
      <c r="N19" s="28">
        <f t="shared" si="3"/>
        <v>0</v>
      </c>
      <c r="O19" s="28">
        <f t="shared" si="3"/>
        <v>0</v>
      </c>
      <c r="P19" s="28">
        <f t="shared" si="3"/>
        <v>0</v>
      </c>
      <c r="Q19" s="146"/>
    </row>
    <row r="20" spans="2:17" ht="12">
      <c r="B20" s="10" t="s">
        <v>173</v>
      </c>
      <c r="C20" s="138"/>
      <c r="D20" s="144"/>
      <c r="E20" s="93">
        <f>ROUND($C13*E16*0.5,3)</f>
        <v>0</v>
      </c>
      <c r="F20" s="93">
        <f aca="true" t="shared" si="4" ref="F20:P20">ROUND($C13*F16*0.5,3)</f>
        <v>0</v>
      </c>
      <c r="G20" s="93">
        <f t="shared" si="4"/>
        <v>0</v>
      </c>
      <c r="H20" s="93">
        <f t="shared" si="4"/>
        <v>0</v>
      </c>
      <c r="I20" s="93">
        <f t="shared" si="4"/>
        <v>0</v>
      </c>
      <c r="J20" s="93">
        <f t="shared" si="4"/>
        <v>0</v>
      </c>
      <c r="K20" s="93">
        <f t="shared" si="4"/>
        <v>0</v>
      </c>
      <c r="L20" s="93">
        <f t="shared" si="4"/>
        <v>0</v>
      </c>
      <c r="M20" s="93">
        <f t="shared" si="4"/>
        <v>0</v>
      </c>
      <c r="N20" s="93">
        <f t="shared" si="4"/>
        <v>0</v>
      </c>
      <c r="O20" s="93">
        <f t="shared" si="4"/>
        <v>0</v>
      </c>
      <c r="P20" s="93">
        <f t="shared" si="4"/>
        <v>0</v>
      </c>
      <c r="Q20" s="146"/>
    </row>
    <row r="21" spans="2:17" ht="12">
      <c r="B21" s="10" t="s">
        <v>176</v>
      </c>
      <c r="C21" s="138"/>
      <c r="D21" s="144">
        <v>0</v>
      </c>
      <c r="E21" s="28">
        <f>SUM(E19:E20)</f>
        <v>0</v>
      </c>
      <c r="F21" s="28">
        <f aca="true" t="shared" si="5" ref="F21:P21">SUM(F19:F20)</f>
        <v>0</v>
      </c>
      <c r="G21" s="28">
        <f t="shared" si="5"/>
        <v>0</v>
      </c>
      <c r="H21" s="28">
        <f t="shared" si="5"/>
        <v>0</v>
      </c>
      <c r="I21" s="28">
        <f t="shared" si="5"/>
        <v>0</v>
      </c>
      <c r="J21" s="28">
        <f t="shared" si="5"/>
        <v>0</v>
      </c>
      <c r="K21" s="28">
        <f t="shared" si="5"/>
        <v>0</v>
      </c>
      <c r="L21" s="28">
        <f t="shared" si="5"/>
        <v>0</v>
      </c>
      <c r="M21" s="28">
        <f t="shared" si="5"/>
        <v>0</v>
      </c>
      <c r="N21" s="28">
        <f t="shared" si="5"/>
        <v>0</v>
      </c>
      <c r="O21" s="28">
        <f t="shared" si="5"/>
        <v>0</v>
      </c>
      <c r="P21" s="28">
        <f t="shared" si="5"/>
        <v>0</v>
      </c>
      <c r="Q21" s="146">
        <f>SUM(D21:P21)</f>
        <v>0</v>
      </c>
    </row>
    <row r="22" spans="2:17" ht="12">
      <c r="B22" s="10"/>
      <c r="C22" s="138"/>
      <c r="D22" s="14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46"/>
    </row>
    <row r="23" spans="2:17" ht="12">
      <c r="B23" s="10" t="s">
        <v>142</v>
      </c>
      <c r="C23" s="138">
        <f>2.52%/12</f>
        <v>0.0021</v>
      </c>
      <c r="D23" s="144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46"/>
    </row>
    <row r="24" spans="2:17" ht="12">
      <c r="B24" s="10" t="s">
        <v>174</v>
      </c>
      <c r="C24" s="138"/>
      <c r="D24" s="144">
        <v>0</v>
      </c>
      <c r="E24" s="28">
        <f>+'3.0 Plant in Service'!D17</f>
        <v>0</v>
      </c>
      <c r="F24" s="28">
        <f>+'3.0 Plant in Service'!E17</f>
        <v>0</v>
      </c>
      <c r="G24" s="28">
        <f>+'3.0 Plant in Service'!F17</f>
        <v>0</v>
      </c>
      <c r="H24" s="28">
        <f>+'3.0 Plant in Service'!G17</f>
        <v>0</v>
      </c>
      <c r="I24" s="28">
        <f>+'3.0 Plant in Service'!H17</f>
        <v>0</v>
      </c>
      <c r="J24" s="28">
        <f>+'3.0 Plant in Service'!I17</f>
        <v>0</v>
      </c>
      <c r="K24" s="28">
        <f>+'3.0 Plant in Service'!J17</f>
        <v>0</v>
      </c>
      <c r="L24" s="28">
        <f>+'3.0 Plant in Service'!K17</f>
        <v>0</v>
      </c>
      <c r="M24" s="28">
        <f>+'3.0 Plant in Service'!L17</f>
        <v>0</v>
      </c>
      <c r="N24" s="28">
        <f>+'3.0 Plant in Service'!M17</f>
        <v>0</v>
      </c>
      <c r="O24" s="28">
        <f>+'3.0 Plant in Service'!N17</f>
        <v>0</v>
      </c>
      <c r="P24" s="28">
        <f>+'3.0 Plant in Service'!O17</f>
        <v>0</v>
      </c>
      <c r="Q24" s="146">
        <f>SUM(D24:P24)</f>
        <v>0</v>
      </c>
    </row>
    <row r="25" spans="2:17" ht="12">
      <c r="B25" s="10" t="s">
        <v>175</v>
      </c>
      <c r="C25" s="138"/>
      <c r="D25" s="144">
        <v>0</v>
      </c>
      <c r="E25" s="93">
        <f>+'3.0 Plant in Service'!D26</f>
        <v>0</v>
      </c>
      <c r="F25" s="93">
        <f>+'3.0 Plant in Service'!E26</f>
        <v>0</v>
      </c>
      <c r="G25" s="93">
        <f>+'3.0 Plant in Service'!F26</f>
        <v>0</v>
      </c>
      <c r="H25" s="93">
        <f>+'3.0 Plant in Service'!G26</f>
        <v>0</v>
      </c>
      <c r="I25" s="93">
        <f>+'3.0 Plant in Service'!H26</f>
        <v>0</v>
      </c>
      <c r="J25" s="93">
        <f>+'3.0 Plant in Service'!I26</f>
        <v>0</v>
      </c>
      <c r="K25" s="93">
        <f>+'3.0 Plant in Service'!J26</f>
        <v>0</v>
      </c>
      <c r="L25" s="93">
        <f>+'3.0 Plant in Service'!K26</f>
        <v>0</v>
      </c>
      <c r="M25" s="93">
        <f>+'3.0 Plant in Service'!L26</f>
        <v>0</v>
      </c>
      <c r="N25" s="93">
        <f>+'3.0 Plant in Service'!M26</f>
        <v>0</v>
      </c>
      <c r="O25" s="93">
        <f>+'3.0 Plant in Service'!N26</f>
        <v>0</v>
      </c>
      <c r="P25" s="93">
        <f>+'3.0 Plant in Service'!O26</f>
        <v>0</v>
      </c>
      <c r="Q25" s="146"/>
    </row>
    <row r="26" spans="2:17" ht="12">
      <c r="B26" s="10" t="s">
        <v>265</v>
      </c>
      <c r="C26" s="138"/>
      <c r="D26" s="144">
        <f aca="true" t="shared" si="6" ref="D26:P26">SUM(D24:D25)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146">
        <f>SUM(D26:P26)</f>
        <v>0</v>
      </c>
    </row>
    <row r="27" spans="2:17" ht="12">
      <c r="B27" s="10" t="s">
        <v>171</v>
      </c>
      <c r="C27" s="138"/>
      <c r="D27" s="144">
        <v>0</v>
      </c>
      <c r="E27" s="28">
        <f aca="true" t="shared" si="7" ref="E27:P27">+E26+D27</f>
        <v>0</v>
      </c>
      <c r="F27" s="28">
        <f t="shared" si="7"/>
        <v>0</v>
      </c>
      <c r="G27" s="28">
        <f t="shared" si="7"/>
        <v>0</v>
      </c>
      <c r="H27" s="28">
        <f t="shared" si="7"/>
        <v>0</v>
      </c>
      <c r="I27" s="28">
        <f t="shared" si="7"/>
        <v>0</v>
      </c>
      <c r="J27" s="28">
        <f t="shared" si="7"/>
        <v>0</v>
      </c>
      <c r="K27" s="28">
        <f t="shared" si="7"/>
        <v>0</v>
      </c>
      <c r="L27" s="28">
        <f t="shared" si="7"/>
        <v>0</v>
      </c>
      <c r="M27" s="28">
        <f t="shared" si="7"/>
        <v>0</v>
      </c>
      <c r="N27" s="28">
        <f t="shared" si="7"/>
        <v>0</v>
      </c>
      <c r="O27" s="28">
        <f t="shared" si="7"/>
        <v>0</v>
      </c>
      <c r="P27" s="28">
        <f t="shared" si="7"/>
        <v>0</v>
      </c>
      <c r="Q27" s="146"/>
    </row>
    <row r="28" spans="2:17" ht="12">
      <c r="B28" s="10"/>
      <c r="C28" s="138"/>
      <c r="D28" s="14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46"/>
    </row>
    <row r="29" spans="2:17" ht="12">
      <c r="B29" s="10" t="s">
        <v>172</v>
      </c>
      <c r="C29" s="138"/>
      <c r="D29" s="144"/>
      <c r="E29" s="28">
        <f>ROUND($C23*D27,0)</f>
        <v>0</v>
      </c>
      <c r="F29" s="28">
        <f aca="true" t="shared" si="8" ref="F29:P29">ROUND($C23*E27,0)</f>
        <v>0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146"/>
    </row>
    <row r="30" spans="2:17" ht="12">
      <c r="B30" s="10" t="s">
        <v>173</v>
      </c>
      <c r="C30" s="138"/>
      <c r="D30" s="144"/>
      <c r="E30" s="93">
        <f>ROUND($C23*E26*0.5,3)</f>
        <v>0</v>
      </c>
      <c r="F30" s="93">
        <f aca="true" t="shared" si="9" ref="F30:P30">ROUND($C23*F26*0.5,3)</f>
        <v>0</v>
      </c>
      <c r="G30" s="93">
        <f t="shared" si="9"/>
        <v>0</v>
      </c>
      <c r="H30" s="93">
        <f t="shared" si="9"/>
        <v>0</v>
      </c>
      <c r="I30" s="93">
        <f t="shared" si="9"/>
        <v>0</v>
      </c>
      <c r="J30" s="93">
        <f t="shared" si="9"/>
        <v>0</v>
      </c>
      <c r="K30" s="93">
        <f t="shared" si="9"/>
        <v>0</v>
      </c>
      <c r="L30" s="93">
        <f t="shared" si="9"/>
        <v>0</v>
      </c>
      <c r="M30" s="93">
        <f t="shared" si="9"/>
        <v>0</v>
      </c>
      <c r="N30" s="93">
        <f t="shared" si="9"/>
        <v>0</v>
      </c>
      <c r="O30" s="93">
        <f t="shared" si="9"/>
        <v>0</v>
      </c>
      <c r="P30" s="93">
        <f t="shared" si="9"/>
        <v>0</v>
      </c>
      <c r="Q30" s="146"/>
    </row>
    <row r="31" spans="2:17" ht="12">
      <c r="B31" s="10" t="s">
        <v>176</v>
      </c>
      <c r="C31" s="138"/>
      <c r="D31" s="144">
        <v>0</v>
      </c>
      <c r="E31" s="28">
        <f aca="true" t="shared" si="10" ref="E31:P31">SUM(E29:E30)</f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0</v>
      </c>
      <c r="K31" s="28">
        <f t="shared" si="10"/>
        <v>0</v>
      </c>
      <c r="L31" s="28">
        <f t="shared" si="10"/>
        <v>0</v>
      </c>
      <c r="M31" s="28">
        <f t="shared" si="10"/>
        <v>0</v>
      </c>
      <c r="N31" s="28">
        <f t="shared" si="10"/>
        <v>0</v>
      </c>
      <c r="O31" s="28">
        <f t="shared" si="10"/>
        <v>0</v>
      </c>
      <c r="P31" s="28">
        <f t="shared" si="10"/>
        <v>0</v>
      </c>
      <c r="Q31" s="146">
        <f>SUM(D31:P31)</f>
        <v>0</v>
      </c>
    </row>
    <row r="32" spans="2:17" ht="12">
      <c r="B32" s="10"/>
      <c r="C32" s="138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</row>
    <row r="33" spans="2:17" ht="12">
      <c r="B33" s="10" t="s">
        <v>143</v>
      </c>
      <c r="C33" s="138">
        <f>3.98%/12</f>
        <v>0.003316666666666667</v>
      </c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2:17" ht="12">
      <c r="B34" s="10" t="s">
        <v>174</v>
      </c>
      <c r="C34" s="138"/>
      <c r="D34" s="144">
        <v>0</v>
      </c>
      <c r="E34" s="28">
        <f>+'3.0 Plant in Service'!D18</f>
        <v>0</v>
      </c>
      <c r="F34" s="28">
        <f>+'3.0 Plant in Service'!E18</f>
        <v>0</v>
      </c>
      <c r="G34" s="28">
        <f>+'3.0 Plant in Service'!F18</f>
        <v>0</v>
      </c>
      <c r="H34" s="28">
        <f>+'3.0 Plant in Service'!G18</f>
        <v>0</v>
      </c>
      <c r="I34" s="28">
        <f>+'3.0 Plant in Service'!H18</f>
        <v>0</v>
      </c>
      <c r="J34" s="28">
        <f>+'3.0 Plant in Service'!I18</f>
        <v>0</v>
      </c>
      <c r="K34" s="28">
        <f>+'3.0 Plant in Service'!J18</f>
        <v>0</v>
      </c>
      <c r="L34" s="28">
        <f>+'3.0 Plant in Service'!K18</f>
        <v>0</v>
      </c>
      <c r="M34" s="28">
        <f>+'3.0 Plant in Service'!L18</f>
        <v>0</v>
      </c>
      <c r="N34" s="28">
        <f>+'3.0 Plant in Service'!M18</f>
        <v>0</v>
      </c>
      <c r="O34" s="28">
        <f>+'3.0 Plant in Service'!N18</f>
        <v>0</v>
      </c>
      <c r="P34" s="28">
        <f>+'3.0 Plant in Service'!O18</f>
        <v>0</v>
      </c>
      <c r="Q34" s="146">
        <f>SUM(D34:P34)</f>
        <v>0</v>
      </c>
    </row>
    <row r="35" spans="2:17" ht="12">
      <c r="B35" s="10" t="s">
        <v>175</v>
      </c>
      <c r="C35" s="138"/>
      <c r="D35" s="144">
        <v>0</v>
      </c>
      <c r="E35" s="93">
        <f>+'3.0 Plant in Service'!D27</f>
        <v>0</v>
      </c>
      <c r="F35" s="93">
        <f>+'3.0 Plant in Service'!E27</f>
        <v>0</v>
      </c>
      <c r="G35" s="93">
        <f>+'3.0 Plant in Service'!F27</f>
        <v>0</v>
      </c>
      <c r="H35" s="93">
        <f>+'3.0 Plant in Service'!G27</f>
        <v>0</v>
      </c>
      <c r="I35" s="93">
        <f>+'3.0 Plant in Service'!H27</f>
        <v>0</v>
      </c>
      <c r="J35" s="93">
        <f>+'3.0 Plant in Service'!I27</f>
        <v>0</v>
      </c>
      <c r="K35" s="93">
        <f>+'3.0 Plant in Service'!J27</f>
        <v>0</v>
      </c>
      <c r="L35" s="93">
        <f>+'3.0 Plant in Service'!K27</f>
        <v>0</v>
      </c>
      <c r="M35" s="93">
        <f>+'3.0 Plant in Service'!L27</f>
        <v>0</v>
      </c>
      <c r="N35" s="93">
        <f>+'3.0 Plant in Service'!M27</f>
        <v>0</v>
      </c>
      <c r="O35" s="93">
        <f>+'3.0 Plant in Service'!N27</f>
        <v>0</v>
      </c>
      <c r="P35" s="93">
        <f>+'3.0 Plant in Service'!O27</f>
        <v>0</v>
      </c>
      <c r="Q35" s="146"/>
    </row>
    <row r="36" spans="2:17" ht="12">
      <c r="B36" s="10" t="s">
        <v>265</v>
      </c>
      <c r="C36" s="138"/>
      <c r="D36" s="144">
        <f aca="true" t="shared" si="11" ref="D36:P36">SUM(D34:D35)</f>
        <v>0</v>
      </c>
      <c r="E36" s="28">
        <f t="shared" si="11"/>
        <v>0</v>
      </c>
      <c r="F36" s="28">
        <f t="shared" si="11"/>
        <v>0</v>
      </c>
      <c r="G36" s="28">
        <f t="shared" si="11"/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8">
        <f t="shared" si="11"/>
        <v>0</v>
      </c>
      <c r="L36" s="28">
        <f t="shared" si="11"/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8">
        <f t="shared" si="11"/>
        <v>0</v>
      </c>
      <c r="Q36" s="146">
        <f>SUM(D36:P36)</f>
        <v>0</v>
      </c>
    </row>
    <row r="37" spans="2:17" ht="12">
      <c r="B37" s="10" t="s">
        <v>171</v>
      </c>
      <c r="C37" s="138"/>
      <c r="D37" s="144">
        <v>0</v>
      </c>
      <c r="E37" s="28">
        <f aca="true" t="shared" si="12" ref="E37:P37">+E36+D37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146"/>
    </row>
    <row r="38" spans="2:17" ht="12">
      <c r="B38" s="10"/>
      <c r="C38" s="138"/>
      <c r="D38" s="144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46"/>
    </row>
    <row r="39" spans="2:17" ht="12">
      <c r="B39" s="10" t="s">
        <v>172</v>
      </c>
      <c r="C39" s="138"/>
      <c r="D39" s="144"/>
      <c r="E39" s="28">
        <f>ROUND($C33*D37,0)</f>
        <v>0</v>
      </c>
      <c r="F39" s="28">
        <f aca="true" t="shared" si="13" ref="F39:P39">ROUND($C33*E37,0)</f>
        <v>0</v>
      </c>
      <c r="G39" s="28">
        <f t="shared" si="13"/>
        <v>0</v>
      </c>
      <c r="H39" s="28">
        <f t="shared" si="13"/>
        <v>0</v>
      </c>
      <c r="I39" s="28">
        <f t="shared" si="13"/>
        <v>0</v>
      </c>
      <c r="J39" s="28">
        <f t="shared" si="13"/>
        <v>0</v>
      </c>
      <c r="K39" s="28">
        <f t="shared" si="13"/>
        <v>0</v>
      </c>
      <c r="L39" s="28">
        <f t="shared" si="13"/>
        <v>0</v>
      </c>
      <c r="M39" s="28">
        <f t="shared" si="13"/>
        <v>0</v>
      </c>
      <c r="N39" s="28">
        <f t="shared" si="13"/>
        <v>0</v>
      </c>
      <c r="O39" s="28">
        <f t="shared" si="13"/>
        <v>0</v>
      </c>
      <c r="P39" s="28">
        <f t="shared" si="13"/>
        <v>0</v>
      </c>
      <c r="Q39" s="146"/>
    </row>
    <row r="40" spans="2:17" ht="12">
      <c r="B40" s="10" t="s">
        <v>173</v>
      </c>
      <c r="C40" s="138"/>
      <c r="D40" s="144"/>
      <c r="E40" s="93">
        <f>ROUND($C33*E36*0.5,3)</f>
        <v>0</v>
      </c>
      <c r="F40" s="93">
        <f aca="true" t="shared" si="14" ref="F40:P40">ROUND($C33*F36*0.5,3)</f>
        <v>0</v>
      </c>
      <c r="G40" s="93">
        <f t="shared" si="14"/>
        <v>0</v>
      </c>
      <c r="H40" s="93">
        <f t="shared" si="14"/>
        <v>0</v>
      </c>
      <c r="I40" s="93">
        <f t="shared" si="14"/>
        <v>0</v>
      </c>
      <c r="J40" s="93">
        <f t="shared" si="14"/>
        <v>0</v>
      </c>
      <c r="K40" s="93">
        <f t="shared" si="14"/>
        <v>0</v>
      </c>
      <c r="L40" s="93">
        <f t="shared" si="14"/>
        <v>0</v>
      </c>
      <c r="M40" s="93">
        <f t="shared" si="14"/>
        <v>0</v>
      </c>
      <c r="N40" s="93">
        <f t="shared" si="14"/>
        <v>0</v>
      </c>
      <c r="O40" s="93">
        <f t="shared" si="14"/>
        <v>0</v>
      </c>
      <c r="P40" s="93">
        <f t="shared" si="14"/>
        <v>0</v>
      </c>
      <c r="Q40" s="146"/>
    </row>
    <row r="41" spans="2:17" ht="12">
      <c r="B41" s="10" t="s">
        <v>176</v>
      </c>
      <c r="C41" s="138"/>
      <c r="D41" s="144">
        <v>0</v>
      </c>
      <c r="E41" s="28">
        <f aca="true" t="shared" si="15" ref="E41:P41">SUM(E39:E40)</f>
        <v>0</v>
      </c>
      <c r="F41" s="28">
        <f t="shared" si="15"/>
        <v>0</v>
      </c>
      <c r="G41" s="28">
        <f t="shared" si="15"/>
        <v>0</v>
      </c>
      <c r="H41" s="28">
        <f t="shared" si="15"/>
        <v>0</v>
      </c>
      <c r="I41" s="28">
        <f t="shared" si="15"/>
        <v>0</v>
      </c>
      <c r="J41" s="28">
        <f t="shared" si="15"/>
        <v>0</v>
      </c>
      <c r="K41" s="28">
        <f t="shared" si="15"/>
        <v>0</v>
      </c>
      <c r="L41" s="28">
        <f t="shared" si="15"/>
        <v>0</v>
      </c>
      <c r="M41" s="28">
        <f t="shared" si="15"/>
        <v>0</v>
      </c>
      <c r="N41" s="28">
        <f t="shared" si="15"/>
        <v>0</v>
      </c>
      <c r="O41" s="28">
        <f t="shared" si="15"/>
        <v>0</v>
      </c>
      <c r="P41" s="28">
        <f t="shared" si="15"/>
        <v>0</v>
      </c>
      <c r="Q41" s="146">
        <f>SUM(D41:P41)</f>
        <v>0</v>
      </c>
    </row>
    <row r="42" spans="2:17" ht="12">
      <c r="B42" s="10"/>
      <c r="C42" s="138"/>
      <c r="D42" s="144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6"/>
    </row>
    <row r="43" spans="2:17" ht="12">
      <c r="B43" s="10" t="s">
        <v>144</v>
      </c>
      <c r="C43" s="138">
        <f>1.77%/12</f>
        <v>0.001475</v>
      </c>
      <c r="D43" s="144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46"/>
    </row>
    <row r="44" spans="2:17" ht="12">
      <c r="B44" s="10" t="s">
        <v>174</v>
      </c>
      <c r="C44" s="138"/>
      <c r="D44" s="144">
        <v>0</v>
      </c>
      <c r="E44" s="28">
        <f>+'3.0 Plant in Service'!D19</f>
        <v>0</v>
      </c>
      <c r="F44" s="28">
        <f>+'3.0 Plant in Service'!E19</f>
        <v>0</v>
      </c>
      <c r="G44" s="28">
        <f>+'3.0 Plant in Service'!F19</f>
        <v>0</v>
      </c>
      <c r="H44" s="28">
        <f>+'3.0 Plant in Service'!G19</f>
        <v>0</v>
      </c>
      <c r="I44" s="28">
        <f>+'3.0 Plant in Service'!H19</f>
        <v>0</v>
      </c>
      <c r="J44" s="28">
        <f>+'3.0 Plant in Service'!I19</f>
        <v>0</v>
      </c>
      <c r="K44" s="28">
        <f>+'3.0 Plant in Service'!J19</f>
        <v>0</v>
      </c>
      <c r="L44" s="28">
        <f>+'3.0 Plant in Service'!K19</f>
        <v>0</v>
      </c>
      <c r="M44" s="28">
        <f>+'3.0 Plant in Service'!L19</f>
        <v>0</v>
      </c>
      <c r="N44" s="28">
        <f>+'3.0 Plant in Service'!M19</f>
        <v>0</v>
      </c>
      <c r="O44" s="28">
        <f>+'3.0 Plant in Service'!N19</f>
        <v>0</v>
      </c>
      <c r="P44" s="28">
        <f>+'3.0 Plant in Service'!O19</f>
        <v>0</v>
      </c>
      <c r="Q44" s="146">
        <f>SUM(D44:P44)</f>
        <v>0</v>
      </c>
    </row>
    <row r="45" spans="2:17" ht="12">
      <c r="B45" s="10" t="s">
        <v>175</v>
      </c>
      <c r="C45" s="138"/>
      <c r="D45" s="144">
        <v>0</v>
      </c>
      <c r="E45" s="93">
        <f>+'3.0 Plant in Service'!D28</f>
        <v>0</v>
      </c>
      <c r="F45" s="93">
        <f>+'3.0 Plant in Service'!E28</f>
        <v>0</v>
      </c>
      <c r="G45" s="93">
        <f>+'3.0 Plant in Service'!F28</f>
        <v>0</v>
      </c>
      <c r="H45" s="93">
        <f>+'3.0 Plant in Service'!G28</f>
        <v>0</v>
      </c>
      <c r="I45" s="93">
        <f>+'3.0 Plant in Service'!H28</f>
        <v>0</v>
      </c>
      <c r="J45" s="93">
        <f>+'3.0 Plant in Service'!I28</f>
        <v>0</v>
      </c>
      <c r="K45" s="93">
        <f>+'3.0 Plant in Service'!J28</f>
        <v>0</v>
      </c>
      <c r="L45" s="93">
        <f>+'3.0 Plant in Service'!K28</f>
        <v>0</v>
      </c>
      <c r="M45" s="93">
        <f>+'3.0 Plant in Service'!L28</f>
        <v>0</v>
      </c>
      <c r="N45" s="93">
        <f>+'3.0 Plant in Service'!M28</f>
        <v>0</v>
      </c>
      <c r="O45" s="93">
        <f>+'3.0 Plant in Service'!N28</f>
        <v>0</v>
      </c>
      <c r="P45" s="93">
        <f>+'3.0 Plant in Service'!O28</f>
        <v>0</v>
      </c>
      <c r="Q45" s="146"/>
    </row>
    <row r="46" spans="2:17" ht="12">
      <c r="B46" s="10" t="s">
        <v>265</v>
      </c>
      <c r="C46" s="138"/>
      <c r="D46" s="144">
        <f aca="true" t="shared" si="16" ref="D46:P46">SUM(D44:D45)</f>
        <v>0</v>
      </c>
      <c r="E46" s="28">
        <f t="shared" si="16"/>
        <v>0</v>
      </c>
      <c r="F46" s="28">
        <f t="shared" si="16"/>
        <v>0</v>
      </c>
      <c r="G46" s="28">
        <f t="shared" si="16"/>
        <v>0</v>
      </c>
      <c r="H46" s="28">
        <f t="shared" si="16"/>
        <v>0</v>
      </c>
      <c r="I46" s="28">
        <f t="shared" si="16"/>
        <v>0</v>
      </c>
      <c r="J46" s="28">
        <f t="shared" si="16"/>
        <v>0</v>
      </c>
      <c r="K46" s="28">
        <f t="shared" si="16"/>
        <v>0</v>
      </c>
      <c r="L46" s="28">
        <f t="shared" si="16"/>
        <v>0</v>
      </c>
      <c r="M46" s="28">
        <f t="shared" si="16"/>
        <v>0</v>
      </c>
      <c r="N46" s="28">
        <f t="shared" si="16"/>
        <v>0</v>
      </c>
      <c r="O46" s="28">
        <f t="shared" si="16"/>
        <v>0</v>
      </c>
      <c r="P46" s="28">
        <f t="shared" si="16"/>
        <v>0</v>
      </c>
      <c r="Q46" s="146">
        <f>SUM(D46:P46)</f>
        <v>0</v>
      </c>
    </row>
    <row r="47" spans="2:17" ht="12">
      <c r="B47" s="10" t="s">
        <v>171</v>
      </c>
      <c r="C47" s="138"/>
      <c r="D47" s="144">
        <v>0</v>
      </c>
      <c r="E47" s="28">
        <f aca="true" t="shared" si="17" ref="E47:P47">+E46+D47</f>
        <v>0</v>
      </c>
      <c r="F47" s="28">
        <f t="shared" si="17"/>
        <v>0</v>
      </c>
      <c r="G47" s="28">
        <f t="shared" si="17"/>
        <v>0</v>
      </c>
      <c r="H47" s="28">
        <f t="shared" si="17"/>
        <v>0</v>
      </c>
      <c r="I47" s="28">
        <f t="shared" si="17"/>
        <v>0</v>
      </c>
      <c r="J47" s="28">
        <f t="shared" si="17"/>
        <v>0</v>
      </c>
      <c r="K47" s="28">
        <f t="shared" si="17"/>
        <v>0</v>
      </c>
      <c r="L47" s="28">
        <f t="shared" si="17"/>
        <v>0</v>
      </c>
      <c r="M47" s="28">
        <f t="shared" si="17"/>
        <v>0</v>
      </c>
      <c r="N47" s="28">
        <f t="shared" si="17"/>
        <v>0</v>
      </c>
      <c r="O47" s="28">
        <f t="shared" si="17"/>
        <v>0</v>
      </c>
      <c r="P47" s="28">
        <f t="shared" si="17"/>
        <v>0</v>
      </c>
      <c r="Q47" s="146"/>
    </row>
    <row r="48" spans="2:17" ht="12">
      <c r="B48" s="10"/>
      <c r="C48" s="138"/>
      <c r="D48" s="144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146"/>
    </row>
    <row r="49" spans="2:17" ht="12">
      <c r="B49" s="10" t="s">
        <v>172</v>
      </c>
      <c r="C49" s="138"/>
      <c r="D49" s="144"/>
      <c r="E49" s="28">
        <f>ROUND($C43*D47,0)</f>
        <v>0</v>
      </c>
      <c r="F49" s="28">
        <f aca="true" t="shared" si="18" ref="F49:P49">ROUND($C43*E47,0)</f>
        <v>0</v>
      </c>
      <c r="G49" s="28">
        <f t="shared" si="18"/>
        <v>0</v>
      </c>
      <c r="H49" s="28">
        <f t="shared" si="18"/>
        <v>0</v>
      </c>
      <c r="I49" s="28">
        <f t="shared" si="18"/>
        <v>0</v>
      </c>
      <c r="J49" s="28">
        <f t="shared" si="18"/>
        <v>0</v>
      </c>
      <c r="K49" s="28">
        <f t="shared" si="18"/>
        <v>0</v>
      </c>
      <c r="L49" s="28">
        <f t="shared" si="18"/>
        <v>0</v>
      </c>
      <c r="M49" s="28">
        <f t="shared" si="18"/>
        <v>0</v>
      </c>
      <c r="N49" s="28">
        <f t="shared" si="18"/>
        <v>0</v>
      </c>
      <c r="O49" s="28">
        <f t="shared" si="18"/>
        <v>0</v>
      </c>
      <c r="P49" s="28">
        <f t="shared" si="18"/>
        <v>0</v>
      </c>
      <c r="Q49" s="146"/>
    </row>
    <row r="50" spans="2:17" ht="12">
      <c r="B50" s="10" t="s">
        <v>173</v>
      </c>
      <c r="C50" s="138"/>
      <c r="D50" s="144"/>
      <c r="E50" s="93">
        <f>ROUND($C43*E46*0.5,3)</f>
        <v>0</v>
      </c>
      <c r="F50" s="93">
        <f aca="true" t="shared" si="19" ref="F50:P50">ROUND($C43*F46*0.5,3)</f>
        <v>0</v>
      </c>
      <c r="G50" s="93">
        <f t="shared" si="19"/>
        <v>0</v>
      </c>
      <c r="H50" s="93">
        <f t="shared" si="19"/>
        <v>0</v>
      </c>
      <c r="I50" s="93">
        <f t="shared" si="19"/>
        <v>0</v>
      </c>
      <c r="J50" s="93">
        <f t="shared" si="19"/>
        <v>0</v>
      </c>
      <c r="K50" s="93">
        <f t="shared" si="19"/>
        <v>0</v>
      </c>
      <c r="L50" s="93">
        <f t="shared" si="19"/>
        <v>0</v>
      </c>
      <c r="M50" s="93">
        <f t="shared" si="19"/>
        <v>0</v>
      </c>
      <c r="N50" s="93">
        <f t="shared" si="19"/>
        <v>0</v>
      </c>
      <c r="O50" s="93">
        <f t="shared" si="19"/>
        <v>0</v>
      </c>
      <c r="P50" s="93">
        <f t="shared" si="19"/>
        <v>0</v>
      </c>
      <c r="Q50" s="146"/>
    </row>
    <row r="51" spans="2:17" ht="12">
      <c r="B51" s="10" t="s">
        <v>176</v>
      </c>
      <c r="C51" s="138"/>
      <c r="D51" s="144">
        <v>0</v>
      </c>
      <c r="E51" s="28">
        <f aca="true" t="shared" si="20" ref="E51:P51">SUM(E49:E50)</f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0</v>
      </c>
      <c r="L51" s="28">
        <f t="shared" si="20"/>
        <v>0</v>
      </c>
      <c r="M51" s="28">
        <f t="shared" si="20"/>
        <v>0</v>
      </c>
      <c r="N51" s="28">
        <f t="shared" si="20"/>
        <v>0</v>
      </c>
      <c r="O51" s="28">
        <f t="shared" si="20"/>
        <v>0</v>
      </c>
      <c r="P51" s="28">
        <f t="shared" si="20"/>
        <v>0</v>
      </c>
      <c r="Q51" s="146">
        <f>SUM(D51:P51)</f>
        <v>0</v>
      </c>
    </row>
    <row r="53" spans="2:17" ht="12">
      <c r="B53" s="10" t="s">
        <v>145</v>
      </c>
      <c r="C53" s="138">
        <f>1.94%/12</f>
        <v>0.0016166666666666666</v>
      </c>
      <c r="D53" s="14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46"/>
    </row>
    <row r="54" spans="2:17" ht="12">
      <c r="B54" s="10" t="s">
        <v>174</v>
      </c>
      <c r="C54" s="138"/>
      <c r="D54" s="144">
        <v>0</v>
      </c>
      <c r="E54" s="28">
        <f>+'3.0 Plant in Service'!D20</f>
        <v>0</v>
      </c>
      <c r="F54" s="28">
        <f>+'3.0 Plant in Service'!E20</f>
        <v>0</v>
      </c>
      <c r="G54" s="28">
        <f>+'3.0 Plant in Service'!F20</f>
        <v>0</v>
      </c>
      <c r="H54" s="28">
        <f>+'3.0 Plant in Service'!G20</f>
        <v>0</v>
      </c>
      <c r="I54" s="28">
        <f>+'3.0 Plant in Service'!H20</f>
        <v>0</v>
      </c>
      <c r="J54" s="28">
        <f>+'3.0 Plant in Service'!I20</f>
        <v>0</v>
      </c>
      <c r="K54" s="28">
        <f>+'3.0 Plant in Service'!J20</f>
        <v>0</v>
      </c>
      <c r="L54" s="28">
        <f>+'3.0 Plant in Service'!K20</f>
        <v>0</v>
      </c>
      <c r="M54" s="28">
        <f>+'3.0 Plant in Service'!L20</f>
        <v>0</v>
      </c>
      <c r="N54" s="28">
        <f>+'3.0 Plant in Service'!M20</f>
        <v>0</v>
      </c>
      <c r="O54" s="28">
        <f>+'3.0 Plant in Service'!N20</f>
        <v>0</v>
      </c>
      <c r="P54" s="28">
        <f>+'3.0 Plant in Service'!O20</f>
        <v>0</v>
      </c>
      <c r="Q54" s="146">
        <f>SUM(D54:P54)</f>
        <v>0</v>
      </c>
    </row>
    <row r="55" spans="2:17" ht="12">
      <c r="B55" s="10" t="s">
        <v>175</v>
      </c>
      <c r="C55" s="138"/>
      <c r="D55" s="144">
        <v>0</v>
      </c>
      <c r="E55" s="93">
        <f>+'3.0 Plant in Service'!D29</f>
        <v>0</v>
      </c>
      <c r="F55" s="93">
        <f>+'3.0 Plant in Service'!E29</f>
        <v>0</v>
      </c>
      <c r="G55" s="93">
        <f>+'3.0 Plant in Service'!F29</f>
        <v>0</v>
      </c>
      <c r="H55" s="93">
        <f>+'3.0 Plant in Service'!G29</f>
        <v>0</v>
      </c>
      <c r="I55" s="93">
        <f>+'3.0 Plant in Service'!H29</f>
        <v>0</v>
      </c>
      <c r="J55" s="93">
        <f>+'3.0 Plant in Service'!I29</f>
        <v>0</v>
      </c>
      <c r="K55" s="93">
        <f>+'3.0 Plant in Service'!J29</f>
        <v>0</v>
      </c>
      <c r="L55" s="93">
        <f>+'3.0 Plant in Service'!K29</f>
        <v>0</v>
      </c>
      <c r="M55" s="93">
        <f>+'3.0 Plant in Service'!L29</f>
        <v>0</v>
      </c>
      <c r="N55" s="93">
        <f>+'3.0 Plant in Service'!M29</f>
        <v>0</v>
      </c>
      <c r="O55" s="93">
        <f>+'3.0 Plant in Service'!N29</f>
        <v>0</v>
      </c>
      <c r="P55" s="93">
        <f>+'3.0 Plant in Service'!O29</f>
        <v>0</v>
      </c>
      <c r="Q55" s="146"/>
    </row>
    <row r="56" spans="2:17" ht="12">
      <c r="B56" s="10" t="s">
        <v>265</v>
      </c>
      <c r="C56" s="138"/>
      <c r="D56" s="144">
        <f aca="true" t="shared" si="21" ref="D56:P56">SUM(D54:D55)</f>
        <v>0</v>
      </c>
      <c r="E56" s="28">
        <f t="shared" si="21"/>
        <v>0</v>
      </c>
      <c r="F56" s="28">
        <f t="shared" si="21"/>
        <v>0</v>
      </c>
      <c r="G56" s="28">
        <f t="shared" si="21"/>
        <v>0</v>
      </c>
      <c r="H56" s="28">
        <f t="shared" si="21"/>
        <v>0</v>
      </c>
      <c r="I56" s="28">
        <f t="shared" si="21"/>
        <v>0</v>
      </c>
      <c r="J56" s="28">
        <f t="shared" si="21"/>
        <v>0</v>
      </c>
      <c r="K56" s="28">
        <f t="shared" si="21"/>
        <v>0</v>
      </c>
      <c r="L56" s="28">
        <f t="shared" si="21"/>
        <v>0</v>
      </c>
      <c r="M56" s="28">
        <f t="shared" si="21"/>
        <v>0</v>
      </c>
      <c r="N56" s="28">
        <f t="shared" si="21"/>
        <v>0</v>
      </c>
      <c r="O56" s="28">
        <f t="shared" si="21"/>
        <v>0</v>
      </c>
      <c r="P56" s="28">
        <f t="shared" si="21"/>
        <v>0</v>
      </c>
      <c r="Q56" s="146">
        <f>SUM(D56:P56)</f>
        <v>0</v>
      </c>
    </row>
    <row r="57" spans="2:17" ht="12">
      <c r="B57" s="10" t="s">
        <v>171</v>
      </c>
      <c r="C57" s="138"/>
      <c r="D57" s="144">
        <v>0</v>
      </c>
      <c r="E57" s="28">
        <f aca="true" t="shared" si="22" ref="E57:P57">+E56+D57</f>
        <v>0</v>
      </c>
      <c r="F57" s="28">
        <f t="shared" si="22"/>
        <v>0</v>
      </c>
      <c r="G57" s="28">
        <f t="shared" si="22"/>
        <v>0</v>
      </c>
      <c r="H57" s="28">
        <f t="shared" si="22"/>
        <v>0</v>
      </c>
      <c r="I57" s="28">
        <f t="shared" si="22"/>
        <v>0</v>
      </c>
      <c r="J57" s="28">
        <f t="shared" si="22"/>
        <v>0</v>
      </c>
      <c r="K57" s="28">
        <f t="shared" si="22"/>
        <v>0</v>
      </c>
      <c r="L57" s="28">
        <f t="shared" si="22"/>
        <v>0</v>
      </c>
      <c r="M57" s="28">
        <f t="shared" si="22"/>
        <v>0</v>
      </c>
      <c r="N57" s="28">
        <f t="shared" si="22"/>
        <v>0</v>
      </c>
      <c r="O57" s="28">
        <f t="shared" si="22"/>
        <v>0</v>
      </c>
      <c r="P57" s="28">
        <f t="shared" si="22"/>
        <v>0</v>
      </c>
      <c r="Q57" s="146"/>
    </row>
    <row r="58" spans="2:17" ht="12">
      <c r="B58" s="10"/>
      <c r="C58" s="138"/>
      <c r="D58" s="144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46"/>
    </row>
    <row r="59" spans="2:17" ht="12">
      <c r="B59" s="10" t="s">
        <v>172</v>
      </c>
      <c r="C59" s="138"/>
      <c r="D59" s="144"/>
      <c r="E59" s="28">
        <f>ROUND($C53*D57,0)</f>
        <v>0</v>
      </c>
      <c r="F59" s="28">
        <f aca="true" t="shared" si="23" ref="F59:P59">ROUND($C53*E57,0)</f>
        <v>0</v>
      </c>
      <c r="G59" s="28">
        <f t="shared" si="23"/>
        <v>0</v>
      </c>
      <c r="H59" s="28">
        <f t="shared" si="23"/>
        <v>0</v>
      </c>
      <c r="I59" s="28">
        <f t="shared" si="23"/>
        <v>0</v>
      </c>
      <c r="J59" s="28">
        <f t="shared" si="23"/>
        <v>0</v>
      </c>
      <c r="K59" s="28">
        <f t="shared" si="23"/>
        <v>0</v>
      </c>
      <c r="L59" s="28">
        <f t="shared" si="23"/>
        <v>0</v>
      </c>
      <c r="M59" s="28">
        <f t="shared" si="23"/>
        <v>0</v>
      </c>
      <c r="N59" s="28">
        <f t="shared" si="23"/>
        <v>0</v>
      </c>
      <c r="O59" s="28">
        <f t="shared" si="23"/>
        <v>0</v>
      </c>
      <c r="P59" s="28">
        <f t="shared" si="23"/>
        <v>0</v>
      </c>
      <c r="Q59" s="146"/>
    </row>
    <row r="60" spans="2:17" ht="12">
      <c r="B60" s="10" t="s">
        <v>173</v>
      </c>
      <c r="C60" s="138"/>
      <c r="D60" s="144"/>
      <c r="E60" s="93">
        <f>ROUND($C53*E56*0.5,3)</f>
        <v>0</v>
      </c>
      <c r="F60" s="93">
        <f aca="true" t="shared" si="24" ref="F60:P60">ROUND($C53*F56*0.5,3)</f>
        <v>0</v>
      </c>
      <c r="G60" s="93">
        <f t="shared" si="24"/>
        <v>0</v>
      </c>
      <c r="H60" s="93">
        <f t="shared" si="24"/>
        <v>0</v>
      </c>
      <c r="I60" s="93">
        <f t="shared" si="24"/>
        <v>0</v>
      </c>
      <c r="J60" s="93">
        <f t="shared" si="24"/>
        <v>0</v>
      </c>
      <c r="K60" s="93">
        <f t="shared" si="24"/>
        <v>0</v>
      </c>
      <c r="L60" s="93">
        <f t="shared" si="24"/>
        <v>0</v>
      </c>
      <c r="M60" s="93">
        <f t="shared" si="24"/>
        <v>0</v>
      </c>
      <c r="N60" s="93">
        <f t="shared" si="24"/>
        <v>0</v>
      </c>
      <c r="O60" s="93">
        <f t="shared" si="24"/>
        <v>0</v>
      </c>
      <c r="P60" s="93">
        <f t="shared" si="24"/>
        <v>0</v>
      </c>
      <c r="Q60" s="146"/>
    </row>
    <row r="61" spans="2:17" ht="12">
      <c r="B61" s="10" t="s">
        <v>176</v>
      </c>
      <c r="C61" s="138"/>
      <c r="D61" s="144">
        <v>0</v>
      </c>
      <c r="E61" s="28">
        <f aca="true" t="shared" si="25" ref="E61:P61">SUM(E59:E60)</f>
        <v>0</v>
      </c>
      <c r="F61" s="28">
        <f t="shared" si="25"/>
        <v>0</v>
      </c>
      <c r="G61" s="28">
        <f t="shared" si="25"/>
        <v>0</v>
      </c>
      <c r="H61" s="28">
        <f t="shared" si="25"/>
        <v>0</v>
      </c>
      <c r="I61" s="28">
        <f t="shared" si="25"/>
        <v>0</v>
      </c>
      <c r="J61" s="28">
        <f t="shared" si="25"/>
        <v>0</v>
      </c>
      <c r="K61" s="28">
        <f t="shared" si="25"/>
        <v>0</v>
      </c>
      <c r="L61" s="28">
        <f t="shared" si="25"/>
        <v>0</v>
      </c>
      <c r="M61" s="28">
        <f t="shared" si="25"/>
        <v>0</v>
      </c>
      <c r="N61" s="28">
        <f t="shared" si="25"/>
        <v>0</v>
      </c>
      <c r="O61" s="28">
        <f t="shared" si="25"/>
        <v>0</v>
      </c>
      <c r="P61" s="28">
        <f t="shared" si="25"/>
        <v>0</v>
      </c>
      <c r="Q61" s="146">
        <f>SUM(D61:P61)</f>
        <v>0</v>
      </c>
    </row>
    <row r="63" spans="2:17" ht="12">
      <c r="B63" s="10" t="s">
        <v>177</v>
      </c>
      <c r="E63" s="144">
        <f>+E21+E31+E41+E51+E61</f>
        <v>0</v>
      </c>
      <c r="F63" s="144">
        <f aca="true" t="shared" si="26" ref="F63:P63">+F21+F31+F41+F51+F61</f>
        <v>0</v>
      </c>
      <c r="G63" s="144">
        <f t="shared" si="26"/>
        <v>0</v>
      </c>
      <c r="H63" s="144">
        <f t="shared" si="26"/>
        <v>0</v>
      </c>
      <c r="I63" s="144">
        <f t="shared" si="26"/>
        <v>0</v>
      </c>
      <c r="J63" s="144">
        <f t="shared" si="26"/>
        <v>0</v>
      </c>
      <c r="K63" s="144">
        <f t="shared" si="26"/>
        <v>0</v>
      </c>
      <c r="L63" s="144">
        <f t="shared" si="26"/>
        <v>0</v>
      </c>
      <c r="M63" s="144">
        <f t="shared" si="26"/>
        <v>0</v>
      </c>
      <c r="N63" s="144">
        <f t="shared" si="26"/>
        <v>0</v>
      </c>
      <c r="O63" s="144">
        <f t="shared" si="26"/>
        <v>0</v>
      </c>
      <c r="P63" s="144">
        <f t="shared" si="26"/>
        <v>0</v>
      </c>
      <c r="Q63" s="146">
        <f>SUM(E63:P63)</f>
        <v>0</v>
      </c>
    </row>
    <row r="64" spans="2:16" ht="12">
      <c r="B64" s="10" t="s">
        <v>178</v>
      </c>
      <c r="D64" s="141">
        <v>0</v>
      </c>
      <c r="E64" s="146">
        <f>+E63+D64</f>
        <v>0</v>
      </c>
      <c r="F64" s="146">
        <f aca="true" t="shared" si="27" ref="F64:P64">+F63+E64</f>
        <v>0</v>
      </c>
      <c r="G64" s="146">
        <f t="shared" si="27"/>
        <v>0</v>
      </c>
      <c r="H64" s="146">
        <f t="shared" si="27"/>
        <v>0</v>
      </c>
      <c r="I64" s="146">
        <f t="shared" si="27"/>
        <v>0</v>
      </c>
      <c r="J64" s="146">
        <f t="shared" si="27"/>
        <v>0</v>
      </c>
      <c r="K64" s="146">
        <f t="shared" si="27"/>
        <v>0</v>
      </c>
      <c r="L64" s="146">
        <f t="shared" si="27"/>
        <v>0</v>
      </c>
      <c r="M64" s="146">
        <f t="shared" si="27"/>
        <v>0</v>
      </c>
      <c r="N64" s="146">
        <f t="shared" si="27"/>
        <v>0</v>
      </c>
      <c r="O64" s="146">
        <f t="shared" si="27"/>
        <v>0</v>
      </c>
      <c r="P64" s="146">
        <f t="shared" si="27"/>
        <v>0</v>
      </c>
    </row>
    <row r="74" ht="12.75">
      <c r="Q74" s="43"/>
    </row>
    <row r="75" ht="12.75">
      <c r="Q75" s="43"/>
    </row>
    <row r="76" spans="14:17" s="10" customFormat="1" ht="12.75">
      <c r="N76" s="43"/>
      <c r="Q76" s="43" t="str">
        <f>+Q1</f>
        <v> PSC Set 1 No. 1 2022-00342</v>
      </c>
    </row>
    <row r="77" spans="14:17" s="10" customFormat="1" ht="12.75">
      <c r="N77" s="43"/>
      <c r="Q77" s="43" t="str">
        <f>+Q2</f>
        <v>Attachment JTG-1</v>
      </c>
    </row>
    <row r="78" spans="14:17" s="10" customFormat="1" ht="12.75">
      <c r="N78" s="43"/>
      <c r="Q78" s="43" t="str">
        <f>+Q3</f>
        <v>SMRP Form 5.0</v>
      </c>
    </row>
    <row r="79" spans="14:17" s="10" customFormat="1" ht="12.75">
      <c r="N79" s="43"/>
      <c r="Q79" s="43" t="s">
        <v>233</v>
      </c>
    </row>
    <row r="80" spans="1:17" s="10" customFormat="1" ht="12.75">
      <c r="A80" s="166" t="s">
        <v>12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</row>
    <row r="81" spans="1:17" s="10" customFormat="1" ht="12.75">
      <c r="A81" s="166" t="s">
        <v>112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</row>
    <row r="82" spans="1:17" s="10" customFormat="1" ht="12.75">
      <c r="A82" s="166" t="s">
        <v>239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</row>
    <row r="84" spans="3:17" ht="12">
      <c r="C84" s="10" t="s">
        <v>60</v>
      </c>
      <c r="D84" s="142">
        <f>+Q9</f>
        <v>2022</v>
      </c>
      <c r="E84" s="142">
        <f>+D84+1</f>
        <v>2023</v>
      </c>
      <c r="F84" s="142">
        <f>+E84</f>
        <v>2023</v>
      </c>
      <c r="G84" s="142">
        <f aca="true" t="shared" si="28" ref="G84:Q84">+F84</f>
        <v>2023</v>
      </c>
      <c r="H84" s="142">
        <f t="shared" si="28"/>
        <v>2023</v>
      </c>
      <c r="I84" s="142">
        <f t="shared" si="28"/>
        <v>2023</v>
      </c>
      <c r="J84" s="142">
        <f t="shared" si="28"/>
        <v>2023</v>
      </c>
      <c r="K84" s="142">
        <f t="shared" si="28"/>
        <v>2023</v>
      </c>
      <c r="L84" s="142">
        <f t="shared" si="28"/>
        <v>2023</v>
      </c>
      <c r="M84" s="142">
        <f t="shared" si="28"/>
        <v>2023</v>
      </c>
      <c r="N84" s="142">
        <f t="shared" si="28"/>
        <v>2023</v>
      </c>
      <c r="O84" s="142">
        <f t="shared" si="28"/>
        <v>2023</v>
      </c>
      <c r="P84" s="142">
        <f t="shared" si="28"/>
        <v>2023</v>
      </c>
      <c r="Q84" s="142">
        <f t="shared" si="28"/>
        <v>2023</v>
      </c>
    </row>
    <row r="85" spans="3:17" ht="12">
      <c r="C85" s="10" t="s">
        <v>23</v>
      </c>
      <c r="D85" s="37" t="s">
        <v>148</v>
      </c>
      <c r="E85" s="37" t="s">
        <v>149</v>
      </c>
      <c r="F85" s="37" t="s">
        <v>150</v>
      </c>
      <c r="G85" s="37" t="s">
        <v>151</v>
      </c>
      <c r="H85" s="37" t="s">
        <v>152</v>
      </c>
      <c r="I85" s="37" t="s">
        <v>81</v>
      </c>
      <c r="J85" s="37" t="s">
        <v>153</v>
      </c>
      <c r="K85" s="37" t="s">
        <v>154</v>
      </c>
      <c r="L85" s="37" t="s">
        <v>155</v>
      </c>
      <c r="M85" s="37" t="s">
        <v>156</v>
      </c>
      <c r="N85" s="37" t="s">
        <v>157</v>
      </c>
      <c r="O85" s="37" t="s">
        <v>158</v>
      </c>
      <c r="P85" s="37" t="s">
        <v>148</v>
      </c>
      <c r="Q85" s="37" t="s">
        <v>159</v>
      </c>
    </row>
    <row r="86" spans="3:16" ht="12">
      <c r="C86" s="10" t="s">
        <v>170</v>
      </c>
      <c r="D86" s="37" t="s">
        <v>92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2:3" ht="12">
      <c r="B87" s="143"/>
      <c r="C87" s="143"/>
    </row>
    <row r="88" spans="2:17" ht="12">
      <c r="B88" s="10" t="s">
        <v>141</v>
      </c>
      <c r="C88" s="138">
        <f>1.74%/12</f>
        <v>0.00145</v>
      </c>
      <c r="D88" s="144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6"/>
    </row>
    <row r="89" spans="2:17" ht="12">
      <c r="B89" s="10" t="s">
        <v>174</v>
      </c>
      <c r="C89" s="138"/>
      <c r="D89" s="144"/>
      <c r="E89" s="28">
        <f>+'3.0 Plant in Service'!D61</f>
        <v>739397.0624285896</v>
      </c>
      <c r="F89" s="28">
        <f>+'3.0 Plant in Service'!E61</f>
        <v>1802860.7569600036</v>
      </c>
      <c r="G89" s="28">
        <f>+'3.0 Plant in Service'!F61</f>
        <v>1927513.3481448865</v>
      </c>
      <c r="H89" s="28">
        <f>+'3.0 Plant in Service'!G61</f>
        <v>1509520.3992005445</v>
      </c>
      <c r="I89" s="28">
        <f>+'3.0 Plant in Service'!H61</f>
        <v>1360997.5949975976</v>
      </c>
      <c r="J89" s="28">
        <f>+'3.0 Plant in Service'!I61</f>
        <v>1533970.6048641603</v>
      </c>
      <c r="K89" s="28">
        <f>+'3.0 Plant in Service'!J61</f>
        <v>1727675.1107367566</v>
      </c>
      <c r="L89" s="28">
        <f>+'3.0 Plant in Service'!K61</f>
        <v>2516774.363494861</v>
      </c>
      <c r="M89" s="28">
        <f>+'3.0 Plant in Service'!L61</f>
        <v>1855226.5828115884</v>
      </c>
      <c r="N89" s="28">
        <f>+'3.0 Plant in Service'!M61</f>
        <v>2972482.2377306903</v>
      </c>
      <c r="O89" s="28">
        <f>+'3.0 Plant in Service'!N61</f>
        <v>4602806.782664564</v>
      </c>
      <c r="P89" s="28">
        <f>+'3.0 Plant in Service'!O61</f>
        <v>5413523.15596576</v>
      </c>
      <c r="Q89" s="146">
        <f>SUM(E89:P89)</f>
        <v>27962748.000000004</v>
      </c>
    </row>
    <row r="90" spans="2:17" ht="12">
      <c r="B90" s="10" t="s">
        <v>175</v>
      </c>
      <c r="C90" s="138"/>
      <c r="D90" s="144"/>
      <c r="E90" s="93">
        <f>+'3.0 Plant in Service'!D70</f>
        <v>-68407.93187210248</v>
      </c>
      <c r="F90" s="93">
        <f>+'3.0 Plant in Service'!E70</f>
        <v>-94061.21492392741</v>
      </c>
      <c r="G90" s="93">
        <f>+'3.0 Plant in Service'!F70</f>
        <v>-171020.2411466382</v>
      </c>
      <c r="H90" s="93">
        <f>+'3.0 Plant in Service'!G70</f>
        <v>-188122.42984785483</v>
      </c>
      <c r="I90" s="93">
        <f>+'3.0 Plant in Service'!H70</f>
        <v>-205224.20708268945</v>
      </c>
      <c r="J90" s="93">
        <f>+'3.0 Plant in Service'!I70</f>
        <v>-213775.30143329775</v>
      </c>
      <c r="K90" s="93">
        <f>+'3.0 Plant in Service'!J70</f>
        <v>-171020.2411466382</v>
      </c>
      <c r="L90" s="93">
        <f>+'3.0 Plant in Service'!K70</f>
        <v>-158193.59962072573</v>
      </c>
      <c r="M90" s="93">
        <f>+'3.0 Plant in Service'!L70</f>
        <v>-183846.88267255065</v>
      </c>
      <c r="N90" s="93">
        <f>+'3.0 Plant in Service'!M70</f>
        <v>-153918.05244542158</v>
      </c>
      <c r="O90" s="93">
        <f>+'3.0 Plant in Service'!N70</f>
        <v>-68407.93187210248</v>
      </c>
      <c r="P90" s="93">
        <f>+'3.0 Plant in Service'!O70</f>
        <v>-34203.96593605124</v>
      </c>
      <c r="Q90" s="146"/>
    </row>
    <row r="91" spans="2:17" ht="12">
      <c r="B91" s="10" t="s">
        <v>265</v>
      </c>
      <c r="C91" s="138"/>
      <c r="D91" s="144"/>
      <c r="E91" s="28">
        <f aca="true" t="shared" si="29" ref="E91:P91">SUM(E89:E90)</f>
        <v>670989.1305564871</v>
      </c>
      <c r="F91" s="28">
        <f t="shared" si="29"/>
        <v>1708799.5420360763</v>
      </c>
      <c r="G91" s="28">
        <f t="shared" si="29"/>
        <v>1756493.1069982483</v>
      </c>
      <c r="H91" s="28">
        <f t="shared" si="29"/>
        <v>1321397.9693526896</v>
      </c>
      <c r="I91" s="28">
        <f t="shared" si="29"/>
        <v>1155773.3879149081</v>
      </c>
      <c r="J91" s="28">
        <f t="shared" si="29"/>
        <v>1320195.3034308625</v>
      </c>
      <c r="K91" s="28">
        <f t="shared" si="29"/>
        <v>1556654.8695901183</v>
      </c>
      <c r="L91" s="28">
        <f t="shared" si="29"/>
        <v>2358580.763874135</v>
      </c>
      <c r="M91" s="28">
        <f t="shared" si="29"/>
        <v>1671379.7001390378</v>
      </c>
      <c r="N91" s="28">
        <f t="shared" si="29"/>
        <v>2818564.185285269</v>
      </c>
      <c r="O91" s="28">
        <f t="shared" si="29"/>
        <v>4534398.850792462</v>
      </c>
      <c r="P91" s="28">
        <f t="shared" si="29"/>
        <v>5379319.190029709</v>
      </c>
      <c r="Q91" s="146">
        <f>SUM(D91:P91)+D92</f>
        <v>26252546</v>
      </c>
    </row>
    <row r="92" spans="2:17" ht="12">
      <c r="B92" s="10" t="s">
        <v>171</v>
      </c>
      <c r="C92" s="138"/>
      <c r="D92" s="144">
        <f>+Q16</f>
        <v>0</v>
      </c>
      <c r="E92" s="28">
        <f aca="true" t="shared" si="30" ref="E92:P92">+E91+D92</f>
        <v>670989.1305564871</v>
      </c>
      <c r="F92" s="28">
        <f t="shared" si="30"/>
        <v>2379788.6725925636</v>
      </c>
      <c r="G92" s="28">
        <f t="shared" si="30"/>
        <v>4136281.7795908116</v>
      </c>
      <c r="H92" s="28">
        <f t="shared" si="30"/>
        <v>5457679.748943501</v>
      </c>
      <c r="I92" s="28">
        <f t="shared" si="30"/>
        <v>6613453.136858409</v>
      </c>
      <c r="J92" s="28">
        <f t="shared" si="30"/>
        <v>7933648.440289272</v>
      </c>
      <c r="K92" s="28">
        <f t="shared" si="30"/>
        <v>9490303.30987939</v>
      </c>
      <c r="L92" s="28">
        <f t="shared" si="30"/>
        <v>11848884.073753525</v>
      </c>
      <c r="M92" s="28">
        <f t="shared" si="30"/>
        <v>13520263.773892563</v>
      </c>
      <c r="N92" s="28">
        <f t="shared" si="30"/>
        <v>16338827.959177831</v>
      </c>
      <c r="O92" s="28">
        <f t="shared" si="30"/>
        <v>20873226.809970293</v>
      </c>
      <c r="P92" s="28">
        <f t="shared" si="30"/>
        <v>26252546</v>
      </c>
      <c r="Q92" s="146"/>
    </row>
    <row r="93" spans="2:17" ht="12">
      <c r="B93" s="10"/>
      <c r="C93" s="138"/>
      <c r="D93" s="144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46"/>
    </row>
    <row r="94" spans="2:17" ht="12">
      <c r="B94" s="10" t="s">
        <v>172</v>
      </c>
      <c r="C94" s="138"/>
      <c r="D94" s="144"/>
      <c r="E94" s="28">
        <f>ROUND($C88*D92,0)</f>
        <v>0</v>
      </c>
      <c r="F94" s="28">
        <f aca="true" t="shared" si="31" ref="F94:P94">ROUND($C88*E92,0)</f>
        <v>973</v>
      </c>
      <c r="G94" s="28">
        <f t="shared" si="31"/>
        <v>3451</v>
      </c>
      <c r="H94" s="28">
        <f t="shared" si="31"/>
        <v>5998</v>
      </c>
      <c r="I94" s="28">
        <f t="shared" si="31"/>
        <v>7914</v>
      </c>
      <c r="J94" s="28">
        <f t="shared" si="31"/>
        <v>9590</v>
      </c>
      <c r="K94" s="28">
        <f t="shared" si="31"/>
        <v>11504</v>
      </c>
      <c r="L94" s="28">
        <f t="shared" si="31"/>
        <v>13761</v>
      </c>
      <c r="M94" s="28">
        <f t="shared" si="31"/>
        <v>17181</v>
      </c>
      <c r="N94" s="28">
        <f t="shared" si="31"/>
        <v>19604</v>
      </c>
      <c r="O94" s="28">
        <f t="shared" si="31"/>
        <v>23691</v>
      </c>
      <c r="P94" s="28">
        <f t="shared" si="31"/>
        <v>30266</v>
      </c>
      <c r="Q94" s="146"/>
    </row>
    <row r="95" spans="2:17" ht="12">
      <c r="B95" s="10" t="s">
        <v>173</v>
      </c>
      <c r="C95" s="138"/>
      <c r="D95" s="144"/>
      <c r="E95" s="93">
        <f>ROUND($C88*E91*0.5,3)</f>
        <v>486.467</v>
      </c>
      <c r="F95" s="93">
        <f aca="true" t="shared" si="32" ref="F95:P95">ROUND($C88*F91*0.5,3)</f>
        <v>1238.88</v>
      </c>
      <c r="G95" s="93">
        <f t="shared" si="32"/>
        <v>1273.458</v>
      </c>
      <c r="H95" s="93">
        <f t="shared" si="32"/>
        <v>958.014</v>
      </c>
      <c r="I95" s="93">
        <f t="shared" si="32"/>
        <v>837.936</v>
      </c>
      <c r="J95" s="93">
        <f t="shared" si="32"/>
        <v>957.142</v>
      </c>
      <c r="K95" s="93">
        <f t="shared" si="32"/>
        <v>1128.575</v>
      </c>
      <c r="L95" s="93">
        <f t="shared" si="32"/>
        <v>1709.971</v>
      </c>
      <c r="M95" s="93">
        <f t="shared" si="32"/>
        <v>1211.75</v>
      </c>
      <c r="N95" s="93">
        <f t="shared" si="32"/>
        <v>2043.459</v>
      </c>
      <c r="O95" s="93">
        <f t="shared" si="32"/>
        <v>3287.439</v>
      </c>
      <c r="P95" s="93">
        <f t="shared" si="32"/>
        <v>3900.006</v>
      </c>
      <c r="Q95" s="146"/>
    </row>
    <row r="96" spans="2:17" ht="12">
      <c r="B96" s="10" t="s">
        <v>176</v>
      </c>
      <c r="C96" s="138"/>
      <c r="D96" s="144">
        <v>0</v>
      </c>
      <c r="E96" s="28">
        <f aca="true" t="shared" si="33" ref="E96:P96">SUM(E94:E95)</f>
        <v>486.467</v>
      </c>
      <c r="F96" s="28">
        <f t="shared" si="33"/>
        <v>2211.88</v>
      </c>
      <c r="G96" s="28">
        <f t="shared" si="33"/>
        <v>4724.4580000000005</v>
      </c>
      <c r="H96" s="28">
        <f t="shared" si="33"/>
        <v>6956.014</v>
      </c>
      <c r="I96" s="28">
        <f t="shared" si="33"/>
        <v>8751.936</v>
      </c>
      <c r="J96" s="28">
        <f t="shared" si="33"/>
        <v>10547.142</v>
      </c>
      <c r="K96" s="28">
        <f t="shared" si="33"/>
        <v>12632.575</v>
      </c>
      <c r="L96" s="28">
        <f t="shared" si="33"/>
        <v>15470.971</v>
      </c>
      <c r="M96" s="28">
        <f t="shared" si="33"/>
        <v>18392.75</v>
      </c>
      <c r="N96" s="28">
        <f t="shared" si="33"/>
        <v>21647.459</v>
      </c>
      <c r="O96" s="28">
        <f t="shared" si="33"/>
        <v>26978.439</v>
      </c>
      <c r="P96" s="28">
        <f t="shared" si="33"/>
        <v>34166.006</v>
      </c>
      <c r="Q96" s="146">
        <f>SUM(D96:P96)</f>
        <v>162966.097</v>
      </c>
    </row>
    <row r="97" spans="2:17" ht="12">
      <c r="B97" s="10"/>
      <c r="C97" s="138"/>
      <c r="D97" s="144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46"/>
    </row>
    <row r="98" spans="2:17" ht="12">
      <c r="B98" s="10" t="s">
        <v>142</v>
      </c>
      <c r="C98" s="138">
        <f>2.52%/12</f>
        <v>0.0021</v>
      </c>
      <c r="D98" s="144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46"/>
    </row>
    <row r="99" spans="2:17" ht="12">
      <c r="B99" s="10" t="s">
        <v>174</v>
      </c>
      <c r="C99" s="138"/>
      <c r="D99" s="144"/>
      <c r="E99" s="28">
        <f>+'3.0 Plant in Service'!D62</f>
        <v>34988.13055959344</v>
      </c>
      <c r="F99" s="28">
        <f>+'3.0 Plant in Service'!E62</f>
        <v>85311.03347651743</v>
      </c>
      <c r="G99" s="28">
        <f>+'3.0 Plant in Service'!F62</f>
        <v>91209.5707531509</v>
      </c>
      <c r="H99" s="28">
        <f>+'3.0 Plant in Service'!G62</f>
        <v>71430.2226683503</v>
      </c>
      <c r="I99" s="28">
        <f>+'3.0 Plant in Service'!H62</f>
        <v>64402.15138083215</v>
      </c>
      <c r="J99" s="28">
        <f>+'3.0 Plant in Service'!I62</f>
        <v>72587.20182263268</v>
      </c>
      <c r="K99" s="28">
        <f>+'3.0 Plant in Service'!J62</f>
        <v>81753.26277395879</v>
      </c>
      <c r="L99" s="28">
        <f>+'3.0 Plant in Service'!K62</f>
        <v>119093.29167439094</v>
      </c>
      <c r="M99" s="28">
        <f>+'3.0 Plant in Service'!L62</f>
        <v>87788.97455155807</v>
      </c>
      <c r="N99" s="28">
        <f>+'3.0 Plant in Service'!M62</f>
        <v>140657.3029627613</v>
      </c>
      <c r="O99" s="28">
        <f>+'3.0 Plant in Service'!N62</f>
        <v>217803.9551895075</v>
      </c>
      <c r="P99" s="28">
        <f>+'3.0 Plant in Service'!O62</f>
        <v>256166.90218674668</v>
      </c>
      <c r="Q99" s="146">
        <f>SUM(E99:P99)</f>
        <v>1323192</v>
      </c>
    </row>
    <row r="100" spans="2:17" ht="12">
      <c r="B100" s="10" t="s">
        <v>175</v>
      </c>
      <c r="C100" s="138"/>
      <c r="D100" s="144"/>
      <c r="E100" s="93">
        <f>+'3.0 Plant in Service'!D71</f>
        <v>-4549.750148146491</v>
      </c>
      <c r="F100" s="93">
        <f>+'3.0 Plant in Service'!E71</f>
        <v>-6255.926978396235</v>
      </c>
      <c r="G100" s="93">
        <f>+'3.0 Plant in Service'!F71</f>
        <v>-11374.402736625974</v>
      </c>
      <c r="H100" s="93">
        <f>+'3.0 Plant in Service'!G71</f>
        <v>-12511.85395679247</v>
      </c>
      <c r="I100" s="93">
        <f>+'3.0 Plant in Service'!H71</f>
        <v>-13649.277810699221</v>
      </c>
      <c r="J100" s="93">
        <f>+'3.0 Plant in Service'!I71</f>
        <v>-14218.003420782468</v>
      </c>
      <c r="K100" s="93">
        <f>+'3.0 Plant in Service'!J71</f>
        <v>-11374.402736625974</v>
      </c>
      <c r="L100" s="93">
        <f>+'3.0 Plant in Service'!K71</f>
        <v>-10521.314321501102</v>
      </c>
      <c r="M100" s="93">
        <f>+'3.0 Plant in Service'!L71</f>
        <v>-12227.491151750846</v>
      </c>
      <c r="N100" s="93">
        <f>+'3.0 Plant in Service'!M71</f>
        <v>-10236.951516459478</v>
      </c>
      <c r="O100" s="93">
        <f>+'3.0 Plant in Service'!N71</f>
        <v>-4549.750148146491</v>
      </c>
      <c r="P100" s="93">
        <f>+'3.0 Plant in Service'!O71</f>
        <v>-2274.8750740732453</v>
      </c>
      <c r="Q100" s="146"/>
    </row>
    <row r="101" spans="2:17" ht="12">
      <c r="B101" s="10" t="s">
        <v>265</v>
      </c>
      <c r="C101" s="138"/>
      <c r="D101" s="144"/>
      <c r="E101" s="28">
        <f aca="true" t="shared" si="34" ref="E101:P101">SUM(E99:E100)</f>
        <v>30438.38041144695</v>
      </c>
      <c r="F101" s="28">
        <f t="shared" si="34"/>
        <v>79055.1064981212</v>
      </c>
      <c r="G101" s="28">
        <f t="shared" si="34"/>
        <v>79835.16801652493</v>
      </c>
      <c r="H101" s="28">
        <f t="shared" si="34"/>
        <v>58918.36871155782</v>
      </c>
      <c r="I101" s="28">
        <f t="shared" si="34"/>
        <v>50752.87357013293</v>
      </c>
      <c r="J101" s="28">
        <f t="shared" si="34"/>
        <v>58369.19840185021</v>
      </c>
      <c r="K101" s="28">
        <f t="shared" si="34"/>
        <v>70378.86003733282</v>
      </c>
      <c r="L101" s="28">
        <f t="shared" si="34"/>
        <v>108571.97735288984</v>
      </c>
      <c r="M101" s="28">
        <f t="shared" si="34"/>
        <v>75561.48339980723</v>
      </c>
      <c r="N101" s="28">
        <f t="shared" si="34"/>
        <v>130420.35144630184</v>
      </c>
      <c r="O101" s="28">
        <f t="shared" si="34"/>
        <v>213254.205041361</v>
      </c>
      <c r="P101" s="28">
        <f t="shared" si="34"/>
        <v>253892.02711267344</v>
      </c>
      <c r="Q101" s="146">
        <f>SUM(D101:P101)+D102</f>
        <v>1209448.0000000002</v>
      </c>
    </row>
    <row r="102" spans="2:17" ht="12">
      <c r="B102" s="10" t="s">
        <v>171</v>
      </c>
      <c r="C102" s="138"/>
      <c r="D102" s="144">
        <f>+Q26</f>
        <v>0</v>
      </c>
      <c r="E102" s="28">
        <f aca="true" t="shared" si="35" ref="E102:P102">+E101+D102</f>
        <v>30438.38041144695</v>
      </c>
      <c r="F102" s="28">
        <f t="shared" si="35"/>
        <v>109493.48690956815</v>
      </c>
      <c r="G102" s="28">
        <f t="shared" si="35"/>
        <v>189328.65492609306</v>
      </c>
      <c r="H102" s="28">
        <f t="shared" si="35"/>
        <v>248247.02363765088</v>
      </c>
      <c r="I102" s="28">
        <f t="shared" si="35"/>
        <v>298999.8972077838</v>
      </c>
      <c r="J102" s="28">
        <f t="shared" si="35"/>
        <v>357369.09560963407</v>
      </c>
      <c r="K102" s="28">
        <f t="shared" si="35"/>
        <v>427747.9556469669</v>
      </c>
      <c r="L102" s="28">
        <f t="shared" si="35"/>
        <v>536319.9329998568</v>
      </c>
      <c r="M102" s="28">
        <f t="shared" si="35"/>
        <v>611881.416399664</v>
      </c>
      <c r="N102" s="28">
        <f t="shared" si="35"/>
        <v>742301.7678459658</v>
      </c>
      <c r="O102" s="28">
        <f t="shared" si="35"/>
        <v>955555.9728873268</v>
      </c>
      <c r="P102" s="28">
        <f t="shared" si="35"/>
        <v>1209448.0000000002</v>
      </c>
      <c r="Q102" s="146"/>
    </row>
    <row r="103" spans="2:17" ht="12">
      <c r="B103" s="10"/>
      <c r="C103" s="138"/>
      <c r="D103" s="144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146"/>
    </row>
    <row r="104" spans="2:17" ht="12">
      <c r="B104" s="10" t="s">
        <v>172</v>
      </c>
      <c r="C104" s="138"/>
      <c r="D104" s="144"/>
      <c r="E104" s="28">
        <f>ROUND($C98*D102,0)</f>
        <v>0</v>
      </c>
      <c r="F104" s="28">
        <f aca="true" t="shared" si="36" ref="F104:P104">ROUND($C98*E102,0)</f>
        <v>64</v>
      </c>
      <c r="G104" s="28">
        <f t="shared" si="36"/>
        <v>230</v>
      </c>
      <c r="H104" s="28">
        <f t="shared" si="36"/>
        <v>398</v>
      </c>
      <c r="I104" s="28">
        <f t="shared" si="36"/>
        <v>521</v>
      </c>
      <c r="J104" s="28">
        <f t="shared" si="36"/>
        <v>628</v>
      </c>
      <c r="K104" s="28">
        <f t="shared" si="36"/>
        <v>750</v>
      </c>
      <c r="L104" s="28">
        <f t="shared" si="36"/>
        <v>898</v>
      </c>
      <c r="M104" s="28">
        <f t="shared" si="36"/>
        <v>1126</v>
      </c>
      <c r="N104" s="28">
        <f t="shared" si="36"/>
        <v>1285</v>
      </c>
      <c r="O104" s="28">
        <f t="shared" si="36"/>
        <v>1559</v>
      </c>
      <c r="P104" s="28">
        <f t="shared" si="36"/>
        <v>2007</v>
      </c>
      <c r="Q104" s="146"/>
    </row>
    <row r="105" spans="2:17" ht="12">
      <c r="B105" s="10" t="s">
        <v>173</v>
      </c>
      <c r="C105" s="138"/>
      <c r="D105" s="144"/>
      <c r="E105" s="93">
        <f>ROUND($C98*E101*0.5,3)</f>
        <v>31.96</v>
      </c>
      <c r="F105" s="93">
        <f aca="true" t="shared" si="37" ref="F105:P105">ROUND($C98*F101*0.5,3)</f>
        <v>83.008</v>
      </c>
      <c r="G105" s="93">
        <f t="shared" si="37"/>
        <v>83.827</v>
      </c>
      <c r="H105" s="93">
        <f t="shared" si="37"/>
        <v>61.864</v>
      </c>
      <c r="I105" s="93">
        <f t="shared" si="37"/>
        <v>53.291</v>
      </c>
      <c r="J105" s="93">
        <f t="shared" si="37"/>
        <v>61.288</v>
      </c>
      <c r="K105" s="93">
        <f t="shared" si="37"/>
        <v>73.898</v>
      </c>
      <c r="L105" s="93">
        <f t="shared" si="37"/>
        <v>114.001</v>
      </c>
      <c r="M105" s="93">
        <f t="shared" si="37"/>
        <v>79.34</v>
      </c>
      <c r="N105" s="93">
        <f t="shared" si="37"/>
        <v>136.941</v>
      </c>
      <c r="O105" s="93">
        <f t="shared" si="37"/>
        <v>223.917</v>
      </c>
      <c r="P105" s="93">
        <f t="shared" si="37"/>
        <v>266.587</v>
      </c>
      <c r="Q105" s="146"/>
    </row>
    <row r="106" spans="2:17" ht="12">
      <c r="B106" s="10" t="s">
        <v>176</v>
      </c>
      <c r="C106" s="138"/>
      <c r="D106" s="144"/>
      <c r="E106" s="28">
        <f aca="true" t="shared" si="38" ref="E106:P106">SUM(E104:E105)</f>
        <v>31.96</v>
      </c>
      <c r="F106" s="28">
        <f t="shared" si="38"/>
        <v>147.00799999999998</v>
      </c>
      <c r="G106" s="28">
        <f t="shared" si="38"/>
        <v>313.827</v>
      </c>
      <c r="H106" s="28">
        <f t="shared" si="38"/>
        <v>459.864</v>
      </c>
      <c r="I106" s="28">
        <f t="shared" si="38"/>
        <v>574.2909999999999</v>
      </c>
      <c r="J106" s="28">
        <f t="shared" si="38"/>
        <v>689.288</v>
      </c>
      <c r="K106" s="28">
        <f t="shared" si="38"/>
        <v>823.898</v>
      </c>
      <c r="L106" s="28">
        <f t="shared" si="38"/>
        <v>1012.001</v>
      </c>
      <c r="M106" s="28">
        <f t="shared" si="38"/>
        <v>1205.34</v>
      </c>
      <c r="N106" s="28">
        <f t="shared" si="38"/>
        <v>1421.941</v>
      </c>
      <c r="O106" s="28">
        <f t="shared" si="38"/>
        <v>1782.917</v>
      </c>
      <c r="P106" s="28">
        <f t="shared" si="38"/>
        <v>2273.587</v>
      </c>
      <c r="Q106" s="146">
        <f>SUM(E106:P106)</f>
        <v>10735.921999999999</v>
      </c>
    </row>
    <row r="107" spans="2:17" ht="12">
      <c r="B107" s="10"/>
      <c r="C107" s="138"/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6"/>
    </row>
    <row r="108" spans="2:17" ht="12">
      <c r="B108" s="10" t="s">
        <v>143</v>
      </c>
      <c r="C108" s="138">
        <f>3.98%/12</f>
        <v>0.003316666666666667</v>
      </c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6"/>
    </row>
    <row r="109" spans="2:17" ht="12">
      <c r="B109" s="10" t="s">
        <v>174</v>
      </c>
      <c r="C109" s="138"/>
      <c r="D109" s="144"/>
      <c r="E109" s="28">
        <f>+'3.0 Plant in Service'!D63</f>
        <v>322196.8063536372</v>
      </c>
      <c r="F109" s="28">
        <f>+'3.0 Plant in Service'!E63</f>
        <v>785607.6358822627</v>
      </c>
      <c r="G109" s="28">
        <f>+'3.0 Plant in Service'!F63</f>
        <v>839925.7672683388</v>
      </c>
      <c r="H109" s="28">
        <f>+'3.0 Plant in Service'!G63</f>
        <v>657782.7752663753</v>
      </c>
      <c r="I109" s="28">
        <f>+'3.0 Plant in Service'!H63</f>
        <v>593063.0521074836</v>
      </c>
      <c r="J109" s="28">
        <f>+'3.0 Plant in Service'!I63</f>
        <v>668437.1023929013</v>
      </c>
      <c r="K109" s="28">
        <f>+'3.0 Plant in Service'!J63</f>
        <v>752845.0292562671</v>
      </c>
      <c r="L109" s="28">
        <f>+'3.0 Plant in Service'!K63</f>
        <v>1096699.8699823318</v>
      </c>
      <c r="M109" s="28">
        <f>+'3.0 Plant in Service'!L63</f>
        <v>808426.3657755544</v>
      </c>
      <c r="N109" s="28">
        <f>+'3.0 Plant in Service'!M63</f>
        <v>1295277.3720712985</v>
      </c>
      <c r="O109" s="28">
        <f>+'3.0 Plant in Service'!N63</f>
        <v>2005701.2950069848</v>
      </c>
      <c r="P109" s="28">
        <f>+'3.0 Plant in Service'!O63</f>
        <v>2358975.928636566</v>
      </c>
      <c r="Q109" s="146">
        <f>SUM(E109:P109)</f>
        <v>12184939.000000002</v>
      </c>
    </row>
    <row r="110" spans="2:17" ht="12">
      <c r="B110" s="10" t="s">
        <v>175</v>
      </c>
      <c r="C110" s="138"/>
      <c r="D110" s="144"/>
      <c r="E110" s="93">
        <f>+'3.0 Plant in Service'!D72</f>
        <v>-110019.48176805708</v>
      </c>
      <c r="F110" s="93">
        <f>+'3.0 Plant in Service'!E72</f>
        <v>-151277.28374762624</v>
      </c>
      <c r="G110" s="93">
        <f>+'3.0 Plant in Service'!F72</f>
        <v>-275049.3661755397</v>
      </c>
      <c r="H110" s="93">
        <f>+'3.0 Plant in Service'!G72</f>
        <v>-302554.5674952525</v>
      </c>
      <c r="I110" s="93">
        <f>+'3.0 Plant in Service'!H72</f>
        <v>-330059.1070595682</v>
      </c>
      <c r="J110" s="93">
        <f>+'3.0 Plant in Service'!I72</f>
        <v>-343811.7077194246</v>
      </c>
      <c r="K110" s="93">
        <f>+'3.0 Plant in Service'!J72</f>
        <v>-275049.3661755397</v>
      </c>
      <c r="L110" s="93">
        <f>+'3.0 Plant in Service'!K72</f>
        <v>-254420.4651857551</v>
      </c>
      <c r="M110" s="93">
        <f>+'3.0 Plant in Service'!L72</f>
        <v>-295678.26716532424</v>
      </c>
      <c r="N110" s="93">
        <f>+'3.0 Plant in Service'!M72</f>
        <v>-247544.16485582694</v>
      </c>
      <c r="O110" s="93">
        <f>+'3.0 Plant in Service'!N72</f>
        <v>-110019.48176805708</v>
      </c>
      <c r="P110" s="93">
        <f>+'3.0 Plant in Service'!O72</f>
        <v>-55009.74088402854</v>
      </c>
      <c r="Q110" s="146"/>
    </row>
    <row r="111" spans="2:17" ht="12">
      <c r="B111" s="10" t="s">
        <v>265</v>
      </c>
      <c r="C111" s="138"/>
      <c r="D111" s="144"/>
      <c r="E111" s="28">
        <f aca="true" t="shared" si="39" ref="E111:P111">SUM(E109:E110)</f>
        <v>212177.3245855801</v>
      </c>
      <c r="F111" s="28">
        <f t="shared" si="39"/>
        <v>634330.3521346365</v>
      </c>
      <c r="G111" s="28">
        <f t="shared" si="39"/>
        <v>564876.4010927991</v>
      </c>
      <c r="H111" s="28">
        <f t="shared" si="39"/>
        <v>355228.2077711228</v>
      </c>
      <c r="I111" s="28">
        <f t="shared" si="39"/>
        <v>263003.9450479154</v>
      </c>
      <c r="J111" s="28">
        <f t="shared" si="39"/>
        <v>324625.3946734767</v>
      </c>
      <c r="K111" s="28">
        <f t="shared" si="39"/>
        <v>477795.66308072745</v>
      </c>
      <c r="L111" s="28">
        <f t="shared" si="39"/>
        <v>842279.4047965766</v>
      </c>
      <c r="M111" s="28">
        <f t="shared" si="39"/>
        <v>512748.0986102302</v>
      </c>
      <c r="N111" s="28">
        <f t="shared" si="39"/>
        <v>1047733.2072154717</v>
      </c>
      <c r="O111" s="28">
        <f t="shared" si="39"/>
        <v>1895681.8132389279</v>
      </c>
      <c r="P111" s="28">
        <f t="shared" si="39"/>
        <v>2303966.1877525374</v>
      </c>
      <c r="Q111" s="146">
        <f>SUM(D111:P111)+D112</f>
        <v>9434446.000000002</v>
      </c>
    </row>
    <row r="112" spans="2:17" ht="12">
      <c r="B112" s="10" t="s">
        <v>171</v>
      </c>
      <c r="C112" s="138"/>
      <c r="D112" s="144">
        <f>+Q36</f>
        <v>0</v>
      </c>
      <c r="E112" s="28">
        <f aca="true" t="shared" si="40" ref="E112:P112">+E111+D112</f>
        <v>212177.3245855801</v>
      </c>
      <c r="F112" s="28">
        <f t="shared" si="40"/>
        <v>846507.6767202166</v>
      </c>
      <c r="G112" s="28">
        <f t="shared" si="40"/>
        <v>1411384.0778130158</v>
      </c>
      <c r="H112" s="28">
        <f t="shared" si="40"/>
        <v>1766612.2855841387</v>
      </c>
      <c r="I112" s="28">
        <f t="shared" si="40"/>
        <v>2029616.2306320542</v>
      </c>
      <c r="J112" s="28">
        <f t="shared" si="40"/>
        <v>2354241.6253055306</v>
      </c>
      <c r="K112" s="28">
        <f t="shared" si="40"/>
        <v>2832037.2883862583</v>
      </c>
      <c r="L112" s="28">
        <f t="shared" si="40"/>
        <v>3674316.693182835</v>
      </c>
      <c r="M112" s="28">
        <f t="shared" si="40"/>
        <v>4187064.791793065</v>
      </c>
      <c r="N112" s="28">
        <f t="shared" si="40"/>
        <v>5234797.999008536</v>
      </c>
      <c r="O112" s="28">
        <f t="shared" si="40"/>
        <v>7130479.812247464</v>
      </c>
      <c r="P112" s="28">
        <f t="shared" si="40"/>
        <v>9434446.000000002</v>
      </c>
      <c r="Q112" s="146"/>
    </row>
    <row r="113" spans="2:17" ht="12">
      <c r="B113" s="10"/>
      <c r="C113" s="138"/>
      <c r="D113" s="144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146"/>
    </row>
    <row r="114" spans="2:17" ht="12">
      <c r="B114" s="10" t="s">
        <v>172</v>
      </c>
      <c r="C114" s="138"/>
      <c r="D114" s="144"/>
      <c r="E114" s="28">
        <f>ROUND($C108*D112,0)</f>
        <v>0</v>
      </c>
      <c r="F114" s="28">
        <f aca="true" t="shared" si="41" ref="F114:P114">ROUND($C108*E112,0)</f>
        <v>704</v>
      </c>
      <c r="G114" s="28">
        <f t="shared" si="41"/>
        <v>2808</v>
      </c>
      <c r="H114" s="28">
        <f t="shared" si="41"/>
        <v>4681</v>
      </c>
      <c r="I114" s="28">
        <f t="shared" si="41"/>
        <v>5859</v>
      </c>
      <c r="J114" s="28">
        <f t="shared" si="41"/>
        <v>6732</v>
      </c>
      <c r="K114" s="28">
        <f t="shared" si="41"/>
        <v>7808</v>
      </c>
      <c r="L114" s="28">
        <f t="shared" si="41"/>
        <v>9393</v>
      </c>
      <c r="M114" s="28">
        <f t="shared" si="41"/>
        <v>12186</v>
      </c>
      <c r="N114" s="28">
        <f t="shared" si="41"/>
        <v>13887</v>
      </c>
      <c r="O114" s="28">
        <f t="shared" si="41"/>
        <v>17362</v>
      </c>
      <c r="P114" s="28">
        <f t="shared" si="41"/>
        <v>23649</v>
      </c>
      <c r="Q114" s="146"/>
    </row>
    <row r="115" spans="2:17" ht="12">
      <c r="B115" s="10" t="s">
        <v>173</v>
      </c>
      <c r="C115" s="138"/>
      <c r="D115" s="144"/>
      <c r="E115" s="93">
        <f>ROUND($C108*E111*0.5,3)</f>
        <v>351.861</v>
      </c>
      <c r="F115" s="93">
        <f aca="true" t="shared" si="42" ref="F115:P115">ROUND($C108*F111*0.5,3)</f>
        <v>1051.931</v>
      </c>
      <c r="G115" s="93">
        <f t="shared" si="42"/>
        <v>936.753</v>
      </c>
      <c r="H115" s="93">
        <f t="shared" si="42"/>
        <v>589.087</v>
      </c>
      <c r="I115" s="93">
        <f t="shared" si="42"/>
        <v>436.148</v>
      </c>
      <c r="J115" s="93">
        <f t="shared" si="42"/>
        <v>538.337</v>
      </c>
      <c r="K115" s="93">
        <f t="shared" si="42"/>
        <v>792.344</v>
      </c>
      <c r="L115" s="93">
        <f t="shared" si="42"/>
        <v>1396.78</v>
      </c>
      <c r="M115" s="93">
        <f t="shared" si="42"/>
        <v>850.307</v>
      </c>
      <c r="N115" s="93">
        <f t="shared" si="42"/>
        <v>1737.491</v>
      </c>
      <c r="O115" s="93">
        <f t="shared" si="42"/>
        <v>3143.672</v>
      </c>
      <c r="P115" s="93">
        <f t="shared" si="42"/>
        <v>3820.744</v>
      </c>
      <c r="Q115" s="146"/>
    </row>
    <row r="116" spans="2:17" ht="12">
      <c r="B116" s="10" t="s">
        <v>176</v>
      </c>
      <c r="C116" s="138"/>
      <c r="D116" s="144"/>
      <c r="E116" s="28">
        <f aca="true" t="shared" si="43" ref="E116:P116">SUM(E114:E115)</f>
        <v>351.861</v>
      </c>
      <c r="F116" s="28">
        <f t="shared" si="43"/>
        <v>1755.931</v>
      </c>
      <c r="G116" s="28">
        <f t="shared" si="43"/>
        <v>3744.753</v>
      </c>
      <c r="H116" s="28">
        <f t="shared" si="43"/>
        <v>5270.0869999999995</v>
      </c>
      <c r="I116" s="28">
        <f t="shared" si="43"/>
        <v>6295.148</v>
      </c>
      <c r="J116" s="28">
        <f t="shared" si="43"/>
        <v>7270.3369999999995</v>
      </c>
      <c r="K116" s="28">
        <f t="shared" si="43"/>
        <v>8600.344000000001</v>
      </c>
      <c r="L116" s="28">
        <f t="shared" si="43"/>
        <v>10789.78</v>
      </c>
      <c r="M116" s="28">
        <f t="shared" si="43"/>
        <v>13036.307</v>
      </c>
      <c r="N116" s="28">
        <f t="shared" si="43"/>
        <v>15624.491</v>
      </c>
      <c r="O116" s="28">
        <f t="shared" si="43"/>
        <v>20505.672</v>
      </c>
      <c r="P116" s="28">
        <f t="shared" si="43"/>
        <v>27469.744</v>
      </c>
      <c r="Q116" s="146">
        <f>SUM(E116:P116)</f>
        <v>120714.45499999999</v>
      </c>
    </row>
    <row r="117" spans="2:17" ht="12">
      <c r="B117" s="10"/>
      <c r="C117" s="138"/>
      <c r="D117" s="144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146"/>
    </row>
    <row r="118" spans="2:17" ht="12">
      <c r="B118" s="10" t="s">
        <v>144</v>
      </c>
      <c r="C118" s="138">
        <f>1.77%/12</f>
        <v>0.001475</v>
      </c>
      <c r="D118" s="144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146"/>
    </row>
    <row r="119" spans="2:17" ht="12">
      <c r="B119" s="10" t="s">
        <v>174</v>
      </c>
      <c r="C119" s="138"/>
      <c r="D119" s="144"/>
      <c r="E119" s="28">
        <f>+'3.0 Plant in Service'!D64</f>
        <v>2083.488079819562</v>
      </c>
      <c r="F119" s="28">
        <f>+'3.0 Plant in Service'!E64</f>
        <v>5080.137706204931</v>
      </c>
      <c r="G119" s="28">
        <f>+'3.0 Plant in Service'!F64</f>
        <v>5431.386312737511</v>
      </c>
      <c r="H119" s="28">
        <f>+'3.0 Plant in Service'!G64</f>
        <v>4253.557280372004</v>
      </c>
      <c r="I119" s="28">
        <f>+'3.0 Plant in Service'!H64</f>
        <v>3835.0467021424615</v>
      </c>
      <c r="J119" s="28">
        <f>+'3.0 Plant in Service'!I64</f>
        <v>4322.453567141064</v>
      </c>
      <c r="K119" s="28">
        <f>+'3.0 Plant in Service'!J64</f>
        <v>4868.278063207235</v>
      </c>
      <c r="L119" s="28">
        <f>+'3.0 Plant in Service'!K64</f>
        <v>7091.817985743535</v>
      </c>
      <c r="M119" s="28">
        <f>+'3.0 Plant in Service'!L64</f>
        <v>5227.6951952668</v>
      </c>
      <c r="N119" s="28">
        <f>+'3.0 Plant in Service'!M64</f>
        <v>8375.920901613534</v>
      </c>
      <c r="O119" s="28">
        <f>+'3.0 Plant in Service'!N64</f>
        <v>12969.882560657905</v>
      </c>
      <c r="P119" s="28">
        <f>+'3.0 Plant in Service'!O64</f>
        <v>15254.33564509347</v>
      </c>
      <c r="Q119" s="146">
        <f>SUM(E119:P119)</f>
        <v>78794.00000000001</v>
      </c>
    </row>
    <row r="120" spans="2:17" ht="12">
      <c r="B120" s="10" t="s">
        <v>175</v>
      </c>
      <c r="C120" s="138"/>
      <c r="D120" s="144"/>
      <c r="E120" s="93">
        <f>+'3.0 Plant in Service'!D73</f>
        <v>-1023.5177837140632</v>
      </c>
      <c r="F120" s="93">
        <f>+'3.0 Plant in Service'!E73</f>
        <v>-1407.3415698692052</v>
      </c>
      <c r="G120" s="93">
        <f>+'3.0 Plant in Service'!F73</f>
        <v>-2558.8006156349825</v>
      </c>
      <c r="H120" s="93">
        <f>+'3.0 Plant in Service'!G73</f>
        <v>-2814.6831397384103</v>
      </c>
      <c r="I120" s="93">
        <f>+'3.0 Plant in Service'!H73</f>
        <v>-3070.5595074920143</v>
      </c>
      <c r="J120" s="93">
        <f>+'3.0 Plant in Service'!I73</f>
        <v>-3198.500769543728</v>
      </c>
      <c r="K120" s="93">
        <f>+'3.0 Plant in Service'!J73</f>
        <v>-2558.8006156349825</v>
      </c>
      <c r="L120" s="93">
        <f>+'3.0 Plant in Service'!K73</f>
        <v>-2366.8887225574113</v>
      </c>
      <c r="M120" s="93">
        <f>+'3.0 Plant in Service'!L73</f>
        <v>-2750.7125087125532</v>
      </c>
      <c r="N120" s="93">
        <f>+'3.0 Plant in Service'!M73</f>
        <v>-2302.9180915315546</v>
      </c>
      <c r="O120" s="93">
        <f>+'3.0 Plant in Service'!N73</f>
        <v>-1023.5177837140632</v>
      </c>
      <c r="P120" s="93">
        <f>+'3.0 Plant in Service'!O73</f>
        <v>-511.7588918570316</v>
      </c>
      <c r="Q120" s="146"/>
    </row>
    <row r="121" spans="2:17" ht="12">
      <c r="B121" s="10" t="s">
        <v>265</v>
      </c>
      <c r="C121" s="138"/>
      <c r="D121" s="144"/>
      <c r="E121" s="28">
        <f aca="true" t="shared" si="44" ref="E121:P121">SUM(E119:E120)</f>
        <v>1059.9702961054986</v>
      </c>
      <c r="F121" s="28">
        <f t="shared" si="44"/>
        <v>3672.7961363357263</v>
      </c>
      <c r="G121" s="28">
        <f t="shared" si="44"/>
        <v>2872.5856971025282</v>
      </c>
      <c r="H121" s="28">
        <f t="shared" si="44"/>
        <v>1438.874140633594</v>
      </c>
      <c r="I121" s="28">
        <f t="shared" si="44"/>
        <v>764.4871946504472</v>
      </c>
      <c r="J121" s="28">
        <f t="shared" si="44"/>
        <v>1123.952797597336</v>
      </c>
      <c r="K121" s="28">
        <f t="shared" si="44"/>
        <v>2309.477447572253</v>
      </c>
      <c r="L121" s="28">
        <f t="shared" si="44"/>
        <v>4724.929263186124</v>
      </c>
      <c r="M121" s="28">
        <f t="shared" si="44"/>
        <v>2476.9826865542464</v>
      </c>
      <c r="N121" s="28">
        <f t="shared" si="44"/>
        <v>6073.002810081979</v>
      </c>
      <c r="O121" s="28">
        <f t="shared" si="44"/>
        <v>11946.364776943841</v>
      </c>
      <c r="P121" s="28">
        <f t="shared" si="44"/>
        <v>14742.576753236439</v>
      </c>
      <c r="Q121" s="146">
        <f>SUM(D121:P121)+D122</f>
        <v>53206.000000000015</v>
      </c>
    </row>
    <row r="122" spans="2:17" ht="12">
      <c r="B122" s="10" t="s">
        <v>171</v>
      </c>
      <c r="C122" s="138"/>
      <c r="D122" s="144">
        <f>+Q46</f>
        <v>0</v>
      </c>
      <c r="E122" s="28">
        <f aca="true" t="shared" si="45" ref="E122:P122">+E121+D122</f>
        <v>1059.9702961054986</v>
      </c>
      <c r="F122" s="28">
        <f t="shared" si="45"/>
        <v>4732.766432441225</v>
      </c>
      <c r="G122" s="28">
        <f t="shared" si="45"/>
        <v>7605.352129543753</v>
      </c>
      <c r="H122" s="28">
        <f t="shared" si="45"/>
        <v>9044.226270177347</v>
      </c>
      <c r="I122" s="28">
        <f t="shared" si="45"/>
        <v>9808.713464827793</v>
      </c>
      <c r="J122" s="28">
        <f t="shared" si="45"/>
        <v>10932.66626242513</v>
      </c>
      <c r="K122" s="28">
        <f t="shared" si="45"/>
        <v>13242.143709997383</v>
      </c>
      <c r="L122" s="28">
        <f t="shared" si="45"/>
        <v>17967.07297318351</v>
      </c>
      <c r="M122" s="28">
        <f t="shared" si="45"/>
        <v>20444.055659737754</v>
      </c>
      <c r="N122" s="28">
        <f t="shared" si="45"/>
        <v>26517.058469819734</v>
      </c>
      <c r="O122" s="28">
        <f t="shared" si="45"/>
        <v>38463.423246763574</v>
      </c>
      <c r="P122" s="28">
        <f t="shared" si="45"/>
        <v>53206.000000000015</v>
      </c>
      <c r="Q122" s="146"/>
    </row>
    <row r="123" spans="2:17" ht="12">
      <c r="B123" s="10"/>
      <c r="C123" s="138"/>
      <c r="D123" s="144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146"/>
    </row>
    <row r="124" spans="2:17" ht="12">
      <c r="B124" s="10" t="s">
        <v>172</v>
      </c>
      <c r="C124" s="138"/>
      <c r="D124" s="144"/>
      <c r="E124" s="28">
        <f>ROUND($C118*D122,0)</f>
        <v>0</v>
      </c>
      <c r="F124" s="28">
        <f aca="true" t="shared" si="46" ref="F124:P124">ROUND($C118*E122,0)</f>
        <v>2</v>
      </c>
      <c r="G124" s="28">
        <f t="shared" si="46"/>
        <v>7</v>
      </c>
      <c r="H124" s="28">
        <f t="shared" si="46"/>
        <v>11</v>
      </c>
      <c r="I124" s="28">
        <f t="shared" si="46"/>
        <v>13</v>
      </c>
      <c r="J124" s="28">
        <f t="shared" si="46"/>
        <v>14</v>
      </c>
      <c r="K124" s="28">
        <f t="shared" si="46"/>
        <v>16</v>
      </c>
      <c r="L124" s="28">
        <f t="shared" si="46"/>
        <v>20</v>
      </c>
      <c r="M124" s="28">
        <f t="shared" si="46"/>
        <v>27</v>
      </c>
      <c r="N124" s="28">
        <f t="shared" si="46"/>
        <v>30</v>
      </c>
      <c r="O124" s="28">
        <f t="shared" si="46"/>
        <v>39</v>
      </c>
      <c r="P124" s="28">
        <f t="shared" si="46"/>
        <v>57</v>
      </c>
      <c r="Q124" s="146"/>
    </row>
    <row r="125" spans="2:17" ht="12">
      <c r="B125" s="10" t="s">
        <v>173</v>
      </c>
      <c r="C125" s="138"/>
      <c r="D125" s="144"/>
      <c r="E125" s="93">
        <f>ROUND($C118*E121*0.5,3)</f>
        <v>0.782</v>
      </c>
      <c r="F125" s="93">
        <f aca="true" t="shared" si="47" ref="F125:P125">ROUND($C118*F121*0.5,3)</f>
        <v>2.709</v>
      </c>
      <c r="G125" s="93">
        <f t="shared" si="47"/>
        <v>2.119</v>
      </c>
      <c r="H125" s="93">
        <f t="shared" si="47"/>
        <v>1.061</v>
      </c>
      <c r="I125" s="93">
        <f t="shared" si="47"/>
        <v>0.564</v>
      </c>
      <c r="J125" s="93">
        <f t="shared" si="47"/>
        <v>0.829</v>
      </c>
      <c r="K125" s="93">
        <f t="shared" si="47"/>
        <v>1.703</v>
      </c>
      <c r="L125" s="93">
        <f t="shared" si="47"/>
        <v>3.485</v>
      </c>
      <c r="M125" s="93">
        <f t="shared" si="47"/>
        <v>1.827</v>
      </c>
      <c r="N125" s="93">
        <f t="shared" si="47"/>
        <v>4.479</v>
      </c>
      <c r="O125" s="93">
        <f t="shared" si="47"/>
        <v>8.81</v>
      </c>
      <c r="P125" s="93">
        <f t="shared" si="47"/>
        <v>10.873</v>
      </c>
      <c r="Q125" s="146"/>
    </row>
    <row r="126" spans="2:17" ht="12">
      <c r="B126" s="10" t="s">
        <v>176</v>
      </c>
      <c r="C126" s="138"/>
      <c r="D126" s="144"/>
      <c r="E126" s="28">
        <f aca="true" t="shared" si="48" ref="E126:P126">SUM(E124:E125)</f>
        <v>0.782</v>
      </c>
      <c r="F126" s="28">
        <f t="shared" si="48"/>
        <v>4.709</v>
      </c>
      <c r="G126" s="28">
        <f t="shared" si="48"/>
        <v>9.119</v>
      </c>
      <c r="H126" s="28">
        <f t="shared" si="48"/>
        <v>12.061</v>
      </c>
      <c r="I126" s="28">
        <f t="shared" si="48"/>
        <v>13.564</v>
      </c>
      <c r="J126" s="28">
        <f t="shared" si="48"/>
        <v>14.829</v>
      </c>
      <c r="K126" s="28">
        <f t="shared" si="48"/>
        <v>17.703</v>
      </c>
      <c r="L126" s="28">
        <f t="shared" si="48"/>
        <v>23.485</v>
      </c>
      <c r="M126" s="28">
        <f t="shared" si="48"/>
        <v>28.826999999999998</v>
      </c>
      <c r="N126" s="28">
        <f t="shared" si="48"/>
        <v>34.479</v>
      </c>
      <c r="O126" s="28">
        <f t="shared" si="48"/>
        <v>47.81</v>
      </c>
      <c r="P126" s="28">
        <f t="shared" si="48"/>
        <v>67.873</v>
      </c>
      <c r="Q126" s="146">
        <f>SUM(E126:P126)</f>
        <v>275.241</v>
      </c>
    </row>
    <row r="128" spans="2:17" ht="12">
      <c r="B128" s="10" t="s">
        <v>145</v>
      </c>
      <c r="C128" s="138">
        <f>1.94%/12</f>
        <v>0.0016166666666666666</v>
      </c>
      <c r="D128" s="144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146"/>
    </row>
    <row r="129" spans="2:17" ht="12">
      <c r="B129" s="10" t="s">
        <v>174</v>
      </c>
      <c r="C129" s="138"/>
      <c r="D129" s="144"/>
      <c r="E129" s="28">
        <f>+'3.0 Plant in Service'!D65</f>
        <v>2455.1863301688722</v>
      </c>
      <c r="F129" s="28">
        <f>+'3.0 Plant in Service'!E65</f>
        <v>5986.443969830622</v>
      </c>
      <c r="G129" s="28">
        <f>+'3.0 Plant in Service'!F65</f>
        <v>6400.355998223095</v>
      </c>
      <c r="H129" s="28">
        <f>+'3.0 Plant in Service'!G65</f>
        <v>5012.400018273232</v>
      </c>
      <c r="I129" s="28">
        <f>+'3.0 Plant in Service'!H65</f>
        <v>4519.226354045101</v>
      </c>
      <c r="J129" s="28">
        <f>+'3.0 Plant in Service'!I65</f>
        <v>5093.587534109386</v>
      </c>
      <c r="K129" s="28">
        <f>+'3.0 Plant in Service'!J65</f>
        <v>5736.788162129795</v>
      </c>
      <c r="L129" s="28">
        <f>+'3.0 Plant in Service'!K65</f>
        <v>8357.011851083496</v>
      </c>
      <c r="M129" s="28">
        <f>+'3.0 Plant in Service'!L65</f>
        <v>6160.325996595141</v>
      </c>
      <c r="N129" s="28">
        <f>+'3.0 Plant in Service'!M65</f>
        <v>9870.201178207963</v>
      </c>
      <c r="O129" s="28">
        <f>+'3.0 Plant in Service'!N65</f>
        <v>15283.734366064004</v>
      </c>
      <c r="P129" s="28">
        <f>+'3.0 Plant in Service'!O65</f>
        <v>17975.738241269308</v>
      </c>
      <c r="Q129" s="146">
        <f>SUM(E129:P129)</f>
        <v>92851.00000000003</v>
      </c>
    </row>
    <row r="130" spans="2:17" ht="12">
      <c r="B130" s="10" t="s">
        <v>175</v>
      </c>
      <c r="C130" s="138"/>
      <c r="D130" s="144"/>
      <c r="E130" s="93">
        <f>+'3.0 Plant in Service'!D74</f>
        <v>-113.55975410208791</v>
      </c>
      <c r="F130" s="93">
        <f>+'3.0 Plant in Service'!E74</f>
        <v>-156.14517417768772</v>
      </c>
      <c r="G130" s="93">
        <f>+'3.0 Plant in Service'!F74</f>
        <v>-283.90006830497555</v>
      </c>
      <c r="H130" s="93">
        <f>+'3.0 Plant in Service'!G74</f>
        <v>-312.29034835537544</v>
      </c>
      <c r="I130" s="93">
        <f>+'3.0 Plant in Service'!H74</f>
        <v>-340.6799453560195</v>
      </c>
      <c r="J130" s="93">
        <f>+'3.0 Plant in Service'!I74</f>
        <v>-354.8750853812195</v>
      </c>
      <c r="K130" s="93">
        <f>+'3.0 Plant in Service'!J74</f>
        <v>-283.90006830497555</v>
      </c>
      <c r="L130" s="93">
        <f>+'3.0 Plant in Service'!K74</f>
        <v>-262.60735826717564</v>
      </c>
      <c r="M130" s="93">
        <f>+'3.0 Plant in Service'!L74</f>
        <v>-305.19277834277545</v>
      </c>
      <c r="N130" s="93">
        <f>+'3.0 Plant in Service'!M74</f>
        <v>-255.5097882545757</v>
      </c>
      <c r="O130" s="93">
        <f>+'3.0 Plant in Service'!N74</f>
        <v>-113.55975410208791</v>
      </c>
      <c r="P130" s="93">
        <f>+'3.0 Plant in Service'!O74</f>
        <v>-56.779877051043954</v>
      </c>
      <c r="Q130" s="146"/>
    </row>
    <row r="131" spans="2:17" ht="12">
      <c r="B131" s="10" t="s">
        <v>265</v>
      </c>
      <c r="C131" s="138"/>
      <c r="D131" s="144"/>
      <c r="E131" s="28">
        <f aca="true" t="shared" si="49" ref="E131:P131">SUM(E129:E130)</f>
        <v>2341.6265760667843</v>
      </c>
      <c r="F131" s="28">
        <f t="shared" si="49"/>
        <v>5830.298795652935</v>
      </c>
      <c r="G131" s="28">
        <f t="shared" si="49"/>
        <v>6116.45592991812</v>
      </c>
      <c r="H131" s="28">
        <f t="shared" si="49"/>
        <v>4700.109669917856</v>
      </c>
      <c r="I131" s="28">
        <f t="shared" si="49"/>
        <v>4178.5464086890815</v>
      </c>
      <c r="J131" s="28">
        <f t="shared" si="49"/>
        <v>4738.712448728166</v>
      </c>
      <c r="K131" s="28">
        <f t="shared" si="49"/>
        <v>5452.888093824819</v>
      </c>
      <c r="L131" s="28">
        <f t="shared" si="49"/>
        <v>8094.40449281632</v>
      </c>
      <c r="M131" s="28">
        <f t="shared" si="49"/>
        <v>5855.133218252366</v>
      </c>
      <c r="N131" s="28">
        <f t="shared" si="49"/>
        <v>9614.691389953387</v>
      </c>
      <c r="O131" s="28">
        <f t="shared" si="49"/>
        <v>15170.174611961917</v>
      </c>
      <c r="P131" s="28">
        <f t="shared" si="49"/>
        <v>17918.958364218262</v>
      </c>
      <c r="Q131" s="146">
        <f>SUM(D131:P131)+D132</f>
        <v>90012</v>
      </c>
    </row>
    <row r="132" spans="2:17" ht="12">
      <c r="B132" s="10" t="s">
        <v>171</v>
      </c>
      <c r="C132" s="138"/>
      <c r="D132" s="144">
        <f>+Q56</f>
        <v>0</v>
      </c>
      <c r="E132" s="28">
        <f aca="true" t="shared" si="50" ref="E132:P132">+E131+D132</f>
        <v>2341.6265760667843</v>
      </c>
      <c r="F132" s="28">
        <f t="shared" si="50"/>
        <v>8171.925371719719</v>
      </c>
      <c r="G132" s="28">
        <f t="shared" si="50"/>
        <v>14288.381301637839</v>
      </c>
      <c r="H132" s="28">
        <f t="shared" si="50"/>
        <v>18988.490971555693</v>
      </c>
      <c r="I132" s="28">
        <f t="shared" si="50"/>
        <v>23167.037380244776</v>
      </c>
      <c r="J132" s="28">
        <f t="shared" si="50"/>
        <v>27905.74982897294</v>
      </c>
      <c r="K132" s="28">
        <f t="shared" si="50"/>
        <v>33358.63792279776</v>
      </c>
      <c r="L132" s="28">
        <f t="shared" si="50"/>
        <v>41453.04241561408</v>
      </c>
      <c r="M132" s="28">
        <f t="shared" si="50"/>
        <v>47308.17563386644</v>
      </c>
      <c r="N132" s="28">
        <f t="shared" si="50"/>
        <v>56922.867023819825</v>
      </c>
      <c r="O132" s="28">
        <f t="shared" si="50"/>
        <v>72093.04163578174</v>
      </c>
      <c r="P132" s="28">
        <f t="shared" si="50"/>
        <v>90012</v>
      </c>
      <c r="Q132" s="146"/>
    </row>
    <row r="133" spans="2:17" ht="12">
      <c r="B133" s="10"/>
      <c r="C133" s="138"/>
      <c r="D133" s="144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146"/>
    </row>
    <row r="134" spans="2:17" ht="12">
      <c r="B134" s="10" t="s">
        <v>172</v>
      </c>
      <c r="C134" s="138"/>
      <c r="D134" s="144"/>
      <c r="E134" s="28">
        <f>ROUND($C128*D132,0)</f>
        <v>0</v>
      </c>
      <c r="F134" s="28">
        <f aca="true" t="shared" si="51" ref="F134:P134">ROUND($C128*E132,0)</f>
        <v>4</v>
      </c>
      <c r="G134" s="28">
        <f t="shared" si="51"/>
        <v>13</v>
      </c>
      <c r="H134" s="28">
        <f t="shared" si="51"/>
        <v>23</v>
      </c>
      <c r="I134" s="28">
        <f t="shared" si="51"/>
        <v>31</v>
      </c>
      <c r="J134" s="28">
        <f t="shared" si="51"/>
        <v>37</v>
      </c>
      <c r="K134" s="28">
        <f t="shared" si="51"/>
        <v>45</v>
      </c>
      <c r="L134" s="28">
        <f t="shared" si="51"/>
        <v>54</v>
      </c>
      <c r="M134" s="28">
        <f t="shared" si="51"/>
        <v>67</v>
      </c>
      <c r="N134" s="28">
        <f t="shared" si="51"/>
        <v>76</v>
      </c>
      <c r="O134" s="28">
        <f t="shared" si="51"/>
        <v>92</v>
      </c>
      <c r="P134" s="28">
        <f t="shared" si="51"/>
        <v>117</v>
      </c>
      <c r="Q134" s="146"/>
    </row>
    <row r="135" spans="2:17" ht="12">
      <c r="B135" s="10" t="s">
        <v>173</v>
      </c>
      <c r="C135" s="138"/>
      <c r="D135" s="144"/>
      <c r="E135" s="93">
        <f>ROUND($C128*E131*0.5,3)</f>
        <v>1.893</v>
      </c>
      <c r="F135" s="93">
        <f aca="true" t="shared" si="52" ref="F135:P135">ROUND($C128*F131*0.5,3)</f>
        <v>4.713</v>
      </c>
      <c r="G135" s="93">
        <f t="shared" si="52"/>
        <v>4.944</v>
      </c>
      <c r="H135" s="93">
        <f t="shared" si="52"/>
        <v>3.799</v>
      </c>
      <c r="I135" s="93">
        <f t="shared" si="52"/>
        <v>3.378</v>
      </c>
      <c r="J135" s="93">
        <f t="shared" si="52"/>
        <v>3.83</v>
      </c>
      <c r="K135" s="93">
        <f t="shared" si="52"/>
        <v>4.408</v>
      </c>
      <c r="L135" s="93">
        <f t="shared" si="52"/>
        <v>6.543</v>
      </c>
      <c r="M135" s="93">
        <f t="shared" si="52"/>
        <v>4.733</v>
      </c>
      <c r="N135" s="93">
        <f t="shared" si="52"/>
        <v>7.772</v>
      </c>
      <c r="O135" s="93">
        <f t="shared" si="52"/>
        <v>12.263</v>
      </c>
      <c r="P135" s="93">
        <f t="shared" si="52"/>
        <v>14.484</v>
      </c>
      <c r="Q135" s="146"/>
    </row>
    <row r="136" spans="2:17" ht="12">
      <c r="B136" s="10" t="s">
        <v>176</v>
      </c>
      <c r="C136" s="138"/>
      <c r="D136" s="144"/>
      <c r="E136" s="28">
        <f aca="true" t="shared" si="53" ref="E136:P136">SUM(E134:E135)</f>
        <v>1.893</v>
      </c>
      <c r="F136" s="28">
        <f t="shared" si="53"/>
        <v>8.713000000000001</v>
      </c>
      <c r="G136" s="28">
        <f t="shared" si="53"/>
        <v>17.944</v>
      </c>
      <c r="H136" s="28">
        <f t="shared" si="53"/>
        <v>26.799</v>
      </c>
      <c r="I136" s="28">
        <f t="shared" si="53"/>
        <v>34.378</v>
      </c>
      <c r="J136" s="28">
        <f t="shared" si="53"/>
        <v>40.83</v>
      </c>
      <c r="K136" s="28">
        <f t="shared" si="53"/>
        <v>49.408</v>
      </c>
      <c r="L136" s="28">
        <f t="shared" si="53"/>
        <v>60.543</v>
      </c>
      <c r="M136" s="28">
        <f t="shared" si="53"/>
        <v>71.733</v>
      </c>
      <c r="N136" s="28">
        <f t="shared" si="53"/>
        <v>83.772</v>
      </c>
      <c r="O136" s="28">
        <f t="shared" si="53"/>
        <v>104.263</v>
      </c>
      <c r="P136" s="28">
        <f t="shared" si="53"/>
        <v>131.484</v>
      </c>
      <c r="Q136" s="146">
        <f>SUM(E136:P136)</f>
        <v>631.7600000000001</v>
      </c>
    </row>
    <row r="138" spans="2:17" ht="12">
      <c r="B138" s="10" t="s">
        <v>177</v>
      </c>
      <c r="E138" s="146">
        <f>+E96+E106+E116+E126+E136</f>
        <v>872.9630000000001</v>
      </c>
      <c r="F138" s="146">
        <f aca="true" t="shared" si="54" ref="F138:P138">+F96+F106+F116+F126+F136</f>
        <v>4128.240999999999</v>
      </c>
      <c r="G138" s="146">
        <f t="shared" si="54"/>
        <v>8810.101</v>
      </c>
      <c r="H138" s="146">
        <f t="shared" si="54"/>
        <v>12724.825</v>
      </c>
      <c r="I138" s="146">
        <f t="shared" si="54"/>
        <v>15669.317000000001</v>
      </c>
      <c r="J138" s="146">
        <f t="shared" si="54"/>
        <v>18562.426000000003</v>
      </c>
      <c r="K138" s="146">
        <f t="shared" si="54"/>
        <v>22123.928000000004</v>
      </c>
      <c r="L138" s="146">
        <f t="shared" si="54"/>
        <v>27356.780000000002</v>
      </c>
      <c r="M138" s="146">
        <f t="shared" si="54"/>
        <v>32734.957000000002</v>
      </c>
      <c r="N138" s="146">
        <f t="shared" si="54"/>
        <v>38812.14199999999</v>
      </c>
      <c r="O138" s="146">
        <f t="shared" si="54"/>
        <v>49419.100999999995</v>
      </c>
      <c r="P138" s="146">
        <f t="shared" si="54"/>
        <v>64108.693999999996</v>
      </c>
      <c r="Q138" s="146">
        <f>SUM(E138:P138)</f>
        <v>295323.475</v>
      </c>
    </row>
    <row r="139" spans="2:16" ht="12">
      <c r="B139" s="10" t="s">
        <v>178</v>
      </c>
      <c r="D139" s="146">
        <f>+Q63</f>
        <v>0</v>
      </c>
      <c r="E139" s="146">
        <f aca="true" t="shared" si="55" ref="E139:P139">+E138+D139</f>
        <v>872.9630000000001</v>
      </c>
      <c r="F139" s="146">
        <f t="shared" si="55"/>
        <v>5001.203999999999</v>
      </c>
      <c r="G139" s="146">
        <f t="shared" si="55"/>
        <v>13811.305</v>
      </c>
      <c r="H139" s="146">
        <f t="shared" si="55"/>
        <v>26536.13</v>
      </c>
      <c r="I139" s="146">
        <f t="shared" si="55"/>
        <v>42205.447</v>
      </c>
      <c r="J139" s="146">
        <f t="shared" si="55"/>
        <v>60767.87300000001</v>
      </c>
      <c r="K139" s="146">
        <f t="shared" si="55"/>
        <v>82891.801</v>
      </c>
      <c r="L139" s="146">
        <f t="shared" si="55"/>
        <v>110248.581</v>
      </c>
      <c r="M139" s="146">
        <f t="shared" si="55"/>
        <v>142983.538</v>
      </c>
      <c r="N139" s="146">
        <f t="shared" si="55"/>
        <v>181795.68</v>
      </c>
      <c r="O139" s="146">
        <f t="shared" si="55"/>
        <v>231214.781</v>
      </c>
      <c r="P139" s="146">
        <f t="shared" si="55"/>
        <v>295323.475</v>
      </c>
    </row>
  </sheetData>
  <sheetProtection/>
  <mergeCells count="6">
    <mergeCell ref="A81:Q81"/>
    <mergeCell ref="A82:Q82"/>
    <mergeCell ref="A5:Q5"/>
    <mergeCell ref="A6:Q6"/>
    <mergeCell ref="A7:Q7"/>
    <mergeCell ref="A80:Q80"/>
  </mergeCells>
  <printOptions/>
  <pageMargins left="0.7" right="0.7" top="0.75" bottom="0.75" header="0.3" footer="0.3"/>
  <pageSetup horizontalDpi="1200" verticalDpi="1200" orientation="landscape" scale="51" r:id="rId1"/>
  <rowBreaks count="1" manualBreakCount="1">
    <brk id="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Ryan \ John</cp:lastModifiedBy>
  <cp:lastPrinted>2022-10-07T17:57:21Z</cp:lastPrinted>
  <dcterms:created xsi:type="dcterms:W3CDTF">2006-12-27T16:37:29Z</dcterms:created>
  <dcterms:modified xsi:type="dcterms:W3CDTF">2022-12-05T22:12:52Z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K4XLRetrievePerWS">
    <vt:lpwstr>Y</vt:lpwstr>
  </property>
  <property fmtid="{D5CDD505-2E9C-101B-9397-08002B2CF9AE}" pid="4" name="K4XLScatterRefresh">
    <vt:lpwstr>N</vt:lpwstr>
  </property>
  <property fmtid="{D5CDD505-2E9C-101B-9397-08002B2CF9AE}" pid="5" name="K4XLVersion">
    <vt:lpwstr>7.1.4.2171.24</vt:lpwstr>
  </property>
  <property fmtid="{D5CDD505-2E9C-101B-9397-08002B2CF9AE}" pid="6" name="K4XL KID">
    <vt:lpwstr/>
  </property>
  <property fmtid="{D5CDD505-2E9C-101B-9397-08002B2CF9AE}" pid="7" name="K4XL DBKID">
    <vt:lpwstr/>
  </property>
</Properties>
</file>