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SUPPLIERS COSTS" sheetId="1" r:id="rId1"/>
    <sheet name="Nov" sheetId="2" r:id="rId2"/>
  </sheets>
  <externalReferences>
    <externalReference r:id="rId5"/>
  </externalReferences>
  <definedNames>
    <definedName name="_xlnm.Print_Area" localSheetId="1">'Nov'!$A$1:$H$56</definedName>
    <definedName name="_xlnm.Print_Area" localSheetId="0">'SUPPLIERS COSTS'!$A$1:$F$30</definedName>
  </definedNames>
  <calcPr fullCalcOnLoad="1"/>
</workbook>
</file>

<file path=xl/sharedStrings.xml><?xml version="1.0" encoding="utf-8"?>
<sst xmlns="http://schemas.openxmlformats.org/spreadsheetml/2006/main" count="165" uniqueCount="126">
  <si>
    <t>SCHEDULE II</t>
  </si>
  <si>
    <t>TOTAL TENNESSEE VOLUMES:</t>
  </si>
  <si>
    <t>DTH</t>
  </si>
  <si>
    <t>FIXED OR</t>
  </si>
  <si>
    <t>VOLUMES</t>
  </si>
  <si>
    <t>VARIABLE</t>
  </si>
  <si>
    <t>RATES</t>
  </si>
  <si>
    <t>COST</t>
  </si>
  <si>
    <t>FT-G RESERVATION RATE - ZONE 0-2</t>
  </si>
  <si>
    <t>1.</t>
  </si>
  <si>
    <t>F</t>
  </si>
  <si>
    <t>2.</t>
  </si>
  <si>
    <t>FT-G RESERVATION RATE - ZONE 1-2</t>
  </si>
  <si>
    <t>3.</t>
  </si>
  <si>
    <t>4.</t>
  </si>
  <si>
    <t>FT-G COMMODITY RATE - ZONE 0-2</t>
  </si>
  <si>
    <t>5.</t>
  </si>
  <si>
    <t>V</t>
  </si>
  <si>
    <t>6.</t>
  </si>
  <si>
    <t>FT-G COMMODITY RATE - ZONE 1-2</t>
  </si>
  <si>
    <t>7.</t>
  </si>
  <si>
    <t>8.</t>
  </si>
  <si>
    <t>FT-A RESERVATION RATE - ZONE 0-2</t>
  </si>
  <si>
    <t>9.</t>
  </si>
  <si>
    <t>10.</t>
  </si>
  <si>
    <t>FT-A RESERVATION RATE - ZONE 1-2</t>
  </si>
  <si>
    <t>11.</t>
  </si>
  <si>
    <t>12.</t>
  </si>
  <si>
    <t>FT-A RESERVATION RATE - ZONE 3-2</t>
  </si>
  <si>
    <t>13.</t>
  </si>
  <si>
    <t>14.</t>
  </si>
  <si>
    <t>FT-A COMMODITY RATE - ZONE 0-2</t>
  </si>
  <si>
    <t>15.</t>
  </si>
  <si>
    <t>16.</t>
  </si>
  <si>
    <t>FT-A COMMODITY RATE - ZONE 1-2</t>
  </si>
  <si>
    <t>17.</t>
  </si>
  <si>
    <t>18.</t>
  </si>
  <si>
    <t>FT-A COMMODITY RATE - ZONE 3-2</t>
  </si>
  <si>
    <t>19.</t>
  </si>
  <si>
    <t>20.</t>
  </si>
  <si>
    <t>FUEL &amp; RETENTION - ZONE 0-2</t>
  </si>
  <si>
    <t>21.</t>
  </si>
  <si>
    <t>22.</t>
  </si>
  <si>
    <t>FUEL &amp; RETENTION - ZONE 1-2</t>
  </si>
  <si>
    <t>23.</t>
  </si>
  <si>
    <t>24.</t>
  </si>
  <si>
    <t>FUEL &amp; RETENTION - ZONE 3-2</t>
  </si>
  <si>
    <t>25.</t>
  </si>
  <si>
    <t>26.</t>
  </si>
  <si>
    <t>SUB-TOTAL</t>
  </si>
  <si>
    <t>FS-PA DELIVERABILITY RATE</t>
  </si>
  <si>
    <t>27.</t>
  </si>
  <si>
    <t>28.</t>
  </si>
  <si>
    <t>FS-PA INJECTION RATE</t>
  </si>
  <si>
    <t>29.</t>
  </si>
  <si>
    <t>30.</t>
  </si>
  <si>
    <t>FS-PA WITHDRAWAL RATE</t>
  </si>
  <si>
    <t>31.</t>
  </si>
  <si>
    <t>32.</t>
  </si>
  <si>
    <t>FS-PA SPACE RATE</t>
  </si>
  <si>
    <t>33.</t>
  </si>
  <si>
    <t>34.</t>
  </si>
  <si>
    <t>FS-PA RETENTION</t>
  </si>
  <si>
    <t>35.</t>
  </si>
  <si>
    <t>36.</t>
  </si>
  <si>
    <t>FS-MA DELIVERABILITY RATE</t>
  </si>
  <si>
    <t>37.</t>
  </si>
  <si>
    <t>38.</t>
  </si>
  <si>
    <t>FS-MA INJECTION RATE</t>
  </si>
  <si>
    <t>39.</t>
  </si>
  <si>
    <t>40.</t>
  </si>
  <si>
    <t>FS-MA WITHDRAWAL RATE</t>
  </si>
  <si>
    <t>41.</t>
  </si>
  <si>
    <t>42.</t>
  </si>
  <si>
    <t>FS-MA SPACE RATE</t>
  </si>
  <si>
    <t>43.</t>
  </si>
  <si>
    <t>44.</t>
  </si>
  <si>
    <t>FS-MA RETENTION</t>
  </si>
  <si>
    <t>45.</t>
  </si>
  <si>
    <t>46.</t>
  </si>
  <si>
    <t>GTS COMMODITY RATE</t>
  </si>
  <si>
    <t>47.</t>
  </si>
  <si>
    <t>48.</t>
  </si>
  <si>
    <t>FUEL &amp; RETENTION</t>
  </si>
  <si>
    <t>49.</t>
  </si>
  <si>
    <t>50.</t>
  </si>
  <si>
    <t>TOTAL COLUMBIA GAS TRANSMISSION CHARGES</t>
  </si>
  <si>
    <t>51.</t>
  </si>
  <si>
    <t>52.</t>
  </si>
  <si>
    <t>53.</t>
  </si>
  <si>
    <t>54.</t>
  </si>
  <si>
    <t>55.</t>
  </si>
  <si>
    <t>56.</t>
  </si>
  <si>
    <t>TOTAL COLUMBIA GULF CORPORATION CHARGES</t>
  </si>
  <si>
    <t>TOTAL PIPELINE CHARGES</t>
  </si>
  <si>
    <t>DELTA NATURAL GAS COMPANY, INC.</t>
  </si>
  <si>
    <t>AT SUPPLIERS COSTS EFFECTIVE</t>
  </si>
  <si>
    <t>MCF</t>
  </si>
  <si>
    <t>CONV</t>
  </si>
  <si>
    <t>SUPPLIER</t>
  </si>
  <si>
    <t>FACTOR</t>
  </si>
  <si>
    <t>($)</t>
  </si>
  <si>
    <t>TOTAL</t>
  </si>
  <si>
    <t>TOTAL TENNESSEE GAS PIPELINE CHARGES</t>
  </si>
  <si>
    <t>PAGE 2 OF 2</t>
  </si>
  <si>
    <t>PAGE 1 OF 2</t>
  </si>
  <si>
    <t>EGC Rate</t>
  </si>
  <si>
    <t>Rate</t>
  </si>
  <si>
    <t>Increase (I)/</t>
  </si>
  <si>
    <t>Reduction (R)</t>
  </si>
  <si>
    <t>Previous EGC Rate</t>
  </si>
  <si>
    <t>Difference</t>
  </si>
  <si>
    <t>MCF PURCHASES FOR THREE MONTHS BEGINNING</t>
  </si>
  <si>
    <t>PURCHASES</t>
  </si>
  <si>
    <t>QUARTERLY</t>
  </si>
  <si>
    <t>COMPANY USAGE</t>
  </si>
  <si>
    <t>Total Est. Sales for Three Months Beginning</t>
  </si>
  <si>
    <t>Quarterly % of MDQ's:</t>
  </si>
  <si>
    <t>Fixed:</t>
  </si>
  <si>
    <t>Variable:</t>
  </si>
  <si>
    <t>FTS RESERVATION RATE</t>
  </si>
  <si>
    <t>FTS COMMODITY RATE</t>
  </si>
  <si>
    <t>I</t>
  </si>
  <si>
    <t>TENNESSEE GAS PIPELINE RATES EFFECTIVE 11/01/2022</t>
  </si>
  <si>
    <t>COLUMBIA GAS TRANSMISSION RATES EFFECTIVE 11/01/2022</t>
  </si>
  <si>
    <t>COLUMBIA GULF CORPORATION RATES EFFECTIVE 11/01/2022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</si>
</sst>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\(&quot;$&quot;#,##0.0000\)"/>
    <numFmt numFmtId="165" formatCode="&quot;$&quot;#,##0.000_);[Red]\(&quot;$&quot;#,##0.000\)"/>
    <numFmt numFmtId="166" formatCode="&quot;$&quot;#,##0.00000_);\(&quot;$&quot;#,##0.00000\)"/>
    <numFmt numFmtId="167" formatCode="&quot;$&quot;#,##0.0000_);[Red]\(&quot;$&quot;#,##0.0000\)"/>
    <numFmt numFmtId="168" formatCode="&quot;$&quot;#,##0.000_);\(&quot;$&quot;#,##0.000\)"/>
    <numFmt numFmtId="169" formatCode="&quot;$&quot;#,##0.000"/>
    <numFmt numFmtId="170" formatCode="&quot;$&quot;#,##0.00"/>
    <numFmt numFmtId="171" formatCode="mmmm\ d\,\ yyyy"/>
    <numFmt numFmtId="172" formatCode="&quot;$&quot;#,##0.0000"/>
    <numFmt numFmtId="173" formatCode="0.000"/>
    <numFmt numFmtId="174" formatCode="0.0000"/>
    <numFmt numFmtId="175" formatCode="&quot;$&quot;#,##0.0_);\(&quot;$&quot;#,##0.0\)"/>
    <numFmt numFmtId="176" formatCode="#,##0.000_);[Red]\(#,##0.000\)"/>
    <numFmt numFmtId="177" formatCode="#,##0.0000_);[Red]\(#,##0.0000\)"/>
    <numFmt numFmtId="178" formatCode="0.0000000"/>
    <numFmt numFmtId="179" formatCode="0.00000000"/>
    <numFmt numFmtId="180" formatCode="0.000000000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8"/>
      <color indexed="18"/>
      <name val="MS Sans Serif"/>
      <family val="2"/>
    </font>
    <font>
      <sz val="8"/>
      <color indexed="12"/>
      <name val="MS Sans Serif"/>
      <family val="2"/>
    </font>
    <font>
      <sz val="6"/>
      <name val="MS Sans Serif"/>
      <family val="2"/>
    </font>
    <font>
      <u val="single"/>
      <sz val="8"/>
      <name val="MS Sans Serif"/>
      <family val="2"/>
    </font>
    <font>
      <u val="single"/>
      <sz val="10"/>
      <name val="MS Sans Serif"/>
      <family val="0"/>
    </font>
    <font>
      <b/>
      <sz val="8"/>
      <name val="MS Sans Serif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5" fontId="4" fillId="0" borderId="0" xfId="0" applyNumberFormat="1" applyFont="1" applyAlignment="1">
      <alignment/>
    </xf>
    <xf numFmtId="38" fontId="4" fillId="0" borderId="0" xfId="43" applyFont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64" fontId="4" fillId="0" borderId="0" xfId="0" applyNumberFormat="1" applyFont="1" applyFill="1" applyAlignment="1">
      <alignment/>
    </xf>
    <xf numFmtId="38" fontId="4" fillId="0" borderId="0" xfId="43" applyFont="1" applyFill="1" applyAlignment="1">
      <alignment/>
    </xf>
    <xf numFmtId="5" fontId="4" fillId="0" borderId="0" xfId="0" applyNumberFormat="1" applyFont="1" applyFill="1" applyAlignment="1">
      <alignment/>
    </xf>
    <xf numFmtId="38" fontId="5" fillId="0" borderId="0" xfId="43" applyFont="1" applyBorder="1" applyAlignment="1">
      <alignment/>
    </xf>
    <xf numFmtId="14" fontId="7" fillId="0" borderId="0" xfId="0" applyNumberFormat="1" applyFont="1" applyAlignment="1">
      <alignment horizontal="left"/>
    </xf>
    <xf numFmtId="5" fontId="8" fillId="0" borderId="0" xfId="0" applyNumberFormat="1" applyFont="1" applyAlignment="1">
      <alignment/>
    </xf>
    <xf numFmtId="38" fontId="6" fillId="0" borderId="0" xfId="43" applyFont="1" applyBorder="1" applyAlignment="1">
      <alignment horizontal="center"/>
    </xf>
    <xf numFmtId="7" fontId="4" fillId="0" borderId="0" xfId="0" applyNumberFormat="1" applyFont="1" applyAlignment="1">
      <alignment/>
    </xf>
    <xf numFmtId="180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Continuous"/>
    </xf>
    <xf numFmtId="171" fontId="4" fillId="0" borderId="0" xfId="0" applyNumberFormat="1" applyFont="1" applyAlignment="1">
      <alignment horizontal="centerContinuous"/>
    </xf>
    <xf numFmtId="8" fontId="4" fillId="0" borderId="0" xfId="0" applyNumberFormat="1" applyFont="1" applyAlignment="1">
      <alignment/>
    </xf>
    <xf numFmtId="177" fontId="4" fillId="0" borderId="0" xfId="42" applyNumberFormat="1" applyFont="1" applyFill="1" applyAlignment="1">
      <alignment/>
    </xf>
    <xf numFmtId="0" fontId="4" fillId="13" borderId="0" xfId="0" applyFont="1" applyFill="1" applyAlignment="1">
      <alignment horizontal="center"/>
    </xf>
    <xf numFmtId="38" fontId="8" fillId="0" borderId="0" xfId="43" applyFont="1" applyFill="1" applyBorder="1" applyAlignment="1">
      <alignment/>
    </xf>
    <xf numFmtId="7" fontId="4" fillId="0" borderId="0" xfId="0" applyNumberFormat="1" applyFont="1" applyFill="1" applyAlignment="1">
      <alignment/>
    </xf>
    <xf numFmtId="9" fontId="4" fillId="0" borderId="0" xfId="57" applyFont="1" applyAlignment="1">
      <alignment/>
    </xf>
    <xf numFmtId="38" fontId="4" fillId="0" borderId="11" xfId="43" applyFont="1" applyFill="1" applyBorder="1" applyAlignment="1">
      <alignment/>
    </xf>
    <xf numFmtId="8" fontId="4" fillId="0" borderId="0" xfId="0" applyNumberFormat="1" applyFont="1" applyFill="1" applyAlignment="1">
      <alignment/>
    </xf>
    <xf numFmtId="5" fontId="4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5" fontId="4" fillId="0" borderId="0" xfId="0" applyNumberFormat="1" applyFont="1" applyFill="1" applyAlignment="1">
      <alignment/>
    </xf>
    <xf numFmtId="172" fontId="4" fillId="0" borderId="0" xfId="0" applyNumberFormat="1" applyFont="1" applyAlignment="1">
      <alignment/>
    </xf>
    <xf numFmtId="172" fontId="8" fillId="33" borderId="0" xfId="0" applyNumberFormat="1" applyFont="1" applyFill="1" applyAlignment="1">
      <alignment/>
    </xf>
    <xf numFmtId="14" fontId="7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 horizontal="right"/>
    </xf>
    <xf numFmtId="38" fontId="4" fillId="0" borderId="0" xfId="43" applyFont="1" applyFill="1" applyAlignment="1">
      <alignment/>
    </xf>
    <xf numFmtId="38" fontId="4" fillId="0" borderId="0" xfId="43" applyFont="1" applyAlignment="1">
      <alignment horizontal="center"/>
    </xf>
    <xf numFmtId="38" fontId="4" fillId="0" borderId="0" xfId="43" applyFont="1" applyAlignment="1" quotePrefix="1">
      <alignment horizontal="right"/>
    </xf>
    <xf numFmtId="165" fontId="4" fillId="0" borderId="0" xfId="45" applyNumberFormat="1" applyFont="1" applyFill="1" applyAlignment="1">
      <alignment/>
    </xf>
    <xf numFmtId="5" fontId="4" fillId="0" borderId="0" xfId="0" applyNumberFormat="1" applyFont="1" applyFill="1" applyAlignment="1">
      <alignment/>
    </xf>
    <xf numFmtId="5" fontId="0" fillId="0" borderId="0" xfId="0" applyNumberFormat="1" applyFont="1" applyAlignment="1">
      <alignment/>
    </xf>
    <xf numFmtId="38" fontId="4" fillId="0" borderId="0" xfId="43" applyFont="1" applyFill="1" applyBorder="1" applyAlignment="1">
      <alignment/>
    </xf>
    <xf numFmtId="164" fontId="4" fillId="0" borderId="0" xfId="45" applyNumberFormat="1" applyFont="1" applyFill="1" applyAlignment="1">
      <alignment/>
    </xf>
    <xf numFmtId="5" fontId="9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5" fontId="4" fillId="0" borderId="12" xfId="0" applyNumberFormat="1" applyFont="1" applyFill="1" applyBorder="1" applyAlignment="1">
      <alignment/>
    </xf>
    <xf numFmtId="5" fontId="4" fillId="0" borderId="0" xfId="0" applyNumberFormat="1" applyFont="1" applyFill="1" applyBorder="1" applyAlignment="1">
      <alignment/>
    </xf>
    <xf numFmtId="38" fontId="4" fillId="0" borderId="0" xfId="43" applyFont="1" applyAlignment="1">
      <alignment/>
    </xf>
    <xf numFmtId="5" fontId="4" fillId="0" borderId="0" xfId="0" applyNumberFormat="1" applyFont="1" applyAlignment="1">
      <alignment/>
    </xf>
    <xf numFmtId="38" fontId="4" fillId="0" borderId="0" xfId="43" applyFont="1" applyFill="1" applyBorder="1" applyAlignment="1">
      <alignment horizontal="center"/>
    </xf>
    <xf numFmtId="38" fontId="4" fillId="0" borderId="0" xfId="43" applyFont="1" applyBorder="1" applyAlignment="1">
      <alignment/>
    </xf>
    <xf numFmtId="164" fontId="4" fillId="0" borderId="0" xfId="0" applyNumberFormat="1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5" fontId="10" fillId="0" borderId="11" xfId="0" applyNumberFormat="1" applyFont="1" applyBorder="1" applyAlignment="1">
      <alignment/>
    </xf>
    <xf numFmtId="5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38" fontId="4" fillId="0" borderId="0" xfId="43" applyFont="1" applyBorder="1" applyAlignment="1">
      <alignment horizontal="center"/>
    </xf>
    <xf numFmtId="5" fontId="4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5" fontId="1" fillId="0" borderId="11" xfId="0" applyNumberFormat="1" applyFont="1" applyBorder="1" applyAlignment="1">
      <alignment/>
    </xf>
    <xf numFmtId="38" fontId="4" fillId="0" borderId="10" xfId="43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4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YMEX%20Nov%2022%20-%20P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NYMEX"/>
      <sheetName val="Purchases"/>
    </sheetNames>
    <sheetDataSet>
      <sheetData sheetId="1">
        <row r="6">
          <cell r="H6">
            <v>1.0611</v>
          </cell>
        </row>
        <row r="9">
          <cell r="B9">
            <v>270333</v>
          </cell>
        </row>
        <row r="13">
          <cell r="E13">
            <v>8.283370480111568</v>
          </cell>
        </row>
        <row r="19">
          <cell r="H19">
            <v>1.0811</v>
          </cell>
        </row>
        <row r="22">
          <cell r="B22">
            <v>166688</v>
          </cell>
        </row>
        <row r="26">
          <cell r="E26">
            <v>8.28816019749472</v>
          </cell>
        </row>
        <row r="33">
          <cell r="H33">
            <v>1.30970772</v>
          </cell>
        </row>
        <row r="36">
          <cell r="B36">
            <v>16183</v>
          </cell>
        </row>
        <row r="38">
          <cell r="E38">
            <v>8.388306123710068</v>
          </cell>
        </row>
        <row r="45">
          <cell r="H45">
            <v>1.22920365</v>
          </cell>
        </row>
        <row r="48">
          <cell r="B48">
            <v>127076</v>
          </cell>
        </row>
        <row r="50">
          <cell r="E50">
            <v>8.712</v>
          </cell>
        </row>
        <row r="57">
          <cell r="H57">
            <v>1.225</v>
          </cell>
        </row>
        <row r="60">
          <cell r="B60">
            <v>77217</v>
          </cell>
        </row>
        <row r="62">
          <cell r="E62">
            <v>9.3111</v>
          </cell>
        </row>
      </sheetData>
      <sheetData sheetId="2">
        <row r="7">
          <cell r="E7">
            <v>270333</v>
          </cell>
        </row>
        <row r="28">
          <cell r="E28">
            <v>768887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="125" zoomScaleNormal="125" zoomScalePageLayoutView="0" workbookViewId="0" topLeftCell="A1">
      <selection activeCell="A11" sqref="A11"/>
    </sheetView>
  </sheetViews>
  <sheetFormatPr defaultColWidth="9.140625" defaultRowHeight="12.75"/>
  <cols>
    <col min="1" max="1" width="33.57421875" style="7" customWidth="1"/>
    <col min="2" max="2" width="10.57421875" style="7" customWidth="1"/>
    <col min="3" max="4" width="9.140625" style="7" customWidth="1"/>
    <col min="5" max="5" width="11.28125" style="7" customWidth="1"/>
    <col min="6" max="6" width="9.8515625" style="7" customWidth="1"/>
    <col min="7" max="9" width="9.140625" style="7" customWidth="1"/>
    <col min="10" max="10" width="11.28125" style="7" bestFit="1" customWidth="1"/>
    <col min="11" max="16384" width="9.140625" style="7" customWidth="1"/>
  </cols>
  <sheetData>
    <row r="1" spans="1:7" ht="10.5">
      <c r="A1" s="18" t="s">
        <v>95</v>
      </c>
      <c r="B1" s="18"/>
      <c r="C1" s="18"/>
      <c r="D1" s="18"/>
      <c r="E1" s="18"/>
      <c r="F1" s="6" t="s">
        <v>0</v>
      </c>
      <c r="G1" s="1"/>
    </row>
    <row r="2" spans="1:7" ht="10.5">
      <c r="A2" s="18" t="s">
        <v>112</v>
      </c>
      <c r="B2" s="18"/>
      <c r="C2" s="18"/>
      <c r="D2" s="18"/>
      <c r="E2" s="18"/>
      <c r="F2" s="6" t="s">
        <v>105</v>
      </c>
      <c r="G2" s="1"/>
    </row>
    <row r="3" spans="1:7" ht="10.5">
      <c r="A3" s="19">
        <v>44866</v>
      </c>
      <c r="B3" s="18"/>
      <c r="C3" s="18"/>
      <c r="D3" s="18"/>
      <c r="E3" s="18"/>
      <c r="F3" s="1"/>
      <c r="G3" s="1"/>
    </row>
    <row r="4" spans="1:7" ht="10.5">
      <c r="A4" s="18" t="s">
        <v>96</v>
      </c>
      <c r="B4" s="18"/>
      <c r="C4" s="18"/>
      <c r="D4" s="18"/>
      <c r="E4" s="18"/>
      <c r="F4" s="1"/>
      <c r="G4" s="1"/>
    </row>
    <row r="5" spans="1:7" ht="10.5">
      <c r="A5" s="19">
        <f>A3</f>
        <v>44866</v>
      </c>
      <c r="B5" s="18"/>
      <c r="C5" s="18"/>
      <c r="D5" s="18"/>
      <c r="E5" s="18"/>
      <c r="F5" s="1"/>
      <c r="G5" s="1"/>
    </row>
    <row r="6" spans="1:7" ht="10.5">
      <c r="A6" s="1"/>
      <c r="B6" s="1"/>
      <c r="C6" s="1"/>
      <c r="D6" s="1"/>
      <c r="E6" s="1"/>
      <c r="F6" s="1"/>
      <c r="G6" s="1"/>
    </row>
    <row r="7" spans="1:7" ht="10.5">
      <c r="A7" s="1"/>
      <c r="B7" s="2"/>
      <c r="C7" s="2" t="s">
        <v>2</v>
      </c>
      <c r="D7" s="2"/>
      <c r="E7" s="2"/>
      <c r="F7" s="2" t="s">
        <v>107</v>
      </c>
      <c r="G7" s="1"/>
    </row>
    <row r="8" spans="1:7" ht="10.5">
      <c r="A8" s="1"/>
      <c r="B8" s="2" t="s">
        <v>97</v>
      </c>
      <c r="C8" s="2" t="s">
        <v>98</v>
      </c>
      <c r="D8" s="2" t="s">
        <v>6</v>
      </c>
      <c r="E8" s="2" t="s">
        <v>114</v>
      </c>
      <c r="F8" s="2" t="s">
        <v>108</v>
      </c>
      <c r="G8" s="1"/>
    </row>
    <row r="9" spans="1:7" ht="10.5">
      <c r="A9" s="2" t="s">
        <v>99</v>
      </c>
      <c r="B9" s="2" t="s">
        <v>113</v>
      </c>
      <c r="C9" s="2" t="s">
        <v>100</v>
      </c>
      <c r="D9" s="2" t="s">
        <v>101</v>
      </c>
      <c r="E9" s="2" t="s">
        <v>7</v>
      </c>
      <c r="F9" s="2" t="s">
        <v>109</v>
      </c>
      <c r="G9" s="1"/>
    </row>
    <row r="10" spans="1:7" ht="10.5">
      <c r="A10" s="1"/>
      <c r="B10" s="1"/>
      <c r="C10" s="1"/>
      <c r="D10" s="1"/>
      <c r="E10" s="1"/>
      <c r="F10" s="1"/>
      <c r="G10" s="1"/>
    </row>
    <row r="11" spans="1:7" ht="10.5">
      <c r="A11" s="71"/>
      <c r="B11" s="1"/>
      <c r="C11" s="1"/>
      <c r="D11" s="1"/>
      <c r="E11" s="20"/>
      <c r="F11" s="1"/>
      <c r="G11" s="1"/>
    </row>
    <row r="12" spans="1:10" ht="10.5">
      <c r="A12" s="72"/>
      <c r="B12" s="1"/>
      <c r="C12" s="1"/>
      <c r="D12" s="1"/>
      <c r="E12" s="10">
        <f>Nov!$H$39</f>
        <v>740295.4598008161</v>
      </c>
      <c r="F12" s="1"/>
      <c r="G12" s="1"/>
      <c r="J12" s="15"/>
    </row>
    <row r="13" spans="1:7" ht="10.5">
      <c r="A13" s="71"/>
      <c r="B13" s="9">
        <f>'[1]NYMEX'!$B$9</f>
        <v>270333</v>
      </c>
      <c r="C13" s="21">
        <f>'[1]NYMEX'!$H$6</f>
        <v>1.0611</v>
      </c>
      <c r="D13" s="8">
        <f>'[1]NYMEX'!$E$13</f>
        <v>8.283370480111568</v>
      </c>
      <c r="E13" s="3">
        <f>B13*C13*D13</f>
        <v>2376087.6907512005</v>
      </c>
      <c r="F13" s="22" t="s">
        <v>122</v>
      </c>
      <c r="G13" s="1"/>
    </row>
    <row r="14" spans="1:7" ht="10.5">
      <c r="A14" s="72"/>
      <c r="B14" s="9"/>
      <c r="C14" s="21"/>
      <c r="D14" s="8"/>
      <c r="E14" s="3"/>
      <c r="F14" s="2"/>
      <c r="G14" s="1"/>
    </row>
    <row r="15" spans="1:7" ht="10.5">
      <c r="A15" s="72"/>
      <c r="B15" s="9"/>
      <c r="C15" s="21"/>
      <c r="D15" s="8"/>
      <c r="E15" s="10">
        <f>Nov!$H$58</f>
        <v>309523.39210037</v>
      </c>
      <c r="F15" s="2"/>
      <c r="G15" s="1"/>
    </row>
    <row r="16" spans="1:7" ht="10.5">
      <c r="A16" s="72"/>
      <c r="B16" s="9">
        <f>'[1]NYMEX'!$B$22</f>
        <v>166688</v>
      </c>
      <c r="C16" s="21">
        <f>'[1]NYMEX'!$H$19</f>
        <v>1.0811</v>
      </c>
      <c r="D16" s="8">
        <f>'[1]NYMEX'!$E$26</f>
        <v>8.28816019749472</v>
      </c>
      <c r="E16" s="3">
        <f>B16*C16*D16</f>
        <v>1493579.4852916999</v>
      </c>
      <c r="F16" s="22" t="s">
        <v>122</v>
      </c>
      <c r="G16" s="1"/>
    </row>
    <row r="17" spans="1:7" ht="10.5">
      <c r="A17" s="72"/>
      <c r="B17" s="9"/>
      <c r="C17" s="21"/>
      <c r="D17" s="8"/>
      <c r="E17" s="3"/>
      <c r="F17" s="2"/>
      <c r="G17" s="1"/>
    </row>
    <row r="18" spans="1:7" ht="10.5">
      <c r="A18" s="72"/>
      <c r="B18" s="9">
        <f>'[1]NYMEX'!$B$48</f>
        <v>127076</v>
      </c>
      <c r="C18" s="21">
        <f>'[1]NYMEX'!$H$45</f>
        <v>1.22920365</v>
      </c>
      <c r="D18" s="8">
        <f>'[1]NYMEX'!$E$50</f>
        <v>8.712</v>
      </c>
      <c r="E18" s="3">
        <f>B18*C18*D18</f>
        <v>1360834.2897347088</v>
      </c>
      <c r="F18" s="22" t="s">
        <v>122</v>
      </c>
      <c r="G18" s="1"/>
    </row>
    <row r="19" spans="1:7" ht="10.5">
      <c r="A19" s="72"/>
      <c r="B19" s="9"/>
      <c r="C19" s="17"/>
      <c r="D19" s="8"/>
      <c r="E19" s="3"/>
      <c r="F19" s="2"/>
      <c r="G19" s="1"/>
    </row>
    <row r="20" spans="1:7" ht="10.5">
      <c r="A20" s="72"/>
      <c r="B20" s="9">
        <f>'[1]NYMEX'!$B$36</f>
        <v>16183</v>
      </c>
      <c r="C20" s="21">
        <f>'[1]NYMEX'!$H$33</f>
        <v>1.30970772</v>
      </c>
      <c r="D20" s="8">
        <f>'[1]NYMEX'!$E$38</f>
        <v>8.388306123710068</v>
      </c>
      <c r="E20" s="3">
        <f>B20*C20*D20</f>
        <v>177790.1485668358</v>
      </c>
      <c r="F20" s="22" t="s">
        <v>122</v>
      </c>
      <c r="G20" s="1"/>
    </row>
    <row r="21" spans="1:7" ht="10.5">
      <c r="A21" s="72"/>
      <c r="B21" s="23">
        <f>'[1]Purchases'!$E$28</f>
        <v>768887</v>
      </c>
      <c r="C21" s="17"/>
      <c r="D21" s="8">
        <v>4.76338</v>
      </c>
      <c r="E21" s="13">
        <f>B21*D21</f>
        <v>3662500.9580599996</v>
      </c>
      <c r="F21" s="22" t="s">
        <v>122</v>
      </c>
      <c r="G21" s="1"/>
    </row>
    <row r="22" spans="1:14" ht="10.5">
      <c r="A22" s="72"/>
      <c r="B22" s="17"/>
      <c r="C22" s="17"/>
      <c r="D22" s="17"/>
      <c r="E22" s="1"/>
      <c r="F22" s="1"/>
      <c r="G22" s="1"/>
      <c r="M22" s="7">
        <v>77217</v>
      </c>
      <c r="N22" s="7">
        <f>14242+35350+44999</f>
        <v>94591</v>
      </c>
    </row>
    <row r="23" spans="1:7" ht="10.5">
      <c r="A23" s="72"/>
      <c r="B23" s="9">
        <f>'[1]NYMEX'!$B$60</f>
        <v>77217</v>
      </c>
      <c r="C23" s="21">
        <f>'[1]NYMEX'!$H$57</f>
        <v>1.225</v>
      </c>
      <c r="D23" s="8">
        <f>'[1]NYMEX'!$E$62</f>
        <v>9.3111</v>
      </c>
      <c r="E23" s="24">
        <f>B23*C23*D23</f>
        <v>880744.6306575001</v>
      </c>
      <c r="F23" s="1"/>
      <c r="G23" s="1"/>
    </row>
    <row r="24" spans="1:7" ht="10.5">
      <c r="A24" s="1"/>
      <c r="B24" s="1"/>
      <c r="C24" s="25"/>
      <c r="D24" s="1"/>
      <c r="E24" s="1"/>
      <c r="F24" s="1"/>
      <c r="G24" s="1"/>
    </row>
    <row r="25" spans="1:7" ht="11.25" thickBot="1">
      <c r="A25" s="1" t="s">
        <v>102</v>
      </c>
      <c r="B25" s="26">
        <f>SUM(B12:B23)</f>
        <v>1426384</v>
      </c>
      <c r="C25" s="17"/>
      <c r="D25" s="27"/>
      <c r="E25" s="28">
        <f>SUM(E12:E23)</f>
        <v>11001356.05496313</v>
      </c>
      <c r="F25" s="1"/>
      <c r="G25" s="1"/>
    </row>
    <row r="26" spans="1:7" ht="11.25" thickTop="1">
      <c r="A26" s="1"/>
      <c r="B26" s="1"/>
      <c r="C26" s="1"/>
      <c r="D26" s="1"/>
      <c r="E26" s="1"/>
      <c r="F26" s="1"/>
      <c r="G26" s="1"/>
    </row>
    <row r="27" spans="1:7" ht="10.5">
      <c r="A27" s="12"/>
      <c r="B27" s="1"/>
      <c r="C27" s="1"/>
      <c r="D27" s="1"/>
      <c r="E27" s="1"/>
      <c r="F27" s="1"/>
      <c r="G27" s="1"/>
    </row>
    <row r="28" spans="1:7" ht="10.5">
      <c r="A28" s="1" t="s">
        <v>115</v>
      </c>
      <c r="B28" s="29">
        <f>B25*0.015</f>
        <v>21395.76</v>
      </c>
      <c r="C28" s="1"/>
      <c r="D28" s="1"/>
      <c r="E28" s="1"/>
      <c r="F28" s="1"/>
      <c r="G28" s="1"/>
    </row>
    <row r="29" spans="1:7" ht="10.5">
      <c r="A29" s="1"/>
      <c r="B29" s="1"/>
      <c r="C29" s="1"/>
      <c r="D29" s="1"/>
      <c r="E29" s="1"/>
      <c r="F29" s="1"/>
      <c r="G29" s="1"/>
    </row>
    <row r="30" spans="1:7" ht="10.5">
      <c r="A30" s="1"/>
      <c r="B30" s="1"/>
      <c r="C30" s="1"/>
      <c r="D30" s="1"/>
      <c r="E30" s="1"/>
      <c r="F30" s="1"/>
      <c r="G30" s="1"/>
    </row>
    <row r="31" spans="1:7" ht="10.5">
      <c r="A31" s="1" t="s">
        <v>116</v>
      </c>
      <c r="B31" s="30">
        <f>A3</f>
        <v>44866</v>
      </c>
      <c r="C31" s="1"/>
      <c r="D31" s="1"/>
      <c r="E31" s="4">
        <f>B25</f>
        <v>1426384</v>
      </c>
      <c r="F31" s="1"/>
      <c r="G31" s="1"/>
    </row>
    <row r="32" spans="1:7" ht="10.5">
      <c r="A32" s="1" t="s">
        <v>106</v>
      </c>
      <c r="B32" s="1"/>
      <c r="C32" s="1"/>
      <c r="D32" s="1"/>
      <c r="E32" s="31">
        <f>E25/E31</f>
        <v>7.7127590150780785</v>
      </c>
      <c r="F32" s="1"/>
      <c r="G32" s="1"/>
    </row>
    <row r="33" spans="1:7" ht="10.5">
      <c r="A33" s="1" t="s">
        <v>110</v>
      </c>
      <c r="B33" s="1"/>
      <c r="C33" s="1"/>
      <c r="D33" s="1"/>
      <c r="E33" s="32">
        <v>11.955</v>
      </c>
      <c r="F33" s="1"/>
      <c r="G33" s="1"/>
    </row>
    <row r="34" spans="1:7" ht="10.5">
      <c r="A34" s="1" t="s">
        <v>111</v>
      </c>
      <c r="B34" s="1"/>
      <c r="C34" s="1"/>
      <c r="D34" s="1"/>
      <c r="E34" s="31">
        <f>E32-E33</f>
        <v>-4.242240984921922</v>
      </c>
      <c r="F34" s="1"/>
      <c r="G34" s="1"/>
    </row>
    <row r="35" spans="1:7" ht="10.5">
      <c r="A35" s="1"/>
      <c r="B35" s="1"/>
      <c r="C35" s="1"/>
      <c r="D35" s="1"/>
      <c r="E35" s="1"/>
      <c r="F35" s="1"/>
      <c r="G35" s="1"/>
    </row>
    <row r="36" spans="1:7" ht="10.5">
      <c r="A36" s="1"/>
      <c r="B36" s="1"/>
      <c r="C36" s="1"/>
      <c r="D36" s="1"/>
      <c r="E36" s="1"/>
      <c r="F36" s="1"/>
      <c r="G36" s="1"/>
    </row>
  </sheetData>
  <sheetProtection/>
  <printOptions gridLines="1"/>
  <pageMargins left="0.5" right="0.5" top="1" bottom="1" header="0.5" footer="0.5"/>
  <pageSetup fitToHeight="1" fitToWidth="1" horizontalDpi="600" verticalDpi="600" orientation="portrait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zoomScale="120" zoomScaleNormal="120" zoomScalePageLayoutView="0" workbookViewId="0" topLeftCell="A1">
      <selection activeCell="M3" sqref="M3"/>
    </sheetView>
  </sheetViews>
  <sheetFormatPr defaultColWidth="9.140625" defaultRowHeight="12" customHeight="1"/>
  <cols>
    <col min="1" max="1" width="23.28125" style="0" customWidth="1"/>
    <col min="2" max="2" width="7.57421875" style="0" customWidth="1"/>
    <col min="3" max="3" width="3.140625" style="0" customWidth="1"/>
    <col min="4" max="4" width="10.28125" style="0" customWidth="1"/>
    <col min="5" max="5" width="8.57421875" style="0" customWidth="1"/>
    <col min="6" max="6" width="3.140625" style="0" customWidth="1"/>
    <col min="7" max="7" width="11.421875" style="0" customWidth="1"/>
    <col min="8" max="8" width="12.7109375" style="0" bestFit="1" customWidth="1"/>
    <col min="11" max="11" width="16.140625" style="0" bestFit="1" customWidth="1"/>
    <col min="12" max="12" width="10.00390625" style="0" bestFit="1" customWidth="1"/>
  </cols>
  <sheetData>
    <row r="1" spans="1:11" ht="12" customHeight="1">
      <c r="A1" s="33">
        <f ca="1">NOW()</f>
        <v>44824.47540196759</v>
      </c>
      <c r="B1" s="34"/>
      <c r="C1" s="34"/>
      <c r="D1" s="34"/>
      <c r="E1" s="34"/>
      <c r="F1" s="34"/>
      <c r="G1" s="34"/>
      <c r="H1" s="35" t="s">
        <v>0</v>
      </c>
      <c r="I1" s="34"/>
      <c r="J1" s="34"/>
      <c r="K1" s="34"/>
    </row>
    <row r="2" spans="1:11" ht="12" customHeight="1">
      <c r="A2" s="34"/>
      <c r="B2" s="36"/>
      <c r="C2" s="34"/>
      <c r="D2" s="34"/>
      <c r="E2" s="34"/>
      <c r="F2" s="34"/>
      <c r="G2" s="34"/>
      <c r="H2" s="35" t="s">
        <v>104</v>
      </c>
      <c r="I2" s="34"/>
      <c r="J2" s="34"/>
      <c r="K2" s="34"/>
    </row>
    <row r="3" spans="1:15" ht="12" customHeight="1">
      <c r="A3" s="5" t="s">
        <v>123</v>
      </c>
      <c r="B3" s="5"/>
      <c r="C3" s="37"/>
      <c r="D3" s="37"/>
      <c r="E3" s="37"/>
      <c r="F3" s="37"/>
      <c r="G3" s="37"/>
      <c r="H3" s="37"/>
      <c r="I3" s="37"/>
      <c r="J3" s="37" t="s">
        <v>1</v>
      </c>
      <c r="K3" s="34"/>
      <c r="M3" s="70">
        <f>'[1]Purchases'!$E$7</f>
        <v>270333</v>
      </c>
      <c r="N3" s="7" t="s">
        <v>2</v>
      </c>
      <c r="O3" s="14"/>
    </row>
    <row r="4" spans="1:14" ht="12" customHeight="1">
      <c r="A4" s="5"/>
      <c r="B4" s="5"/>
      <c r="C4" s="37"/>
      <c r="D4" s="37"/>
      <c r="E4" s="37"/>
      <c r="F4" s="37"/>
      <c r="G4" s="37"/>
      <c r="H4" s="37"/>
      <c r="I4" s="37"/>
      <c r="J4" s="37"/>
      <c r="K4" s="34"/>
      <c r="M4" s="11"/>
      <c r="N4" s="7"/>
    </row>
    <row r="5" spans="1:13" ht="12" customHeight="1">
      <c r="A5" s="37"/>
      <c r="B5" s="37"/>
      <c r="C5" s="37"/>
      <c r="D5" s="38" t="s">
        <v>2</v>
      </c>
      <c r="E5" s="38" t="s">
        <v>3</v>
      </c>
      <c r="F5" s="38"/>
      <c r="G5" s="38"/>
      <c r="H5" s="38" t="s">
        <v>114</v>
      </c>
      <c r="I5" s="37"/>
      <c r="J5" s="37" t="s">
        <v>117</v>
      </c>
      <c r="K5" s="34"/>
      <c r="L5" s="16">
        <v>0.389787992</v>
      </c>
      <c r="M5" s="14"/>
    </row>
    <row r="6" spans="1:11" ht="12" customHeight="1">
      <c r="A6" s="37"/>
      <c r="B6" s="37"/>
      <c r="C6" s="37"/>
      <c r="D6" s="39" t="s">
        <v>4</v>
      </c>
      <c r="E6" s="38" t="s">
        <v>5</v>
      </c>
      <c r="F6" s="38"/>
      <c r="G6" s="38" t="s">
        <v>6</v>
      </c>
      <c r="H6" s="38" t="s">
        <v>7</v>
      </c>
      <c r="I6" s="37"/>
      <c r="J6" s="37"/>
      <c r="K6" s="34"/>
    </row>
    <row r="7" spans="1:11" ht="12" customHeight="1">
      <c r="A7" s="40" t="s">
        <v>8</v>
      </c>
      <c r="B7" s="37"/>
      <c r="C7" s="41" t="s">
        <v>9</v>
      </c>
      <c r="D7" s="42">
        <f>(18219+263+15000)*L5</f>
        <v>13050.881548144001</v>
      </c>
      <c r="E7" s="43" t="s">
        <v>10</v>
      </c>
      <c r="F7" s="44" t="s">
        <v>11</v>
      </c>
      <c r="G7" s="45">
        <v>13.3478</v>
      </c>
      <c r="H7" s="46">
        <f aca="true" t="shared" si="0" ref="H7:H16">D7*G7</f>
        <v>174200.5567283165</v>
      </c>
      <c r="I7" s="37"/>
      <c r="J7" s="37"/>
      <c r="K7" s="34"/>
    </row>
    <row r="8" spans="1:11" ht="12" customHeight="1">
      <c r="A8" s="40" t="s">
        <v>12</v>
      </c>
      <c r="B8" s="37"/>
      <c r="C8" s="41" t="s">
        <v>13</v>
      </c>
      <c r="D8" s="42">
        <f>(88756+1287)*L5</f>
        <v>35097.680163656005</v>
      </c>
      <c r="E8" s="43" t="s">
        <v>10</v>
      </c>
      <c r="F8" s="44" t="s">
        <v>14</v>
      </c>
      <c r="G8" s="45">
        <v>9.1192</v>
      </c>
      <c r="H8" s="46">
        <f t="shared" si="0"/>
        <v>320062.7649484118</v>
      </c>
      <c r="I8" s="37"/>
      <c r="J8" s="37" t="s">
        <v>118</v>
      </c>
      <c r="K8" s="47">
        <f>SUM(H7,H8,H11,H12,H13,H23,H26,H31,H34,H50)</f>
        <v>733092.4094695373</v>
      </c>
    </row>
    <row r="9" spans="1:11" ht="12" customHeight="1">
      <c r="A9" s="40" t="s">
        <v>15</v>
      </c>
      <c r="B9" s="37"/>
      <c r="C9" s="41" t="s">
        <v>16</v>
      </c>
      <c r="D9" s="48">
        <f>(M3-(511000*L5))*0.2711</f>
        <v>19289.127213456795</v>
      </c>
      <c r="E9" s="43" t="s">
        <v>17</v>
      </c>
      <c r="F9" s="44" t="s">
        <v>18</v>
      </c>
      <c r="G9" s="49">
        <v>0.0177</v>
      </c>
      <c r="H9" s="46">
        <f t="shared" si="0"/>
        <v>341.4175516781853</v>
      </c>
      <c r="I9" s="37"/>
      <c r="J9" s="37" t="s">
        <v>119</v>
      </c>
      <c r="K9" s="50">
        <f>SUM(H9,H10,H14,H15,H16,H17,H18,H19,H24,H25,H27,H32,H33,H35,H43,H44,H51,H52)</f>
        <v>316726.4424316489</v>
      </c>
    </row>
    <row r="10" spans="1:11" ht="12" customHeight="1">
      <c r="A10" s="40" t="s">
        <v>19</v>
      </c>
      <c r="B10" s="37"/>
      <c r="C10" s="41" t="s">
        <v>20</v>
      </c>
      <c r="D10" s="48">
        <f>(M3-(511000*L5))*0.7289</f>
        <v>51862.20887454318</v>
      </c>
      <c r="E10" s="43" t="s">
        <v>17</v>
      </c>
      <c r="F10" s="44" t="s">
        <v>21</v>
      </c>
      <c r="G10" s="49">
        <v>0.0147</v>
      </c>
      <c r="H10" s="46">
        <f t="shared" si="0"/>
        <v>762.3744704557847</v>
      </c>
      <c r="I10" s="37"/>
      <c r="J10" s="37"/>
      <c r="K10" s="51">
        <f>SUM(K8:K9)</f>
        <v>1049818.8519011862</v>
      </c>
    </row>
    <row r="11" spans="1:11" ht="12" customHeight="1">
      <c r="A11" s="40" t="s">
        <v>22</v>
      </c>
      <c r="B11" s="37"/>
      <c r="C11" s="41" t="s">
        <v>23</v>
      </c>
      <c r="D11" s="42">
        <f>2820*L5</f>
        <v>1099.2021374400001</v>
      </c>
      <c r="E11" s="43" t="s">
        <v>10</v>
      </c>
      <c r="F11" s="44" t="s">
        <v>24</v>
      </c>
      <c r="G11" s="45">
        <f>G7</f>
        <v>13.3478</v>
      </c>
      <c r="H11" s="46">
        <f t="shared" si="0"/>
        <v>14671.930290121632</v>
      </c>
      <c r="I11" s="37"/>
      <c r="J11" s="37"/>
      <c r="K11" s="34"/>
    </row>
    <row r="12" spans="1:11" ht="12" customHeight="1">
      <c r="A12" s="40" t="s">
        <v>25</v>
      </c>
      <c r="B12" s="37"/>
      <c r="C12" s="41" t="s">
        <v>26</v>
      </c>
      <c r="D12" s="42">
        <f>12096*L5</f>
        <v>4714.875551232</v>
      </c>
      <c r="E12" s="43" t="s">
        <v>10</v>
      </c>
      <c r="F12" s="44" t="s">
        <v>27</v>
      </c>
      <c r="G12" s="45">
        <f>G8</f>
        <v>9.1192</v>
      </c>
      <c r="H12" s="46">
        <f t="shared" si="0"/>
        <v>42995.89312679486</v>
      </c>
      <c r="I12" s="37"/>
      <c r="J12" s="37"/>
      <c r="K12" s="34"/>
    </row>
    <row r="13" spans="1:11" ht="12" customHeight="1">
      <c r="A13" s="40" t="s">
        <v>28</v>
      </c>
      <c r="B13" s="37"/>
      <c r="C13" s="41" t="s">
        <v>29</v>
      </c>
      <c r="D13" s="42">
        <f>1884*L5</f>
        <v>734.360576928</v>
      </c>
      <c r="E13" s="43" t="s">
        <v>10</v>
      </c>
      <c r="F13" s="44" t="s">
        <v>30</v>
      </c>
      <c r="G13" s="45">
        <v>4.8013</v>
      </c>
      <c r="H13" s="46">
        <f t="shared" si="0"/>
        <v>3525.8854380044068</v>
      </c>
      <c r="I13" s="37"/>
      <c r="J13" s="37"/>
      <c r="K13" s="34"/>
    </row>
    <row r="14" spans="1:11" ht="12" customHeight="1">
      <c r="A14" s="40" t="s">
        <v>31</v>
      </c>
      <c r="B14" s="37"/>
      <c r="C14" s="41" t="s">
        <v>32</v>
      </c>
      <c r="D14" s="48">
        <f>(235*365)*L5</f>
        <v>33434.065013800006</v>
      </c>
      <c r="E14" s="43" t="s">
        <v>17</v>
      </c>
      <c r="F14" s="44" t="s">
        <v>33</v>
      </c>
      <c r="G14" s="49">
        <f>G9</f>
        <v>0.0177</v>
      </c>
      <c r="H14" s="46">
        <f t="shared" si="0"/>
        <v>591.7829507442601</v>
      </c>
      <c r="I14" s="37"/>
      <c r="J14" s="37"/>
      <c r="K14" s="34"/>
    </row>
    <row r="15" spans="1:11" ht="12" customHeight="1">
      <c r="A15" s="40" t="s">
        <v>34</v>
      </c>
      <c r="B15" s="37"/>
      <c r="C15" s="41" t="s">
        <v>35</v>
      </c>
      <c r="D15" s="48">
        <f>(1008*365)*L5</f>
        <v>143410.79801664</v>
      </c>
      <c r="E15" s="43" t="s">
        <v>17</v>
      </c>
      <c r="F15" s="44" t="s">
        <v>36</v>
      </c>
      <c r="G15" s="49">
        <f>G10</f>
        <v>0.0147</v>
      </c>
      <c r="H15" s="46">
        <f t="shared" si="0"/>
        <v>2108.138730844608</v>
      </c>
      <c r="I15" s="37"/>
      <c r="J15" s="37"/>
      <c r="K15" s="34"/>
    </row>
    <row r="16" spans="1:11" ht="12" customHeight="1">
      <c r="A16" s="40" t="s">
        <v>37</v>
      </c>
      <c r="B16" s="37"/>
      <c r="C16" s="41" t="s">
        <v>38</v>
      </c>
      <c r="D16" s="48">
        <f>(157*365)*L5</f>
        <v>22336.80088156</v>
      </c>
      <c r="E16" s="43" t="s">
        <v>17</v>
      </c>
      <c r="F16" s="44" t="s">
        <v>39</v>
      </c>
      <c r="G16" s="49">
        <v>0.0026</v>
      </c>
      <c r="H16" s="46">
        <f t="shared" si="0"/>
        <v>58.075682292056</v>
      </c>
      <c r="I16" s="37"/>
      <c r="J16" s="37"/>
      <c r="K16" s="34"/>
    </row>
    <row r="17" spans="1:11" ht="12" customHeight="1">
      <c r="A17" s="40" t="s">
        <v>40</v>
      </c>
      <c r="B17" s="37"/>
      <c r="C17" s="41" t="s">
        <v>41</v>
      </c>
      <c r="D17" s="48">
        <f>(M3-(511000*L5))*0.2711+((235*365)*L5)</f>
        <v>52723.192227256804</v>
      </c>
      <c r="E17" s="43" t="s">
        <v>17</v>
      </c>
      <c r="F17" s="44" t="s">
        <v>42</v>
      </c>
      <c r="G17" s="52">
        <f>H17/D17</f>
        <v>0.23276271049113506</v>
      </c>
      <c r="H17" s="46">
        <f>(((D17/365)*151)*0.0281*'[1]NYMEX'!$E$13)+(((D17/365)*214)*0.0281*'[1]NYMEX'!$E$13)</f>
        <v>12271.993128561438</v>
      </c>
      <c r="I17" s="37"/>
      <c r="J17" s="37"/>
      <c r="K17" s="34"/>
    </row>
    <row r="18" spans="1:11" ht="12" customHeight="1">
      <c r="A18" s="40" t="s">
        <v>43</v>
      </c>
      <c r="B18" s="37"/>
      <c r="C18" s="41" t="s">
        <v>44</v>
      </c>
      <c r="D18" s="48">
        <f>(M3-(511000*L5))*0.7289+((1008*365)*L5)</f>
        <v>195273.0068911832</v>
      </c>
      <c r="E18" s="43" t="s">
        <v>17</v>
      </c>
      <c r="F18" s="44" t="s">
        <v>45</v>
      </c>
      <c r="G18" s="52">
        <f>H18/D18</f>
        <v>0.19134585809057722</v>
      </c>
      <c r="H18" s="46">
        <f>(((D18/365)*151)*0.0231*'[1]NYMEX'!$E$13)+(((D18/365)*214)*0.0231*'[1]NYMEX'!$E$13)</f>
        <v>37364.68106552065</v>
      </c>
      <c r="I18" s="37"/>
      <c r="J18" s="37"/>
      <c r="K18" s="34"/>
    </row>
    <row r="19" spans="1:11" ht="12" customHeight="1">
      <c r="A19" s="40" t="s">
        <v>46</v>
      </c>
      <c r="B19" s="37"/>
      <c r="C19" s="41" t="s">
        <v>47</v>
      </c>
      <c r="D19" s="48">
        <f>(157*365)*L5</f>
        <v>22336.80088156</v>
      </c>
      <c r="E19" s="43" t="s">
        <v>17</v>
      </c>
      <c r="F19" s="44" t="s">
        <v>48</v>
      </c>
      <c r="G19" s="52">
        <f>H19/D19</f>
        <v>0.04638687468862478</v>
      </c>
      <c r="H19" s="53">
        <f>(((D19/365)*151)*0.0056*'[1]NYMEX'!$E$13)+(((D19/365)*214)*0.0056*'[1]NYMEX'!$E$13)</f>
        <v>1036.1343834376871</v>
      </c>
      <c r="I19" s="34"/>
      <c r="J19" s="37"/>
      <c r="K19" s="34"/>
    </row>
    <row r="20" spans="1:11" ht="12" customHeight="1">
      <c r="A20" s="40"/>
      <c r="B20" s="37"/>
      <c r="C20" s="41"/>
      <c r="D20" s="48"/>
      <c r="E20" s="43"/>
      <c r="F20" s="44"/>
      <c r="G20" s="52"/>
      <c r="H20" s="54"/>
      <c r="I20" s="34"/>
      <c r="J20" s="37"/>
      <c r="K20" s="34"/>
    </row>
    <row r="21" spans="1:11" ht="12" customHeight="1">
      <c r="A21" s="37" t="s">
        <v>49</v>
      </c>
      <c r="B21" s="37"/>
      <c r="C21" s="37"/>
      <c r="D21" s="55"/>
      <c r="E21" s="43"/>
      <c r="F21" s="43"/>
      <c r="G21" s="37"/>
      <c r="H21" s="56">
        <f>SUM(H7:H19)</f>
        <v>609991.6284951839</v>
      </c>
      <c r="I21" s="57"/>
      <c r="J21" s="37"/>
      <c r="K21" s="34"/>
    </row>
    <row r="22" spans="1:11" ht="12" customHeight="1">
      <c r="A22" s="37"/>
      <c r="B22" s="37"/>
      <c r="C22" s="37"/>
      <c r="D22" s="55"/>
      <c r="E22" s="43"/>
      <c r="F22" s="43"/>
      <c r="G22" s="37"/>
      <c r="H22" s="34"/>
      <c r="I22" s="34"/>
      <c r="J22" s="37"/>
      <c r="K22" s="34"/>
    </row>
    <row r="23" spans="1:11" ht="12" customHeight="1">
      <c r="A23" s="40" t="s">
        <v>50</v>
      </c>
      <c r="B23" s="40"/>
      <c r="C23" s="41" t="s">
        <v>51</v>
      </c>
      <c r="D23" s="55">
        <f>(1524*12)*L5</f>
        <v>7128.4427976960005</v>
      </c>
      <c r="E23" s="43" t="s">
        <v>10</v>
      </c>
      <c r="F23" s="44" t="s">
        <v>52</v>
      </c>
      <c r="G23" s="52">
        <v>1.7426</v>
      </c>
      <c r="H23" s="56">
        <f>D23*G23</f>
        <v>12422.02441926505</v>
      </c>
      <c r="I23" s="37"/>
      <c r="J23" s="37"/>
      <c r="K23" s="34"/>
    </row>
    <row r="24" spans="1:11" ht="12" customHeight="1">
      <c r="A24" s="40" t="s">
        <v>53</v>
      </c>
      <c r="B24" s="37"/>
      <c r="C24" s="41" t="s">
        <v>54</v>
      </c>
      <c r="D24" s="58">
        <f>186757*L5</f>
        <v>72795.63602194401</v>
      </c>
      <c r="E24" s="43" t="s">
        <v>17</v>
      </c>
      <c r="F24" s="44" t="s">
        <v>55</v>
      </c>
      <c r="G24" s="52">
        <v>0.0073</v>
      </c>
      <c r="H24" s="56">
        <f>D24*G24</f>
        <v>531.4081429601913</v>
      </c>
      <c r="I24" s="37"/>
      <c r="J24" s="37"/>
      <c r="K24" s="34"/>
    </row>
    <row r="25" spans="1:11" ht="12" customHeight="1">
      <c r="A25" s="40" t="s">
        <v>56</v>
      </c>
      <c r="B25" s="37"/>
      <c r="C25" s="41" t="s">
        <v>57</v>
      </c>
      <c r="D25" s="58">
        <f>186757*L5</f>
        <v>72795.63602194401</v>
      </c>
      <c r="E25" s="43" t="s">
        <v>17</v>
      </c>
      <c r="F25" s="44" t="s">
        <v>58</v>
      </c>
      <c r="G25" s="52">
        <v>0.0073</v>
      </c>
      <c r="H25" s="56">
        <f>D25*G25</f>
        <v>531.4081429601913</v>
      </c>
      <c r="I25" s="37"/>
      <c r="J25" s="37"/>
      <c r="K25" s="34"/>
    </row>
    <row r="26" spans="1:11" ht="12" customHeight="1">
      <c r="A26" s="40" t="s">
        <v>59</v>
      </c>
      <c r="B26" s="37"/>
      <c r="C26" s="41" t="s">
        <v>60</v>
      </c>
      <c r="D26" s="55">
        <f>(186757*12)*L5</f>
        <v>873547.6322633281</v>
      </c>
      <c r="E26" s="43" t="s">
        <v>10</v>
      </c>
      <c r="F26" s="44" t="s">
        <v>61</v>
      </c>
      <c r="G26" s="52">
        <v>0.0177</v>
      </c>
      <c r="H26" s="56">
        <f>D26*G26</f>
        <v>15461.793091060907</v>
      </c>
      <c r="I26" s="37"/>
      <c r="J26" s="37"/>
      <c r="K26" s="34"/>
    </row>
    <row r="27" spans="1:11" ht="12" customHeight="1">
      <c r="A27" s="40" t="s">
        <v>62</v>
      </c>
      <c r="B27" s="37"/>
      <c r="C27" s="41" t="s">
        <v>63</v>
      </c>
      <c r="D27" s="58">
        <f>186757*L5</f>
        <v>72795.63602194401</v>
      </c>
      <c r="E27" s="43" t="s">
        <v>17</v>
      </c>
      <c r="F27" s="44" t="s">
        <v>64</v>
      </c>
      <c r="G27" s="59">
        <f>H27/D27</f>
        <v>0.06046860450481444</v>
      </c>
      <c r="H27" s="53">
        <f>D27*0.0073*'[1]NYMEX'!$E$13</f>
        <v>4401.850524287356</v>
      </c>
      <c r="I27" s="34"/>
      <c r="J27" s="37"/>
      <c r="K27" s="34"/>
    </row>
    <row r="28" spans="1:11" ht="12" customHeight="1">
      <c r="A28" s="37"/>
      <c r="B28" s="37"/>
      <c r="C28" s="37"/>
      <c r="D28" s="55"/>
      <c r="E28" s="43"/>
      <c r="F28" s="43"/>
      <c r="G28" s="37"/>
      <c r="H28" s="37"/>
      <c r="I28" s="34"/>
      <c r="J28" s="37"/>
      <c r="K28" s="34"/>
    </row>
    <row r="29" spans="1:11" ht="12" customHeight="1">
      <c r="A29" s="37" t="s">
        <v>49</v>
      </c>
      <c r="B29" s="37"/>
      <c r="C29" s="37"/>
      <c r="D29" s="55"/>
      <c r="E29" s="43"/>
      <c r="F29" s="43"/>
      <c r="G29" s="37"/>
      <c r="H29" s="56">
        <f>SUM(H23:H27)</f>
        <v>33348.484320533695</v>
      </c>
      <c r="I29" s="57"/>
      <c r="J29" s="37"/>
      <c r="K29" s="34"/>
    </row>
    <row r="30" spans="1:11" ht="12" customHeight="1">
      <c r="A30" s="37"/>
      <c r="B30" s="37"/>
      <c r="C30" s="37"/>
      <c r="D30" s="55"/>
      <c r="E30" s="43"/>
      <c r="F30" s="43"/>
      <c r="G30" s="37"/>
      <c r="H30" s="37"/>
      <c r="I30" s="34"/>
      <c r="J30" s="37"/>
      <c r="K30" s="34"/>
    </row>
    <row r="31" spans="1:11" ht="12" customHeight="1">
      <c r="A31" s="40" t="s">
        <v>65</v>
      </c>
      <c r="B31" s="37"/>
      <c r="C31" s="41" t="s">
        <v>66</v>
      </c>
      <c r="D31" s="55">
        <f>(8636*12)*L5</f>
        <v>40394.509186944</v>
      </c>
      <c r="E31" s="43" t="s">
        <v>10</v>
      </c>
      <c r="F31" s="44" t="s">
        <v>67</v>
      </c>
      <c r="G31" s="52">
        <v>1.2801</v>
      </c>
      <c r="H31" s="56">
        <f>D31*G31</f>
        <v>51709.01121020701</v>
      </c>
      <c r="I31" s="37"/>
      <c r="J31" s="37"/>
      <c r="K31" s="34"/>
    </row>
    <row r="32" spans="1:11" ht="12" customHeight="1">
      <c r="A32" s="40" t="s">
        <v>68</v>
      </c>
      <c r="B32" s="37"/>
      <c r="C32" s="41" t="s">
        <v>69</v>
      </c>
      <c r="D32" s="58">
        <f>387622*L5</f>
        <v>151090.401035024</v>
      </c>
      <c r="E32" s="43" t="s">
        <v>17</v>
      </c>
      <c r="F32" s="44" t="s">
        <v>70</v>
      </c>
      <c r="G32" s="52">
        <v>0.0087</v>
      </c>
      <c r="H32" s="56">
        <f>D32*G32</f>
        <v>1314.4864890047088</v>
      </c>
      <c r="I32" s="37"/>
      <c r="J32" s="37"/>
      <c r="K32" s="34"/>
    </row>
    <row r="33" spans="1:11" ht="12" customHeight="1">
      <c r="A33" s="40" t="s">
        <v>71</v>
      </c>
      <c r="B33" s="37"/>
      <c r="C33" s="41" t="s">
        <v>72</v>
      </c>
      <c r="D33" s="58">
        <f>387622*L5</f>
        <v>151090.401035024</v>
      </c>
      <c r="E33" s="43" t="s">
        <v>17</v>
      </c>
      <c r="F33" s="44" t="s">
        <v>73</v>
      </c>
      <c r="G33" s="52">
        <v>0.0087</v>
      </c>
      <c r="H33" s="56">
        <f>D33*G33</f>
        <v>1314.4864890047088</v>
      </c>
      <c r="I33" s="37"/>
      <c r="J33" s="37"/>
      <c r="K33" s="34"/>
    </row>
    <row r="34" spans="1:11" ht="12" customHeight="1">
      <c r="A34" s="40" t="s">
        <v>74</v>
      </c>
      <c r="B34" s="40"/>
      <c r="C34" s="41" t="s">
        <v>75</v>
      </c>
      <c r="D34" s="55">
        <f>(387622*12)*L5</f>
        <v>1813084.812420288</v>
      </c>
      <c r="E34" s="43" t="s">
        <v>10</v>
      </c>
      <c r="F34" s="44" t="s">
        <v>76</v>
      </c>
      <c r="G34" s="52">
        <v>0.0175</v>
      </c>
      <c r="H34" s="56">
        <f>D34*G34</f>
        <v>31728.984217355046</v>
      </c>
      <c r="I34" s="37"/>
      <c r="J34" s="37"/>
      <c r="K34" s="34"/>
    </row>
    <row r="35" spans="1:11" ht="12" customHeight="1">
      <c r="A35" s="40" t="s">
        <v>77</v>
      </c>
      <c r="B35" s="40"/>
      <c r="C35" s="41" t="s">
        <v>78</v>
      </c>
      <c r="D35" s="58">
        <f>387622*L5</f>
        <v>151090.401035024</v>
      </c>
      <c r="E35" s="43" t="s">
        <v>17</v>
      </c>
      <c r="F35" s="44" t="s">
        <v>79</v>
      </c>
      <c r="G35" s="59">
        <f>H35/D35</f>
        <v>0.07206532317697063</v>
      </c>
      <c r="H35" s="53">
        <f>D35*0.0087*'[1]NYMEX'!$E$13</f>
        <v>10888.378579527103</v>
      </c>
      <c r="I35" s="37"/>
      <c r="J35" s="37"/>
      <c r="K35" s="34"/>
    </row>
    <row r="36" spans="1:11" ht="12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4"/>
    </row>
    <row r="37" spans="1:11" ht="12" customHeight="1">
      <c r="A37" s="37" t="s">
        <v>49</v>
      </c>
      <c r="B37" s="37"/>
      <c r="C37" s="37"/>
      <c r="D37" s="55"/>
      <c r="E37" s="43"/>
      <c r="F37" s="43"/>
      <c r="G37" s="37"/>
      <c r="H37" s="56">
        <f>SUM(H31:H35)</f>
        <v>96955.34698509859</v>
      </c>
      <c r="I37" s="57"/>
      <c r="J37" s="37"/>
      <c r="K37" s="34"/>
    </row>
    <row r="38" spans="1:11" ht="12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4"/>
    </row>
    <row r="39" spans="1:11" ht="12" customHeight="1" thickBot="1">
      <c r="A39" s="60" t="s">
        <v>103</v>
      </c>
      <c r="B39" s="61"/>
      <c r="C39" s="61"/>
      <c r="D39" s="61"/>
      <c r="E39" s="61"/>
      <c r="F39" s="61"/>
      <c r="G39" s="61"/>
      <c r="H39" s="62">
        <f>H21+H29+H37</f>
        <v>740295.4598008161</v>
      </c>
      <c r="I39" s="57"/>
      <c r="J39" s="37"/>
      <c r="K39" s="34"/>
    </row>
    <row r="40" spans="1:11" ht="12" customHeight="1" thickTop="1">
      <c r="A40" s="37"/>
      <c r="B40" s="37"/>
      <c r="C40" s="37"/>
      <c r="D40" s="37"/>
      <c r="E40" s="37"/>
      <c r="F40" s="37"/>
      <c r="G40" s="37"/>
      <c r="H40" s="63"/>
      <c r="I40" s="37"/>
      <c r="J40" s="37"/>
      <c r="K40" s="34"/>
    </row>
    <row r="41" spans="1:11" ht="12" customHeight="1">
      <c r="A41" s="5" t="s">
        <v>124</v>
      </c>
      <c r="B41" s="5"/>
      <c r="C41" s="37"/>
      <c r="D41" s="37"/>
      <c r="E41" s="37"/>
      <c r="F41" s="37"/>
      <c r="G41" s="37"/>
      <c r="H41" s="37"/>
      <c r="I41" s="37"/>
      <c r="J41" s="37"/>
      <c r="K41" s="34"/>
    </row>
    <row r="42" spans="1:11" ht="12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4"/>
    </row>
    <row r="43" spans="1:11" ht="12" customHeight="1">
      <c r="A43" s="40" t="s">
        <v>80</v>
      </c>
      <c r="B43" s="40"/>
      <c r="C43" s="41" t="s">
        <v>81</v>
      </c>
      <c r="D43" s="48">
        <f>'SUPPLIERS COSTS'!B16</f>
        <v>166688</v>
      </c>
      <c r="E43" s="38" t="s">
        <v>17</v>
      </c>
      <c r="F43" s="44" t="s">
        <v>82</v>
      </c>
      <c r="G43" s="52">
        <v>1.2691</v>
      </c>
      <c r="H43" s="56">
        <f>D43*G43</f>
        <v>211543.74079999997</v>
      </c>
      <c r="I43" s="57"/>
      <c r="J43" s="37"/>
      <c r="K43" s="34"/>
    </row>
    <row r="44" spans="1:11" ht="12" customHeight="1">
      <c r="A44" s="40" t="s">
        <v>83</v>
      </c>
      <c r="B44" s="64"/>
      <c r="C44" s="41" t="s">
        <v>84</v>
      </c>
      <c r="D44" s="58">
        <f>D43</f>
        <v>166688</v>
      </c>
      <c r="E44" s="43" t="s">
        <v>17</v>
      </c>
      <c r="F44" s="44" t="s">
        <v>85</v>
      </c>
      <c r="G44" s="59">
        <f>H44/D44</f>
        <v>0.17463153536121379</v>
      </c>
      <c r="H44" s="53">
        <f>((D44*0.00276)+(D44*0.01831))*'[1]NYMEX'!$E$26</f>
        <v>29108.98136629</v>
      </c>
      <c r="I44" s="37"/>
      <c r="J44" s="37"/>
      <c r="K44" s="34"/>
    </row>
    <row r="45" spans="1:11" ht="12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4"/>
    </row>
    <row r="46" spans="1:11" ht="12" customHeight="1" thickBot="1">
      <c r="A46" s="60" t="s">
        <v>86</v>
      </c>
      <c r="B46" s="60"/>
      <c r="C46" s="61"/>
      <c r="D46" s="61"/>
      <c r="E46" s="61"/>
      <c r="F46" s="61"/>
      <c r="G46" s="61"/>
      <c r="H46" s="62">
        <f>SUM(H43:H44)</f>
        <v>240652.72216628998</v>
      </c>
      <c r="I46" s="57"/>
      <c r="J46" s="37"/>
      <c r="K46" s="34"/>
    </row>
    <row r="47" spans="1:11" ht="12" customHeight="1" thickTop="1">
      <c r="A47" s="37"/>
      <c r="B47" s="37"/>
      <c r="C47" s="37"/>
      <c r="D47" s="37"/>
      <c r="E47" s="37"/>
      <c r="F47" s="37"/>
      <c r="G47" s="37"/>
      <c r="H47" s="65"/>
      <c r="I47" s="37"/>
      <c r="J47" s="37"/>
      <c r="K47" s="34"/>
    </row>
    <row r="48" spans="1:11" ht="12" customHeight="1">
      <c r="A48" s="5" t="s">
        <v>125</v>
      </c>
      <c r="B48" s="5"/>
      <c r="C48" s="37"/>
      <c r="D48" s="37"/>
      <c r="E48" s="37"/>
      <c r="F48" s="37"/>
      <c r="G48" s="37"/>
      <c r="H48" s="37"/>
      <c r="I48" s="37"/>
      <c r="J48" s="37"/>
      <c r="K48" s="34"/>
    </row>
    <row r="49" spans="1:11" ht="12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4"/>
    </row>
    <row r="50" spans="1:11" ht="12" customHeight="1">
      <c r="A50" s="40" t="s">
        <v>120</v>
      </c>
      <c r="B50" s="40"/>
      <c r="C50" s="41" t="s">
        <v>87</v>
      </c>
      <c r="D50" s="44">
        <f>((4103+105+170)*12)/4</f>
        <v>13134</v>
      </c>
      <c r="E50" s="38" t="s">
        <v>10</v>
      </c>
      <c r="F50" s="44" t="s">
        <v>88</v>
      </c>
      <c r="G50" s="52">
        <v>5.049</v>
      </c>
      <c r="H50" s="56">
        <f>D50*G50</f>
        <v>66313.566</v>
      </c>
      <c r="I50" s="57"/>
      <c r="J50" s="37"/>
      <c r="K50" s="34"/>
    </row>
    <row r="51" spans="1:11" ht="12" customHeight="1">
      <c r="A51" s="40" t="s">
        <v>121</v>
      </c>
      <c r="B51" s="37"/>
      <c r="C51" s="41" t="s">
        <v>89</v>
      </c>
      <c r="D51" s="58">
        <f>D43</f>
        <v>166688</v>
      </c>
      <c r="E51" s="38" t="s">
        <v>17</v>
      </c>
      <c r="F51" s="44" t="s">
        <v>90</v>
      </c>
      <c r="G51" s="52">
        <v>0.0109</v>
      </c>
      <c r="H51" s="56">
        <f>D51*G51</f>
        <v>1816.8992</v>
      </c>
      <c r="I51" s="66"/>
      <c r="J51" s="37"/>
      <c r="K51" s="34"/>
    </row>
    <row r="52" spans="1:11" ht="12" customHeight="1">
      <c r="A52" s="40" t="s">
        <v>83</v>
      </c>
      <c r="B52" s="64"/>
      <c r="C52" s="41" t="s">
        <v>91</v>
      </c>
      <c r="D52" s="58">
        <f>D51</f>
        <v>166688</v>
      </c>
      <c r="E52" s="43" t="s">
        <v>17</v>
      </c>
      <c r="F52" s="44" t="s">
        <v>92</v>
      </c>
      <c r="G52" s="59">
        <f>H52/D52</f>
        <v>0.00444066</v>
      </c>
      <c r="H52" s="67">
        <f>(D52*0.4074)*G51</f>
        <v>740.20473408</v>
      </c>
      <c r="I52" s="37"/>
      <c r="J52" s="37"/>
      <c r="K52" s="34"/>
    </row>
    <row r="53" spans="1:11" ht="12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4"/>
    </row>
    <row r="54" spans="1:11" ht="12" customHeight="1" thickBot="1">
      <c r="A54" s="61" t="s">
        <v>93</v>
      </c>
      <c r="B54" s="61"/>
      <c r="C54" s="61"/>
      <c r="D54" s="61"/>
      <c r="E54" s="61"/>
      <c r="F54" s="61"/>
      <c r="G54" s="61"/>
      <c r="H54" s="62">
        <f>H50+H51+H52</f>
        <v>68870.66993408001</v>
      </c>
      <c r="I54" s="57"/>
      <c r="J54" s="37"/>
      <c r="K54" s="34"/>
    </row>
    <row r="55" spans="1:11" ht="12" customHeight="1" thickTop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4"/>
    </row>
    <row r="56" spans="1:11" ht="12" customHeight="1" thickBot="1">
      <c r="A56" s="68" t="s">
        <v>94</v>
      </c>
      <c r="B56" s="68"/>
      <c r="C56" s="68"/>
      <c r="D56" s="68"/>
      <c r="E56" s="68"/>
      <c r="F56" s="68"/>
      <c r="G56" s="68"/>
      <c r="H56" s="69">
        <f>H39+H46+H54</f>
        <v>1049818.8519011862</v>
      </c>
      <c r="I56" s="57"/>
      <c r="J56" s="37"/>
      <c r="K56" s="34"/>
    </row>
    <row r="57" spans="1:11" ht="12" customHeight="1" thickTop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4"/>
    </row>
    <row r="58" spans="1:11" ht="12" customHeight="1">
      <c r="A58" s="61"/>
      <c r="B58" s="37"/>
      <c r="C58" s="37"/>
      <c r="D58" s="37"/>
      <c r="E58" s="37"/>
      <c r="F58" s="37"/>
      <c r="G58" s="34"/>
      <c r="H58" s="47">
        <f>H46+H54</f>
        <v>309523.39210037</v>
      </c>
      <c r="I58" s="37"/>
      <c r="J58" s="37"/>
      <c r="K58" s="34"/>
    </row>
    <row r="59" spans="1:11" ht="12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4"/>
    </row>
    <row r="60" spans="1:10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</sheetData>
  <sheetProtection/>
  <printOptions/>
  <pageMargins left="0.75" right="0.7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BRIANR</dc:creator>
  <cp:keywords/>
  <dc:description/>
  <cp:lastModifiedBy>Braun, Monica</cp:lastModifiedBy>
  <cp:lastPrinted>2022-03-25T14:00:26Z</cp:lastPrinted>
  <dcterms:created xsi:type="dcterms:W3CDTF">1998-06-17T15:14:46Z</dcterms:created>
  <dcterms:modified xsi:type="dcterms:W3CDTF">2022-09-20T15:24:39Z</dcterms:modified>
  <cp:category/>
  <cp:version/>
  <cp:contentType/>
  <cp:contentStatus/>
</cp:coreProperties>
</file>